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40" windowHeight="21640" tabRatio="909"/>
  </bookViews>
  <sheets>
    <sheet name="汇总表" sheetId="20" r:id="rId1"/>
    <sheet name="排屋工程量清单" sheetId="7" r:id="rId2"/>
    <sheet name="商业工程量清单 " sheetId="10" r:id="rId3"/>
    <sheet name="11#楼措施费" sheetId="15" r:id="rId4"/>
    <sheet name="措施费 (商业)" sheetId="17" r:id="rId5"/>
    <sheet name="综合单价分析表 (11#楼)" sheetId="13" r:id="rId6"/>
    <sheet name="材料表 " sheetId="5" r:id="rId7"/>
    <sheet name="工程量计算式 (11#楼)" sheetId="14" r:id="rId8"/>
    <sheet name="辅材及安装费" sheetId="6" r:id="rId9"/>
    <sheet name="措施" sheetId="3" state="hidden" r:id="rId10"/>
    <sheet name="综合单价分析表（商业）" sheetId="16" r:id="rId11"/>
    <sheet name="工程量计算式（商业）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</externalReferences>
  <definedNames>
    <definedName name="_xlnm._FilterDatabase" localSheetId="2" hidden="1">'商业工程量清单 '!$A$1:$H$104</definedName>
    <definedName name="_xlnm._FilterDatabase" localSheetId="5" hidden="1">'综合单价分析表 (11#楼)'!$B$1:$J$2451</definedName>
    <definedName name="_xlnm._FilterDatabase" localSheetId="6" hidden="1">'材料表 '!$A$2:$P$186</definedName>
    <definedName name="_xlnm._FilterDatabase" localSheetId="7" hidden="1">'工程量计算式 (11#楼)'!$A$1:$E$276</definedName>
    <definedName name="_xlnm._FilterDatabase" localSheetId="11" hidden="1">'工程量计算式（商业）'!$A$1:$E$302</definedName>
    <definedName name="s">[30]梁!$X1*1.2</definedName>
    <definedName name="\q">#REF!</definedName>
    <definedName name="_001年.xls">#REF!</definedName>
    <definedName name="__________TP5125">[1]材料!$F$7</definedName>
    <definedName name="_">#REF!</definedName>
    <definedName name="page1">#N/A</definedName>
    <definedName name="lap">[2]General!$B$2:$G$9</definedName>
    <definedName name="A_1">"$"</definedName>
    <definedName name="A_1___1">"$"</definedName>
    <definedName name="CGFS000001">[3]下拉!$H$3:$H$159</definedName>
    <definedName name="GLLB_A">[3]下拉!$D$3:$D$8</definedName>
    <definedName name="A_1___2">"$"</definedName>
    <definedName name="A_1___4">"$"</definedName>
    <definedName name="A_2">"$"</definedName>
    <definedName name="A_1___0">"$"</definedName>
    <definedName name="A_2___0">"$"</definedName>
    <definedName name="___xlfn_FINV">#N/A</definedName>
    <definedName name="__xlfn_FINV">#N/A</definedName>
    <definedName name="_4_4.2_0.1_3.8_4__0.6_0.14">[4]土方!#REF!</definedName>
    <definedName name="_ae1">'[5]21'!$B$1:$B$802</definedName>
    <definedName name="_Fill" hidden="1">[6]Hoja1!#REF!</definedName>
    <definedName name="_Order1" hidden="1">255</definedName>
    <definedName name="_Order2" hidden="1">255</definedName>
    <definedName name="_tony0218" hidden="1">{#N/A,#N/A,FALSE,"估價單  (3)"}</definedName>
    <definedName name="_W200">'[7]21'!$B$1:$B$802</definedName>
    <definedName name="_xlfn_FINV">#N/A</definedName>
    <definedName name="a">NA()</definedName>
    <definedName name="A_2___1">"$"</definedName>
    <definedName name="A_2___2">"$"</definedName>
    <definedName name="A_2___4">"$"</definedName>
    <definedName name="A_5">"$"</definedName>
    <definedName name="A_6">"$"</definedName>
    <definedName name="aaaa">EVALUATE([8]工程量A6!XFD1)</definedName>
    <definedName name="AccountBase">[9]貨品科目!$B$5:$E$857</definedName>
    <definedName name="ad">'[10]21'!$A$1:$A$802</definedName>
    <definedName name="ae">'[10]21'!$B$1:$B$802</definedName>
    <definedName name="B_1">"$"</definedName>
    <definedName name="B_1___0">"$"</definedName>
    <definedName name="B_1___1">"$"</definedName>
    <definedName name="B_1___2">"$"</definedName>
    <definedName name="B_1___4">"$"</definedName>
    <definedName name="B_2">"$"</definedName>
    <definedName name="B_2___0">"$"</definedName>
    <definedName name="B_2___1">"$"</definedName>
    <definedName name="B_2___2">"$"</definedName>
    <definedName name="B_2___4">"$"</definedName>
    <definedName name="B01_">"$"</definedName>
    <definedName name="B01____0">"$"</definedName>
    <definedName name="B01____1">"$"</definedName>
    <definedName name="B01____2">"$"</definedName>
    <definedName name="B01____4">"$"</definedName>
    <definedName name="B02_">"$"</definedName>
    <definedName name="B02____0">"$"</definedName>
    <definedName name="B02____1">"$"</definedName>
    <definedName name="B02____2">"$"</definedName>
    <definedName name="B02____4">"$"</definedName>
    <definedName name="B03_">"$"</definedName>
    <definedName name="B03____0">"$"</definedName>
    <definedName name="B03____1">"$"</definedName>
    <definedName name="B03____2">"$"</definedName>
    <definedName name="B03____4">"$"</definedName>
    <definedName name="B04_">"$"</definedName>
    <definedName name="B04____0">"$"</definedName>
    <definedName name="B04____1">"$"</definedName>
    <definedName name="B04____2">"$"</definedName>
    <definedName name="B04____4">"$"</definedName>
    <definedName name="B05_">"$"</definedName>
    <definedName name="B05____0">"$"</definedName>
    <definedName name="B05____1">"$"</definedName>
    <definedName name="B05____2">"$"</definedName>
    <definedName name="B05____4">"$"</definedName>
    <definedName name="B06_">"$"</definedName>
    <definedName name="B06____0">"$"</definedName>
    <definedName name="B06____1">"$"</definedName>
    <definedName name="B06____2">"$"</definedName>
    <definedName name="B06____4">"$"</definedName>
    <definedName name="B07_">"$"</definedName>
    <definedName name="B07____0">"$"</definedName>
    <definedName name="B07____1">"$"</definedName>
    <definedName name="B07____2">"$"</definedName>
    <definedName name="B07____4">"$"</definedName>
    <definedName name="B08_">"$"</definedName>
    <definedName name="B08____0">"$"</definedName>
    <definedName name="B08____1">"$"</definedName>
    <definedName name="B08____2">"$"</definedName>
    <definedName name="B08____4">"$"</definedName>
    <definedName name="BuiltIn_AutoFilter___3">"$"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"$"</definedName>
    <definedName name="BuiltIn_Print_Area___0">"$"</definedName>
    <definedName name="BuiltIn_Print_Area___0___0">"$"</definedName>
    <definedName name="BuiltIn_Print_Area___0___0___0">"$"</definedName>
    <definedName name="BuiltIn_Print_Area___0___0___1">"$"</definedName>
    <definedName name="BuiltIn_Print_Area___0___0___2">"$"</definedName>
    <definedName name="BuiltIn_Print_Area___0___1">"$"</definedName>
    <definedName name="BuiltIn_Print_Area___0___2">"$"</definedName>
    <definedName name="BuiltIn_Print_Titles">"$"</definedName>
    <definedName name="BuiltIn_Print_Titles___0">"$"</definedName>
    <definedName name="BuiltIn_Print_Titles___1___1">"$"</definedName>
    <definedName name="B主筋锚长">[11]内围地梁钢筋说明!$C$17</definedName>
    <definedName name="C_1">"$"</definedName>
    <definedName name="C_1___0">"$"</definedName>
    <definedName name="C_1___1">"$"</definedName>
    <definedName name="C_1___2">"$"</definedName>
    <definedName name="C_1___4">"$"</definedName>
    <definedName name="C_2">"$"</definedName>
    <definedName name="C_2___0">"$"</definedName>
    <definedName name="C_2___1">"$"</definedName>
    <definedName name="C_2___2">"$"</definedName>
    <definedName name="C_2___4">"$"</definedName>
    <definedName name="CANT.">[12]BASES!$B$4:$B$12</definedName>
    <definedName name="CANT_">"$"</definedName>
    <definedName name="CANT____0">"$"</definedName>
    <definedName name="CANT____1">"$"</definedName>
    <definedName name="CANT____2">"$"</definedName>
    <definedName name="CC">'[13]#REF!'!$C$3</definedName>
    <definedName name="cc___0">"$"</definedName>
    <definedName name="cc___1">"$"</definedName>
    <definedName name="ccc">"$"</definedName>
    <definedName name="ccc___0">"$"</definedName>
    <definedName name="ccc___1">"$"</definedName>
    <definedName name="cccc">"$"</definedName>
    <definedName name="cccc___0">"$"</definedName>
    <definedName name="cccc___1">"$"</definedName>
    <definedName name="conc40">[14]Sheet1!$I$3</definedName>
    <definedName name="conc55">[14]Sheet1!$I$6</definedName>
    <definedName name="Cost_5Lanscape">'[15]Elem Cost'!#REF!</definedName>
    <definedName name="Cost_7PS">'[15]Elem Cost'!#REF!</definedName>
    <definedName name="CQU">[16]資料庫!$B$5:$D$846</definedName>
    <definedName name="D___0">"$"</definedName>
    <definedName name="D___1">"$"</definedName>
    <definedName name="D___2">"$"</definedName>
    <definedName name="D___4">"$"</definedName>
    <definedName name="DAL">[17]改加胶玻璃、室外栏杆!$D$8</definedName>
    <definedName name="Database" hidden="1">[6]Hoja1!#REF!</definedName>
    <definedName name="dco">[18]Hoja1!$G$197</definedName>
    <definedName name="dsDataSet">[19]土建直接费!#REF!</definedName>
    <definedName name="Dt">"$"</definedName>
    <definedName name="Dt___0">"$"</definedName>
    <definedName name="Dt___1">"$"</definedName>
    <definedName name="Dt___2">"$"</definedName>
    <definedName name="Dt___4">"$"</definedName>
    <definedName name="dw">[20]单位库!$A$1:$A$65536</definedName>
    <definedName name="E">INDEX([21]工程量计算!$F$1:$F$65536,MATCH("E",[21]工程量计算!$D$1:$D$65536,0))</definedName>
    <definedName name="EE">INDEX([22]工程量计算!$F$1:$F$65536,MATCH("E",[22]工程量计算!$D$1:$D$65536,0))</definedName>
    <definedName name="eeeeee">"$"</definedName>
    <definedName name="eeeeee___0">"$"</definedName>
    <definedName name="eeeeee___1">"$"</definedName>
    <definedName name="eeeeeeee">"$"</definedName>
    <definedName name="F">INDEX([21]工程量计算!$F$1:$F$65536,MATCH("F",[21]工程量计算!$D$1:$D$65536,0))</definedName>
    <definedName name="fdg">"$"</definedName>
    <definedName name="ff">'[13]#REF!'!$C$4</definedName>
    <definedName name="fmwk">[14]Sheet1!$I$8</definedName>
    <definedName name="G">INDEX([21]工程量计算!$F$1:$F$65536,MATCH("G",[21]工程量计算!$D$1:$D$65536,0))</definedName>
    <definedName name="GCL">NA()</definedName>
    <definedName name="GG">INDEX([22]工程量计算!$F$1:$F$65536,MATCH("G",[22]工程量计算!$D$1:$D$65536,0))</definedName>
    <definedName name="gsdf">"$"</definedName>
    <definedName name="gsdf___0">"$"</definedName>
    <definedName name="gsdf___1">"$"</definedName>
    <definedName name="H">NA()</definedName>
    <definedName name="hanliang" hidden="1">{#N/A,#N/A,FALSE,"估價單  (3)"}</definedName>
    <definedName name="haoi">'[23]3'!$B$6:$G$9</definedName>
    <definedName name="I">NA()</definedName>
    <definedName name="je">EVALUATE([24]工程量A!XFD1)</definedName>
    <definedName name="jh">EVALUATE([24]工程量A!XFD1)</definedName>
    <definedName name="jj">EVALUATE([25]工程量!XFD1)</definedName>
    <definedName name="jk" hidden="1">{#N/A,#N/A,FALSE,"估價單  (3)"}</definedName>
    <definedName name="jm">EVALUATE('[26]S工程量(1)'!XFD1)</definedName>
    <definedName name="JMJ">EVALUATE('[26]S工程量 (2)'!XFD1)</definedName>
    <definedName name="list_price">'[27]List price'!$A$5:$E$854</definedName>
    <definedName name="m">NA()</definedName>
    <definedName name="mc">OFFSET([21]工程量计算!$B$3,1,,COUNTA([21]工程量计算!$B$1:$B$65536)-1,)</definedName>
    <definedName name="MCC">OFFSET([22]工程量计算!$B$3,1,,COUNTA([22]工程量计算!$B$1:$B$65536)-1,)</definedName>
    <definedName name="N._FUND.">[12]BASES!$C$4:$C$12</definedName>
    <definedName name="N__FUND_">"$"</definedName>
    <definedName name="N__FUND____0">"$"</definedName>
    <definedName name="N__FUND____1">"$"</definedName>
    <definedName name="N__FUND____2">"$"</definedName>
    <definedName name="OLE_LINK1">"$obraciviljumbo.$"</definedName>
    <definedName name="periodo">[28]Hoja1!$E$1</definedName>
    <definedName name="qd">'[29]21'!$A$1:$A$802</definedName>
    <definedName name="rebar">[14]Sheet1!$I$10</definedName>
    <definedName name="rg">'[13]#REF!'!$C$5</definedName>
    <definedName name="ss">"$"</definedName>
    <definedName name="ss___0">"$"</definedName>
    <definedName name="ss___1">"$"</definedName>
    <definedName name="sss">"$"</definedName>
    <definedName name="sss___0">"$"</definedName>
    <definedName name="sss___1">"$"</definedName>
    <definedName name="sssss">"$"</definedName>
    <definedName name="ssssssssss">"$"</definedName>
    <definedName name="TIPO_DE_BASE">"$"</definedName>
    <definedName name="TIPO_DE_BASE___0">"$"</definedName>
    <definedName name="TIPO_DE_BASE___1">"$"</definedName>
    <definedName name="TIPO_DE_BASE___2">"$"</definedName>
    <definedName name="TIPO_DE_BASE___4">"$"</definedName>
    <definedName name="VALOR_UF">[31]Hoja1!$I$1</definedName>
    <definedName name="VOL.">[12]BASES!$L$4:$L$12</definedName>
    <definedName name="VOL._TOT.">[12]BASES!$M$4:$M$12</definedName>
    <definedName name="VOL_">"$"</definedName>
    <definedName name="VOL____0">"$"</definedName>
    <definedName name="VOL____1">"$"</definedName>
    <definedName name="VOL____2">"$"</definedName>
    <definedName name="VOL____3">"$"</definedName>
    <definedName name="VOL__TOT_">"$"</definedName>
    <definedName name="VOL__TOT____0">"$"</definedName>
    <definedName name="VOL__TOT____1">"$"</definedName>
    <definedName name="VOL__TOT____2">"$"</definedName>
    <definedName name="VOL__TOT____3">"$"</definedName>
    <definedName name="x">[32]改加胶玻璃、室外栏杆!$D$8</definedName>
    <definedName name="XLRPARAMS_GCMC" hidden="1">[33]XLR_NoRangeSheet!$B$6</definedName>
    <definedName name="YME">EVALUATE('[26]S工程量 (3)'!XFD1)</definedName>
    <definedName name="阿瑟">'[34]5201.2004'!$A$1:$I$24</definedName>
    <definedName name="八">'[23]8'!$B$6:$G$9</definedName>
    <definedName name="產品編號">[35]明細表!$AA$967:$AA$967</definedName>
    <definedName name="传动器">[36]sheet2!$B$9</definedName>
    <definedName name="单">[37]資料庫!$B$5:$H$1621</definedName>
    <definedName name="地弹簧">[36]sheet2!$B$12</definedName>
    <definedName name="地下室面积">[38]表3!$E$209</definedName>
    <definedName name="地址">[39]資料庫!$B$5:$H$1859</definedName>
    <definedName name="吊筋角度">[11]内围地梁钢筋说明!$C$22</definedName>
    <definedName name="吊筋锚长">[11]内围地梁钢筋说明!$C$23</definedName>
    <definedName name="二">'[23]2'!$B$6:$G$13</definedName>
    <definedName name="二级">[40]基础项目!#REF!</definedName>
    <definedName name="发货单元">[41]資料庫!$B$5:$H$1555</definedName>
    <definedName name="放坡系数1">'[42]承台(砖模) '!#REF!</definedName>
    <definedName name="放坡系数2">'[42]承台(砖模) '!#REF!</definedName>
    <definedName name="放坡系数A">'[42]承台(砖模) '!#REF!</definedName>
    <definedName name="分部工程">[43]单位库!$B$1:$B$65536</definedName>
    <definedName name="分项工程">[43]单位库!$C$1:$C$65536</definedName>
    <definedName name="复式">[44]墙面工程!#REF!</definedName>
    <definedName name="钢筋保护层">[11]内围地梁钢筋说明!$C$15</definedName>
    <definedName name="工程量">NA()</definedName>
    <definedName name="工程量计算式">[45]工程量计算书!$F$1:$F$65536</definedName>
    <definedName name="工匠">[46]施工参考单价报价表!#REF!</definedName>
    <definedName name="管理费">[36]sheet2!$B$34</definedName>
    <definedName name="好">[47]土建工程综合单价表!#REF!</definedName>
    <definedName name="号">[47]土建工程综合单价表!#REF!</definedName>
    <definedName name="滑轮">[36]sheet2!$B$13</definedName>
    <definedName name="建筑面积">'[48]建筑面积 '!$I$5</definedName>
    <definedName name="铰链">[36]sheet2!$B$10</definedName>
    <definedName name="六">'[23]6'!$B$6:$G$8</definedName>
    <definedName name="铝材">[36]sheet2!$B$5</definedName>
    <definedName name="密封胶">[36]sheet2!$B$17</definedName>
    <definedName name="面积合计">'[23]面积合计（藏）'!$B$5:$H$88</definedName>
    <definedName name="名称及规格">[45]工程量计算书!$C$1:$C$65536</definedName>
    <definedName name="排水沟深">[11]内围地梁钢筋说明!$C$21</definedName>
    <definedName name="七">'[23]7'!$B$6:$G$15</definedName>
    <definedName name="其他五金配件">[36]sheet2!$B$14</definedName>
    <definedName name="清单">'[10]21'!$B$1:$B$802</definedName>
    <definedName name="求和">NA()</definedName>
    <definedName name="三">'[23]3'!$B$6:$G$9</definedName>
    <definedName name="三级">[40]基础项目!#REF!</definedName>
    <definedName name="纱窗">[36]sheet2!$B$20</definedName>
    <definedName name="商铺面积">'[38]4#号清单之地下室土建'!$A:$IV</definedName>
    <definedName name="上悬窗用风撑">[36]sheet2!$D$11</definedName>
    <definedName name="审杳">'[49]合格证 (2)'!$B$5:$H$1555</definedName>
    <definedName name="室内外地台差">'[42]承台(砖模) '!#REF!</definedName>
    <definedName name="水电费">[36]sheet2!$B$37</definedName>
    <definedName name="税金">[36]sheet2!$B$36</definedName>
    <definedName name="四">'[23]4'!$B$6:$G$43</definedName>
    <definedName name="塔楼面积">[38]表3!$E$211</definedName>
    <definedName name="踢脚线高">[42]柱!#REF!</definedName>
    <definedName name="填缝胶">[36]sheet2!$B$18</definedName>
    <definedName name="砼16">[46]甲指乙供材料报价表!#REF!</definedName>
    <definedName name="砼结果">[50]B4零星!#REF!</definedName>
    <definedName name="投标材料清单">'[23]投标材料清单 '!$B$5:$J$75</definedName>
    <definedName name="五">'[23]5'!$B$6:$G$15</definedName>
    <definedName name="新砌">[50]墙面工程!#REF!</definedName>
    <definedName name="序号">[51]汇总表格!$A$4:$A$16</definedName>
    <definedName name="样办单">[52]明細表!$AA$967:$AA$967</definedName>
    <definedName name="样办送">[52]明細表!$AA$967:$AA$967</definedName>
    <definedName name="样办送货单1">[53]資料庫!$B$5:$H$2024</definedName>
    <definedName name="腰筋锚长">[11]内围地梁钢筋说明!$C$20</definedName>
    <definedName name="一">'[23]1'!$B$4:$G$7</definedName>
    <definedName name="一级">[40]基础项目!#REF!</definedName>
    <definedName name="以">[37]資料庫!$B$5:$H$1621</definedName>
    <definedName name="执手">[36]sheet2!$B$8</definedName>
    <definedName name="中国营经济">[46]甲指乙供材料报价表!#REF!</definedName>
    <definedName name="中建">[54]資料庫!$B$5:$AT$753</definedName>
    <definedName name="转">'[50]21'!$B$1:$B$802</definedName>
    <definedName name="資料庫">[53]資料庫!$B$5:$H$2024</definedName>
    <definedName name="总建筑面积">[38]表3!$E$212</definedName>
    <definedName name="_________ae1">'[55]21'!$B$1:$B$802</definedName>
    <definedName name="________ae1">'[56]21'!$B$1:$B$802</definedName>
    <definedName name="________W200">'[57]21'!$B$1:$B$802</definedName>
    <definedName name="________wa2">#REF!</definedName>
    <definedName name="________ys1">[61]工程清单编制说明!$A$9:$A$22</definedName>
    <definedName name="________ys2">#REF!</definedName>
    <definedName name="________ys3">[61]工程清单编制说明!$A$9:$A$22</definedName>
    <definedName name="_______ae1">'[56]21'!$B$1:$B$802</definedName>
    <definedName name="_______W200">'[58]21'!$B$1:$B$802</definedName>
    <definedName name="_______wa2">[61]工程清单编制说明!$A$9:$A$22</definedName>
    <definedName name="_______ys1">#REF!</definedName>
    <definedName name="_______ys2">[61]工程清单编制说明!$A$9:$A$22</definedName>
    <definedName name="_______ys3">#REF!</definedName>
    <definedName name="______ae1">'[56]21'!$B$1:$B$802</definedName>
    <definedName name="______W200">'[59]21'!$B$1:$B$802</definedName>
    <definedName name="______wa2">#REF!</definedName>
    <definedName name="______ys1">#REF!</definedName>
    <definedName name="______ys2">#REF!</definedName>
    <definedName name="______ys3">#REF!</definedName>
    <definedName name="_____ae1">'[56]21'!$B$1:$B$802</definedName>
    <definedName name="_____W200">'[59]21'!$B$1:$B$802</definedName>
    <definedName name="_____wa2">#REF!</definedName>
    <definedName name="_____ys1">#REF!</definedName>
    <definedName name="_____ys2">#REF!</definedName>
    <definedName name="_____ys3">#REF!</definedName>
    <definedName name="____ae1">'[56]21'!$B$1:$B$802</definedName>
    <definedName name="____W200">'[58]21'!$B$1:$B$802</definedName>
    <definedName name="____wa2">#REF!</definedName>
    <definedName name="____ys1">#REF!</definedName>
    <definedName name="____ys2">#REF!</definedName>
    <definedName name="____ys3">#REF!</definedName>
    <definedName name="___ae1">'[56]21'!$B$1:$B$802</definedName>
    <definedName name="___W200">'[58]21'!$B$1:$B$802</definedName>
    <definedName name="___wa2">#REF!</definedName>
    <definedName name="___ys1">#REF!</definedName>
    <definedName name="___ys2">#REF!</definedName>
    <definedName name="___ys3">#REF!</definedName>
    <definedName name="__ae1">'[56]21'!$B$1:$B$802</definedName>
    <definedName name="__W200">'[58]21'!$B$1:$B$802</definedName>
    <definedName name="__wa2">#REF!</definedName>
    <definedName name="＿＿wwl1">#REF!</definedName>
    <definedName name="__ys1">#REF!</definedName>
    <definedName name="__ys2">#REF!</definedName>
    <definedName name="__ys3">#REF!</definedName>
    <definedName name="＿ax1">#REF!</definedName>
    <definedName name="＿bv1">#REF!</definedName>
    <definedName name="＿c4">#REF!</definedName>
    <definedName name="＿cb1">#REF!</definedName>
    <definedName name="＿kk1">#REF!</definedName>
    <definedName name="＿l1">#REF!</definedName>
    <definedName name="＿ll1">#REF!</definedName>
    <definedName name="＿ll3">#REF!</definedName>
    <definedName name="＿ol1">#REF!</definedName>
    <definedName name="_up2">#REF!</definedName>
    <definedName name="_wa2">#REF!</definedName>
    <definedName name="＿wa3">#REF!</definedName>
    <definedName name="＿wa5">#REF!</definedName>
    <definedName name="_wb2">#REF!</definedName>
    <definedName name="_YA4">#REF!</definedName>
    <definedName name="_yq3">#REF!</definedName>
    <definedName name="_ys1">#REF!</definedName>
    <definedName name="_ys11">#REF!</definedName>
    <definedName name="＿ys18">#REF!</definedName>
    <definedName name="_ys2">#REF!</definedName>
    <definedName name="_ys3">#REF!</definedName>
    <definedName name="_YS5">#REF!</definedName>
    <definedName name="ac">[61]工程清单编制说明!#REF!</definedName>
    <definedName name="B">#REF!</definedName>
    <definedName name="BB">EVALUATE(SUBSTITUTE(SUBSTITUTE([60]套内!#REF!,"[","*ISTEXT(""["),"]","]"")"))</definedName>
    <definedName name="J41户型A2">#REF!</definedName>
    <definedName name="MM">EVALUATE(SUBSTITUTE(SUBSTITUTE(#REF!,"[","*ISTEXT(""["),"]","]"")"))</definedName>
    <definedName name="Y">"X=Evaluate(SUBSTITUTE(SUBSTITUTE(G7,""["",""*ISTEXT(""""[""),""]"",""]"""")""))"</definedName>
    <definedName name="科目">[57]板房区目标成本!$A$7:$I$7</definedName>
    <definedName name="楼梯间">'[57]21'!$A$1:$A$802</definedName>
    <definedName name="系数">1.02</definedName>
    <definedName name="\b">#N/A</definedName>
    <definedName name="\c">#N/A</definedName>
    <definedName name="\f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p">#N/A</definedName>
    <definedName name="\x">#N/A</definedName>
    <definedName name="\z">#N/A</definedName>
    <definedName name="___">#N/A</definedName>
    <definedName name="_____">#N/A</definedName>
    <definedName name="______________________xlfn.BAHTTEXT" hidden="1">#NAME?</definedName>
    <definedName name="_____________________xlfn.BAHTTEXT" hidden="1">#NAME?</definedName>
    <definedName name="____________________xlfn.BAHTTEXT" hidden="1">#NAME?</definedName>
    <definedName name="___________________xlfn.BAHTTEXT" hidden="1">#NAME?</definedName>
    <definedName name="__________________xlfn.BAHTTEXT" hidden="1">#NAME?</definedName>
    <definedName name="_________________xlfn.BAHTTEXT" hidden="1">#NAME?</definedName>
    <definedName name="________________xlfn.BAHTTEXT" hidden="1">#NAME?</definedName>
    <definedName name="_______________xlfn.BAHTTEXT" hidden="1">#NAME?</definedName>
    <definedName name="______________xlfn.BAHTTEXT" hidden="1">#NAME?</definedName>
    <definedName name="_____________num031">#N/A</definedName>
    <definedName name="_____________num032">#N/A</definedName>
    <definedName name="_____________NUM0321">#N/A</definedName>
    <definedName name="_____________num033">#N/A</definedName>
    <definedName name="_____________num1">#N/A</definedName>
    <definedName name="_____________num2">#N/A</definedName>
    <definedName name="_____________num3">#N/A</definedName>
    <definedName name="_____________xlfn.BAHTTEXT" hidden="1">#NAME?</definedName>
    <definedName name="____________num031">#N/A</definedName>
    <definedName name="____________num032">#N/A</definedName>
    <definedName name="____________NUM0321">#N/A</definedName>
    <definedName name="____________num033">#N/A</definedName>
    <definedName name="____________num1">#N/A</definedName>
    <definedName name="____________num2">#N/A</definedName>
    <definedName name="____________num3">#N/A</definedName>
    <definedName name="____________xlfn.BAHTTEXT" hidden="1">#NAME?</definedName>
    <definedName name="___________num031">#N/A</definedName>
    <definedName name="___________num032">#N/A</definedName>
    <definedName name="___________NUM0321">#N/A</definedName>
    <definedName name="___________num033">#N/A</definedName>
    <definedName name="___________num1">#N/A</definedName>
    <definedName name="___________num2">#N/A</definedName>
    <definedName name="___________num3">#N/A</definedName>
    <definedName name="___________xlfn.BAHTTEXT" hidden="1">#NAME?</definedName>
    <definedName name="__________num031">#N/A</definedName>
    <definedName name="__________num032">#N/A</definedName>
    <definedName name="__________NUM0321">#N/A</definedName>
    <definedName name="__________num033">#N/A</definedName>
    <definedName name="__________num1">#N/A</definedName>
    <definedName name="__________num2">#N/A</definedName>
    <definedName name="__________num3">#N/A</definedName>
    <definedName name="__________xlfn.BAHTTEXT" hidden="1">#NAME?</definedName>
    <definedName name="_________num031">#N/A</definedName>
    <definedName name="_________num032">#N/A</definedName>
    <definedName name="_________NUM0321">#N/A</definedName>
    <definedName name="_________num033">#N/A</definedName>
    <definedName name="_________num1">#N/A</definedName>
    <definedName name="_________num2">#N/A</definedName>
    <definedName name="_________num3">#N/A</definedName>
    <definedName name="_________ST1">#N/A</definedName>
    <definedName name="_________xlfn.BAHTTEXT" hidden="1">#NAME?</definedName>
    <definedName name="________num031">#N/A</definedName>
    <definedName name="________num032">#N/A</definedName>
    <definedName name="________NUM0321">#N/A</definedName>
    <definedName name="________num033">#N/A</definedName>
    <definedName name="________num1">#N/A</definedName>
    <definedName name="________num2">#N/A</definedName>
    <definedName name="________num3">#N/A</definedName>
    <definedName name="________ST1">#N/A</definedName>
    <definedName name="________xlfn.BAHTTEXT" hidden="1">#NAME?</definedName>
    <definedName name="_______num031">#N/A</definedName>
    <definedName name="_______num032">#N/A</definedName>
    <definedName name="_______NUM0321">#N/A</definedName>
    <definedName name="_______num033">#N/A</definedName>
    <definedName name="_______num1">#N/A</definedName>
    <definedName name="_______num2">#N/A</definedName>
    <definedName name="_______num3">#N/A</definedName>
    <definedName name="_______ST1">#N/A</definedName>
    <definedName name="_______xlfn.BAHTTEXT" hidden="1">#NAME?</definedName>
    <definedName name="______num031">#N/A</definedName>
    <definedName name="______num032">#N/A</definedName>
    <definedName name="______NUM0321">#N/A</definedName>
    <definedName name="______num033">#N/A</definedName>
    <definedName name="______num1">#N/A</definedName>
    <definedName name="______num2">#N/A</definedName>
    <definedName name="______num3">#N/A</definedName>
    <definedName name="______ST1">#N/A</definedName>
    <definedName name="______xlfn.BAHTTEXT" hidden="1">#NAME?</definedName>
    <definedName name="_____num031">#N/A</definedName>
    <definedName name="_____num032">#N/A</definedName>
    <definedName name="_____NUM0321">#N/A</definedName>
    <definedName name="_____num033">#N/A</definedName>
    <definedName name="_____num1">#N/A</definedName>
    <definedName name="_____num2">#N/A</definedName>
    <definedName name="_____num3">#N/A</definedName>
    <definedName name="_____ST1">#N/A</definedName>
    <definedName name="_____xlfn.BAHTTEXT" hidden="1">#NAME?</definedName>
    <definedName name="_____xlfn.IFERROR" hidden="1">#NAME?</definedName>
    <definedName name="_____xlfn.SUMIFS" hidden="1">#NAME?</definedName>
    <definedName name="____num031">#N/A</definedName>
    <definedName name="____num032">#N/A</definedName>
    <definedName name="____NUM0321">#N/A</definedName>
    <definedName name="____num033">#N/A</definedName>
    <definedName name="____num1">#N/A</definedName>
    <definedName name="____num2">#N/A</definedName>
    <definedName name="____num3">#N/A</definedName>
    <definedName name="____ST1">#N/A</definedName>
    <definedName name="____xlfn.BAHTTEXT" hidden="1">#NAME?</definedName>
    <definedName name="____xlfn.IFERROR" hidden="1">#NAME?</definedName>
    <definedName name="____xlfn.SUMIFS" hidden="1">#NAME?</definedName>
    <definedName name="___num031">#N/A</definedName>
    <definedName name="___num032">#N/A</definedName>
    <definedName name="___NUM0321">#N/A</definedName>
    <definedName name="___num033">#N/A</definedName>
    <definedName name="___num1">#N/A</definedName>
    <definedName name="___num2">#N/A</definedName>
    <definedName name="___num3">#N/A</definedName>
    <definedName name="___ST1">#N/A</definedName>
    <definedName name="___xlfn.BAHTTEXT" hidden="1">#NAME?</definedName>
    <definedName name="___xlfn.IFERROR" hidden="1">#NAME?</definedName>
    <definedName name="___xlfn.SUMIFS" hidden="1">#NAME?</definedName>
    <definedName name="__1__123Graph_ACHART_1A" hidden="1">'[62]입찰내역 발주처 양식'!#REF!</definedName>
    <definedName name="__123Graph_ACHART1" hidden="1">'[62]입찰내역 발주처 양식'!#REF!</definedName>
    <definedName name="__123Graph_ACURRENT" hidden="1">[63]FitOutConfCentre!#REF!</definedName>
    <definedName name="__123Graph_B" hidden="1">[64]SUMMARY!#REF!</definedName>
    <definedName name="__123Graph_C" hidden="1">[64]SUMMARY!#REF!</definedName>
    <definedName name="__123Graph_XCHART1" hidden="1">'[62]입찰내역 발주처 양식'!#REF!</definedName>
    <definedName name="__123Graph_XCURRENT" hidden="1">'[62]입찰내역 발주처 양식'!#REF!</definedName>
    <definedName name="__2__123Graph_XCHART_1A" hidden="1">'[62]입찰내역 발주처 양식'!#REF!</definedName>
    <definedName name="__IntlFixup" hidden="1">TRUE</definedName>
    <definedName name="__num031">#N/A</definedName>
    <definedName name="__num032">#N/A</definedName>
    <definedName name="__NUM0321">#N/A</definedName>
    <definedName name="__num033">#N/A</definedName>
    <definedName name="__num1">#N/A</definedName>
    <definedName name="__num2">#N/A</definedName>
    <definedName name="__num3">#N/A</definedName>
    <definedName name="__ST1">#N/A</definedName>
    <definedName name="__xlfn.BAHTTEXT">#NAME?</definedName>
    <definedName name="__xlfn.F.DIST" hidden="1">#NAME?</definedName>
    <definedName name="__xlfn.IFERROR" hidden="1">#NAME?</definedName>
    <definedName name="__xlfn.QUARTILE.EXC" hidden="1">#NAME?</definedName>
    <definedName name="__xlfn.SUMIFS" hidden="1">#NAME?</definedName>
    <definedName name="_1">#N/A</definedName>
    <definedName name="_1_">#N/A</definedName>
    <definedName name="_1__123Graph_ACHART_1A" hidden="1">'[62]입찰내역 발주처 양식'!#REF!</definedName>
    <definedName name="_1_123Grap" hidden="1">[65]금융비용!#REF!</definedName>
    <definedName name="_10">#N/A</definedName>
    <definedName name="_10__123Graph_BChart_3" hidden="1">[66]生人台帳!#REF!</definedName>
    <definedName name="_11">#N/A</definedName>
    <definedName name="_11__123Graph_BChart_4" hidden="1">[66]生人台帳!#REF!</definedName>
    <definedName name="_11__123Graph_CChart_2" hidden="1">[66]生人台帳!#REF!</definedName>
    <definedName name="_12">#N/A</definedName>
    <definedName name="_12__123Graph_CChart_4" hidden="1">[66]生人台帳!#REF!</definedName>
    <definedName name="_13">#N/A</definedName>
    <definedName name="_13__123Graph_CChart_2" hidden="1">[66]生人台帳!#REF!</definedName>
    <definedName name="_14">#N/A</definedName>
    <definedName name="_14__123Graph_CChart_4" hidden="1">[66]生人台帳!#REF!</definedName>
    <definedName name="_15">#N/A</definedName>
    <definedName name="_16">#N/A</definedName>
    <definedName name="_17">#N/A</definedName>
    <definedName name="_18">#N/A</definedName>
    <definedName name="_19">#N/A</definedName>
    <definedName name="_2">#N/A</definedName>
    <definedName name="_2__123Graph_ACHART_1A" hidden="1">'[62]입찰내역 발주처 양식'!#REF!</definedName>
    <definedName name="_2__123Graph_AChart_2" hidden="1">[66]生人台帳!#REF!</definedName>
    <definedName name="_2__123Graph_XCHART_1A" hidden="1">'[62]입찰내역 발주처 양식'!#REF!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3">#N/A</definedName>
    <definedName name="_3__123Graph_AChart_3" hidden="1">[66]生人台帳!#REF!</definedName>
    <definedName name="_3_123Grap" hidden="1">[65]금융비용!#REF!</definedName>
    <definedName name="_30">#N/A</definedName>
    <definedName name="_31">#N/A</definedName>
    <definedName name="_32">#N/A</definedName>
    <definedName name="_321" hidden="1">[63]FitOutConfCentre!#REF!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">#N/A</definedName>
    <definedName name="_4__123Graph_AChart_2" hidden="1">[66]生人台帳!#REF!</definedName>
    <definedName name="_4__123Graph_AChart_4" hidden="1">[66]生人台帳!#REF!</definedName>
    <definedName name="_4__123Graph_XCHART_1A" hidden="1">'[62]입찰내역 발주처 양식'!#REF!</definedName>
    <definedName name="_4_0__123Grap" hidden="1">[65]금융비용!#REF!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#N/A</definedName>
    <definedName name="_5__123Graph_AChart_3" hidden="1">[66]生人台帳!#REF!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>#N/A</definedName>
    <definedName name="_6__123Graph_AChart_4" hidden="1">[66]生人台帳!#REF!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__123Graph_BChart_2" hidden="1">[66]生人台帳!#REF!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__123Graph_BChart_3" hidden="1">[66]生人台帳!#REF!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__123Graph_BChart_2" hidden="1">[66]生人台帳!#REF!</definedName>
    <definedName name="_9__123Graph_BChart_4" hidden="1">[66]生人台帳!#REF!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num031">#N/A</definedName>
    <definedName name="_num032">#N/A</definedName>
    <definedName name="_NUM0321">#N/A</definedName>
    <definedName name="_num033">#N/A</definedName>
    <definedName name="_NUM088">#N/A</definedName>
    <definedName name="_num1">#N/A</definedName>
    <definedName name="_num10">#N/A</definedName>
    <definedName name="_num2">#N/A</definedName>
    <definedName name="_num3">#N/A</definedName>
    <definedName name="_num8">#N/A</definedName>
    <definedName name="_Order1_1">255</definedName>
    <definedName name="_Order2_1">255</definedName>
    <definedName name="_Regression_Int" hidden="1">1</definedName>
    <definedName name="_ST1">#N/A</definedName>
    <definedName name="A6_">#N/A</definedName>
    <definedName name="AAA_DOCTOPS" hidden="1">"AAA_SET"</definedName>
    <definedName name="AAA_duser" hidden="1">"OFF"</definedName>
    <definedName name="aaaa1" hidden="1">[63]FitOutConfCentre!#REF!</definedName>
    <definedName name="AAAA1111" hidden="1">#N/A</definedName>
    <definedName name="AAB_Addin5" hidden="1">"AAB_Description for addin 5,Description for addin 5,Description for addin 5,Description for addin 5,Description for addin 5,Description for addin 5"</definedName>
    <definedName name="AccessDatabase" hidden="1">"D:\郎\工程量计算表\db1.mdb"</definedName>
    <definedName name="adad" hidden="1">[63]FitOutConfCentre!#REF!</definedName>
    <definedName name="adfsdf" hidden="1">[63]FitOutConfCentre!#REF!</definedName>
    <definedName name="AS2DocOpenMode">"AS2DocumentEdit"</definedName>
    <definedName name="AS2NamedRange">15</definedName>
    <definedName name="AS2ReportLS">2</definedName>
    <definedName name="AS2SyncStepLS">3</definedName>
    <definedName name="AS2VersionLS">220</definedName>
    <definedName name="BDCODE">#N/A</definedName>
    <definedName name="bhfgk" hidden="1">[63]FitOutConfCentre!#REF!</definedName>
    <definedName name="BLO_1">#N/A</definedName>
    <definedName name="bnnhjt" hidden="1">[63]FitOutConfCentre!#REF!</definedName>
    <definedName name="cdsc" hidden="1">[63]FitOutConfCentre!#REF!</definedName>
    <definedName name="CHO">#N/A</definedName>
    <definedName name="COMPANY">#N/A</definedName>
    <definedName name="CONC">#N/A</definedName>
    <definedName name="CUB.prix_SMC">#N/A</definedName>
    <definedName name="DAWDS" hidden="1">[63]FitOutConfCentre!#REF!</definedName>
    <definedName name="DAY">#N/A</definedName>
    <definedName name="dfde" hidden="1">[67]Micro!#REF!</definedName>
    <definedName name="ENCOST">#N/A</definedName>
    <definedName name="Excel_BuiltIn_Print_Area_0">"$#REF!.$#REF!$#REF!:$#REF!$#REF!"</definedName>
    <definedName name="Excel_BuiltIn_Print_Area_0___0">"$#REF!.$#REF!$#REF!:$#REF!$#REF!"</definedName>
    <definedName name="EXE">#N/A</definedName>
    <definedName name="F_CODE">#N/A</definedName>
    <definedName name="F_EQ">#N/A</definedName>
    <definedName name="F_EQ0">#N/A</definedName>
    <definedName name="F_FORM">#N/A</definedName>
    <definedName name="F_INT1">#N/A</definedName>
    <definedName name="F_LA">#N/A</definedName>
    <definedName name="F_LA0">#N/A</definedName>
    <definedName name="F_LVL">#N/A</definedName>
    <definedName name="F_MA">#N/A</definedName>
    <definedName name="F_MA0">#N/A</definedName>
    <definedName name="F_MEMO">#N/A</definedName>
    <definedName name="F_PAGE">#N/A</definedName>
    <definedName name="F_QVAL">#N/A</definedName>
    <definedName name="F_REMK">#N/A</definedName>
    <definedName name="F_SEQ">#N/A</definedName>
    <definedName name="F_SOS">#N/A</definedName>
    <definedName name="F_TQTY">#N/A</definedName>
    <definedName name="FBALJUC">#N/A</definedName>
    <definedName name="FDCOMP1">#N/A</definedName>
    <definedName name="FDCOMP2">#N/A</definedName>
    <definedName name="FDCOST">#N/A</definedName>
    <definedName name="fg">#N/A</definedName>
    <definedName name="FGNNAME">#N/A</definedName>
    <definedName name="FIPDATE">#N/A</definedName>
    <definedName name="FJCOST">#N/A</definedName>
    <definedName name="FNCOST">#N/A</definedName>
    <definedName name="FPRINO">#N/A</definedName>
    <definedName name="FSCOST">#N/A</definedName>
    <definedName name="FSUYOCH">#N/A</definedName>
    <definedName name="FTAG">#N/A</definedName>
    <definedName name="FYCOST">#N/A</definedName>
    <definedName name="ghj" hidden="1">[63]FitOutConfCentre!#REF!</definedName>
    <definedName name="gsh" hidden="1">[64]SUMMARY!#REF!</definedName>
    <definedName name="HTML_CodePage">936</definedName>
    <definedName name="HTML_Description">"lin zijian"</definedName>
    <definedName name="HTML_Email">""</definedName>
    <definedName name="HTML_Header">"现金流量表（全部投资）"</definedName>
    <definedName name="HTML_LastUpdate">"96-12-2"</definedName>
    <definedName name="HTML_LineAfter">TRUE</definedName>
    <definedName name="HTML_LineBefore">TRUE</definedName>
    <definedName name="HTML_Name">"linzijia"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"C:\lin\bk\MyHTML.htm"</definedName>
    <definedName name="HTML_PathTemplate" hidden="1">"C:\My Documents\网.htm"</definedName>
    <definedName name="HTML_Title">"PROJECT11"</definedName>
    <definedName name="HWSheet">1</definedName>
    <definedName name="jmrw" hidden="1">[63]FitOutConfCentre!#REF!</definedName>
    <definedName name="JS防水材料">9.5</definedName>
    <definedName name="lckdkloakwdoqjjksdnkdndkl" hidden="1">[63]FitOutConfCentre!#REF!</definedName>
    <definedName name="li" hidden="1">[63]FitOutConfCentre!#REF!</definedName>
    <definedName name="LL">#N/A</definedName>
    <definedName name="mclsdkjkwieaxsakj" hidden="1">[63]FitOutConfCentre!#REF!</definedName>
    <definedName name="Module.Prix_SMC">#N/A</definedName>
    <definedName name="NAK">#N/A</definedName>
    <definedName name="nu">#N/A</definedName>
    <definedName name="OO">#N/A</definedName>
    <definedName name="osdnvkls" hidden="1">'[68]Labor abs-NMR'!$I$1:$I$7</definedName>
    <definedName name="P">#N/A</definedName>
    <definedName name="PJT">#N/A</definedName>
    <definedName name="Prix_SMC">#N/A</definedName>
    <definedName name="QTY">#N/A</definedName>
    <definedName name="REM">#N/A</definedName>
    <definedName name="Resultoffomula94">#N/A</definedName>
    <definedName name="SAPBEXrevision">4</definedName>
    <definedName name="SAPBEXsysID">"BW1"</definedName>
    <definedName name="SAPBEXwbID">"8DZFG4M4NA6MVVGNLO7J4SRAY"</definedName>
    <definedName name="SELECT">#N/A</definedName>
    <definedName name="SORTCODE">#N/A</definedName>
    <definedName name="sung">#N/A</definedName>
    <definedName name="SUYO">#N/A</definedName>
    <definedName name="TaxTV">10%</definedName>
    <definedName name="TaxXL">5%</definedName>
    <definedName name="TestAdd">"Test RefersTo1"</definedName>
    <definedName name="text_1">#N/A</definedName>
    <definedName name="text_2">#N/A</definedName>
    <definedName name="text_3">#N/A</definedName>
    <definedName name="text03_1">#N/A</definedName>
    <definedName name="text03_2">#N/A</definedName>
    <definedName name="TextRefCopyRangeCount">92</definedName>
    <definedName name="TOO">#N/A</definedName>
    <definedName name="xsf" hidden="1">[63]FitOutConfCentre!#REF!</definedName>
    <definedName name="XXXX" hidden="1">[63]FitOutConfCentre!#REF!</definedName>
    <definedName name="YE">#N/A</definedName>
    <definedName name="YEKA">#N/A</definedName>
    <definedName name="Z_079D4DF8_3B47_491F_90E1_093B255B97EA_.wvu.FilterData" hidden="1">'[69]清单1-裙楼Ea'!#REF!</definedName>
    <definedName name="Z_5A4CDE39_BC84_48C0_8208_6970E7A71896_.wvu.Cols" hidden="1">'[70]GM &amp; TA'!$F:$F,'[70]GM &amp; TA'!$G:$G,'[70]GM &amp; TA'!$I:$T</definedName>
    <definedName name="Z_64FBE21F_D610_4122_B662_C1CA556F0E6B_.wvu.Rows" hidden="1">[67]Macro!$9:$47,[67]Macro!$49:$49</definedName>
    <definedName name="zxddddewjlouyhhjtffg" hidden="1">[63]FitOutConfCentre!#REF!</definedName>
    <definedName name="갑지">#N/A</definedName>
    <definedName name="安装磁卡门锁人工费">35</definedName>
    <definedName name="白色乳胶漆">25</definedName>
    <definedName name="白色乳胶漆F时尚现代">17.1428571428571</definedName>
    <definedName name="编制单位">""</definedName>
    <definedName name="编制人">""</definedName>
    <definedName name="编制日期_1">"2011年04月08日"</definedName>
    <definedName name="编制日期_2">""</definedName>
    <definedName name="玻璃隔断框架基层人工费">12</definedName>
    <definedName name="不锈钢管DN20">25</definedName>
    <definedName name="不锈钢条、铝合金条安装人工费">7</definedName>
    <definedName name="侧避地漏">122</definedName>
    <definedName name="层数高度">""</definedName>
    <definedName name="拆除木饰面人工费">6</definedName>
    <definedName name="拆除墙布基层批灰刷清漆人工费">6</definedName>
    <definedName name="拆除原吊顶人工费">15</definedName>
    <definedName name="车边镜子含基层人工费">25</definedName>
    <definedName name="成品PVC踢脚线安装人工费">4</definedName>
    <definedName name="成品保护">1</definedName>
    <definedName name="成品门套安装人工费">80</definedName>
    <definedName name="成品木饰面安装人工费">40</definedName>
    <definedName name="成品软硬包安装人工费">35</definedName>
    <definedName name="成品踢脚线安装人工费">6</definedName>
    <definedName name="窗台板安装人工费">65</definedName>
    <definedName name="瓷砖专用粘接剂">2</definedName>
    <definedName name="措施费率">0</definedName>
    <definedName name="打胶人工费">1.2</definedName>
    <definedName name="倒45度斜角人工费">5</definedName>
    <definedName name="地面防水保护层人工费">10</definedName>
    <definedName name="地面铺设地砖人工费">30</definedName>
    <definedName name="地面石材拼花铺贴人工费">45</definedName>
    <definedName name="地面石材铺贴人工费">35</definedName>
    <definedName name="地面找平5CM以内人工费">12</definedName>
    <definedName name="地面找平5CM以上人工费">14</definedName>
    <definedName name="地毯及次毛条拆除人工费">4</definedName>
    <definedName name="灯槽及窗帘盒刷乳胶漆人工费">"12/14(双包)"</definedName>
    <definedName name="吊顶加固人工费">20</definedName>
    <definedName name="吊筋">8</definedName>
    <definedName name="多层板15厚">30</definedName>
    <definedName name="防潮石膏板12厚">25</definedName>
    <definedName name="防潮石膏板9.5厚">20</definedName>
    <definedName name="干硬性水泥砂浆">400</definedName>
    <definedName name="钢丝网上抹灰水泥砂浆人工费">12</definedName>
    <definedName name="工程类别">""</definedName>
    <definedName name="工程名称">"公司"</definedName>
    <definedName name="工程名称_1">""</definedName>
    <definedName name="管理费率">0</definedName>
    <definedName name="낙찰가">#N/A</definedName>
    <definedName name="내역" hidden="1">[71]금융비용!#REF!</definedName>
    <definedName name="环氧地坪漆人工费">10</definedName>
    <definedName name="计算表达式">"EVALUATE((substitute(REPLACE($d:$d,FIND(""["",$d:$d),FIND(""]"",$d:$d)-FIND(""["",$d:$d)+1,"""")),""V="","""")"</definedName>
    <definedName name="技术工">90</definedName>
    <definedName name="家俱内衬油漆人工费">28</definedName>
    <definedName name="甲供材采管费">0</definedName>
    <definedName name="建设单位">""</definedName>
    <definedName name="结构形式">""</definedName>
    <definedName name="金属阴阳角护角条安装人工费">3</definedName>
    <definedName name="대비5">#N/A</definedName>
    <definedName name="대ㅣㅂ2">#N/A</definedName>
    <definedName name="利润率">0</definedName>
    <definedName name="临时设施费">0</definedName>
    <definedName name="六面防腐处理">15</definedName>
    <definedName name="楼梯防滑条安装人工费">4</definedName>
    <definedName name="楼梯及台阶铺石材人工费">45</definedName>
    <definedName name="每增加一层石膏板面层安装人工费">6</definedName>
    <definedName name="门窗敲除后粉补人工费">28</definedName>
    <definedName name="门框放大或缩小人工费">50</definedName>
    <definedName name="木基层防火漆">10</definedName>
    <definedName name="木饰窗台板人工费">18</definedName>
    <definedName name="排气扇">220</definedName>
    <definedName name="普工">60</definedName>
    <definedName name="普通地漏">78</definedName>
    <definedName name="普通机械">1</definedName>
    <definedName name="其它材料费">1</definedName>
    <definedName name="砌筑轻质砌块人工费">22</definedName>
    <definedName name="墙地面马赛克人工费">45</definedName>
    <definedName name="墙地砖凿除人工费">10</definedName>
    <definedName name="墙顶面防水乳胶漆双包人工费">30</definedName>
    <definedName name="墙顶面乳胶漆双包人工费">"26~28"</definedName>
    <definedName name="墙顶面石膏线条安装">8</definedName>
    <definedName name="墙顶面贴玻纤布人工费">5</definedName>
    <definedName name="墙面玻璃安装人工费">25</definedName>
    <definedName name="墙面成品木饰面套线安装人工费">16</definedName>
    <definedName name="墙面防火板安装人工费">15</definedName>
    <definedName name="墙面粉刷人工费">15</definedName>
    <definedName name="墙面封单层石膏板人工费">5</definedName>
    <definedName name="墙面封水泥压力板人工费">7</definedName>
    <definedName name="墙面干挂石材人工费">55</definedName>
    <definedName name="墙面挂贴石材人工费">50</definedName>
    <definedName name="墙面满批腻子乳胶漆三遍人工费">15</definedName>
    <definedName name="墙面木龙骨">25</definedName>
    <definedName name="墙面木龙骨封多层板基层人工费">28</definedName>
    <definedName name="墙面木龙骨夹板基层铝塑板贴面人工费">42</definedName>
    <definedName name="墙面木龙骨夹板基层软包人工费">50</definedName>
    <definedName name="墙面木龙骨夹板基层饰面板人工费">42</definedName>
    <definedName name="墙面木龙骨夹板基层吸音板人工费">40</definedName>
    <definedName name="墙面木龙骨夹板基层硬包人工费">45</definedName>
    <definedName name="墙面轻钢龙骨夹板基层穿孔铝板安装人工费">42</definedName>
    <definedName name="墙面饰面硝基本色清漆人工费">35</definedName>
    <definedName name="墙面贴墙纸人工费">22</definedName>
    <definedName name="墙面云石灯光片安装、金属花格安装人工费">20</definedName>
    <definedName name="墙面粘贴石材人工费">45</definedName>
    <definedName name="区域">#N/A</definedName>
    <definedName name="设计单位">""</definedName>
    <definedName name="伸缩缝安装人工费">15</definedName>
    <definedName name="审核单位">""</definedName>
    <definedName name="石材防护及镜面处理">60</definedName>
    <definedName name="石材踢脚线加工费">57</definedName>
    <definedName name="石材踢脚线人工费">10</definedName>
    <definedName name="石材网格布铲除">2</definedName>
    <definedName name="石材专用粘接剂">2.5</definedName>
    <definedName name="实木线条乳胶漆人工费">14</definedName>
    <definedName name="实木造型线条安装人工费">6</definedName>
    <definedName name="饰面板踢脚线制作安装人工费">8</definedName>
    <definedName name="是的">#N/A</definedName>
    <definedName name="水泥砂浆">350</definedName>
    <definedName name="酸洗打蜡">3</definedName>
    <definedName name="台面板安装人工费">30</definedName>
    <definedName name="特殊工">80</definedName>
    <definedName name="踢脚板硝基清漆含线条人工费">66</definedName>
    <definedName name="天棚钢架片上封一层玻镁板人工费">8</definedName>
    <definedName name="天棚满批腻子乳胶漆三遍人工费">16</definedName>
    <definedName name="天棚喷黑漆三遍人工费">10</definedName>
    <definedName name="天棚轻钢龙骨">25</definedName>
    <definedName name="细木工板18厚">45</definedName>
    <definedName name="小高" hidden="1">[72]XLR_NoRangeSheet!$B$6</definedName>
    <definedName name="型钢">5</definedName>
    <definedName name="异型台盆孔开孔人工费">15</definedName>
    <definedName name="圆柱干挂石材人工费">70</definedName>
    <definedName name="远征增加费">0</definedName>
    <definedName name="纸面石膏板12厚">10</definedName>
    <definedName name="纸面石膏板9.5厚">8</definedName>
    <definedName name="主材配合费">0</definedName>
    <definedName name="主楼清单">"'5表1-2分部分项主楼'!$B$6:$F$156"</definedName>
    <definedName name="柱子干挂石材人工费">60</definedName>
    <definedName name="自动排气阀">120</definedName>
    <definedName name="산출하">#N/A</definedName>
    <definedName name="설계">#N/A</definedName>
    <definedName name="설계가">#N/A</definedName>
    <definedName name="안산">#N/A</definedName>
    <definedName name="위치">#N/A</definedName>
    <definedName name="전월">#N/A</definedName>
    <definedName name="지역">#N/A</definedName>
    <definedName name="최종대비표">#N/A</definedName>
    <definedName name="__FDS_HYPERLINK_TOGGLE_STATE__" hidden="1">"ON"</definedName>
    <definedName name="__ngk1109" hidden="1">{#N/A,#N/A,FALSE,"估價單  (3)"}</definedName>
    <definedName name="_LC0723" hidden="1">{"'门'!$A$4:$H$28"}</definedName>
    <definedName name="_ngk1109" hidden="1">{#N/A,#N/A,FALSE,"估價單  (3)"}</definedName>
    <definedName name="abc" hidden="1">{#N/A,#N/A,FALSE,"估價單  (3)"}</definedName>
    <definedName name="anscount" hidden="1">1</definedName>
    <definedName name="Ass" hidden="1">{"'现金流量表（全部投资）'!$B$4:$P$23"}</definedName>
    <definedName name="ddd" hidden="1">{"'现金流量表（全部投资）'!$B$4:$P$23"}</definedName>
    <definedName name="eer" hidden="1">{"'现金流量表（全部投资）'!$B$4:$P$23"}</definedName>
    <definedName name="E楼、" hidden="1">{"'现金流量表（全部投资）'!$B$4:$P$23"}</definedName>
    <definedName name="HTML" hidden="1">{"'现金流量表（全部投资）'!$B$4:$P$23"}</definedName>
    <definedName name="HTML_Control" hidden="1">{"'门'!$A$4:$H$28"}</definedName>
    <definedName name="HTML1" hidden="1">{"'现金流量表（全部投资）'!$B$4:$P$23"}</definedName>
    <definedName name="HTML2" hidden="1">{"'现金流量表（全部投资）'!$B$4:$P$23"}</definedName>
    <definedName name="HTML3" hidden="1">{"'现金流量表（全部投资）'!$B$4:$P$23"}</definedName>
    <definedName name="HTML4" hidden="1">{"'现金流量表（全部投资）'!$B$4:$P$23"}</definedName>
    <definedName name="ListOffset" hidden="1">1</definedName>
    <definedName name="LM" hidden="1">{"'现金流量表（全部投资）'!$B$4:$P$23"}</definedName>
    <definedName name="NGK" hidden="1">{#N/A,#N/A,FALSE,"估價單  (3)"}</definedName>
    <definedName name="_xlnm.Print_Titles" hidden="1">#REF!</definedName>
    <definedName name="PUB_FileID" hidden="1">"L10003787.xls"</definedName>
    <definedName name="PUB_UserID" hidden="1">"MAYERX"</definedName>
    <definedName name="qqqq" hidden="1">{"'现金流量表（全部投资）'!$B$4:$P$23"}</definedName>
    <definedName name="WilliamSheet">[73]涂料工程量!$A$2:$E$2</definedName>
    <definedName name="wrn.TEST." hidden="1">{#N/A,#N/A,FALSE,"估價單  (3)"}</definedName>
    <definedName name="wrn.打印整个资料." hidden="1">{"打印N01基本指标表V1",#N/A,TRUE,"基本指标＆成本预测";"打印NO2成本预测表",#N/A,TRUE,"贷款还款付息表";"打印N03工程进度表V1",#N/A,TRUE,"工程进度表";"打印NO4工程成本支出表",#N/A,TRUE,"贷款还款付息表";"打印NO5销售收入表",#N/A,TRUE,"贷款还款付息表";"打印NO6资金平衡表",#N/A,TRUE,"贷款还款付息表";"打印NO7贷款还本付息表",#N/A,TRUE,"贷款还款付息表";#N/A,#N/A,TRUE,"成本对比(第一次董事会)"}</definedName>
    <definedName name="wui" hidden="1">{"'现金流量表（全部投资）'!$B$4:$P$23"}</definedName>
    <definedName name="XLRPARAMS_BZSJ" hidden="1">#REF!</definedName>
    <definedName name="XLRPARAMS_FDDBR" hidden="1">#REF!</definedName>
    <definedName name="XLRPARAMS_JSDW" hidden="1">#REF!</definedName>
    <definedName name="XLRPARAMS_TBR" hidden="1">#REF!</definedName>
    <definedName name="XLRPARAMS_TBZJ" hidden="1">#REF!</definedName>
    <definedName name="XLRPARAMS_TBZJDX" hidden="1">#REF!</definedName>
    <definedName name="XLRPARAMS_TotalBigWord" hidden="1">[74]XLR_NoRangeSheet!$E$6</definedName>
    <definedName name="XLRPARAMS_ZBR" hidden="1">#REF!</definedName>
    <definedName name="XLRPARAMS_ZJGCS" hidden="1">[75]XLR_NoRangeSheet!$H$6</definedName>
    <definedName name="XLRPARAMS_ZJH" hidden="1">#REF!</definedName>
    <definedName name="XLRPARAMS_ZZJ" hidden="1">[75]XLR_NoRangeSheet!$C$6</definedName>
    <definedName name="XRefColumnsCount" hidden="1">2</definedName>
    <definedName name="XRefCopyRangeCount" hidden="1">7</definedName>
    <definedName name="XRefPasteRangeCount" hidden="1">3</definedName>
    <definedName name="Z_0E9FE9F8_6DD2_48FC_9AB4_8E7C3E14C436_.wvu.PrintArea" hidden="1">#REF!</definedName>
    <definedName name="Z_0E9FE9F8_6DD2_48FC_9AB4_8E7C3E14C436_.wvu.PrintTitles" hidden="1">#REF!</definedName>
    <definedName name="单价分析表2" hidden="1">{"'现金流量表（全部投资）'!$B$4:$P$23"}</definedName>
    <definedName name="辅助" hidden="1">{"'现金流量表（全部投资）'!$B$4:$P$23"}</definedName>
    <definedName name="估價單" hidden="1">{#N/A,#N/A,FALSE,"估價單  (3)"}</definedName>
    <definedName name="含量0223" hidden="1">{"'现金流量表（全部投资）'!$B$4:$P$23"}</definedName>
    <definedName name="回家" hidden="1">{"'现金流量表（全部投资）'!$B$4:$P$23"}</definedName>
    <definedName name="价格表" hidden="1">{"'现金流量表（全部投资）'!$B$4:$P$23"}</definedName>
    <definedName name="李代桃僵" hidden="1">{#N/A,#N/A,FALSE,"Aging Summary";#N/A,#N/A,FALSE,"Ratio Analysis";#N/A,#N/A,FALSE,"Test 120 Day Accts";#N/A,#N/A,FALSE,"Tickmarks"}</definedName>
    <definedName name="裙楼" hidden="1">{"'门'!$A$4:$H$28"}</definedName>
    <definedName name="萨顶顶撒的" hidden="1">{"'现金流量表（全部投资）'!$B$4:$P$23"}</definedName>
    <definedName name="月" hidden="1">{#N/A,#N/A,FALSE,"Aging Summary";#N/A,#N/A,FALSE,"Ratio Analysis";#N/A,#N/A,FALSE,"Test 120 Day Accts";#N/A,#N/A,FALSE,"Tickmarks"}</definedName>
    <definedName name="저층부공내역" hidden="1">{#N/A,#N/A,FALSE,"估價單  (3)"}</definedName>
    <definedName name="저층부금액" hidden="1">{#N/A,#N/A,FALSE,"估價單  (3)"}</definedName>
    <definedName name="저층부금액1" hidden="1">{#N/A,#N/A,FALSE,"估價單  (3)"}</definedName>
    <definedName name="__________________________num032">#N/A</definedName>
    <definedName name="__________________________num033">#N/A</definedName>
    <definedName name="__________________________num2">#N/A</definedName>
    <definedName name="__________________________num3">#N/A</definedName>
    <definedName name="_________________________num032">#N/A</definedName>
    <definedName name="_________________________NUM0321">#N/A</definedName>
    <definedName name="_________________________num033">#N/A</definedName>
    <definedName name="_________________________num2">#N/A</definedName>
    <definedName name="_________________________num3">#N/A</definedName>
    <definedName name="________________________num032">#N/A</definedName>
    <definedName name="________________________NUM0321">#N/A</definedName>
    <definedName name="________________________num033">#N/A</definedName>
    <definedName name="________________________num2">#N/A</definedName>
    <definedName name="________________________num3">#N/A</definedName>
    <definedName name="_______________________num032">#N/A</definedName>
    <definedName name="_______________________NUM0321">#N/A</definedName>
    <definedName name="_______________________num033">#N/A</definedName>
    <definedName name="_______________________num2">#N/A</definedName>
    <definedName name="_______________________num3">#N/A</definedName>
    <definedName name="______________________num032">#N/A</definedName>
    <definedName name="______________________NUM0321">#N/A</definedName>
    <definedName name="______________________num033">#N/A</definedName>
    <definedName name="______________________num2">#N/A</definedName>
    <definedName name="______________________num3">#N/A</definedName>
    <definedName name="_____________________num032">#N/A</definedName>
    <definedName name="_____________________NUM0321">#N/A</definedName>
    <definedName name="_____________________num033">#N/A</definedName>
    <definedName name="_____________________num2">#N/A</definedName>
    <definedName name="_____________________num3">#N/A</definedName>
    <definedName name="____________________num032">#N/A</definedName>
    <definedName name="____________________num033">#N/A</definedName>
    <definedName name="____________________num2">#N/A</definedName>
    <definedName name="____________________num3">#N/A</definedName>
    <definedName name="___________________num032">#N/A</definedName>
    <definedName name="___________________NUM0321">#N/A</definedName>
    <definedName name="___________________num033">#N/A</definedName>
    <definedName name="___________________num2">#N/A</definedName>
    <definedName name="___________________num3">#N/A</definedName>
    <definedName name="__________________num032">#N/A</definedName>
    <definedName name="__________________NUM0321">#N/A</definedName>
    <definedName name="__________________num033">#N/A</definedName>
    <definedName name="__________________num2">#N/A</definedName>
    <definedName name="__________________num3">#N/A</definedName>
    <definedName name="_________________num032">#N/A</definedName>
    <definedName name="_________________NUM0321">#N/A</definedName>
    <definedName name="_________________num033">#N/A</definedName>
    <definedName name="_________________num2">#N/A</definedName>
    <definedName name="_________________num3">#N/A</definedName>
    <definedName name="________________num032">#N/A</definedName>
    <definedName name="________________NUM0321">#N/A</definedName>
    <definedName name="________________num033">#N/A</definedName>
    <definedName name="________________num2">#N/A</definedName>
    <definedName name="________________num3">#N/A</definedName>
    <definedName name="_______________num032">#N/A</definedName>
    <definedName name="_______________NUM0321">#N/A</definedName>
    <definedName name="_______________num033">#N/A</definedName>
    <definedName name="_______________num2">#N/A</definedName>
    <definedName name="_______________num3">#N/A</definedName>
    <definedName name="_______________ys1">"#REF!"</definedName>
    <definedName name="_______________ys2">"#REF!"</definedName>
    <definedName name="_______________ys3">"#REF!"</definedName>
    <definedName name="______________num032">#N/A</definedName>
    <definedName name="______________num033">#N/A</definedName>
    <definedName name="______________num2">#N/A</definedName>
    <definedName name="______________num3">#N/A</definedName>
    <definedName name="______________ys1">"#REF!"</definedName>
    <definedName name="______________ys2">"#REF!"</definedName>
    <definedName name="______________ys3">"#REF!"</definedName>
    <definedName name="_____________W200">"#N/A"</definedName>
    <definedName name="_____________x1">"#REF!"</definedName>
    <definedName name="_____________ys1">"#REF!"</definedName>
    <definedName name="_____________ys2">"#REF!"</definedName>
    <definedName name="_____________ys3">"#REF!"</definedName>
    <definedName name="____________W200">"#N/A"</definedName>
    <definedName name="____________x1">"#REF!"</definedName>
    <definedName name="____________ys1">"#REF!"</definedName>
    <definedName name="____________ys2">"#REF!"</definedName>
    <definedName name="____________ys3">"#REF!"</definedName>
    <definedName name="___________ys3">"#REF!"</definedName>
    <definedName name="_______QC1">"#N/A"</definedName>
    <definedName name="_______QC10">"#N/A"</definedName>
    <definedName name="_______QC11">"#N/A"</definedName>
    <definedName name="_______QC12">"#N/A"</definedName>
    <definedName name="_______QC2">"#N/A"</definedName>
    <definedName name="_______QC3">"#N/A"</definedName>
    <definedName name="_______QC5">"#N/A"</definedName>
    <definedName name="_______QC6">"#N/A"</definedName>
    <definedName name="_______QC7">"#N/A"</definedName>
    <definedName name="_______QC8">"#N/A"</definedName>
    <definedName name="_______QC9">"#N/A"</definedName>
    <definedName name="_______QM1">"#N/A"</definedName>
    <definedName name="_______QM2">"#N/A"</definedName>
    <definedName name="_______QM3">"#N/A"</definedName>
    <definedName name="_______QM4">"#N/A"</definedName>
    <definedName name="_______QM5">"#N/A"</definedName>
    <definedName name="_______QM6">"#N/A"</definedName>
    <definedName name="_______QM7">"#N/A"</definedName>
    <definedName name="_______QMC1">"#N/A"</definedName>
    <definedName name="_______QMC2">"#N/A"</definedName>
    <definedName name="_______QMC3">"#N/A"</definedName>
    <definedName name="_______QMC4">"#N/A"</definedName>
    <definedName name="_______QMC5">"#N/A"</definedName>
    <definedName name="_______QMC6">"#N/A"</definedName>
    <definedName name="_______QZC1">"#N/A"</definedName>
    <definedName name="_______QZC2">"#N/A"</definedName>
    <definedName name="_______QZC3">"#N/A"</definedName>
    <definedName name="_______sn01">"#N/A"</definedName>
    <definedName name="_______sn02">"#N/A"</definedName>
    <definedName name="_______sn03">"#N/A"</definedName>
    <definedName name="_______sn04">"#N/A"</definedName>
    <definedName name="_______sn05">"#N/A"</definedName>
    <definedName name="_______sn06">"#N/A"</definedName>
    <definedName name="_______sn07">"#N/A"</definedName>
    <definedName name="_______sn08">"#N/A"</definedName>
    <definedName name="______PA7">"#N/A"</definedName>
    <definedName name="______PA8">"#N/A"</definedName>
    <definedName name="______PD1">"#N/A"</definedName>
    <definedName name="______PE12">"#N/A"</definedName>
    <definedName name="______PE13">"#N/A"</definedName>
    <definedName name="______PE6">"#N/A"</definedName>
    <definedName name="______QC1">"#N/A"</definedName>
    <definedName name="______QC10">"#N/A"</definedName>
    <definedName name="______QC11">"#N/A"</definedName>
    <definedName name="______QC12">"#N/A"</definedName>
    <definedName name="______QC2">"#N/A"</definedName>
    <definedName name="______QC3">"#N/A"</definedName>
    <definedName name="______QC5">"#N/A"</definedName>
    <definedName name="______QC6">"#N/A"</definedName>
    <definedName name="______QC7">"#N/A"</definedName>
    <definedName name="______QC8">"#N/A"</definedName>
    <definedName name="______QC9">"#N/A"</definedName>
    <definedName name="______QM1">"#N/A"</definedName>
    <definedName name="______QM2">"#N/A"</definedName>
    <definedName name="______QM3">"#N/A"</definedName>
    <definedName name="______QM4">"#N/A"</definedName>
    <definedName name="______QM5">"#N/A"</definedName>
    <definedName name="______QM6">"#N/A"</definedName>
    <definedName name="______QM7">"#N/A"</definedName>
    <definedName name="______QMC1">"#N/A"</definedName>
    <definedName name="______QMC2">"#N/A"</definedName>
    <definedName name="______QMC3">"#N/A"</definedName>
    <definedName name="______QMC4">"#N/A"</definedName>
    <definedName name="______QMC5">"#N/A"</definedName>
    <definedName name="______QMC6">"#N/A"</definedName>
    <definedName name="______QZC1">"#N/A"</definedName>
    <definedName name="______QZC2">"#N/A"</definedName>
    <definedName name="______QZC3">"#N/A"</definedName>
    <definedName name="______sn01">"#N/A"</definedName>
    <definedName name="______sn02">"#N/A"</definedName>
    <definedName name="______sn03">"#N/A"</definedName>
    <definedName name="______sn04">"#N/A"</definedName>
    <definedName name="______sn05">"#N/A"</definedName>
    <definedName name="______sn06">"#N/A"</definedName>
    <definedName name="______sn07">"#N/A"</definedName>
    <definedName name="______sn08">"#N/A"</definedName>
    <definedName name="_____E981236">"#N/A"</definedName>
    <definedName name="_____PA7">"#N/A"</definedName>
    <definedName name="_____PA8">"#N/A"</definedName>
    <definedName name="_____PD1">"#N/A"</definedName>
    <definedName name="_____PE12">"#N/A"</definedName>
    <definedName name="_____PE13">"#N/A"</definedName>
    <definedName name="_____PE6">"#N/A"</definedName>
    <definedName name="_____QC1">"#N/A"</definedName>
    <definedName name="_____QC10">"#N/A"</definedName>
    <definedName name="_____QC11">"#N/A"</definedName>
    <definedName name="_____QC12">"#N/A"</definedName>
    <definedName name="_____QC2">"#N/A"</definedName>
    <definedName name="_____QC3">"#N/A"</definedName>
    <definedName name="_____QC5">"#N/A"</definedName>
    <definedName name="_____QC6">"#N/A"</definedName>
    <definedName name="_____QC7">"#N/A"</definedName>
    <definedName name="_____QC8">"#N/A"</definedName>
    <definedName name="_____QC9">"#N/A"</definedName>
    <definedName name="_____QM1">"#N/A"</definedName>
    <definedName name="_____QM2">"#N/A"</definedName>
    <definedName name="_____QM3">"#N/A"</definedName>
    <definedName name="_____QM4">"#N/A"</definedName>
    <definedName name="_____QM5">"#N/A"</definedName>
    <definedName name="_____QM6">"#N/A"</definedName>
    <definedName name="_____QM7">"#N/A"</definedName>
    <definedName name="_____QMC1">"#N/A"</definedName>
    <definedName name="_____QMC2">"#N/A"</definedName>
    <definedName name="_____QMC3">"#N/A"</definedName>
    <definedName name="_____QMC4">"#N/A"</definedName>
    <definedName name="_____QMC5">"#N/A"</definedName>
    <definedName name="_____QMC6">"#N/A"</definedName>
    <definedName name="_____QZC1">"#N/A"</definedName>
    <definedName name="_____QZC2">"#N/A"</definedName>
    <definedName name="_____QZC3">"#N/A"</definedName>
    <definedName name="_____sn01">"#N/A"</definedName>
    <definedName name="_____sn02">"#N/A"</definedName>
    <definedName name="_____sn03">"#N/A"</definedName>
    <definedName name="_____sn04">"#N/A"</definedName>
    <definedName name="_____sn05">"#N/A"</definedName>
    <definedName name="_____sn06">"#N/A"</definedName>
    <definedName name="_____sn07">"#N/A"</definedName>
    <definedName name="_____sn08">"#N/A"</definedName>
    <definedName name="____D1">"#N/A"</definedName>
    <definedName name="____E981236">"#N/A"</definedName>
    <definedName name="____NUM088">#N/A</definedName>
    <definedName name="____num10">#N/A</definedName>
    <definedName name="____num8">#N/A</definedName>
    <definedName name="____PA7">"#N/A"</definedName>
    <definedName name="____PA8">"#N/A"</definedName>
    <definedName name="____QC1">"#N/A"</definedName>
    <definedName name="____QC10">"#N/A"</definedName>
    <definedName name="____QC11">"#N/A"</definedName>
    <definedName name="____QC12">"#N/A"</definedName>
    <definedName name="____QC2">"#N/A"</definedName>
    <definedName name="____QC3">"#N/A"</definedName>
    <definedName name="____QC5">"#N/A"</definedName>
    <definedName name="____QC6">"#N/A"</definedName>
    <definedName name="____QC7">"#N/A"</definedName>
    <definedName name="____QC8">"#N/A"</definedName>
    <definedName name="____QC9">"#N/A"</definedName>
    <definedName name="____QM1">"#N/A"</definedName>
    <definedName name="____QM2">"#N/A"</definedName>
    <definedName name="____QM3">"#N/A"</definedName>
    <definedName name="____QM4">"#N/A"</definedName>
    <definedName name="____QM5">"#N/A"</definedName>
    <definedName name="____QM6">"#N/A"</definedName>
    <definedName name="____QM7">"#N/A"</definedName>
    <definedName name="____QMC1">"#N/A"</definedName>
    <definedName name="____QMC2">"#N/A"</definedName>
    <definedName name="____QMC3">"#N/A"</definedName>
    <definedName name="____QMC4">"#N/A"</definedName>
    <definedName name="____QMC5">"#N/A"</definedName>
    <definedName name="____QMC6">"#N/A"</definedName>
    <definedName name="____QZC1">"#N/A"</definedName>
    <definedName name="____QZC2">"#N/A"</definedName>
    <definedName name="____QZC3">"#N/A"</definedName>
    <definedName name="____sn01">"#N/A"</definedName>
    <definedName name="____sn02">"#N/A"</definedName>
    <definedName name="____sn03">"#N/A"</definedName>
    <definedName name="____sn04">"#N/A"</definedName>
    <definedName name="____sn05">"#N/A"</definedName>
    <definedName name="____sn06">"#N/A"</definedName>
    <definedName name="____sn07">"#N/A"</definedName>
    <definedName name="____sn08">"#N/A"</definedName>
    <definedName name="___D1">"#N/A"</definedName>
    <definedName name="___E981236">"#N/A"</definedName>
    <definedName name="___QC1">"#N/A"</definedName>
    <definedName name="___QC10">"#N/A"</definedName>
    <definedName name="___QC11">"#N/A"</definedName>
    <definedName name="___QC12">"#N/A"</definedName>
    <definedName name="___QC2">"#N/A"</definedName>
    <definedName name="___QC3">"#N/A"</definedName>
    <definedName name="___QC5">"#N/A"</definedName>
    <definedName name="___QC6">"#N/A"</definedName>
    <definedName name="___QC7">"#N/A"</definedName>
    <definedName name="___QC8">"#N/A"</definedName>
    <definedName name="___QC9">"#N/A"</definedName>
    <definedName name="___QM1">"#N/A"</definedName>
    <definedName name="___QM2">"#N/A"</definedName>
    <definedName name="___QM3">"#N/A"</definedName>
    <definedName name="___QM4">"#N/A"</definedName>
    <definedName name="___QM5">"#N/A"</definedName>
    <definedName name="___QM6">"#N/A"</definedName>
    <definedName name="___QM7">"#N/A"</definedName>
    <definedName name="___QMC1">"#N/A"</definedName>
    <definedName name="___QMC2">"#N/A"</definedName>
    <definedName name="___QMC3">"#N/A"</definedName>
    <definedName name="___QMC4">"#N/A"</definedName>
    <definedName name="___QMC5">"#N/A"</definedName>
    <definedName name="___QMC6">"#N/A"</definedName>
    <definedName name="___QZC1">"#N/A"</definedName>
    <definedName name="___QZC2">"#N/A"</definedName>
    <definedName name="___QZC3">"#N/A"</definedName>
    <definedName name="___sn01">"#N/A"</definedName>
    <definedName name="___sn02">"#N/A"</definedName>
    <definedName name="___sn03">"#N/A"</definedName>
    <definedName name="___sn04">"#N/A"</definedName>
    <definedName name="___xlnm.Criteria">"#REF!"</definedName>
    <definedName name="___xlnm.Database">"#REF!"</definedName>
    <definedName name="___xlnm.Extract">"#REF!"</definedName>
    <definedName name="___xlnm.Print_Area">"#REF!"</definedName>
    <definedName name="___xlnm.Print_Titles">"#REF!"</definedName>
    <definedName name="__05">"#REF!"</definedName>
    <definedName name="__1W200_">"#N/A"</definedName>
    <definedName name="__2x1_">"#REF!"</definedName>
    <definedName name="__D1">"#N/A"</definedName>
    <definedName name="__E981236">"#N/A"</definedName>
    <definedName name="__gcl1">"#N/A"</definedName>
    <definedName name="__Get6">"#N/A"</definedName>
    <definedName name="__ldm1">"#N/A"</definedName>
    <definedName name="__num10">#N/A</definedName>
    <definedName name="__QC1">"#N/A"</definedName>
    <definedName name="__QC10">"#N/A"</definedName>
    <definedName name="__QC11">"#N/A"</definedName>
    <definedName name="__QC12">"#N/A"</definedName>
    <definedName name="__QC2">"#N/A"</definedName>
    <definedName name="__QC3">"#N/A"</definedName>
    <definedName name="__QC5">"#N/A"</definedName>
    <definedName name="__QC6">"#N/A"</definedName>
    <definedName name="__QC7">"#N/A"</definedName>
    <definedName name="__QC8">"#N/A"</definedName>
    <definedName name="__QC9">"#N/A"</definedName>
    <definedName name="__QM1">"#N/A"</definedName>
    <definedName name="__QM2">"#N/A"</definedName>
    <definedName name="__QM3">"#N/A"</definedName>
    <definedName name="__QM4">"#N/A"</definedName>
    <definedName name="__QM5">"#N/A"</definedName>
    <definedName name="__QM6">"#N/A"</definedName>
    <definedName name="__QM7">"#N/A"</definedName>
    <definedName name="__QMC1">"#N/A"</definedName>
    <definedName name="__QMC2">"#N/A"</definedName>
    <definedName name="__QMC3">"#N/A"</definedName>
    <definedName name="__QMC4">"#N/A"</definedName>
    <definedName name="__QMC5">"#N/A"</definedName>
    <definedName name="__QMC6">"#N/A"</definedName>
    <definedName name="__QZC1">"#N/A"</definedName>
    <definedName name="__QZC2">"#N/A"</definedName>
    <definedName name="__QZC3">"#N/A"</definedName>
    <definedName name="__sn01">"#N/A"</definedName>
    <definedName name="__sn02">"#N/A"</definedName>
    <definedName name="__sn03">"#N/A"</definedName>
    <definedName name="__sn04">"#N/A"</definedName>
    <definedName name="__sn05">"#N/A"</definedName>
    <definedName name="__sn06">"#N/A"</definedName>
    <definedName name="__sn07">"#N/A"</definedName>
    <definedName name="__sn08">"#N/A"</definedName>
    <definedName name="__xlnm.Criteria">"#REF!"</definedName>
    <definedName name="__xlnm.Database">"#REF!"</definedName>
    <definedName name="__xlnm.Extract">"#REF!"</definedName>
    <definedName name="__xlnm.Print_Area">"#REF!"</definedName>
    <definedName name="__xlnm.Print_Titles">"#REF!"</definedName>
    <definedName name="_1_钢梯平台托架">"#N/A"</definedName>
    <definedName name="_1000x2100_H__door">"#N/A"</definedName>
    <definedName name="_1D1_">"#REF!"</definedName>
    <definedName name="_2ND_STOREY">"#N/A"</definedName>
    <definedName name="_4.5_0.45_2">"#REF!"</definedName>
    <definedName name="_4th_Storey">"#N/A"</definedName>
    <definedName name="_6.0_12.1_1.2_46.35__4">"#N/A"</definedName>
    <definedName name="_bar10">"#N/A"</definedName>
    <definedName name="_bar13">"#N/A"</definedName>
    <definedName name="_bar16">"#N/A"</definedName>
    <definedName name="_bar20">"#N/A"</definedName>
    <definedName name="_bar22">"#N/A"</definedName>
    <definedName name="_bar25">"#N/A"</definedName>
    <definedName name="_D1">"#N/A"</definedName>
    <definedName name="_E981236">"#N/A"</definedName>
    <definedName name="_Get6">"#N/A"</definedName>
    <definedName name="_h1">"#N/A"</definedName>
    <definedName name="_h2">"#N/A"</definedName>
    <definedName name="_I100000">"#REF!"</definedName>
    <definedName name="_ldm1">"#N/A"</definedName>
    <definedName name="_PA7">"#N/A"</definedName>
    <definedName name="_PA8">"#N/A"</definedName>
    <definedName name="_PD1">"#N/A"</definedName>
    <definedName name="_PE12">"#N/A"</definedName>
    <definedName name="_PE13">"#N/A"</definedName>
    <definedName name="_PE6">"#N/A"</definedName>
    <definedName name="_qty1">"#N/A"</definedName>
    <definedName name="_sum1">"#N/A"</definedName>
    <definedName name="_SUM6">"#N/A"</definedName>
    <definedName name="_sum66">"#N/A"</definedName>
    <definedName name="_Y1">#N/A</definedName>
    <definedName name="A2A3零星">#N/A</definedName>
    <definedName name="A2A3外墙">#N/A</definedName>
    <definedName name="A2A3阳台">#N/A</definedName>
    <definedName name="AF">NA()</definedName>
    <definedName name="AG">NA()</definedName>
    <definedName name="AH">NA()</definedName>
    <definedName name="AI">NA()</definedName>
    <definedName name="AJ">NA()</definedName>
    <definedName name="ama">EVALUATE(SUBSTITUTE(SUBSTITUTE(#REF!,"[","*ISTEXT(""["),"]","]"")"))</definedName>
    <definedName name="amn">EVALUATE(SUBSTITUTE(SUBSTITUTE(#REF!,"[","*ISTEXT(""["),"]","]"")"))</definedName>
    <definedName name="amq">EVALUATE(SUBSTITUTE(SUBSTITUTE(#REF!,"[","*ISTEXT(""["),"]","]"")"))</definedName>
    <definedName name="amx">EVALUATE(SUBSTITUTE(SUBSTITUTE(#REF!,"[","*ISTEXT(""["),"]","]"")"))</definedName>
    <definedName name="ava">EVALUATE(SUBSTITUTE(SUBSTITUTE(#REF!,"[","*ISTEXT(""["),"]","]"")"))</definedName>
    <definedName name="B_GLF">"#REF!"</definedName>
    <definedName name="B_LR">"#REF!"</definedName>
    <definedName name="B_SJ">"#REF!"</definedName>
    <definedName name="B1381.">"#N/A"</definedName>
    <definedName name="Bath1">"#N/A"</definedName>
    <definedName name="Bath2">"#N/A"</definedName>
    <definedName name="BBBB">"#N/A"</definedName>
    <definedName name="BKYJ">"#REF!"</definedName>
    <definedName name="BL_12">"#REF!"</definedName>
    <definedName name="BL_15_1.52_15">"#REF!"</definedName>
    <definedName name="BL_6_1.52_6_6">"#REF!"</definedName>
    <definedName name="BL_6_1.52_6_6L">"#REF!"</definedName>
    <definedName name="BL_6_1.52PVB_6L">"#REF!"</definedName>
    <definedName name="BL_6_6ARL">"#REF!"</definedName>
    <definedName name="BL_6_6FHBL">"#REF!"</definedName>
    <definedName name="BL_6_6L">"#REF!"</definedName>
    <definedName name="BL_6_6LH">"#REF!"</definedName>
    <definedName name="BL_8_1.52_8">"#REF!"</definedName>
    <definedName name="BL_8_1.52_8_8L">"#REF!"</definedName>
    <definedName name="BL_CB">"#REF!"</definedName>
    <definedName name="bw">"#N/A"</definedName>
    <definedName name="BXG_316">"#REF!"</definedName>
    <definedName name="BXGC">"#REF!"</definedName>
    <definedName name="byp">0.5</definedName>
    <definedName name="c_s_bkg">"#N/A"</definedName>
    <definedName name="c_s_rbkg">"#N/A"</definedName>
    <definedName name="c_s_scr">"#N/A"</definedName>
    <definedName name="c_s_scrbkg">"#N/A"</definedName>
    <definedName name="CA">NA()</definedName>
    <definedName name="CB">NA()</definedName>
    <definedName name="CD">NA()</definedName>
    <definedName name="CG">"#N/A"</definedName>
    <definedName name="CGLF">"#REF!"</definedName>
    <definedName name="CLR">"#REF!"</definedName>
    <definedName name="Collect">"#N/A"</definedName>
    <definedName name="color">"#N/A"</definedName>
    <definedName name="COLOR1">"#N/A"</definedName>
    <definedName name="Coloured_premix">"#N/A"</definedName>
    <definedName name="CS">"#N/A"</definedName>
    <definedName name="CSJ">"#REF!"</definedName>
    <definedName name="CSW">"#N/A"</definedName>
    <definedName name="cuoshifei">"#N/A"</definedName>
    <definedName name="cw">"#N/A"</definedName>
    <definedName name="CZ">"#N/A"</definedName>
    <definedName name="DaLian">"#N/A"</definedName>
    <definedName name="DDFJ">"#REF!"</definedName>
    <definedName name="Dep">"#N/A"</definedName>
    <definedName name="Detail">"#N/A"</definedName>
    <definedName name="dfghjkl">"#N/A"</definedName>
    <definedName name="dg">"#N/A"</definedName>
    <definedName name="DL">"#N/A"</definedName>
    <definedName name="dmzf">"#N/A"</definedName>
    <definedName name="dollar">"#REF!"</definedName>
    <definedName name="DYYF">"#REF!"</definedName>
    <definedName name="DYZZF">"#REF!"</definedName>
    <definedName name="Elem">"#N/A"</definedName>
    <definedName name="EN">"#REF!"</definedName>
    <definedName name="Excel_BuiltIn_Print_Area_4">"#N/A"</definedName>
    <definedName name="Excel_BuiltIn_Print_Titles_3">"#N/A"</definedName>
    <definedName name="Fcode">"#N/A"</definedName>
    <definedName name="fcode1">"#N/A"</definedName>
    <definedName name="FCW">"#REF!"</definedName>
    <definedName name="FHPT">"#REF!"</definedName>
    <definedName name="Fnos">"#N/A"</definedName>
    <definedName name="FORMULA3">"'=EVALUATE(SUBSTITUTE(SUBSTITUTE(三期弱电!$D$15,""["",""*ISTEXT(""""[""),""]"",""]"""")""))"</definedName>
    <definedName name="FSJC_1.5PVC">"#REF!"</definedName>
    <definedName name="FTPT">"#REF!"</definedName>
    <definedName name="GB_1.2DXB">"#REF!"</definedName>
    <definedName name="GB_1.5BXG">"#REF!"</definedName>
    <definedName name="GB_1.5DXB">"#REF!"</definedName>
    <definedName name="GB_2BXG">"#REF!"</definedName>
    <definedName name="GC">"#REF!"</definedName>
    <definedName name="GC_DX">"#REF!"</definedName>
    <definedName name="GC_GJG">"#REF!"</definedName>
    <definedName name="GC_GJGFM">"#REF!"</definedName>
    <definedName name="GC_GJGFT">"#REF!"</definedName>
    <definedName name="GC_WH">"#REF!"</definedName>
    <definedName name="GCLQD">"#REF!"</definedName>
    <definedName name="GFA_Area">"#N/A"</definedName>
    <definedName name="ghg">"#N/A"</definedName>
    <definedName name="GLF">"#REF!"</definedName>
    <definedName name="HCM">"#REF!"</definedName>
    <definedName name="hd">"#N/A"</definedName>
    <definedName name="Heading">"#N/A"</definedName>
    <definedName name="hjdb">"#N/A"</definedName>
    <definedName name="HZ">"#N/A"</definedName>
    <definedName name="H低">"#REF!"</definedName>
    <definedName name="H高">"#REF!"</definedName>
    <definedName name="input_1">"#REF!"</definedName>
    <definedName name="input_1s">"#REF!"</definedName>
    <definedName name="input_2">"#REF!"</definedName>
    <definedName name="input_2s">"#REF!"</definedName>
    <definedName name="input_3_1">"#REF!"</definedName>
    <definedName name="IRGL">"#N/A"</definedName>
    <definedName name="J_DRC">"#REF!"</definedName>
    <definedName name="J_DRH">"#REF!"</definedName>
    <definedName name="J_DRI">"#N/A"</definedName>
    <definedName name="J_DRZJ">"#REF!"</definedName>
    <definedName name="J_FHJ">"#REF!"</definedName>
    <definedName name="J_FPJ">"#REF!"</definedName>
    <definedName name="J_JGJ">"#REF!"</definedName>
    <definedName name="J_MFJ">"#REF!"</definedName>
    <definedName name="J_SCJ">"#REF!"</definedName>
    <definedName name="J_SMT">"#REF!"</definedName>
    <definedName name="J_SYB">"#REF!"</definedName>
    <definedName name="JASON">"#REF!"</definedName>
    <definedName name="jsh">"#N/A"</definedName>
    <definedName name="jss">"#N/A"</definedName>
    <definedName name="jsss">"#N/A"</definedName>
    <definedName name="jy">"#N/A"</definedName>
    <definedName name="jyuy">"#N/A"</definedName>
    <definedName name="kan">"#N/A"</definedName>
    <definedName name="Kit">"#N/A"</definedName>
    <definedName name="KJYF">"#REF!"</definedName>
    <definedName name="KJZZF">"#REF!"</definedName>
    <definedName name="LA">NA()</definedName>
    <definedName name="LB">NA()</definedName>
    <definedName name="LB_1.5YH">"#REF!"</definedName>
    <definedName name="LB_2.5FM">"#REF!"</definedName>
    <definedName name="LB_2FM">"#REF!"</definedName>
    <definedName name="LB_2FT">"#REF!"</definedName>
    <definedName name="LB_3FM">"#REF!"</definedName>
    <definedName name="LB_3FT">"#REF!"</definedName>
    <definedName name="LB_4FHB">"#REF!"</definedName>
    <definedName name="LB_6FT">"#REF!"</definedName>
    <definedName name="lbm">"#N/A"</definedName>
    <definedName name="LBY_D">"#REF!"</definedName>
    <definedName name="LBY_S">"#REF!"</definedName>
    <definedName name="LC">NA()</definedName>
    <definedName name="LD">NA()</definedName>
    <definedName name="ldm">"#N/A"</definedName>
    <definedName name="ldw">"#N/A"</definedName>
    <definedName name="LE">NA()</definedName>
    <definedName name="Len">"#N/A"</definedName>
    <definedName name="Length">"#N/A"</definedName>
    <definedName name="length1">"#N/A"</definedName>
    <definedName name="LF">NA()</definedName>
    <definedName name="LG">NA()</definedName>
    <definedName name="LJ">NA()</definedName>
    <definedName name="LJ_BS">"#REF!"</definedName>
    <definedName name="LJ_DY">"#REF!"</definedName>
    <definedName name="LJJ_ZBK">"#REF!"</definedName>
    <definedName name="Loc">"#N/A"</definedName>
    <definedName name="logo">"组合 854"</definedName>
    <definedName name="LR">"#REF!"</definedName>
    <definedName name="LS_BS1">"#REF!"</definedName>
    <definedName name="LS_BS2">"#REF!"</definedName>
    <definedName name="LS_M12110">"#REF!"</definedName>
    <definedName name="LS_M830">"#REF!"</definedName>
    <definedName name="lt">"#N/A"</definedName>
    <definedName name="lx">"#N/A"</definedName>
    <definedName name="LXC">"#REF!"</definedName>
    <definedName name="LXC_001">"#REF!"</definedName>
    <definedName name="LXC_002">"#REF!"</definedName>
    <definedName name="LXC_017">"#REF!"</definedName>
    <definedName name="LXC_02">"#REF!"</definedName>
    <definedName name="LXC_027">"#REF!"</definedName>
    <definedName name="LXC_03">"#REF!"</definedName>
    <definedName name="LXC_037">"#REF!"</definedName>
    <definedName name="LXC_04">"#REF!"</definedName>
    <definedName name="LXC_05">"#REF!"</definedName>
    <definedName name="LXC_06">"#REF!"</definedName>
    <definedName name="LXC_07">"#REF!"</definedName>
    <definedName name="LXC_071">"#REF!"</definedName>
    <definedName name="LXC_072">"#REF!"</definedName>
    <definedName name="LXC_076">"#REF!"</definedName>
    <definedName name="LXC_08">"#REF!"</definedName>
    <definedName name="LXC_09">"#REF!"</definedName>
    <definedName name="LXC_10">"#REF!"</definedName>
    <definedName name="LXC_13">"#REF!"</definedName>
    <definedName name="LXC_14">"#REF!"</definedName>
    <definedName name="LXC_15">"#REF!"</definedName>
    <definedName name="LXC_16">"#REF!"</definedName>
    <definedName name="LXC_17">"#REF!"</definedName>
    <definedName name="LXC_18">"#REF!"</definedName>
    <definedName name="LXC_19">"#REF!"</definedName>
    <definedName name="LXC_20">"#REF!"</definedName>
    <definedName name="LXC_21">"#REF!"</definedName>
    <definedName name="LXC_22">"#REF!"</definedName>
    <definedName name="LXC_23">"#REF!"</definedName>
    <definedName name="LXC_24">"#REF!"</definedName>
    <definedName name="LXC_25">"#REF!"</definedName>
    <definedName name="LXC_26">"#REF!"</definedName>
    <definedName name="LXC_27">"#REF!"</definedName>
    <definedName name="LXC_28">"#REF!"</definedName>
    <definedName name="LXC_29">"#REF!"</definedName>
    <definedName name="LXC_30">"#REF!"</definedName>
    <definedName name="LXC_31">"#REF!"</definedName>
    <definedName name="LXC_32">"#REF!"</definedName>
    <definedName name="LXC_33">"#REF!"</definedName>
    <definedName name="LXC_34">"#REF!"</definedName>
    <definedName name="LXC_35">"#REF!"</definedName>
    <definedName name="LXC_36">"#REF!"</definedName>
    <definedName name="LXC_37">"#REF!"</definedName>
    <definedName name="LXC_38">"#REF!"</definedName>
    <definedName name="LXC_39">"#REF!"</definedName>
    <definedName name="LXC_40">"#REF!"</definedName>
    <definedName name="LXC_41">"#REF!"</definedName>
    <definedName name="LXC_42">"#REF!"</definedName>
    <definedName name="LXC_43">"#REF!"</definedName>
    <definedName name="LXC_44">"#REF!"</definedName>
    <definedName name="LXC_45">"#REF!"</definedName>
    <definedName name="LXC_46">"#REF!"</definedName>
    <definedName name="LXC_47">"#REF!"</definedName>
    <definedName name="LXC_48">"#REF!"</definedName>
    <definedName name="LXC_49">"#REF!"</definedName>
    <definedName name="LXC_50">"#REF!"</definedName>
    <definedName name="LXC_51">"#REF!"</definedName>
    <definedName name="LXC_52">"#REF!"</definedName>
    <definedName name="LXC_53">"#REF!"</definedName>
    <definedName name="LXC_54">"#REF!"</definedName>
    <definedName name="LXC_55">"#REF!"</definedName>
    <definedName name="LXC_56">"#REF!"</definedName>
    <definedName name="LXC_57">"#REF!"</definedName>
    <definedName name="LXC_58">"#REF!"</definedName>
    <definedName name="LXC_59">"#REF!"</definedName>
    <definedName name="LXC_60">"#REF!"</definedName>
    <definedName name="LXC_61">"#REF!"</definedName>
    <definedName name="LXC_62">"#REF!"</definedName>
    <definedName name="LXC_63">"#REF!"</definedName>
    <definedName name="LXC_64">"#REF!"</definedName>
    <definedName name="LXC_65">"#REF!"</definedName>
    <definedName name="LXC_66">"#REF!"</definedName>
    <definedName name="LXC_67">"#REF!"</definedName>
    <definedName name="LXC_68">"#REF!"</definedName>
    <definedName name="LXC_69">"#REF!"</definedName>
    <definedName name="LXC_70">"#REF!"</definedName>
    <definedName name="LXC_71">"#REF!"</definedName>
    <definedName name="LXC_72">"#REF!"</definedName>
    <definedName name="LXC_73">"#REF!"</definedName>
    <definedName name="LXC_74">"#REF!"</definedName>
    <definedName name="LXC_75">"#REF!"</definedName>
    <definedName name="LXC_76">"#REF!"</definedName>
    <definedName name="LXC_77">"#REF!"</definedName>
    <definedName name="LXC_78">"#REF!"</definedName>
    <definedName name="LXC_79">"#REF!"</definedName>
    <definedName name="LXC_80">"#REF!"</definedName>
    <definedName name="LXC_82">"#REF!"</definedName>
    <definedName name="LXC_83">"#REF!"</definedName>
    <definedName name="LXC_84">"#REF!"</definedName>
    <definedName name="LXC_85">"#REF!"</definedName>
    <definedName name="LXC_86">"#REF!"</definedName>
    <definedName name="LXC_87">"#REF!"</definedName>
    <definedName name="LXC_88">"#REF!"</definedName>
    <definedName name="LXC_89">"#REF!"</definedName>
    <definedName name="LXC_FM">"#REF!"</definedName>
    <definedName name="LXC_FMPT">"#REF!"</definedName>
    <definedName name="LXC_FT">"#REF!"</definedName>
    <definedName name="LXC_GJ1">"#REF!"</definedName>
    <definedName name="LXC_GJ2">"#REF!"</definedName>
    <definedName name="LXC_WH">"#REF!"</definedName>
    <definedName name="LXC_YH">"#REF!"</definedName>
    <definedName name="lxcd">"#N/A"</definedName>
    <definedName name="lxdw">"#N/A"</definedName>
    <definedName name="Ma_rm">"#N/A"</definedName>
    <definedName name="Mbath">"#N/A"</definedName>
    <definedName name="Measurer____Chau">"#N/A"</definedName>
    <definedName name="MJ_BS">"#REF!"</definedName>
    <definedName name="MJ_CS">"#REF!"</definedName>
    <definedName name="MKZL">[77]下拉!$G$3:$G$4</definedName>
    <definedName name="MS_M1090">"#REF!"</definedName>
    <definedName name="MS_M12110">"#REF!"</definedName>
    <definedName name="MS_M16125">"#REF!"</definedName>
    <definedName name="MS_M20170">"#REF!"</definedName>
    <definedName name="Newblock">"#N/A"</definedName>
    <definedName name="Nos">"#N/A"</definedName>
    <definedName name="ogh">"#N/A"</definedName>
    <definedName name="OU">"#N/A"</definedName>
    <definedName name="P_rm">"#N/A"</definedName>
    <definedName name="P7871669">"#N/A"</definedName>
    <definedName name="PA">NA()</definedName>
    <definedName name="page">"#N/A"</definedName>
    <definedName name="PB">NA()</definedName>
    <definedName name="PC">NA()</definedName>
    <definedName name="PD">NA()</definedName>
    <definedName name="PE">NA()</definedName>
    <definedName name="PF">NA()</definedName>
    <definedName name="pk">0.5</definedName>
    <definedName name="po">0.5</definedName>
    <definedName name="PRINT_AREA_MI">"#N/A"</definedName>
    <definedName name="Print_Titles_MI">"#N/A"</definedName>
    <definedName name="Proit">"#N/A"</definedName>
    <definedName name="Project_name">"#N/A"</definedName>
    <definedName name="PSB_01">"#REF!"</definedName>
    <definedName name="qmcd">"#N/A"</definedName>
    <definedName name="qmdk">"#N/A"</definedName>
    <definedName name="qmfs">"#N/A"</definedName>
    <definedName name="qmgd">"#N/A"</definedName>
    <definedName name="qq">"evaluate('1工程量'!K4)"</definedName>
    <definedName name="Rate">"#REF!"</definedName>
    <definedName name="rate1">"#N/A"</definedName>
    <definedName name="Remarks">"#N/A"</definedName>
    <definedName name="result1">"#N/A"</definedName>
    <definedName name="result3">"#N/A"</definedName>
    <definedName name="ResultofFomula">"#N/A"</definedName>
    <definedName name="RGGR">"#REF!"</definedName>
    <definedName name="RGL">"#N/A"</definedName>
    <definedName name="RGLadj">"#N/A"</definedName>
    <definedName name="rowref">"#N/A"</definedName>
    <definedName name="RVVP_2X1.5mm">"#REF!"</definedName>
    <definedName name="sb1rref">"#N/A"</definedName>
    <definedName name="SC_20">"#REF!"</definedName>
    <definedName name="SC_25">"#REF!"</definedName>
    <definedName name="SC_30">"#REF!"</definedName>
    <definedName name="SC_40">"#REF!"</definedName>
    <definedName name="sh_name">"#N/A"</definedName>
    <definedName name="Sheet1">"#N/A"</definedName>
    <definedName name="si">"#REF!"</definedName>
    <definedName name="ss_160">"#REF!"</definedName>
    <definedName name="SSSS">"#N/A"</definedName>
    <definedName name="ssxzsd_16">"#REF!"</definedName>
    <definedName name="ssxzsd_160">"#REF!"</definedName>
    <definedName name="sw">{22222;33}</definedName>
    <definedName name="sw_1">{22222;33}</definedName>
    <definedName name="sw_1_1">{22222;33}</definedName>
    <definedName name="sw_1_2">{22222;33}</definedName>
    <definedName name="sw_1_3">{22222;33}</definedName>
    <definedName name="sw_1_4">{22222;33}</definedName>
    <definedName name="sw_1_5">{22222;33}</definedName>
    <definedName name="sw_2">{22222;33}</definedName>
    <definedName name="sw_2_1">{22222;33}</definedName>
    <definedName name="sw_2_2">{22222;33}</definedName>
    <definedName name="sw_2_3">{22222;33}</definedName>
    <definedName name="sw_2_4">{22222;33}</definedName>
    <definedName name="sw_2_5">{22222;33}</definedName>
    <definedName name="sw_3">{22222;33}</definedName>
    <definedName name="sw_4">{22222;33}</definedName>
    <definedName name="sw_5">{22222;33}</definedName>
    <definedName name="Table">"#N/A"</definedName>
    <definedName name="tblref">"#N/A"</definedName>
    <definedName name="tc">"#REF!"</definedName>
    <definedName name="tenderer">"#REF!"</definedName>
    <definedName name="tlwj">100</definedName>
    <definedName name="Transactions">"#N/A"</definedName>
    <definedName name="ttttt">#N/A</definedName>
    <definedName name="Version">"#REF!"</definedName>
    <definedName name="wastage">"#N/A"</definedName>
    <definedName name="wei">"#N/A"</definedName>
    <definedName name="Wid">"#N/A"</definedName>
    <definedName name="WJ_DDKQ">"#REF!"</definedName>
    <definedName name="WJ_DTH">"#REF!"</definedName>
    <definedName name="WJ_DTM">"#REF!"</definedName>
    <definedName name="WJ_HY">"#REF!"</definedName>
    <definedName name="WJ_LS">"#REF!"</definedName>
    <definedName name="WJ_MJ">"#REF!"</definedName>
    <definedName name="WJ_M锁">"#REF!"</definedName>
    <definedName name="WJ_PKC">"#REF!"</definedName>
    <definedName name="WJ_PKM">"#REF!"</definedName>
    <definedName name="WJ_PXJL">"#REF!"</definedName>
    <definedName name="WJ_PYM">"#REF!"</definedName>
    <definedName name="WJ_SXC">"#REF!"</definedName>
    <definedName name="WJ_SXS">"#REF!"</definedName>
    <definedName name="WJ_TLC">"#REF!"</definedName>
    <definedName name="WJ_TLM">"#REF!"</definedName>
    <definedName name="WJ_XXC">"#REF!"</definedName>
    <definedName name="wm">"#N/A"</definedName>
    <definedName name="wmb">"#N/A"</definedName>
    <definedName name="wpf_bkg">"#N/A"</definedName>
    <definedName name="wpf_scr">"#N/A"</definedName>
    <definedName name="XN">[76]设置!$E$2:$E$11</definedName>
    <definedName name="xo">"#N/A"</definedName>
    <definedName name="xs">IF("#REF!="""","""",[125]计算稿!X)",1)</definedName>
    <definedName name="xwmb">"#N/A"</definedName>
    <definedName name="YF">"#REF!"</definedName>
    <definedName name="YF_KJ">"#REF!"</definedName>
    <definedName name="ylb">"#N/A"</definedName>
    <definedName name="YM_100FH">"#REF!"</definedName>
    <definedName name="YM_50BW_50">"#REF!"</definedName>
    <definedName name="YM_50BW_60">"#REF!"</definedName>
    <definedName name="YM_50BW_80">"#REF!"</definedName>
    <definedName name="YM_50BWQT">"#REF!"</definedName>
    <definedName name="YM_75BW">"#REF!"</definedName>
    <definedName name="YM_80BW">"#REF!"</definedName>
    <definedName name="yy">"#N/A"</definedName>
    <definedName name="YZ">"#N/A"</definedName>
    <definedName name="ZDPYM">"#REF!"</definedName>
    <definedName name="ZDXZM2">"#REF!"</definedName>
    <definedName name="ZDXZM3">"#REF!"</definedName>
    <definedName name="ZDXZM4">"#REF!"</definedName>
    <definedName name="ZJ_01">"#REF!"</definedName>
    <definedName name="ZJ_BJT">"#REF!"</definedName>
    <definedName name="ZJ_BJZ1">"#REF!"</definedName>
    <definedName name="ZJ_BJZ2">"#REF!"</definedName>
    <definedName name="ZJ_BJZ4">"#REF!"</definedName>
    <definedName name="ZJ_ZJJ">"#REF!"</definedName>
    <definedName name="zk">"#REF!"</definedName>
    <definedName name="ZZF_DY">"#REF!"</definedName>
    <definedName name="ZZF_KJ">"#REF!"</definedName>
    <definedName name="ZZF_KY">"#REF!"</definedName>
    <definedName name="爱爱爱">"#N/A"</definedName>
    <definedName name="安装位置">" =EVALUATE(""(INT(""&amp;SUBSTITUTE(SC0610左!C25,""，"",""/7)*INT("")&amp;""/7))"")"</definedName>
    <definedName name="暗插销安装单价">"#N/A"</definedName>
    <definedName name="暗插销单价">"#N/A"</definedName>
    <definedName name="八号">"#N/A"</definedName>
    <definedName name="百叶窗安装">30</definedName>
    <definedName name="百叶窗辅助">5</definedName>
    <definedName name="百叶窗制作">25</definedName>
    <definedName name="宝龙">#N/A</definedName>
    <definedName name="保修期">"#REF!"</definedName>
    <definedName name="北京中远广田装饰工程有限公司">"#N/A"</definedName>
    <definedName name="北区工程量">"#N/A"</definedName>
    <definedName name="备注">"#REF!"</definedName>
    <definedName name="闭门器安装单价">"#N/A"</definedName>
    <definedName name="闭门器单价">"#N/A"</definedName>
    <definedName name="编制日期">"#REF!"</definedName>
    <definedName name="丙门单价">"#N/A"</definedName>
    <definedName name="玻璃_01">"#REF!"</definedName>
    <definedName name="玻璃_02">"#REF!"</definedName>
    <definedName name="玻璃_03">"#REF!"</definedName>
    <definedName name="玻璃缝隙">6</definedName>
    <definedName name="玻璃栏杆相交">27</definedName>
    <definedName name="不">"#N/A"</definedName>
    <definedName name="不锈钢螺栓M16_55">"#N/A"</definedName>
    <definedName name="才">"#N/A"</definedName>
    <definedName name="材料表">"#N/A"</definedName>
    <definedName name="材料单价">"#N/A"</definedName>
    <definedName name="材料单价套用格式">"#N/A"</definedName>
    <definedName name="材料汇总">"#N/A"</definedName>
    <definedName name="成本明细表组成表">"#REF!"</definedName>
    <definedName name="成品保护单价">"#N/A"</definedName>
    <definedName name="大堂门门框">50</definedName>
    <definedName name="大堂门门扇">114</definedName>
    <definedName name="代号">"#REF!"</definedName>
    <definedName name="单价分析表">"#N/A"</definedName>
    <definedName name="单价分析套用格式">"#N/A"</definedName>
    <definedName name="単位">"#N/A"</definedName>
    <definedName name="地板厚度">"#REF!"</definedName>
    <definedName name="垫层高度">"#REF!"</definedName>
    <definedName name="垫层厚1">"#REF!"</definedName>
    <definedName name="垫层突出单边宽度">"#REF!"</definedName>
    <definedName name="断桥铝合金型材单价">24</definedName>
    <definedName name="鹅鹅鹅">"#N/A"</definedName>
    <definedName name="鹅卵石">"#N/A"</definedName>
    <definedName name="发_">"#REF!"</definedName>
    <definedName name="反对方">"#N/A"</definedName>
    <definedName name="防虫网">90</definedName>
    <definedName name="防火锁">"#N/A"</definedName>
    <definedName name="放坡系数">"#REF!"</definedName>
    <definedName name="分部">"#N/A"</definedName>
    <definedName name="分部分项公里">"#N/A"</definedName>
    <definedName name="分析表">"#N/A"</definedName>
    <definedName name="附录三">"#N/A"</definedName>
    <definedName name="附录一">"#N/A"</definedName>
    <definedName name="嘎的">"#REF!"</definedName>
    <definedName name="高">"#N/A"</definedName>
    <definedName name="高杆灯">"#N/A"</definedName>
    <definedName name="隔_01">"#REF!"</definedName>
    <definedName name="个凤飞飞">"#REF!"</definedName>
    <definedName name="工程类别_1">"#REF!"</definedName>
    <definedName name="工程类别_2">""</definedName>
    <definedName name="工程量表套用格式">"#N/A"</definedName>
    <definedName name="工程量结果">#N/A</definedName>
    <definedName name="工程量李">"#REF!"</definedName>
    <definedName name="工程量清单">"#REF!"</definedName>
    <definedName name="工程内容">"#REF!"</definedName>
    <definedName name="工程造价">"#REF!"</definedName>
    <definedName name="工程质量">"#REF!"</definedName>
    <definedName name="工程主要材料计价表">"#N/A"</definedName>
    <definedName name="工作面单边宽度">"#REF!"</definedName>
    <definedName name="公式">"#N/A"</definedName>
    <definedName name="国产">"#REF!"</definedName>
    <definedName name="哈">"#N/A"</definedName>
    <definedName name="含">"#N/A"</definedName>
    <definedName name="含量改">"#N/A"</definedName>
    <definedName name="焊接容量">3</definedName>
    <definedName name="合计量">"#N/A"</definedName>
    <definedName name="合同号">"#REF!"</definedName>
    <definedName name="合页安装单价">"#N/A"</definedName>
    <definedName name="合页单价">"#N/A"</definedName>
    <definedName name="河沙">"#N/A"</definedName>
    <definedName name="后埋_01">"#REF!"</definedName>
    <definedName name="黄锈石">"#N/A"</definedName>
    <definedName name="黄锈石50">"#N/A"</definedName>
    <definedName name="黄锈石50厚">"#N/A"</definedName>
    <definedName name="基本数据1">"#N/A"</definedName>
    <definedName name="计算公式1">"#N/A"</definedName>
    <definedName name="计算式">"evalvate((substite(replace(计算书!$C:$C,find(""["",计算书!$c:$c),find(""]"",计算书!$c:$c)-find(""["",计算书!$C:$c)+1,"""")),""d="","""")"</definedName>
    <definedName name="甲门单价">"#N/A"</definedName>
    <definedName name="胶条_01">"#REF!"</definedName>
    <definedName name="节点">#N/A</definedName>
    <definedName name="结果">"#N/A"</definedName>
    <definedName name="结果1">"#N/A"</definedName>
    <definedName name="酒店2">"#N/A"</definedName>
    <definedName name="峻工日期">"#REF!"</definedName>
    <definedName name="快速取水器">"#N/A"</definedName>
    <definedName name="快速取水器人工">"#N/A"</definedName>
    <definedName name="拉手安装单价">"#N/A"</definedName>
    <definedName name="拉手单价">"#N/A"</definedName>
    <definedName name="类">"#N/A"</definedName>
    <definedName name="더하기">"#N/A"</definedName>
    <definedName name="量">{#N/A,#N/A,FALSE,"估價單  (3)"}</definedName>
    <definedName name="量_1">{#N/A,#N/A,FALSE,"估價單  (3)"}</definedName>
    <definedName name="量_1_1">{#N/A,#N/A,FALSE,"估價單  (3)"}</definedName>
    <definedName name="量_1_2">{#N/A,#N/A,FALSE,"估價單  (3)"}</definedName>
    <definedName name="量_1_3">{#N/A,#N/A,FALSE,"估價單  (3)"}</definedName>
    <definedName name="量_1_4">{#N/A,#N/A,FALSE,"估價單  (3)"}</definedName>
    <definedName name="量_1_5">{#N/A,#N/A,FALSE,"估價單  (3)"}</definedName>
    <definedName name="量_2">{#N/A,#N/A,FALSE,"估價單  (3)"}</definedName>
    <definedName name="量_2_1">{#N/A,#N/A,FALSE,"估價單  (3)"}</definedName>
    <definedName name="量_2_2">{#N/A,#N/A,FALSE,"估價單  (3)"}</definedName>
    <definedName name="量_2_3">{#N/A,#N/A,FALSE,"估價單  (3)"}</definedName>
    <definedName name="量_2_4">{#N/A,#N/A,FALSE,"估價單  (3)"}</definedName>
    <definedName name="量_2_5">{#N/A,#N/A,FALSE,"估價單  (3)"}</definedName>
    <definedName name="量_3">{#N/A,#N/A,FALSE,"估價單  (3)"}</definedName>
    <definedName name="量_4">{#N/A,#N/A,FALSE,"估價單  (3)"}</definedName>
    <definedName name="量_5">{#N/A,#N/A,FALSE,"估價單  (3)"}</definedName>
    <definedName name="留">"#N/A"</definedName>
    <definedName name="楼梯间门窗樘数">1678.8</definedName>
    <definedName name="吗">"#N/A"</definedName>
    <definedName name="埋地式上射灯">"#N/A"</definedName>
    <definedName name="门窗制作费">20</definedName>
    <definedName name="门吸安装单价">"#N/A"</definedName>
    <definedName name="门吸单价">"#N/A"</definedName>
    <definedName name="模板">"#N/A"</definedName>
    <definedName name="模板人工">"#N/A"</definedName>
    <definedName name="抹灰工程">"#N/A"</definedName>
    <definedName name="哦">"#N/A"</definedName>
    <definedName name="判断材料表材料重复">"#N/A"</definedName>
    <definedName name="喷塑单价">"#N/A"</definedName>
    <definedName name="平开框代号">"HP601"</definedName>
    <definedName name="平开框单玻压条代号">"HP603.2"</definedName>
    <definedName name="平开框小面">40</definedName>
    <definedName name="平开门总面积">"#N/A"</definedName>
    <definedName name="普通铝合金型材单价">20</definedName>
    <definedName name="去">"#N/A"</definedName>
    <definedName name="生产附表">"#REF!"</definedName>
    <definedName name="施工单位">"#REF!"</definedName>
    <definedName name="施工单位负责人">"#REF!"</definedName>
    <definedName name="十">"#N/A"</definedName>
    <definedName name="石粉">"#N/A"</definedName>
    <definedName name="石粉人工">"#N/A"</definedName>
    <definedName name="室内外地坪高差">"#REF!"</definedName>
    <definedName name="水泥砖">"#N/A"</definedName>
    <definedName name="顺位器安装单价">"#N/A"</definedName>
    <definedName name="顺位器单价">"#N/A"</definedName>
    <definedName name="塑钢型材单价">11.8</definedName>
    <definedName name="簌簌撒">"#N/A"</definedName>
    <definedName name="碎石">"#N/A"</definedName>
    <definedName name="碎石人工">"#N/A"</definedName>
    <definedName name="锁安装单价">"#N/A"</definedName>
    <definedName name="樘数">2</definedName>
    <definedName name="特色草坪灯">"#N/A"</definedName>
    <definedName name="砼墙">"#N/A"</definedName>
    <definedName name="魏">"#N/A"</definedName>
    <definedName name="我">"#REF!"</definedName>
    <definedName name="下亮高">600</definedName>
    <definedName name="想">"#N/A"</definedName>
    <definedName name="压缩空气">"#N/A"</definedName>
    <definedName name="乙门单价">"#N/A"</definedName>
    <definedName name="미리보기">"#N/A"</definedName>
    <definedName name="真空">"#N/A"</definedName>
    <definedName name="芝麻黑">"#N/A"</definedName>
    <definedName name="中挺代号">"HP602.5"</definedName>
    <definedName name="中挺小面">36</definedName>
    <definedName name="主材表">"#N/A"</definedName>
    <definedName name="专业">"#REF!"</definedName>
    <definedName name="装修工程清单预算">"#REF!"</definedName>
    <definedName name="资料情况">"#REF!"</definedName>
    <definedName name="综合">"#N/A"</definedName>
    <definedName name="综合单价明细">"#N/A"</definedName>
    <definedName name="总高">1200</definedName>
    <definedName name="总宽">1200</definedName>
    <definedName name="最小锚固长度5">"#REF!"</definedName>
    <definedName name="左亮宽">600</definedName>
    <definedName name="빼기">"#N/A"</definedName>
    <definedName name="\q" localSheetId="9">#N/A</definedName>
    <definedName name="_001年.xls" localSheetId="9">#REF!</definedName>
    <definedName name="_" localSheetId="9">#N/A</definedName>
    <definedName name="_ae1" localSheetId="9">'[56]21'!$B$1:$B$802</definedName>
    <definedName name="_W200" localSheetId="9">'[58]21'!$B$1:$B$802</definedName>
    <definedName name="a" localSheetId="9">[59]单位!$A:$A</definedName>
    <definedName name="aaaa" localSheetId="9" hidden="1">[79]입찰안!#REF!</definedName>
    <definedName name="ad" localSheetId="9">'[58]21'!$A$1:$A$802</definedName>
    <definedName name="ae" localSheetId="9">'[58]21'!$B$1:$B$802</definedName>
    <definedName name="CC" localSheetId="9">EVALUATE(SUBSTITUTE(SUBSTITUTE([60]公共部位!#REF!,"[","*ISTEXT(""["),"]","]"")"))</definedName>
    <definedName name="dw" localSheetId="9">#REF!</definedName>
    <definedName name="m" localSheetId="9">#N/A</definedName>
    <definedName name="qd" localSheetId="9">'[58]21'!$A$1:$A$802</definedName>
    <definedName name="建筑面积" localSheetId="9">""</definedName>
    <definedName name="税金" localSheetId="9">0</definedName>
    <definedName name="转" localSheetId="9">'[78]21'!$B$1:$B$802</definedName>
    <definedName name="________wa2" localSheetId="9">#REF!</definedName>
    <definedName name="________ys2" localSheetId="9">#REF!</definedName>
    <definedName name="_______ys1" localSheetId="9">#REF!</definedName>
    <definedName name="_______ys3" localSheetId="9">#REF!</definedName>
    <definedName name="______wa2" localSheetId="9">#REF!</definedName>
    <definedName name="______ys1" localSheetId="9">#REF!</definedName>
    <definedName name="______ys2" localSheetId="9">#REF!</definedName>
    <definedName name="______ys3" localSheetId="9">#REF!</definedName>
    <definedName name="_____wa2" localSheetId="9">#REF!</definedName>
    <definedName name="_____ys1" localSheetId="9">#REF!</definedName>
    <definedName name="_____ys2" localSheetId="9">#REF!</definedName>
    <definedName name="_____ys3" localSheetId="9">#REF!</definedName>
    <definedName name="____wa2" localSheetId="9">#REF!</definedName>
    <definedName name="____ys1" localSheetId="9">#REF!</definedName>
    <definedName name="____ys2" localSheetId="9">#REF!</definedName>
    <definedName name="____ys3" localSheetId="9">#REF!</definedName>
    <definedName name="___wa2" localSheetId="9">#REF!</definedName>
    <definedName name="___ys1" localSheetId="9">#REF!</definedName>
    <definedName name="___ys2" localSheetId="9">#REF!</definedName>
    <definedName name="___ys3" localSheetId="9">#REF!</definedName>
    <definedName name="__wa2" localSheetId="9">#REF!</definedName>
    <definedName name="＿＿wwl1" localSheetId="9">#REF!</definedName>
    <definedName name="__ys1" localSheetId="9">#REF!</definedName>
    <definedName name="__ys2" localSheetId="9">#REF!</definedName>
    <definedName name="__ys3" localSheetId="9">#REF!</definedName>
    <definedName name="＿ax1" localSheetId="9">#REF!</definedName>
    <definedName name="＿bv1" localSheetId="9">#REF!</definedName>
    <definedName name="＿c4" localSheetId="9">#REF!</definedName>
    <definedName name="＿cb1" localSheetId="9">#REF!</definedName>
    <definedName name="＿kk1" localSheetId="9">#REF!</definedName>
    <definedName name="＿l1" localSheetId="9">#REF!</definedName>
    <definedName name="＿ll1" localSheetId="9">#REF!</definedName>
    <definedName name="＿ll3" localSheetId="9">#REF!</definedName>
    <definedName name="＿ol1" localSheetId="9">#REF!</definedName>
    <definedName name="_up2" localSheetId="9">#REF!</definedName>
    <definedName name="_wa2" localSheetId="9">#REF!</definedName>
    <definedName name="＿wa3" localSheetId="9">#REF!</definedName>
    <definedName name="＿wa5" localSheetId="9">#REF!</definedName>
    <definedName name="_wb2" localSheetId="9">#REF!</definedName>
    <definedName name="_YA4" localSheetId="9">#REF!</definedName>
    <definedName name="_yq3" localSheetId="9">#REF!</definedName>
    <definedName name="_ys1" localSheetId="9">#REF!</definedName>
    <definedName name="_ys11" localSheetId="9">#REF!</definedName>
    <definedName name="＿ys18" localSheetId="9">#REF!</definedName>
    <definedName name="_ys2" localSheetId="9">#REF!</definedName>
    <definedName name="_ys3" localSheetId="9">#REF!</definedName>
    <definedName name="_YS5" localSheetId="9">#REF!</definedName>
    <definedName name="B" localSheetId="9">#REF!</definedName>
    <definedName name="J41户型A2" localSheetId="9">#REF!</definedName>
    <definedName name="MM" localSheetId="9">EVALUATE(SUBSTITUTE(SUBSTITUTE(#REF!,"[","*ISTEXT(""["),"]","]"")"))</definedName>
    <definedName name="_xlnm.Print_Area" localSheetId="9">措施!$B$1:$H$22</definedName>
    <definedName name="_xlnm.Print_Titles" localSheetId="9" hidden="1">#REF!</definedName>
    <definedName name="XLRPARAMS_BZSJ" localSheetId="9" hidden="1">#REF!</definedName>
    <definedName name="XLRPARAMS_FDDBR" localSheetId="9" hidden="1">#REF!</definedName>
    <definedName name="XLRPARAMS_JSDW" localSheetId="9" hidden="1">#REF!</definedName>
    <definedName name="XLRPARAMS_TBR" localSheetId="9" hidden="1">#REF!</definedName>
    <definedName name="XLRPARAMS_TBZJ" localSheetId="9" hidden="1">#REF!</definedName>
    <definedName name="XLRPARAMS_TBZJDX" localSheetId="9" hidden="1">#REF!</definedName>
    <definedName name="XLRPARAMS_ZBR" localSheetId="9" hidden="1">#REF!</definedName>
    <definedName name="XLRPARAMS_ZJH" localSheetId="9" hidden="1">#REF!</definedName>
    <definedName name="Z_0E9FE9F8_6DD2_48FC_9AB4_8E7C3E14C436_.wvu.PrintArea" localSheetId="9" hidden="1">#REF!</definedName>
    <definedName name="Z_0E9FE9F8_6DD2_48FC_9AB4_8E7C3E14C436_.wvu.PrintTitles" localSheetId="9" hidden="1">#REF!</definedName>
    <definedName name="ama" localSheetId="9">EVALUATE(SUBSTITUTE(SUBSTITUTE(#REF!,"[","*ISTEXT(""["),"]","]"")"))</definedName>
    <definedName name="amn" localSheetId="9">EVALUATE(SUBSTITUTE(SUBSTITUTE(#REF!,"[","*ISTEXT(""["),"]","]"")"))</definedName>
    <definedName name="amq" localSheetId="9">EVALUATE(SUBSTITUTE(SUBSTITUTE(#REF!,"[","*ISTEXT(""["),"]","]"")"))</definedName>
    <definedName name="amx" localSheetId="9">EVALUATE(SUBSTITUTE(SUBSTITUTE(#REF!,"[","*ISTEXT(""["),"]","]"")"))</definedName>
    <definedName name="ava" localSheetId="9">EVALUATE(SUBSTITUTE(SUBSTITUTE(#REF!,"[","*ISTEXT(""["),"]","]"")"))</definedName>
    <definedName name="\q" localSheetId="6">#REF!</definedName>
    <definedName name="_001年.xls" localSheetId="6">#REF!</definedName>
    <definedName name="_" localSheetId="6">#REF!</definedName>
    <definedName name="________wa2" localSheetId="6">#REF!</definedName>
    <definedName name="________ys2" localSheetId="6">#REF!</definedName>
    <definedName name="_______ys1" localSheetId="6">#REF!</definedName>
    <definedName name="_______ys3" localSheetId="6">#REF!</definedName>
    <definedName name="______wa2" localSheetId="6">#REF!</definedName>
    <definedName name="______ys1" localSheetId="6">#REF!</definedName>
    <definedName name="______ys2" localSheetId="6">#REF!</definedName>
    <definedName name="______ys3" localSheetId="6">#REF!</definedName>
    <definedName name="_____wa2" localSheetId="6">#REF!</definedName>
    <definedName name="_____ys1" localSheetId="6">#REF!</definedName>
    <definedName name="_____ys2" localSheetId="6">#REF!</definedName>
    <definedName name="_____ys3" localSheetId="6">#REF!</definedName>
    <definedName name="____wa2" localSheetId="6">#REF!</definedName>
    <definedName name="____ys1" localSheetId="6">#REF!</definedName>
    <definedName name="____ys2" localSheetId="6">#REF!</definedName>
    <definedName name="____ys3" localSheetId="6">#REF!</definedName>
    <definedName name="___wa2" localSheetId="6">#REF!</definedName>
    <definedName name="___ys1" localSheetId="6">#REF!</definedName>
    <definedName name="___ys2" localSheetId="6">#REF!</definedName>
    <definedName name="___ys3" localSheetId="6">#REF!</definedName>
    <definedName name="__wa2" localSheetId="6">#REF!</definedName>
    <definedName name="＿＿wwl1" localSheetId="6">#REF!</definedName>
    <definedName name="__ys1" localSheetId="6">#REF!</definedName>
    <definedName name="__ys2" localSheetId="6">#REF!</definedName>
    <definedName name="__ys3" localSheetId="6">#REF!</definedName>
    <definedName name="＿ax1" localSheetId="6">#REF!</definedName>
    <definedName name="＿bv1" localSheetId="6">#REF!</definedName>
    <definedName name="＿c4" localSheetId="6">#REF!</definedName>
    <definedName name="＿cb1" localSheetId="6">#REF!</definedName>
    <definedName name="＿kk1" localSheetId="6">#REF!</definedName>
    <definedName name="＿l1" localSheetId="6">#REF!</definedName>
    <definedName name="＿ll1" localSheetId="6">#REF!</definedName>
    <definedName name="＿ll3" localSheetId="6">#REF!</definedName>
    <definedName name="＿ol1" localSheetId="6">#REF!</definedName>
    <definedName name="_up2" localSheetId="6">#REF!</definedName>
    <definedName name="_wa2" localSheetId="6">#REF!</definedName>
    <definedName name="＿wa3" localSheetId="6">#REF!</definedName>
    <definedName name="＿wa5" localSheetId="6">#REF!</definedName>
    <definedName name="_wb2" localSheetId="6">#REF!</definedName>
    <definedName name="_YA4" localSheetId="6">#REF!</definedName>
    <definedName name="_yq3" localSheetId="6">#REF!</definedName>
    <definedName name="_ys1" localSheetId="6">#REF!</definedName>
    <definedName name="_ys11" localSheetId="6">#REF!</definedName>
    <definedName name="＿ys18" localSheetId="6">#REF!</definedName>
    <definedName name="_ys2" localSheetId="6">#REF!</definedName>
    <definedName name="_ys3" localSheetId="6">#REF!</definedName>
    <definedName name="_YS5" localSheetId="6">#REF!</definedName>
    <definedName name="B" localSheetId="6">#REF!</definedName>
    <definedName name="J41户型A2" localSheetId="6">#REF!</definedName>
    <definedName name="MM" localSheetId="6">EVALUATE(SUBSTITUTE(SUBSTITUTE(#REF!,"[","*ISTEXT(""["),"]","]"")"))</definedName>
    <definedName name="_xlnm.Print_Titles" localSheetId="6" hidden="1">#REF!</definedName>
    <definedName name="XLRPARAMS_BZSJ" localSheetId="6" hidden="1">#REF!</definedName>
    <definedName name="XLRPARAMS_FDDBR" localSheetId="6" hidden="1">#REF!</definedName>
    <definedName name="XLRPARAMS_JSDW" localSheetId="6" hidden="1">#REF!</definedName>
    <definedName name="XLRPARAMS_TBR" localSheetId="6" hidden="1">#REF!</definedName>
    <definedName name="XLRPARAMS_TBZJ" localSheetId="6" hidden="1">#REF!</definedName>
    <definedName name="XLRPARAMS_TBZJDX" localSheetId="6" hidden="1">#REF!</definedName>
    <definedName name="XLRPARAMS_ZBR" localSheetId="6" hidden="1">#REF!</definedName>
    <definedName name="XLRPARAMS_ZJH" localSheetId="6" hidden="1">#REF!</definedName>
    <definedName name="Z_0E9FE9F8_6DD2_48FC_9AB4_8E7C3E14C436_.wvu.PrintArea" localSheetId="6" hidden="1">#REF!</definedName>
    <definedName name="Z_0E9FE9F8_6DD2_48FC_9AB4_8E7C3E14C436_.wvu.PrintTitles" localSheetId="6" hidden="1">#REF!</definedName>
    <definedName name="ama" localSheetId="6">EVALUATE(SUBSTITUTE(SUBSTITUTE(#REF!,"[","*ISTEXT(""["),"]","]"")"))</definedName>
    <definedName name="amn" localSheetId="6">EVALUATE(SUBSTITUTE(SUBSTITUTE(#REF!,"[","*ISTEXT(""["),"]","]"")"))</definedName>
    <definedName name="amq" localSheetId="6">EVALUATE(SUBSTITUTE(SUBSTITUTE(#REF!,"[","*ISTEXT(""["),"]","]"")"))</definedName>
    <definedName name="amx" localSheetId="6">EVALUATE(SUBSTITUTE(SUBSTITUTE(#REF!,"[","*ISTEXT(""["),"]","]"")"))</definedName>
    <definedName name="ava" localSheetId="6">EVALUATE(SUBSTITUTE(SUBSTITUTE(#REF!,"[","*ISTEXT(""["),"]","]"")"))</definedName>
    <definedName name="_xlnm.Print_Area" localSheetId="6">'材料表 '!$A$1:$G$180</definedName>
    <definedName name="\q" localSheetId="8">#REF!</definedName>
    <definedName name="_001年.xls" localSheetId="8">#REF!</definedName>
    <definedName name="_" localSheetId="8">#REF!</definedName>
    <definedName name="_xlnm.Print_Area" localSheetId="8">辅材及安装费!$A$1:$H$25</definedName>
    <definedName name="________wa2" localSheetId="8">#REF!</definedName>
    <definedName name="________ys2" localSheetId="8">#REF!</definedName>
    <definedName name="_______ys1" localSheetId="8">#REF!</definedName>
    <definedName name="_______ys3" localSheetId="8">#REF!</definedName>
    <definedName name="______wa2" localSheetId="8">#REF!</definedName>
    <definedName name="______ys1" localSheetId="8">#REF!</definedName>
    <definedName name="______ys2" localSheetId="8">#REF!</definedName>
    <definedName name="______ys3" localSheetId="8">#REF!</definedName>
    <definedName name="_____wa2" localSheetId="8">#REF!</definedName>
    <definedName name="_____ys1" localSheetId="8">#REF!</definedName>
    <definedName name="_____ys2" localSheetId="8">#REF!</definedName>
    <definedName name="_____ys3" localSheetId="8">#REF!</definedName>
    <definedName name="____wa2" localSheetId="8">#REF!</definedName>
    <definedName name="____ys1" localSheetId="8">#REF!</definedName>
    <definedName name="____ys2" localSheetId="8">#REF!</definedName>
    <definedName name="____ys3" localSheetId="8">#REF!</definedName>
    <definedName name="___wa2" localSheetId="8">#REF!</definedName>
    <definedName name="___ys1" localSheetId="8">#REF!</definedName>
    <definedName name="___ys2" localSheetId="8">#REF!</definedName>
    <definedName name="___ys3" localSheetId="8">#REF!</definedName>
    <definedName name="__wa2" localSheetId="8">#REF!</definedName>
    <definedName name="＿＿wwl1" localSheetId="8">#REF!</definedName>
    <definedName name="__ys1" localSheetId="8">#REF!</definedName>
    <definedName name="__ys2" localSheetId="8">#REF!</definedName>
    <definedName name="__ys3" localSheetId="8">#REF!</definedName>
    <definedName name="＿ax1" localSheetId="8">#REF!</definedName>
    <definedName name="＿bv1" localSheetId="8">#REF!</definedName>
    <definedName name="＿c4" localSheetId="8">#REF!</definedName>
    <definedName name="＿cb1" localSheetId="8">#REF!</definedName>
    <definedName name="＿kk1" localSheetId="8">#REF!</definedName>
    <definedName name="＿l1" localSheetId="8">#REF!</definedName>
    <definedName name="＿ll1" localSheetId="8">#REF!</definedName>
    <definedName name="＿ll3" localSheetId="8">#REF!</definedName>
    <definedName name="＿ol1" localSheetId="8">#REF!</definedName>
    <definedName name="_up2" localSheetId="8">#REF!</definedName>
    <definedName name="_wa2" localSheetId="8">#REF!</definedName>
    <definedName name="＿wa3" localSheetId="8">#REF!</definedName>
    <definedName name="＿wa5" localSheetId="8">#REF!</definedName>
    <definedName name="_wb2" localSheetId="8">#REF!</definedName>
    <definedName name="_YA4" localSheetId="8">#REF!</definedName>
    <definedName name="_yq3" localSheetId="8">#REF!</definedName>
    <definedName name="_ys1" localSheetId="8">#REF!</definedName>
    <definedName name="_ys11" localSheetId="8">#REF!</definedName>
    <definedName name="＿ys18" localSheetId="8">#REF!</definedName>
    <definedName name="_ys2" localSheetId="8">#REF!</definedName>
    <definedName name="_ys3" localSheetId="8">#REF!</definedName>
    <definedName name="_YS5" localSheetId="8">#REF!</definedName>
    <definedName name="B" localSheetId="8">#REF!</definedName>
    <definedName name="J41户型A2" localSheetId="8">#REF!</definedName>
    <definedName name="MM" localSheetId="8">EVALUATE(SUBSTITUTE(SUBSTITUTE(#REF!,"[","*ISTEXT(""["),"]","]"")"))</definedName>
    <definedName name="_xlnm.Print_Titles" localSheetId="8" hidden="1">#REF!</definedName>
    <definedName name="XLRPARAMS_BZSJ" localSheetId="8" hidden="1">#REF!</definedName>
    <definedName name="XLRPARAMS_FDDBR" localSheetId="8" hidden="1">#REF!</definedName>
    <definedName name="XLRPARAMS_JSDW" localSheetId="8" hidden="1">#REF!</definedName>
    <definedName name="XLRPARAMS_TBR" localSheetId="8" hidden="1">#REF!</definedName>
    <definedName name="XLRPARAMS_TBZJ" localSheetId="8" hidden="1">#REF!</definedName>
    <definedName name="XLRPARAMS_TBZJDX" localSheetId="8" hidden="1">#REF!</definedName>
    <definedName name="XLRPARAMS_ZBR" localSheetId="8" hidden="1">#REF!</definedName>
    <definedName name="XLRPARAMS_ZJH" localSheetId="8" hidden="1">#REF!</definedName>
    <definedName name="Z_0E9FE9F8_6DD2_48FC_9AB4_8E7C3E14C436_.wvu.PrintArea" localSheetId="8" hidden="1">#REF!</definedName>
    <definedName name="Z_0E9FE9F8_6DD2_48FC_9AB4_8E7C3E14C436_.wvu.PrintTitles" localSheetId="8" hidden="1">#REF!</definedName>
    <definedName name="ama" localSheetId="8">EVALUATE(SUBSTITUTE(SUBSTITUTE(#REF!,"[","*ISTEXT(""["),"]","]"")"))</definedName>
    <definedName name="amn" localSheetId="8">EVALUATE(SUBSTITUTE(SUBSTITUTE(#REF!,"[","*ISTEXT(""["),"]","]"")"))</definedName>
    <definedName name="amq" localSheetId="8">EVALUATE(SUBSTITUTE(SUBSTITUTE(#REF!,"[","*ISTEXT(""["),"]","]"")"))</definedName>
    <definedName name="amx" localSheetId="8">EVALUATE(SUBSTITUTE(SUBSTITUTE(#REF!,"[","*ISTEXT(""["),"]","]"")"))</definedName>
    <definedName name="ava" localSheetId="8">EVALUATE(SUBSTITUTE(SUBSTITUTE(#REF!,"[","*ISTEXT(""["),"]","]"")"))</definedName>
    <definedName name="运费">#REF!</definedName>
    <definedName name="____" hidden="1">#REF!</definedName>
    <definedName name="______" hidden="1">#REF!</definedName>
    <definedName name="_____ngk1109" hidden="1">{#N/A,#N/A,FALSE,"估價單  (3)"}</definedName>
    <definedName name="____ngk1109" hidden="1">{#N/A,#N/A,FALSE,"估價單  (3)"}</definedName>
    <definedName name="___ngk1109" hidden="1">{#N/A,#N/A,FALSE,"估價單  (3)"}</definedName>
    <definedName name="__CFJ1">[83]钢筋!$A$6:$T$12</definedName>
    <definedName name="__x1">#REF!</definedName>
    <definedName name="_0.33__18.8_18.8__0.33__1.43_1.433_2.166_1.466_6.335_1.466_1.866_1.433_4.366_1.15_0.85_4.43_0.82_1.61_2.45_1.85_2.02_0.6_4.6_2.7_2.45_1.61_5.25_0.85_1.25_4.5_1.7_2_1.466_1_6.335_1_1.466_2.166_1.433_1.433_3.416_2_11.61__0.33__2.75_1.8_1.85_1.8_3.1_2.44_2.7">#REF!</definedName>
    <definedName name="_000年.xls">#REF!</definedName>
    <definedName name="_002年.xls">#REF!</definedName>
    <definedName name="_1.026_10__4.65_2_4.15_2">#REF!</definedName>
    <definedName name="_1.65_7.35_1.5_1.65_1.8_2.65_2_1.8_2.65___3.65_0.1">#REF!</definedName>
    <definedName name="_1_3">#REF!</definedName>
    <definedName name="_10_4.6_2.2">#REF!</definedName>
    <definedName name="_16.025_8.297_18.65__10.5">#REF!</definedName>
    <definedName name="_1F6_">[83]钢筋!$A$6:$Y$12</definedName>
    <definedName name="_2.31_2.28__5.956__4.19_2.31_4.15_2.28__4.112_4.98_2_1.2__1.852_0.886__2_0.5_7.15_1.27_1.615_4.712_2_8.535_0.336_0.26__4.19_4.15">#REF!</definedName>
    <definedName name="_2.45_52.8_40">VALUE([84]工程量计算!$D$3)</definedName>
    <definedName name="_3.2_3_2.25__0.51_0.3">#REF!</definedName>
    <definedName name="_3.6_3_2">#REF!</definedName>
    <definedName name="_38.293_2_5.4_2">#REF!</definedName>
    <definedName name="_4F6_">[85]钢筋!$A$6:$Y$12</definedName>
    <definedName name="_A99999">#REF!</definedName>
    <definedName name="_A999999">#REF!</definedName>
    <definedName name="_BTG1">#REF!</definedName>
    <definedName name="_BTG2">#REF!</definedName>
    <definedName name="_CFJ1">[85]钢筋!$A$6:$T$12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PE7">'[86]SW-TEO'!#REF!</definedName>
    <definedName name="_PE8">'[86]SW-TEO'!#REF!</definedName>
    <definedName name="_PE9">'[86]SW-TEO'!#REF!</definedName>
    <definedName name="_PH1">'[86]SW-TEO'!#REF!</definedName>
    <definedName name="_PI1">'[86]SW-TEO'!#REF!</definedName>
    <definedName name="_PK1">'[86]SW-TEO'!#REF!</definedName>
    <definedName name="_PK3">'[86]SW-TEO'!#REF!</definedName>
    <definedName name="_Toc78040148">#REF!</definedName>
    <definedName name="_编标人">#REF!</definedName>
    <definedName name="_编制单位">#REF!</definedName>
    <definedName name="_编制人">#REF!</definedName>
    <definedName name="_编制日期">#REF!</definedName>
    <definedName name="_编制时间">#REF!</definedName>
    <definedName name="_标底总价小写">#REF!</definedName>
    <definedName name="_材料费合计">#REF!</definedName>
    <definedName name="_层次层">#REF!</definedName>
    <definedName name="_大写">#REF!</definedName>
    <definedName name="_单位造价">#REF!</definedName>
    <definedName name="_法定代表人">#REF!</definedName>
    <definedName name="_分部项合计">#REF!</definedName>
    <definedName name="_复核人">#REF!</definedName>
    <definedName name="_钢材总量t">#REF!</definedName>
    <definedName name="_钢门窗总量m2">#REF!</definedName>
    <definedName name="_工程地址">#REF!</definedName>
    <definedName name="_工程名称">#REF!</definedName>
    <definedName name="_工程造价">#REF!</definedName>
    <definedName name="_工日合计">#REF!</definedName>
    <definedName name="_核减">#REF!</definedName>
    <definedName name="_机械费合计">#REF!</definedName>
    <definedName name="_及注册证号">#REF!</definedName>
    <definedName name="_及注册证号编审章">#REF!</definedName>
    <definedName name="_建设单位">#REF!</definedName>
    <definedName name="_建筑面积">#REF!</definedName>
    <definedName name="_结构类型">#REF!</definedName>
    <definedName name="_经济指标">#REF!</definedName>
    <definedName name="_铝合金门窗m2">#REF!</definedName>
    <definedName name="_木材总量m3">#REF!</definedName>
    <definedName name="_人工费合计">#REF!</definedName>
    <definedName name="_审定造价">#REF!</definedName>
    <definedName name="_审核单位">#REF!</definedName>
    <definedName name="_审核人">#REF!</definedName>
    <definedName name="_审核日期">#REF!</definedName>
    <definedName name="_施工单位">#REF!</definedName>
    <definedName name="_水泥总量t">#REF!</definedName>
    <definedName name="_送审造价">#REF!</definedName>
    <definedName name="_投标人">#REF!</definedName>
    <definedName name="_投标总价小写">#REF!</definedName>
    <definedName name="_檐高米">#REF!</definedName>
    <definedName name="_造价工程师">#REF!</definedName>
    <definedName name="_造价工程师造价编审人员">#REF!</definedName>
    <definedName name="_招标人">#REF!</definedName>
    <definedName name="_中介机构">#REF!</definedName>
    <definedName name="A12HAO" hidden="1">#REF!</definedName>
    <definedName name="AA">#REF!</definedName>
    <definedName name="AAA">#REF!+#REF!+0.1</definedName>
    <definedName name="aaaaaaaaaa">#REF!</definedName>
    <definedName name="aaaaaaaaaaaaaaaaa">#REF!</definedName>
    <definedName name="abcd">#REF!</definedName>
    <definedName name="ABCDF" hidden="1">{#N/A,#N/A,FALSE,"估價單  (3)"}</definedName>
    <definedName name="adfw">#REF!</definedName>
    <definedName name="ads" hidden="1">{#N/A,#N/A,FALSE,"Aging Summary";#N/A,#N/A,FALSE,"Ratio Analysis";#N/A,#N/A,FALSE,"Test 120 Day Accts";#N/A,#N/A,FALSE,"Tickmarks"}</definedName>
    <definedName name="aiu_bottom">'[87]Financ. Overview'!#REF!</definedName>
    <definedName name="asdflkjasd" hidden="1">{#N/A,#N/A,FALSE,"Aging Summary";#N/A,#N/A,FALSE,"Ratio Analysis";#N/A,#N/A,FALSE,"Test 120 Day Accts";#N/A,#N/A,FALSE,"Tickmarks"}</definedName>
    <definedName name="B1材料表">[88]B1材料表!$B$2:$H$143</definedName>
    <definedName name="bbb">#REF!</definedName>
    <definedName name="BL_8_1.52_8FH">[89]一次汇总!$D$6</definedName>
    <definedName name="BL_8_8_1.52_8L">[90]一次汇总!$D$4</definedName>
    <definedName name="bt">#REF!</definedName>
    <definedName name="BTG">#REF!</definedName>
    <definedName name="cap">#REF!</definedName>
    <definedName name="ch">#REF!</definedName>
    <definedName name="Cl">#REF!</definedName>
    <definedName name="CLDJ">#REF!</definedName>
    <definedName name="clfx">#REF!</definedName>
    <definedName name="clsl">#REF!</definedName>
    <definedName name="Code">#REF!</definedName>
    <definedName name="CODELK_Path">'[93]DDETABLE '!$AD$4</definedName>
    <definedName name="cola">#REF!</definedName>
    <definedName name="colb">#REF!</definedName>
    <definedName name="Cov_99_Rev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'[94]#REF'!$Q$162</definedName>
    <definedName name="Cov_Univ_Avg">#REF!</definedName>
    <definedName name="Cov_Univ_Total">#REF!</definedName>
    <definedName name="CTopics">'[93]DDETABLE '!$AM$2:$AM$4</definedName>
    <definedName name="d">#REF!</definedName>
    <definedName name="D0">#REF!</definedName>
    <definedName name="D00">#REF!</definedName>
    <definedName name="D000">#REF!</definedName>
    <definedName name="D0000">#REF!</definedName>
    <definedName name="dataArea">#REF!</definedName>
    <definedName name="database1">#REF!</definedName>
    <definedName name="dbTitle_AudioAuthor">[95]G2TempSheet!$S$4</definedName>
    <definedName name="dbTitle_AudioAuthorId">[95]G2TempSheet!$T$4</definedName>
    <definedName name="dbTitle_BudgetStyle">[96]G2TempSheet!$E$4</definedName>
    <definedName name="dbTitle_builder">#REF!</definedName>
    <definedName name="dbTitle_chinesedate">[95]G2TempSheet!$V$4</definedName>
    <definedName name="dbTitle_CompileAuthor">[95]G2TempSheet!$Q$4</definedName>
    <definedName name="dbTitle_CompileAuthorId">[95]G2TempSheet!$R$4</definedName>
    <definedName name="dbTitle_gczj">[95]G2TempSheet!$W$4</definedName>
    <definedName name="dbTitle_projectname">#REF!</definedName>
    <definedName name="dd">#REF!</definedName>
    <definedName name="DDDD">#REF!</definedName>
    <definedName name="df" hidden="1">{#N/A,#N/A,FALSE,"估價單  (3)"}</definedName>
    <definedName name="Dia">#REF!</definedName>
    <definedName name="DIXI">#REF!</definedName>
    <definedName name="djfx">#REF!</definedName>
    <definedName name="dm">IF(#REF!="","",COUNTA(#REF!))</definedName>
    <definedName name="dp">#REF!</definedName>
    <definedName name="Dr_sch">#REF!</definedName>
    <definedName name="dsDataSet2">[97]费用表!#REF!</definedName>
    <definedName name="dsDataSet3">[97]费用表!#REF!</definedName>
    <definedName name="dsDataSet4">[97]费用表!#REF!</definedName>
    <definedName name="DSDDE_Path">'[93]DDETABLE '!$AD$3</definedName>
    <definedName name="EBIT">#REF!</definedName>
    <definedName name="eee">#REF!</definedName>
    <definedName name="eeee">#REF!</definedName>
    <definedName name="ei" hidden="1">{#N/A,#N/A,FALSE,"估價單  (3)"}</definedName>
    <definedName name="EQUIPMENT">#REF!</definedName>
    <definedName name="Excel_Version">'[93]DDETABLE '!$AD$8</definedName>
    <definedName name="exch_rate_1">[98]!exch_rate_1</definedName>
    <definedName name="exch_rate_2">[98]!exch_rate_2</definedName>
    <definedName name="exch_rate_3">[98]!exch_rate_3</definedName>
    <definedName name="ExtFiles">'[93]DDETABLE '!$AG$2:$AG$10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KRI_BALAL99">#REF!</definedName>
    <definedName name="FAMERangeKRI_BALAM99">#REF!</definedName>
    <definedName name="FAMERangeKRI_BALAN99">#REF!</definedName>
    <definedName name="fdsfafdasf">#REF!</definedName>
    <definedName name="FENG10">#REF!</definedName>
    <definedName name="ffff">#REF!</definedName>
    <definedName name="fl">#REF!</definedName>
    <definedName name="FLJDXT">[89]一次汇总!$D$124</definedName>
    <definedName name="FlrNo">#REF!</definedName>
    <definedName name="Formats">'[93]DDETABLE '!$AN$2:$AN$11</definedName>
    <definedName name="FRC">[87]Main!$C$9</definedName>
    <definedName name="free">#REF!</definedName>
    <definedName name="FREQS">'[93]DDETABLE '!$AP$2:$AP$6</definedName>
    <definedName name="fry" hidden="1">{#N/A,#N/A,FALSE,"估價單  (3)"}</definedName>
    <definedName name="fsadfsdfas">#REF!</definedName>
    <definedName name="fsfa">#REF!</definedName>
    <definedName name="GC_CX">[90]一次汇总!$D$55</definedName>
    <definedName name="gfs" hidden="1">{#N/A,#N/A,FALSE,"估價單  (3)"}</definedName>
    <definedName name="Grd">#REF!</definedName>
    <definedName name="Growth">#REF!</definedName>
    <definedName name="Growth_97">#REF!</definedName>
    <definedName name="Growth_98">#REF!</definedName>
    <definedName name="Growth_99">#REF!</definedName>
    <definedName name="hanliangbiao">#REF!</definedName>
    <definedName name="HBMJ">[89]一次汇总!$D$122</definedName>
    <definedName name="HDE_P8_G030">#REF!</definedName>
    <definedName name="HH">#REF!</definedName>
    <definedName name="hostfee">'[2]Financ. Overview'!$H$12</definedName>
    <definedName name="hraiu_bottom">'[87]Financ. Overview'!#REF!</definedName>
    <definedName name="hvac">'[87]Financ. Overview'!#REF!</definedName>
    <definedName name="iii">#REF!</definedName>
    <definedName name="J">#REF!</definedName>
    <definedName name="J48.07">#REF!</definedName>
    <definedName name="jdj">#REF!</definedName>
    <definedName name="K">#REF!</definedName>
    <definedName name="Key">#REF!</definedName>
    <definedName name="KgSum">#REF!</definedName>
    <definedName name="L">#REF!</definedName>
    <definedName name="Last_Update">'[93]DDETABLE '!$E$9</definedName>
    <definedName name="lcmd">#REF!</definedName>
    <definedName name="Liberalization">#REF!</definedName>
    <definedName name="Links">'[93]DDETABLE '!$AH$2</definedName>
    <definedName name="LiveReqs">'[93]DDETABLE '!$H$6</definedName>
    <definedName name="LnSl">#REF!</definedName>
    <definedName name="Lsum">#REF!</definedName>
    <definedName name="LTRU">#REF!</definedName>
    <definedName name="lvhua" hidden="1">#REF!</definedName>
    <definedName name="M1521A">[100]门窗!#REF!</definedName>
    <definedName name="㎡">#REF!</definedName>
    <definedName name="Macro1">#REF!</definedName>
    <definedName name="MemFree">'[93]DDETABLE '!$AD$11</definedName>
    <definedName name="MemTotal">'[93]DDETABLE '!$AD$10</definedName>
    <definedName name="N">#REF!</definedName>
    <definedName name="Name">#REF!</definedName>
    <definedName name="o">#REF!</definedName>
    <definedName name="Off_High_Cov">#REF!</definedName>
    <definedName name="Operating_Sys">'[93]DDETABLE '!$AD$9</definedName>
    <definedName name="OS">[99]Open!#REF!</definedName>
    <definedName name="OTHER">#REF!</definedName>
    <definedName name="paun">#REF!</definedName>
    <definedName name="perf">#REF!</definedName>
    <definedName name="Perf_98">#REF!</definedName>
    <definedName name="Perf_99">#REF!</definedName>
    <definedName name="pp" hidden="1">#REF!</definedName>
    <definedName name="pr_toolbox">[2]Toolbox!$A$3:$I$80</definedName>
    <definedName name="price">#REF!</definedName>
    <definedName name="Q">#REF!</definedName>
    <definedName name="qqqqq">#REF!</definedName>
    <definedName name="QUFEI">[101]取费表!$A$1:$F$65536</definedName>
    <definedName name="rad">#REF!</definedName>
    <definedName name="Recorder" hidden="1">#REF!</definedName>
    <definedName name="rehtrhtrhtr" hidden="1">{#N/A,#N/A,FALSE,"Aging Summary";#N/A,#N/A,FALSE,"Ratio Analysis";#N/A,#N/A,FALSE,"Test 120 Day Accts";#N/A,#N/A,FALSE,"Tickmarks"}</definedName>
    <definedName name="reqdetails">'[93]DDETABLE '!$O$15:$T$345</definedName>
    <definedName name="Results">#REF!</definedName>
    <definedName name="Revenue_2">#REF!</definedName>
    <definedName name="rrrrr">#REF!</definedName>
    <definedName name="rs">#REF!</definedName>
    <definedName name="s_c_list">[102]Toolbox!$A$7:$H$969</definedName>
    <definedName name="sagfafdg" hidden="1">#REF!</definedName>
    <definedName name="SCG">'[102]G.1R-Shou COP Gf'!#REF!</definedName>
    <definedName name="Schedule">'[93]DDETABLE '!$E$5</definedName>
    <definedName name="sdlfee">'[2]Financ. Overview'!$H$13</definedName>
    <definedName name="series01">#REF!</definedName>
    <definedName name="series02">#REF!</definedName>
    <definedName name="series03">#REF!</definedName>
    <definedName name="series04">#REF!</definedName>
    <definedName name="series05">#REF!</definedName>
    <definedName name="series06">#REF!</definedName>
    <definedName name="series07">#REF!</definedName>
    <definedName name="series08">#REF!</definedName>
    <definedName name="series09">#REF!</definedName>
    <definedName name="series10">#REF!</definedName>
    <definedName name="Setup">'[93]DDETABLE '!$AC$2</definedName>
    <definedName name="sFormat">'[93]DDETABLE '!$AQ$4</definedName>
    <definedName name="sgfrfsgfrg" hidden="1">{#N/A,#N/A,FALSE,"Aging Summary";#N/A,#N/A,FALSE,"Ratio Analysis";#N/A,#N/A,FALSE,"Test 120 Day Accts";#N/A,#N/A,FALSE,"Tickmarks"}</definedName>
    <definedName name="Share_Data">#REF!</definedName>
    <definedName name="ShowDetails">'[93]DDETABLE '!$AH$13</definedName>
    <definedName name="SLn">#REF!</definedName>
    <definedName name="solar_ratio">'[103]POWER ASSUMPTIONS'!$H$7</definedName>
    <definedName name="sppp">#REF!</definedName>
    <definedName name="srthsgn">#REF!</definedName>
    <definedName name="ss7fee">'[2]Financ. Overview'!$H$18</definedName>
    <definedName name="sTable">'[93]DDETABLE '!$AJ$2:$AQ$11</definedName>
    <definedName name="subsfee">'[2]Financ. Overview'!$H$14</definedName>
    <definedName name="sYesNo">'[93]DDETABLE '!$AQ$2</definedName>
    <definedName name="T">#REF!</definedName>
    <definedName name="TableName">'[93]DDETABLE '!$E$6</definedName>
    <definedName name="TACS1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CS3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TARLPI">#REF!</definedName>
    <definedName name="TARSPP">#REF!</definedName>
    <definedName name="TARSS1">#REF!</definedName>
    <definedName name="TBZJ">[92]成本汇总!$G$111</definedName>
    <definedName name="TEST0">#REF!</definedName>
    <definedName name="TESTHKEY">#REF!</definedName>
    <definedName name="TESTKEYS">#REF!</definedName>
    <definedName name="TESTVKEY">#REF!</definedName>
    <definedName name="tim">#REF!</definedName>
    <definedName name="Title">'[93]DDETABLE '!$E$8</definedName>
    <definedName name="toolbox">[104]Toolbox!$C$5:$T$1578</definedName>
    <definedName name="TotalReqs">'[93]DDETABLE '!$H$5</definedName>
    <definedName name="TotalTime">'[93]DDETABLE '!$H$7</definedName>
    <definedName name="TRANS">#REF!</definedName>
    <definedName name="TRANS1">#REF!</definedName>
    <definedName name="traspp">#REF!</definedName>
    <definedName name="tt">#REF!</definedName>
    <definedName name="U">#REF!</definedName>
    <definedName name="UniqueRange_0">#REF!</definedName>
    <definedName name="UniqueRange_1">#REF!</definedName>
    <definedName name="uuuuu">#REF!</definedName>
    <definedName name="V">#REF!</definedName>
    <definedName name="V5.1Fee">'[87]Financ. Overview'!$H$15</definedName>
    <definedName name="VAL">#REF!</definedName>
    <definedName name="vsd">#REF!</definedName>
    <definedName name="W">#REF!</definedName>
    <definedName name="w0">#REF!</definedName>
    <definedName name="wk">#REF!</definedName>
    <definedName name="WORLPI">#REF!</definedName>
    <definedName name="WORSPP">#REF!</definedName>
    <definedName name="wrn.Aging._.and._.Trend._.Analysis." hidden="1">{#N/A,#N/A,FALSE,"Aging Summary";#N/A,#N/A,FALSE,"Ratio Analysis";#N/A,#N/A,FALSE,"Test 120 Day Accts";#N/A,#N/A,FALSE,"Tickmarks"}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output.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ww" hidden="1">#REF!</definedName>
    <definedName name="xm">#REF!</definedName>
    <definedName name="XT">[101]系统材料!$A$1:$G$65536</definedName>
    <definedName name="YesNo">'[93]DDETABLE '!$AK$2:$AK$3</definedName>
    <definedName name="yyy">#REF!</definedName>
    <definedName name="yyyyyyrrrrrrrrrrrrr" hidden="1">{#N/A,#N/A,FALSE,"估價單  (3)"}</definedName>
    <definedName name="yyyyyyyyyyyyyyyyyyyyyyy" hidden="1">{#N/A,#N/A,FALSE,"估價單  (3)"}</definedName>
    <definedName name="Z">#REF!</definedName>
    <definedName name="Z32_Cost_red">'[87]Financ. Overview'!#REF!</definedName>
    <definedName name="zxd">#REF!</definedName>
    <definedName name="zzz">#REF!</definedName>
    <definedName name="μs">#REF!</definedName>
    <definedName name="μs1">#REF!</definedName>
    <definedName name="ｿｰﾄ範囲">'[83]#REF'!$A$7:$N$1824</definedName>
    <definedName name="啊啊">#REF!</definedName>
    <definedName name="板材">#REF!</definedName>
    <definedName name="板厚">#REF!</definedName>
    <definedName name="包装运输">8</definedName>
    <definedName name="报价汇总">#REF!</definedName>
    <definedName name="背栓">[105]材料价格表!$F$59</definedName>
    <definedName name="苯板">[105]材料价格表!$F$55</definedName>
    <definedName name="标高">#REF!</definedName>
    <definedName name="标准">#REF!</definedName>
    <definedName name="表面氟碳喷涂">#REF!</definedName>
    <definedName name="玻璃">#REF!</definedName>
    <definedName name="玻璃规格">#REF!</definedName>
    <definedName name="玻璃索引">#REF!</definedName>
    <definedName name="不好">#REF!</definedName>
    <definedName name="不利分格高">#REF!</definedName>
    <definedName name="不利风格宽">#REF!</definedName>
    <definedName name="不锈钢板1.2">[105]材料价格表!$F$42</definedName>
    <definedName name="不锈钢管60">[105]材料价格表!$F$46</definedName>
    <definedName name="材料">#REF!</definedName>
    <definedName name="层高">#REF!</definedName>
    <definedName name="层间防火隔断">#REF!</definedName>
    <definedName name="层间防火隔断用料">#REF!</definedName>
    <definedName name="查清">#REF!</definedName>
    <definedName name="成本">[106]改加胶玻璃、室外栏杆!$D$8</definedName>
    <definedName name="粗糙索引">#REF!</definedName>
    <definedName name="大写金额">SUBSTITUTE(SUBSTITUTE(IF([113]汇总表!XFC1048571&gt;-0.5%,,"负")&amp;TEXT(INT(ABS([113]汇总表!XFC1048571)+0.5%),"[dbnum2]G/通用格式元;;")&amp;TEXT(RIGHT(FIXED([113]汇总表!XFC1048571),2),"[dbnum2]0角0分;;"&amp;IF(ABS([113]汇总表!XFC1048571)&gt;1%,"整",)),"零角",IF(ABS([113]汇总表!XFC1048571)&lt;1,,"零")),"零分","整")</definedName>
    <definedName name="单位">#REF!</definedName>
    <definedName name="单位消耗测算表_A1">[107]表01!$D$7</definedName>
    <definedName name="德国">#REF!</definedName>
    <definedName name="的">#REF!</definedName>
    <definedName name="地">#REF!</definedName>
    <definedName name="地坪厚度">#REF!</definedName>
    <definedName name="地锁">[105]材料价格表!$F$64</definedName>
    <definedName name="地震烈度">#REF!</definedName>
    <definedName name="垫层厚">#REF!</definedName>
    <definedName name="垫层厚度">'[108]基 础'!#REF!</definedName>
    <definedName name="垫层突出单边宽">#REF!</definedName>
    <definedName name="东立面雨棚" hidden="1">{#N/A,#N/A,FALSE,"估價單  (3)"}</definedName>
    <definedName name="懂法守法">[98]!exch_rate_1</definedName>
    <definedName name="镀锌板1.5">[105]材料价格表!$F$52</definedName>
    <definedName name="镀锌钢方管100">[105]材料价格表!$F$10</definedName>
    <definedName name="镀锌角钢">[105]材料价格表!$F$17</definedName>
    <definedName name="镀锌角钢t">[105]材料价格表!$F$16</definedName>
    <definedName name="额">[98]!exch_rate_1</definedName>
    <definedName name="返回对话">[109]!返回对话</definedName>
    <definedName name="放长假">#REF!</definedName>
    <definedName name="风6">#REF!</definedName>
    <definedName name="封面2">#REF!</definedName>
    <definedName name="蜂窝铝板">#REF!</definedName>
    <definedName name="氟炭喷涂">[105]材料价格表!$F$69</definedName>
    <definedName name="附加赛">#REF!</definedName>
    <definedName name="复合铝板">#REF!</definedName>
    <definedName name="覆盖范围">[110]sheet2!$B$2:$B$9</definedName>
    <definedName name="钢板">[105]材料价格表!$F$7</definedName>
    <definedName name="钢构件">#REF!</definedName>
    <definedName name="钢花夹胶10">[105]材料价格表!$F$24</definedName>
    <definedName name="钢化夹胶6">[105]材料价格表!$F$26</definedName>
    <definedName name="钢化中空玻璃">[105]材料价格表!$F$23</definedName>
    <definedName name="钢筋弯钩长度">#REF!</definedName>
    <definedName name="钢圆管8">[105]材料价格表!$F$9</definedName>
    <definedName name="高度变化系数">#REF!</definedName>
    <definedName name="工程编号">#REF!</definedName>
    <definedName name="工程量比较">#REF!</definedName>
    <definedName name="工程量统计">#REF!</definedName>
    <definedName name="工作面单边宽">#REF!</definedName>
    <definedName name="挂件">[105]材料价格表!$F$58</definedName>
    <definedName name="管理">#REF!</definedName>
    <definedName name="规费">1%</definedName>
    <definedName name="哈哈">#REF!</definedName>
    <definedName name="含量表">#REF!</definedName>
    <definedName name="呵呵">800</definedName>
    <definedName name="胡">[91]内围地梁钢筋说明!$C$15</definedName>
    <definedName name="汇总">#REF!</definedName>
    <definedName name="机械费">10</definedName>
    <definedName name="机械化">#REF!</definedName>
    <definedName name="检验">[109]!检验</definedName>
    <definedName name="胶">#REF!</definedName>
    <definedName name="胶条">#REF!</definedName>
    <definedName name="结构胶">[105]材料价格表!$F$48</definedName>
    <definedName name="进出口平衡比较">#REF!</definedName>
    <definedName name="九">'[111]7'!$B$6:$G$15</definedName>
    <definedName name="酒店">#REF!</definedName>
    <definedName name="酒店1">#REF!</definedName>
    <definedName name="看来">#REF!</definedName>
    <definedName name="可可可可可">#REF!</definedName>
    <definedName name="拉手">[105]材料价格表!$F$61</definedName>
    <definedName name="来老">'[112]3'!$B$6:$G$9</definedName>
    <definedName name="类型">#REF!</definedName>
    <definedName name="利润">4%</definedName>
    <definedName name="螺栓">#REF!</definedName>
    <definedName name="铝板">#REF!</definedName>
    <definedName name="铝板幕墙">#REF!</definedName>
    <definedName name="铝单板">#REF!</definedName>
    <definedName name="铝单板3">[105]材料价格表!$F$30</definedName>
    <definedName name="绿化" hidden="1">#REF!</definedName>
    <definedName name="门窗">#REF!</definedName>
    <definedName name="门窗安装费">38</definedName>
    <definedName name="门窗表">#REF!</definedName>
    <definedName name="门窗表a23">#REF!</definedName>
    <definedName name="明">#REF!</definedName>
    <definedName name="磨擦铰链">#REF!</definedName>
    <definedName name="幕墙">EVALUATE(SUBSTITUTE(SUBSTITUTE(#REF!,"[","*ISTEXT("""),"]",""")"))</definedName>
    <definedName name="幕墙1">EVALUATE(SUBSTITUTE(SUBSTITUTE(#REF!,"[","*ISTEXT("""),"]",""")"))</definedName>
    <definedName name="耐候胶">[105]材料价格表!$F$49</definedName>
    <definedName name="你好">#REF!</definedName>
    <definedName name="诺托窗件">[105]材料价格表!$F$60</definedName>
    <definedName name="其他辅料">#REF!</definedName>
    <definedName name="其他胶">#REF!</definedName>
    <definedName name="其它">#REF!</definedName>
    <definedName name="砌筑">#REF!</definedName>
    <definedName name="砌筑1">#REF!</definedName>
    <definedName name="请打">'[111]投标材料清单 '!$B$5:$J$75</definedName>
    <definedName name="去·1">#REF!</definedName>
    <definedName name="全部打印">[110]!全部打印</definedName>
    <definedName name="热轧">#REF!</definedName>
    <definedName name="撒旦法">[98]!exch_rate_2</definedName>
    <definedName name="三元乙丙">[105]材料价格表!$F$50</definedName>
    <definedName name="审杳表">#REF!</definedName>
    <definedName name="石材">[105]材料价格表!$F$33</definedName>
    <definedName name="时">#REF!</definedName>
    <definedName name="时候">#REF!</definedName>
    <definedName name="室内外高差">#REF!</definedName>
    <definedName name="室外地坪标高">#REF!</definedName>
    <definedName name="售楼">EVALUATE(SUBSTITUTE(SUBSTITUTE(#REF!,"[","*ISTEXT("""),"]",""")"))</definedName>
    <definedName name="售楼1" hidden="1">{#N/A,#N/A,FALSE,"估價單  (3)"}</definedName>
    <definedName name="售楼2" hidden="1">{#N/A,#N/A,FALSE,"估價單  (3)"}</definedName>
    <definedName name="售楼3" hidden="1">{#N/A,#N/A,FALSE,"估價單  (3)"}</definedName>
    <definedName name="数量">#REF!</definedName>
    <definedName name="说说">#REF!</definedName>
    <definedName name="塘渣深度">'[108]基 础'!#REF!</definedName>
    <definedName name="体型系数">#REF!</definedName>
    <definedName name="退出">[110]!退出</definedName>
    <definedName name="退出EXCEL">[109]!退出EXCEL</definedName>
    <definedName name="椭圆钢管">[105]材料价格表!$F$15</definedName>
    <definedName name="外委加工.dbf">#REF!</definedName>
    <definedName name="文件名称">#REF!</definedName>
    <definedName name="五金配件">#REF!</definedName>
    <definedName name="新增项材料费">#REF!</definedName>
    <definedName name="型材">#REF!</definedName>
    <definedName name="型号">#REF!</definedName>
    <definedName name="修改">[109]!修改</definedName>
    <definedName name="岩棉">#REF!</definedName>
    <definedName name="岩棉板">[105]材料价格表!$F$56</definedName>
    <definedName name="氧化铝材">[105]材料价格表!$F$20</definedName>
    <definedName name="样办送货单">#REF!</definedName>
    <definedName name="一标段绿化" hidden="1">#REF!</definedName>
    <definedName name="仪表">[83]钢筋!$A$6:$T$12</definedName>
    <definedName name="预览">[109]!预览</definedName>
    <definedName name="预埋件">[105]材料价格表!$F$5</definedName>
    <definedName name="原汇总">#REF!</definedName>
    <definedName name="爪件1">[105]材料价格表!$F$37</definedName>
    <definedName name="爪件1小">[105]材料价格表!$F$39</definedName>
    <definedName name="爪件2">[105]材料价格表!$F$36</definedName>
    <definedName name="爪件2小">[105]材料价格表!$F$38</definedName>
    <definedName name="爪件4">[105]材料价格表!$F$35</definedName>
    <definedName name="阵风系数">#REF!</definedName>
    <definedName name="中">#REF!</definedName>
    <definedName name="主材价格">#REF!</definedName>
    <definedName name="主程序.打印">[109]!主程序.打印</definedName>
    <definedName name="主要">#REF!</definedName>
    <definedName name="综合单价1">#REF!</definedName>
    <definedName name="最大地震加速度">#REF!</definedName>
    <definedName name="最新调整5.17" hidden="1">{"scenario 1",#N/A,FALSE,"scenario1";"drivers",#N/A,FALSE,"Input-Module";"Op Stats",#N/A,FALSE,"Input-Module";"income stmt",#N/A,FALSE,"Ebit-calc";"Cash Flow",#N/A,FALSE,"Input-Module";"Balance Sheet",#N/A,FALSE,"Balance-Sheet";"workings",#N/A,FALSE,"Ebit-calc";"working cap",#N/A,FALSE,"Working-Capital";"dcf value",#N/A,FALSE,"DCF";"check",#N/A,FALSE,"Input-Module"}</definedName>
    <definedName name="qw">[114]基础项目!#REF!</definedName>
    <definedName name="sd">[115]墙面工程!#REF!</definedName>
    <definedName name="保温">[116]模板!#REF!</definedName>
    <definedName name="_xlnm.Print_Area" localSheetId="1">排屋工程量清单!$A$1:$H$118</definedName>
    <definedName name="_xlnm.Print_Area" localSheetId="2">'商业工程量清单 '!$A$1:$H$104</definedName>
    <definedName name="\q" localSheetId="5">#REF!</definedName>
    <definedName name="_001年.xls" localSheetId="5">#REF!</definedName>
    <definedName name="_" localSheetId="5">#REF!</definedName>
    <definedName name="CGFS000001" localSheetId="5">[77]下拉!$H$3:$H$165</definedName>
    <definedName name="_Fill" localSheetId="5" hidden="1">#REF!</definedName>
    <definedName name="a" localSheetId="5">[82]设置!$A$2:$A$16</definedName>
    <definedName name="aaaa" localSheetId="5">"#N/A"</definedName>
    <definedName name="conc40" localSheetId="5">"#N/A"</definedName>
    <definedName name="conc55" localSheetId="5">"#N/A"</definedName>
    <definedName name="Cost_5Lanscape" localSheetId="5">"#N/A"</definedName>
    <definedName name="Cost_7PS" localSheetId="5">"#N/A"</definedName>
    <definedName name="Database" localSheetId="5" hidden="1">[80]资料库!$B$7:$F$5400</definedName>
    <definedName name="fmwk" localSheetId="5">"#N/A"</definedName>
    <definedName name="je" localSheetId="5">"#N/A"</definedName>
    <definedName name="jj" localSheetId="5">"#N/A"</definedName>
    <definedName name="jm" localSheetId="5">"#N/A"</definedName>
    <definedName name="JMJ" localSheetId="5">"#N/A"</definedName>
    <definedName name="list_price" localSheetId="5">"#N/A"</definedName>
    <definedName name="rebar" localSheetId="5">"#N/A"</definedName>
    <definedName name="XLRPARAMS_GCMC" localSheetId="5" hidden="1">[81]XLR_NoRangeSheet!$B$6</definedName>
    <definedName name="YME" localSheetId="5">"#N/A"</definedName>
    <definedName name="工程量" localSheetId="5">"#N/A"</definedName>
    <definedName name="建筑面积" localSheetId="5">""</definedName>
    <definedName name="清单" localSheetId="5">"#N/A"</definedName>
    <definedName name="________wa2" localSheetId="5">#REF!</definedName>
    <definedName name="________ys2" localSheetId="5">#REF!</definedName>
    <definedName name="_______ys1" localSheetId="5">#REF!</definedName>
    <definedName name="_______ys3" localSheetId="5">#REF!</definedName>
    <definedName name="______wa2" localSheetId="5">#REF!</definedName>
    <definedName name="______ys1" localSheetId="5">#REF!</definedName>
    <definedName name="______ys2" localSheetId="5">#REF!</definedName>
    <definedName name="______ys3" localSheetId="5">#REF!</definedName>
    <definedName name="_____wa2" localSheetId="5">#REF!</definedName>
    <definedName name="_____ys1" localSheetId="5">#REF!</definedName>
    <definedName name="_____ys2" localSheetId="5">#REF!</definedName>
    <definedName name="_____ys3" localSheetId="5">#REF!</definedName>
    <definedName name="____wa2" localSheetId="5">#REF!</definedName>
    <definedName name="____ys1" localSheetId="5">#REF!</definedName>
    <definedName name="____ys2" localSheetId="5">#REF!</definedName>
    <definedName name="____ys3" localSheetId="5">#REF!</definedName>
    <definedName name="___wa2" localSheetId="5">#REF!</definedName>
    <definedName name="___ys1" localSheetId="5">#REF!</definedName>
    <definedName name="___ys2" localSheetId="5">#REF!</definedName>
    <definedName name="___ys3" localSheetId="5">#REF!</definedName>
    <definedName name="__wa2" localSheetId="5">#REF!</definedName>
    <definedName name="＿＿wwl1" localSheetId="5">#REF!</definedName>
    <definedName name="__ys1" localSheetId="5">#REF!</definedName>
    <definedName name="__ys2" localSheetId="5">#REF!</definedName>
    <definedName name="__ys3" localSheetId="5">#REF!</definedName>
    <definedName name="＿ax1" localSheetId="5">#REF!</definedName>
    <definedName name="＿bv1" localSheetId="5">#REF!</definedName>
    <definedName name="＿c4" localSheetId="5">#REF!</definedName>
    <definedName name="＿cb1" localSheetId="5">#REF!</definedName>
    <definedName name="＿kk1" localSheetId="5">#REF!</definedName>
    <definedName name="＿l1" localSheetId="5">#REF!</definedName>
    <definedName name="＿ll1" localSheetId="5">#REF!</definedName>
    <definedName name="＿ll3" localSheetId="5">#REF!</definedName>
    <definedName name="＿ol1" localSheetId="5">#REF!</definedName>
    <definedName name="_up2" localSheetId="5">#REF!</definedName>
    <definedName name="_wa2" localSheetId="5">#REF!</definedName>
    <definedName name="＿wa3" localSheetId="5">#REF!</definedName>
    <definedName name="＿wa5" localSheetId="5">#REF!</definedName>
    <definedName name="_wb2" localSheetId="5">#REF!</definedName>
    <definedName name="_YA4" localSheetId="5">#REF!</definedName>
    <definedName name="_yq3" localSheetId="5">#REF!</definedName>
    <definedName name="_ys1" localSheetId="5">#REF!</definedName>
    <definedName name="_ys11" localSheetId="5">#REF!</definedName>
    <definedName name="＿ys18" localSheetId="5">#REF!</definedName>
    <definedName name="_ys2" localSheetId="5">#REF!</definedName>
    <definedName name="_ys3" localSheetId="5">#REF!</definedName>
    <definedName name="_YS5" localSheetId="5">#REF!</definedName>
    <definedName name="B" localSheetId="5">#REF!</definedName>
    <definedName name="J41户型A2" localSheetId="5">#REF!</definedName>
    <definedName name="MM" localSheetId="5">"#N/A"</definedName>
    <definedName name="AS2DocOpenMode" localSheetId="5" hidden="1">"AS2DocumentBrowse"</definedName>
    <definedName name="CUB.prix_SMC" localSheetId="5">"[53]!cub.prix_smc"</definedName>
    <definedName name="HTML_Description" localSheetId="5" hidden="1">""</definedName>
    <definedName name="HTML_Header" localSheetId="5" hidden="1">"门"</definedName>
    <definedName name="HTML_LastUpdate" localSheetId="5" hidden="1">"00-11-24"</definedName>
    <definedName name="HTML_LineAfter" localSheetId="5" hidden="1">FALSE</definedName>
    <definedName name="HTML_LineBefore" localSheetId="5" hidden="1">FALSE</definedName>
    <definedName name="HTML_Name" localSheetId="5" hidden="1">"bixin"</definedName>
    <definedName name="HTML_PathFile" localSheetId="5" hidden="1">"C:\My Documents\MyHTML.htm"</definedName>
    <definedName name="HTML_Title" localSheetId="5" hidden="1">"北京海关1改"</definedName>
    <definedName name="TextRefCopyRangeCount" localSheetId="5" hidden="1">81</definedName>
    <definedName name="编制日期_1" localSheetId="5">"#REF!"</definedName>
    <definedName name="编制日期_2" localSheetId="5">"2014年04月14日"</definedName>
    <definedName name="工程类别" localSheetId="5">"#REF!"</definedName>
    <definedName name="工程名称" localSheetId="5">"F1-6一期样板房精装修（合院）"</definedName>
    <definedName name="计算表达式" localSheetId="5">"evaluate((substite(replace($e:$e,find(""["",$e:$e),find(""]"",$e:$e)-find(""["",$e:$e)+1,"""")),""v="","""")"</definedName>
    <definedName name="_xlnm.Print_Titles" localSheetId="5" hidden="1">#REF!</definedName>
    <definedName name="XLRPARAMS_BZSJ" localSheetId="5" hidden="1">#REF!</definedName>
    <definedName name="XLRPARAMS_FDDBR" localSheetId="5" hidden="1">#REF!</definedName>
    <definedName name="XLRPARAMS_JSDW" localSheetId="5" hidden="1">#REF!</definedName>
    <definedName name="XLRPARAMS_TBR" localSheetId="5" hidden="1">#REF!</definedName>
    <definedName name="XLRPARAMS_TBZJ" localSheetId="5" hidden="1">#REF!</definedName>
    <definedName name="XLRPARAMS_TBZJDX" localSheetId="5" hidden="1">#REF!</definedName>
    <definedName name="XLRPARAMS_ZBR" localSheetId="5" hidden="1">#REF!</definedName>
    <definedName name="XLRPARAMS_ZJH" localSheetId="5" hidden="1">#REF!</definedName>
    <definedName name="Z_0E9FE9F8_6DD2_48FC_9AB4_8E7C3E14C436_.wvu.PrintArea" localSheetId="5" hidden="1">#REF!</definedName>
    <definedName name="Z_0E9FE9F8_6DD2_48FC_9AB4_8E7C3E14C436_.wvu.PrintTitles" localSheetId="5" hidden="1">#REF!</definedName>
    <definedName name="ama" localSheetId="5">EVALUATE(SUBSTITUTE(SUBSTITUTE(#REF!,"[","*ISTEXT(""["),"]","]"")"))</definedName>
    <definedName name="amn" localSheetId="5">EVALUATE(SUBSTITUTE(SUBSTITUTE(#REF!,"[","*ISTEXT(""["),"]","]"")"))</definedName>
    <definedName name="amq" localSheetId="5">EVALUATE(SUBSTITUTE(SUBSTITUTE(#REF!,"[","*ISTEXT(""["),"]","]"")"))</definedName>
    <definedName name="amx" localSheetId="5">EVALUATE(SUBSTITUTE(SUBSTITUTE(#REF!,"[","*ISTEXT(""["),"]","]"")"))</definedName>
    <definedName name="ava" localSheetId="5">EVALUATE(SUBSTITUTE(SUBSTITUTE(#REF!,"[","*ISTEXT(""["),"]","]"")"))</definedName>
    <definedName name="_xlnm.Print_Area" localSheetId="5">'综合单价分析表 (11#楼)'!$B$1:$J$2453</definedName>
    <definedName name="_xlnm.Print_Area" localSheetId="7">'工程量计算式 (11#楼)'!$A$1:$F$276</definedName>
    <definedName name="_xlnm.Print_Area" localSheetId="10">'综合单价分析表（商业）'!$B$1:$J$3684</definedName>
    <definedName name="_xlnm.Print_Area" localSheetId="11">'工程量计算式（商业）'!$A$1:$F$302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01A07236E3C452F939057EB265C2CE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1095" y="206159735"/>
          <a:ext cx="2447925" cy="4067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69B452557F7446297ACB2A33D2215F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70950" y="6711950"/>
          <a:ext cx="485775" cy="10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73F7EA642FF451C88734E9DFF731F7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67520" y="9152255"/>
          <a:ext cx="260350" cy="5575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71A8B487DAA24C3A930445ACD3BEDE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43365" y="24691340"/>
          <a:ext cx="802640" cy="5505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6AFE38AF985F4ACFB0D387BDC0CA58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14815" y="25940385"/>
          <a:ext cx="560705" cy="663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A360F600B8BA457595AD314BCFE242D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87205" y="26549350"/>
          <a:ext cx="433070" cy="5251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C0160DC06BE349C08A1A0D359A28F6B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424670" y="28072715"/>
          <a:ext cx="436245" cy="459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24210E999789430A94456F346736D14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281160" y="28726130"/>
          <a:ext cx="539750" cy="353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2E381AB3AD474EA4B97F23891DFE8D9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01125" y="10737850"/>
          <a:ext cx="934720" cy="6013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44FB857AADD14F3AB8D763643937D28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300845" y="31309310"/>
          <a:ext cx="572135" cy="549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E142358DB9924EDFA0F9BD3F602E626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06635" y="22221825"/>
          <a:ext cx="710565" cy="8629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B9A1073B072495C8621B34233F2D9F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06610" y="30622875"/>
          <a:ext cx="695960" cy="685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FC5E8A4787F94B5287D581D73F7442F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925685" y="41973500"/>
          <a:ext cx="549275" cy="498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D48176349D74ABFA520040B7216AE8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16110" y="33804225"/>
          <a:ext cx="962660" cy="69024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<sst xmlns="http://schemas.openxmlformats.org/spreadsheetml/2006/main" count="16024" uniqueCount="1275">
  <si>
    <t>成华区迎晖路194号住宅、商业及配套设施项目幕墙工程成本汇总表</t>
  </si>
  <si>
    <t>序号</t>
  </si>
  <si>
    <t>项目名称</t>
  </si>
  <si>
    <r>
      <rPr>
        <sz val="11"/>
        <color theme="1"/>
        <rFont val="宋体"/>
        <charset val="134"/>
        <scheme val="minor"/>
      </rPr>
      <t>暂估幕墙面积
（</t>
    </r>
    <r>
      <rPr>
        <sz val="11"/>
        <color theme="1"/>
        <rFont val="SimSun"/>
        <charset val="134"/>
      </rPr>
      <t>㎡</t>
    </r>
    <r>
      <rPr>
        <sz val="11"/>
        <color theme="1"/>
        <rFont val="宋体"/>
        <charset val="134"/>
        <scheme val="minor"/>
      </rPr>
      <t>）</t>
    </r>
  </si>
  <si>
    <t>含税总价
（元）</t>
  </si>
  <si>
    <r>
      <rPr>
        <sz val="11"/>
        <color theme="1"/>
        <rFont val="宋体"/>
        <charset val="134"/>
        <scheme val="minor"/>
      </rPr>
      <t>含税单方造价
（元/</t>
    </r>
    <r>
      <rPr>
        <sz val="11"/>
        <color theme="1"/>
        <rFont val="SimSun"/>
        <charset val="134"/>
      </rPr>
      <t>㎡</t>
    </r>
    <r>
      <rPr>
        <sz val="11"/>
        <color theme="1"/>
        <rFont val="宋体"/>
        <charset val="134"/>
        <scheme val="minor"/>
      </rPr>
      <t>）</t>
    </r>
  </si>
  <si>
    <t>备注</t>
  </si>
  <si>
    <t>人数</t>
  </si>
  <si>
    <t>工资</t>
  </si>
  <si>
    <t>工期</t>
  </si>
  <si>
    <t>小计</t>
  </si>
  <si>
    <t>排屋幕墙</t>
  </si>
  <si>
    <t>图纸不齐，工程量暂定</t>
  </si>
  <si>
    <t>项目经理</t>
  </si>
  <si>
    <t>1#2#商业幕墙</t>
  </si>
  <si>
    <t>技术负责人</t>
  </si>
  <si>
    <t>1#2#塔楼</t>
  </si>
  <si>
    <t>幕墙设计</t>
  </si>
  <si>
    <t>暂定管理人员工资</t>
  </si>
  <si>
    <t>最终据实统计</t>
  </si>
  <si>
    <t>施工员</t>
  </si>
  <si>
    <t>暂定差旅费</t>
  </si>
  <si>
    <t>安全员</t>
  </si>
  <si>
    <t>暂定办公费用</t>
  </si>
  <si>
    <t>材料员</t>
  </si>
  <si>
    <t>暂定房租</t>
  </si>
  <si>
    <t>库管</t>
  </si>
  <si>
    <t>暂定检测费</t>
  </si>
  <si>
    <t>劳务资料员</t>
  </si>
  <si>
    <t>过节招待费</t>
  </si>
  <si>
    <t>质量员</t>
  </si>
  <si>
    <t>商务</t>
  </si>
  <si>
    <t>合计</t>
  </si>
  <si>
    <t>监理</t>
  </si>
  <si>
    <t>成都塔子山11#楼工程量清单（成本）</t>
  </si>
  <si>
    <t>部位</t>
  </si>
  <si>
    <t>工程量</t>
  </si>
  <si>
    <t>单位</t>
  </si>
  <si>
    <t>含税单价（元）</t>
  </si>
  <si>
    <t>含税合价（元）</t>
  </si>
  <si>
    <t>一</t>
  </si>
  <si>
    <t>80系列断桥隔热铝合金窗</t>
  </si>
  <si>
    <t>LMC6117G</t>
  </si>
  <si>
    <t>m2</t>
  </si>
  <si>
    <t>LC1227</t>
  </si>
  <si>
    <t>LMC4517G</t>
  </si>
  <si>
    <t>LC4107C</t>
  </si>
  <si>
    <t>LC6321/LC631反</t>
  </si>
  <si>
    <t>LC0717C</t>
  </si>
  <si>
    <t>LC0617B</t>
  </si>
  <si>
    <t>LC5121(平开窗)</t>
  </si>
  <si>
    <r>
      <rPr>
        <sz val="11"/>
        <color theme="1"/>
        <rFont val="宋体"/>
        <charset val="134"/>
        <scheme val="minor"/>
      </rPr>
      <t>5+12A+5</t>
    </r>
    <r>
      <rPr>
        <sz val="11"/>
        <color theme="1"/>
        <rFont val="SimSun"/>
        <charset val="134"/>
      </rPr>
      <t>㎜钢化中空玻璃</t>
    </r>
  </si>
  <si>
    <t>地下室夹层</t>
  </si>
  <si>
    <t>LC1015B(平开窗)</t>
  </si>
  <si>
    <t>LC1015C(平开窗)</t>
  </si>
  <si>
    <t>LC3023(固定窗)</t>
  </si>
  <si>
    <r>
      <rPr>
        <sz val="11"/>
        <color theme="1"/>
        <rFont val="宋体"/>
        <charset val="134"/>
        <scheme val="minor"/>
      </rPr>
      <t>12+12A+12</t>
    </r>
    <r>
      <rPr>
        <sz val="11"/>
        <color theme="1"/>
        <rFont val="SimSun"/>
        <charset val="134"/>
      </rPr>
      <t>㎜钢化中空玻璃</t>
    </r>
  </si>
  <si>
    <t>LC1215C(平开窗)</t>
  </si>
  <si>
    <t>TLM3123(推拉门)</t>
  </si>
  <si>
    <r>
      <rPr>
        <sz val="11"/>
        <color theme="1"/>
        <rFont val="宋体"/>
        <charset val="134"/>
        <scheme val="minor"/>
      </rPr>
      <t>6+12A+6</t>
    </r>
    <r>
      <rPr>
        <sz val="11"/>
        <color theme="1"/>
        <rFont val="SimSun"/>
        <charset val="134"/>
      </rPr>
      <t>㎜钢化中空玻璃</t>
    </r>
  </si>
  <si>
    <t>LC0823A(固定窗)</t>
  </si>
  <si>
    <t>LC2421A(固定窗)</t>
  </si>
  <si>
    <t>地下室一层</t>
  </si>
  <si>
    <t>LC0913X(固定窗)</t>
  </si>
  <si>
    <t>LC2754B(固定窗)</t>
  </si>
  <si>
    <r>
      <rPr>
        <sz val="11"/>
        <color theme="1"/>
        <rFont val="宋体"/>
        <charset val="134"/>
        <scheme val="minor"/>
      </rPr>
      <t>15+12A+15</t>
    </r>
    <r>
      <rPr>
        <sz val="11"/>
        <color theme="1"/>
        <rFont val="SimSun"/>
        <charset val="134"/>
      </rPr>
      <t>㎜钢化中空玻璃</t>
    </r>
  </si>
  <si>
    <t>TLM1223X(平开门)</t>
  </si>
  <si>
    <t>二</t>
  </si>
  <si>
    <t>幕墙式铝合金窗</t>
  </si>
  <si>
    <t>LMC10425C</t>
  </si>
  <si>
    <t>系统门</t>
  </si>
  <si>
    <t>LC4124X</t>
  </si>
  <si>
    <t>系统窗</t>
  </si>
  <si>
    <t>LMC7825F</t>
  </si>
  <si>
    <t>LC3724X</t>
  </si>
  <si>
    <t>LMC10425F</t>
  </si>
  <si>
    <t>LC4024X</t>
  </si>
  <si>
    <t>LC2822A/LC2822A反</t>
  </si>
  <si>
    <t>LMC13726X/LMC13726X反</t>
  </si>
  <si>
    <t>系统门、系统窗</t>
  </si>
  <si>
    <t>LMC4326X/LMC4326X反</t>
  </si>
  <si>
    <t>LC7326X</t>
  </si>
  <si>
    <t>LC8226X</t>
  </si>
  <si>
    <t>LC3126X</t>
  </si>
  <si>
    <t>LC6526X</t>
  </si>
  <si>
    <t>LC4426X</t>
  </si>
  <si>
    <t>LC9325X/LC9325X反</t>
  </si>
  <si>
    <t>LC1624H</t>
  </si>
  <si>
    <t>固定窗</t>
  </si>
  <si>
    <t>LC5726X</t>
  </si>
  <si>
    <t>LC4425C</t>
  </si>
  <si>
    <t>LC4325B</t>
  </si>
  <si>
    <t>LC6319/LC6319反</t>
  </si>
  <si>
    <t>LC5119</t>
  </si>
  <si>
    <t>LC5826B</t>
  </si>
  <si>
    <t>LC5024X</t>
  </si>
  <si>
    <t>LC4226X</t>
  </si>
  <si>
    <t>LC5724X/LC5724X反</t>
  </si>
  <si>
    <t>三</t>
  </si>
  <si>
    <t>石材幕墙</t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</si>
  <si>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葡萄牙灰石材</t>
    </r>
  </si>
  <si>
    <t>基座</t>
  </si>
  <si>
    <t>25㎜葡萄牙灰石材（圆弧）</t>
  </si>
  <si>
    <t>25㎜葡萄牙米黄石材</t>
  </si>
  <si>
    <t>南立面、东西立面一层墙面、南立面二层玻璃栏杆下</t>
  </si>
  <si>
    <t>25㎜葡萄牙米黄石材（圆弧）</t>
  </si>
  <si>
    <t>一层</t>
  </si>
  <si>
    <t>25㎜葡萄牙米黄石材线条</t>
  </si>
  <si>
    <t>南立面二层</t>
  </si>
  <si>
    <t>米</t>
  </si>
  <si>
    <t>35㎜蓝眼睛石材（凹槽）</t>
  </si>
  <si>
    <t>南立面三层、四层</t>
  </si>
  <si>
    <t>35㎜蓝眼睛石材（凹槽）圆弧</t>
  </si>
  <si>
    <t>50㎜蓝眼睛石材（光面）</t>
  </si>
  <si>
    <t>南立面</t>
  </si>
  <si>
    <t>25㎜葡萄牙灰石材（下沉小院）</t>
  </si>
  <si>
    <t>下沉小院</t>
  </si>
  <si>
    <t>工程量计算规则</t>
  </si>
  <si>
    <t>四</t>
  </si>
  <si>
    <t>铝板幕墙</t>
  </si>
  <si>
    <t>造型多</t>
  </si>
  <si>
    <t>2.5㎜中灰色铝板1</t>
  </si>
  <si>
    <t>幕窗四周收边</t>
  </si>
  <si>
    <t>2.5㎜浅灰色铝板2（带弧形造型）</t>
  </si>
  <si>
    <t>南北立面二层梁处,中灰色改浅灰色</t>
  </si>
  <si>
    <t>2.5㎜浅灰色铝板3（一层墙面）</t>
  </si>
  <si>
    <t>北立面一层墙面</t>
  </si>
  <si>
    <t>2.5㎜银灰色铝板（线条造型）</t>
  </si>
  <si>
    <t>南、北立面三层、四层、五层线条造型，JD-117</t>
  </si>
  <si>
    <t>2.5㎜银灰色铝板（弧形线条造型）</t>
  </si>
  <si>
    <t>南、北立面三层、四层、五层线条造型</t>
  </si>
  <si>
    <t>2.5㎜香槟色铝单板</t>
  </si>
  <si>
    <t>南立面1-2轴三层造型</t>
  </si>
  <si>
    <t>2.5㎜香槟色铝单板（弧形）</t>
  </si>
  <si>
    <t>4㎜香槟色穿孔铝单板（双层，内层1.5㎜镀锌钢板）</t>
  </si>
  <si>
    <t>南立面1-2轴三层造型，JD-130，内侧1.5㎜镀锌钢板</t>
  </si>
  <si>
    <t>300*200*12，6米19支</t>
  </si>
  <si>
    <t>4㎜香槟色穿孔铝单板（双层，内层1.5㎜镀锌钢板）弧形</t>
  </si>
  <si>
    <t>南立面1-2轴三层造型，JD-130，内层1.5㎜镀锌钢板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</si>
  <si>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SimSun"/>
        <charset val="134"/>
      </rPr>
      <t>㎜香槟色</t>
    </r>
    <r>
      <rPr>
        <sz val="11"/>
        <color theme="1"/>
        <rFont val="宋体"/>
        <charset val="134"/>
        <scheme val="minor"/>
      </rPr>
      <t>穿孔铝单板（双层，内层2.5㎜中灰色铝单板）</t>
    </r>
  </si>
  <si>
    <r>
      <rPr>
        <sz val="11"/>
        <color theme="1"/>
        <rFont val="宋体"/>
        <charset val="134"/>
        <scheme val="minor"/>
      </rPr>
      <t>北立面，立面双层（内层2.5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中灰色铝单板），JD-119</t>
    </r>
  </si>
  <si>
    <t>浅灰色铝板1</t>
  </si>
  <si>
    <t>四层玻璃栏杆下，JD-120；北立面二层梁</t>
  </si>
  <si>
    <t>浅灰色铝板2（弧形）</t>
  </si>
  <si>
    <t>屋面铝单板</t>
  </si>
  <si>
    <t>屋面铝板，浅灰/银灰</t>
  </si>
  <si>
    <t>浅灰色铝板4</t>
  </si>
  <si>
    <t>北立面格栅后铝单板，墙面，剖2/剖5，超长带圆弧</t>
  </si>
  <si>
    <t>浅灰色瓦楞铝板</t>
  </si>
  <si>
    <t>东西立面，剖7</t>
  </si>
  <si>
    <t>双色铝板造型线条(中灰色/浅灰色)</t>
  </si>
  <si>
    <t>JD-106/107/109</t>
  </si>
  <si>
    <t>双色铝板造型线条(中灰色/浅灰色)弧形</t>
  </si>
  <si>
    <r>
      <rPr>
        <sz val="11"/>
        <color rgb="FFFF0000"/>
        <rFont val="宋体"/>
        <charset val="134"/>
        <scheme val="minor"/>
      </rPr>
      <t>浅灰色</t>
    </r>
    <r>
      <rPr>
        <sz val="11"/>
        <color theme="1"/>
        <rFont val="宋体"/>
        <charset val="134"/>
        <scheme val="minor"/>
      </rPr>
      <t>铝板（包栏杆反坎）</t>
    </r>
  </si>
  <si>
    <t>南立面三层包反坎（玻璃栏杆处），JD-135，无龙骨</t>
  </si>
  <si>
    <t>蓝眼睛仿石铝板（带圆弧，带拉槽）</t>
  </si>
  <si>
    <t>北立面，JD-101/2、JD-113</t>
  </si>
  <si>
    <t>蓝眼睛仿石铝板（四边带圆弧）</t>
  </si>
  <si>
    <t>北立面，JD-101/1、JD-113</t>
  </si>
  <si>
    <t>葡萄牙米黄仿石铝板（瓦楞板）</t>
  </si>
  <si>
    <t>北立面，剖3，JD-109、JD-110</t>
  </si>
  <si>
    <t>葡萄牙米黄仿石铝板（瓦楞板）弧形</t>
  </si>
  <si>
    <t>2.5㎜银灰色铝板（双色线条造型）(中灰色/银灰色)</t>
  </si>
  <si>
    <t>2.5㎜银灰色铝板（双色线条造型）(中灰色/银灰色)弧形</t>
  </si>
  <si>
    <t>双色铝板造型线条(中灰色/香槟色)</t>
  </si>
  <si>
    <t>双色铝板造型线条(中灰色/香槟色)弧形</t>
  </si>
  <si>
    <t>2.5㎜中灰色瓦楞板</t>
  </si>
  <si>
    <t>五</t>
  </si>
  <si>
    <t>铝合金格栅</t>
  </si>
  <si>
    <t>北立面，剖4</t>
  </si>
  <si>
    <t>设备平台铝合金格栅</t>
  </si>
  <si>
    <t>南立面，剖4，</t>
  </si>
  <si>
    <t>屋面格栅</t>
  </si>
  <si>
    <t>铝合金百叶</t>
  </si>
  <si>
    <t>西立面</t>
  </si>
  <si>
    <t>取消</t>
  </si>
  <si>
    <t>六</t>
  </si>
  <si>
    <t>铝合金线条</t>
  </si>
  <si>
    <t>铝合金线条1（60*20）</t>
  </si>
  <si>
    <t>北立面1-1剖</t>
  </si>
  <si>
    <t>铝合金线条2（44*40）</t>
  </si>
  <si>
    <t>南立面9-9剖</t>
  </si>
  <si>
    <t>铝合金线条3（20*30）</t>
  </si>
  <si>
    <t>铝合金线条4（30*30）</t>
  </si>
  <si>
    <t>浅灰色，北立面浅灰色铝板外竖向线条，JD-103</t>
  </si>
  <si>
    <t>铝合金线条5（80*50）</t>
  </si>
  <si>
    <t>浅灰色铝板造型上</t>
  </si>
  <si>
    <t>铝合金线条6（150*60）</t>
  </si>
  <si>
    <t>银灰色铝板造型上</t>
  </si>
  <si>
    <t>铝合金线条7（80*50）圆弧</t>
  </si>
  <si>
    <t>铝合金线条8（150*60）圆弧</t>
  </si>
  <si>
    <t>铝合金线条9（50*40）香槟色</t>
  </si>
  <si>
    <t>香槟色铝板造型上9-9剖</t>
  </si>
  <si>
    <t>铝合金线条10（50*40）香槟色圆弧</t>
  </si>
  <si>
    <t>铝合金线条11（45*20）</t>
  </si>
  <si>
    <t>横向，葡萄牙米黄防石铝板外，JD-102</t>
  </si>
  <si>
    <t>七</t>
  </si>
  <si>
    <t>玻璃采光顶</t>
  </si>
  <si>
    <r>
      <rPr>
        <sz val="11"/>
        <color theme="1"/>
        <rFont val="宋体"/>
        <charset val="134"/>
        <scheme val="minor"/>
      </rPr>
      <t>屋面采光顶8+1.52+8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超白钢化夹层玻璃</t>
    </r>
  </si>
  <si>
    <t>剖11，含周边铝单板收边</t>
  </si>
  <si>
    <t>一层采光顶25纳米水晶硅+1.52PVB+6钢化夹层玻璃</t>
  </si>
  <si>
    <t>JD-137，（A，1.0h)</t>
  </si>
  <si>
    <t>八</t>
  </si>
  <si>
    <t>玻璃栏杆</t>
  </si>
  <si>
    <r>
      <rPr>
        <sz val="11"/>
        <color theme="1"/>
        <rFont val="宋体"/>
        <charset val="134"/>
        <scheme val="minor"/>
      </rPr>
      <t>6+1.14PVB+6</t>
    </r>
    <r>
      <rPr>
        <sz val="11"/>
        <color theme="1"/>
        <rFont val="SimSun"/>
        <charset val="134"/>
      </rPr>
      <t>㎜超白钢化夹层玻璃栏杆</t>
    </r>
  </si>
  <si>
    <t>JD-120</t>
  </si>
  <si>
    <r>
      <rPr>
        <sz val="11"/>
        <color theme="1"/>
        <rFont val="宋体"/>
        <charset val="134"/>
        <scheme val="minor"/>
      </rPr>
      <t>6+1.14PVB+6</t>
    </r>
    <r>
      <rPr>
        <sz val="11"/>
        <color theme="1"/>
        <rFont val="SimSun"/>
        <charset val="134"/>
      </rPr>
      <t>㎜超白钢化夹层玻璃栏杆（弧形）</t>
    </r>
  </si>
  <si>
    <r>
      <rPr>
        <sz val="11"/>
        <color theme="1"/>
        <rFont val="宋体"/>
        <charset val="134"/>
        <scheme val="minor"/>
      </rPr>
      <t>8+1.52SGP+8</t>
    </r>
    <r>
      <rPr>
        <sz val="11"/>
        <color theme="1"/>
        <rFont val="SimSun"/>
        <charset val="134"/>
      </rPr>
      <t>㎜超白钢化夹层玻璃栏杆</t>
    </r>
  </si>
  <si>
    <t>下沉小院,DY-107</t>
  </si>
  <si>
    <t>九</t>
  </si>
  <si>
    <t>其他</t>
  </si>
  <si>
    <t>后置埋件</t>
  </si>
  <si>
    <t>T</t>
  </si>
  <si>
    <t>防火隔断</t>
  </si>
  <si>
    <r>
      <rPr>
        <sz val="11"/>
        <color theme="1"/>
        <rFont val="宋体"/>
        <charset val="134"/>
        <scheme val="minor"/>
      </rPr>
      <t>2.5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铝单板（无龙骨）</t>
    </r>
  </si>
  <si>
    <t>JD-128</t>
  </si>
  <si>
    <r>
      <rPr>
        <sz val="11"/>
        <color theme="1"/>
        <rFont val="宋体"/>
        <charset val="134"/>
        <scheme val="minor"/>
      </rPr>
      <t>1.5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镀锌钢板封堵</t>
    </r>
  </si>
  <si>
    <t>JD-137</t>
  </si>
  <si>
    <t>不锈钢天沟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</si>
  <si>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SimSun"/>
        <charset val="134"/>
      </rPr>
      <t>㎜铝芯复合板（玻璃背称）</t>
    </r>
  </si>
  <si>
    <t>JD-134</t>
  </si>
  <si>
    <t>十</t>
  </si>
  <si>
    <t>措施费</t>
  </si>
  <si>
    <t>合计：</t>
  </si>
  <si>
    <t>成都塔子山1#2#商业工程量清单（成本）</t>
  </si>
  <si>
    <t>玻璃幕墙</t>
  </si>
  <si>
    <r>
      <rPr>
        <sz val="10"/>
        <color theme="1"/>
        <rFont val="宋体"/>
        <charset val="134"/>
        <scheme val="minor"/>
      </rPr>
      <t>首层座槽式玻璃幕墙（15+2.25SGP+15</t>
    </r>
    <r>
      <rPr>
        <sz val="10"/>
        <color theme="1"/>
        <rFont val="SimSun"/>
        <charset val="134"/>
      </rPr>
      <t>㎜全超白钢化夹层玻璃</t>
    </r>
    <r>
      <rPr>
        <sz val="10"/>
        <color theme="1"/>
        <rFont val="宋体"/>
        <charset val="134"/>
        <scheme val="minor"/>
      </rPr>
      <t>）（超宽）</t>
    </r>
  </si>
  <si>
    <t>1#楼南立面2/01~1/01轴</t>
  </si>
  <si>
    <t>首层座槽式玻璃幕墙（12Low-E(双银)+12A+12全超白钢化中空玻璃）</t>
  </si>
  <si>
    <t>1#楼南立面1~2轴</t>
  </si>
  <si>
    <t>首层座槽式玻璃幕墙（12Low-E(双银)+12A+12全超白钢化中空玻璃）（直+弯弧）（直段宽度300㎜+弧长942㎜，圆弧半径600㎜，高3600㎜）</t>
  </si>
  <si>
    <r>
      <rPr>
        <sz val="10"/>
        <color theme="1"/>
        <rFont val="宋体"/>
        <charset val="134"/>
        <scheme val="minor"/>
      </rPr>
      <t>首层座槽式玻璃幕墙（12+1.9SGP+12</t>
    </r>
    <r>
      <rPr>
        <sz val="10"/>
        <color theme="1"/>
        <rFont val="SimSun"/>
        <charset val="134"/>
      </rPr>
      <t>㎜全超白钢化夹层玻璃</t>
    </r>
    <r>
      <rPr>
        <sz val="10"/>
        <color theme="1"/>
        <rFont val="宋体"/>
        <charset val="134"/>
        <scheme val="minor"/>
      </rPr>
      <t>）</t>
    </r>
  </si>
  <si>
    <t>1#楼南立面2~22轴</t>
  </si>
  <si>
    <r>
      <rPr>
        <sz val="10"/>
        <color theme="1"/>
        <rFont val="宋体"/>
        <charset val="134"/>
        <scheme val="minor"/>
      </rPr>
      <t>首层座槽式玻璃幕墙（12+1.9SGP+12</t>
    </r>
    <r>
      <rPr>
        <sz val="10"/>
        <color theme="1"/>
        <rFont val="SimSun"/>
        <charset val="134"/>
      </rPr>
      <t>㎜全超白钢化夹层玻璃</t>
    </r>
    <r>
      <rPr>
        <sz val="10"/>
        <color theme="1"/>
        <rFont val="宋体"/>
        <charset val="134"/>
        <scheme val="minor"/>
      </rPr>
      <t>）（弯弧）（弧长1414㎜，圆弧半径900㎜，高3600㎜）</t>
    </r>
  </si>
  <si>
    <r>
      <rPr>
        <sz val="10"/>
        <color theme="1"/>
        <rFont val="宋体"/>
        <charset val="134"/>
        <scheme val="minor"/>
      </rPr>
      <t>首层座槽式玻璃幕墙（10+1.9SGP+10Low-E(双银)+12A+12</t>
    </r>
    <r>
      <rPr>
        <sz val="10"/>
        <color theme="1"/>
        <rFont val="SimSun"/>
        <charset val="134"/>
      </rPr>
      <t>㎜全超白钢化夹层中空玻璃</t>
    </r>
    <r>
      <rPr>
        <sz val="10"/>
        <color theme="1"/>
        <rFont val="宋体"/>
        <charset val="134"/>
        <scheme val="minor"/>
      </rPr>
      <t>）</t>
    </r>
  </si>
  <si>
    <t>2#楼南立面5/01~4/01轴,12剖</t>
  </si>
  <si>
    <t>首层座槽式玻璃幕墙（10+1.9SGP+10Low-E(双银)+12A+12㎜全超白钢化夹层中空玻璃）（弯弧）（弧长1414㎜，圆弧半径900㎜，高3600㎜）</t>
  </si>
  <si>
    <t>首层座槽式玻璃幕墙（12+1.9SGP+12㎜全超白钢化夹层玻璃）（弯弧）（弧长1498㎜，圆弧半径900㎜，高3600㎜）</t>
  </si>
  <si>
    <t>2#楼南立面2~18轴，10剖</t>
  </si>
  <si>
    <r>
      <rPr>
        <sz val="10"/>
        <color theme="1"/>
        <rFont val="宋体"/>
        <charset val="134"/>
        <scheme val="minor"/>
      </rPr>
      <t>首层座槽式玻璃幕墙（12+1.9SGP+12㎜全超白钢化夹层玻璃）（直+弯弧）（直段宽度840㎜+弧长1135㎜，圆弧半径</t>
    </r>
    <r>
      <rPr>
        <sz val="10"/>
        <color rgb="FFFF0000"/>
        <rFont val="宋体"/>
        <charset val="134"/>
        <scheme val="minor"/>
      </rPr>
      <t>900</t>
    </r>
    <r>
      <rPr>
        <sz val="10"/>
        <color theme="1"/>
        <rFont val="宋体"/>
        <charset val="134"/>
        <scheme val="minor"/>
      </rPr>
      <t>㎜，高3600㎜）</t>
    </r>
  </si>
  <si>
    <r>
      <rPr>
        <sz val="10"/>
        <color theme="1"/>
        <rFont val="宋体"/>
        <charset val="134"/>
        <scheme val="minor"/>
      </rPr>
      <t>首层座槽式玻璃幕墙（12+1.9SGP+12㎜全超白钢化夹层玻璃）（直+弯弧+直）（直段宽度840㎜+弧长1498㎜+直段宽度450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，圆弧半径</t>
    </r>
    <r>
      <rPr>
        <sz val="10"/>
        <color rgb="FFFF0000"/>
        <rFont val="宋体"/>
        <charset val="134"/>
        <scheme val="minor"/>
      </rPr>
      <t>900</t>
    </r>
    <r>
      <rPr>
        <sz val="10"/>
        <color theme="1"/>
        <rFont val="宋体"/>
        <charset val="134"/>
        <scheme val="minor"/>
      </rPr>
      <t>㎜，高3600㎜）</t>
    </r>
  </si>
  <si>
    <t>首层座槽式玻璃幕墙（10+1.9SGP+10Low-E(双银)+12A+10㎜全超白钢化夹层中空玻璃）</t>
  </si>
  <si>
    <t>2#楼南立面18~23轴，9剖</t>
  </si>
  <si>
    <r>
      <rPr>
        <sz val="10"/>
        <color theme="1"/>
        <rFont val="宋体"/>
        <charset val="134"/>
        <scheme val="minor"/>
      </rPr>
      <t>首层座槽式玻璃幕墙（10+1.9SGP+10Low-E(双银)+12A+10㎜全超白钢化夹层中空玻璃）（弯弧）（弧长1100㎜，圆弧半径</t>
    </r>
    <r>
      <rPr>
        <sz val="10"/>
        <color rgb="FFFF0000"/>
        <rFont val="宋体"/>
        <charset val="134"/>
        <scheme val="minor"/>
      </rPr>
      <t>900</t>
    </r>
    <r>
      <rPr>
        <sz val="10"/>
        <color theme="1"/>
        <rFont val="宋体"/>
        <charset val="134"/>
        <scheme val="minor"/>
      </rPr>
      <t>㎜，高3600㎜）</t>
    </r>
  </si>
  <si>
    <t>首层座槽式玻璃幕墙（10+1.9SGP+10Low-E(双银)+12A+10㎜全超白钢化夹层中空玻璃）（直+弯弧）（直段宽度600㎜+弧长1100㎜，圆弧半径700㎜，高3600㎜）</t>
  </si>
  <si>
    <t>二层T型钢龙骨玻璃幕墙（8+1.52PVB+8㎜全超白钢化夹层玻璃）</t>
  </si>
  <si>
    <t>1#南立面2/01~22轴</t>
  </si>
  <si>
    <t>二层T型钢龙骨玻璃幕墙（8+1.52PVB+8㎜全超白钢化夹层玻璃）（直+弯弧）（直段宽度300㎜+弧长942㎜，圆弧半径600㎜，高3035㎜）</t>
  </si>
  <si>
    <t>二层T型钢龙骨玻璃幕墙（8+1.52PVB+8㎜全超白钢化夹层玻璃）（弯弧）（弧长1414㎜，圆弧半径900㎜，高3035㎜）</t>
  </si>
  <si>
    <t>二层T型钢龙骨玻璃幕墙（6+1.52PVB+6Low-E(双银)+12A+10㎜全超白钢化夹层玻璃）</t>
  </si>
  <si>
    <t>2#南立面5/01~4/01轴</t>
  </si>
  <si>
    <t>二层T型钢龙骨玻璃幕墙（6+1.52PVB+6Low-E(双银)+12A+10㎜全超白钢化夹层玻璃）（弯弧）（弧长1414㎜，圆弧半径900㎜，高3035㎜）</t>
  </si>
  <si>
    <t>二层T型钢龙骨玻璃幕墙（8+1.52PVB+8㎜全超白钢化夹层玻璃）（直+弯弧）（直段宽度840㎜+弧长1135㎜，圆弧半径900㎜，高3035㎜）</t>
  </si>
  <si>
    <t>二层T型钢龙骨玻璃幕墙（8+1.52PVB+8㎜全超白钢化夹层玻璃）（直+弯弧+直）（直段宽度840㎜+弧长1681㎜+直段宽度400㎜，圆弧半径900㎜，高3035㎜）</t>
  </si>
  <si>
    <r>
      <rPr>
        <sz val="10"/>
        <color theme="1"/>
        <rFont val="宋体"/>
        <charset val="134"/>
        <scheme val="minor"/>
      </rPr>
      <t>首层明框玻璃幕墙（10Low-E(双银)+12A+10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全超白钢化中空玻璃）</t>
    </r>
  </si>
  <si>
    <t>北立面24~4轴，24~15轴二层</t>
  </si>
  <si>
    <r>
      <rPr>
        <sz val="10"/>
        <color theme="1"/>
        <rFont val="宋体"/>
        <charset val="134"/>
        <scheme val="minor"/>
      </rPr>
      <t>首层明框玻璃幕墙（10Low-E(双银)+12A+10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全超白钢化中空玻璃）（直+弯弧+直）（直段宽度210㎜+弧长1414㎜+直段宽度210㎜，圆弧半径900㎜，高2500㎜）</t>
    </r>
  </si>
  <si>
    <t>北立面24~4轴</t>
  </si>
  <si>
    <r>
      <rPr>
        <sz val="10"/>
        <color theme="1"/>
        <rFont val="宋体"/>
        <charset val="134"/>
        <scheme val="minor"/>
      </rPr>
      <t>首层明框玻璃幕墙（15Low-E(双银)+12A+15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全超白钢化中空玻璃）</t>
    </r>
  </si>
  <si>
    <t>北立面24~3/01轴</t>
  </si>
  <si>
    <t>首层明框玻璃幕墙（8+1.52PVB+8Low-E(双银)+12A+8+1.52PVB+8㎜全超白钢化夹层中空玻璃）（超高）（宽2175㎜，高6800㎜）</t>
  </si>
  <si>
    <t>北立面4~2轴</t>
  </si>
  <si>
    <r>
      <rPr>
        <sz val="10"/>
        <color theme="1"/>
        <rFont val="宋体"/>
        <charset val="134"/>
        <scheme val="minor"/>
      </rPr>
      <t>首层明框玻璃幕墙（10Low-E(双银)+12A+10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全超白钢化中空玻璃）（直+弯弧+直）（直段宽度210㎜+弧长942㎜+直段宽度210㎜，圆弧半径600㎜，高2500㎜）</t>
    </r>
  </si>
  <si>
    <t>北立面2~2/01轴</t>
  </si>
  <si>
    <r>
      <rPr>
        <sz val="10"/>
        <color theme="1"/>
        <rFont val="宋体"/>
        <charset val="134"/>
        <scheme val="minor"/>
      </rPr>
      <t>首层明框玻璃幕墙（12Low-E(双银)+12A+12</t>
    </r>
    <r>
      <rPr>
        <sz val="10"/>
        <color theme="1"/>
        <rFont val="SimSun"/>
        <charset val="134"/>
      </rPr>
      <t>㎜</t>
    </r>
    <r>
      <rPr>
        <sz val="10"/>
        <color theme="1"/>
        <rFont val="宋体"/>
        <charset val="134"/>
        <scheme val="minor"/>
      </rPr>
      <t>全超白钢化中空玻璃）</t>
    </r>
  </si>
  <si>
    <t>首层明框玻璃幕墙（6Low-E(双银)+12A+6㎜全超白钢化中空玻璃）</t>
  </si>
  <si>
    <t>二层明框玻璃幕墙（6Low-E(双银)+12A+6㎜全超白钢化中空玻璃）</t>
  </si>
  <si>
    <t>北立面24~14轴</t>
  </si>
  <si>
    <t>二层明框玻璃幕墙（6Low-E(双银)+12A+6㎜全超白钢化中空玻璃）（直+弯弧+直）（直段宽度210㎜+弧长1414㎜+直段宽度210㎜，圆弧半径900㎜，高620㎜）</t>
  </si>
  <si>
    <t>二层明框玻璃幕墙（10Low-E(双银)+12A+10㎜全超白钢化中空玻璃）</t>
  </si>
  <si>
    <t>二层明框玻璃幕墙（10Low-E(双银)+12A+10㎜全超白钢化中空玻璃）（直+弯弧+直）（直段宽度210㎜+弧长1414㎜+直段宽度210㎜，圆弧半径900㎜，高2345㎜）</t>
  </si>
  <si>
    <t>北立面24~14轴，剖3</t>
  </si>
  <si>
    <t>二层明框玻璃幕墙（6+1.52PVB+6Low-E(双银)+12A+6㎜全超白钢化夹层中空玻璃）</t>
  </si>
  <si>
    <t>北立面14~4轴，剖5</t>
  </si>
  <si>
    <t>二层明框玻璃幕墙（6+1.52PVB+6Low-E(双银)+12A+6㎜全超白钢化夹层中空玻璃）（直+弯弧+直）（直段宽度210㎜+弧长1414㎜+直段宽度210㎜，圆弧半径900㎜，高620㎜）</t>
  </si>
  <si>
    <t>二层明框玻璃幕墙（8+1.52PVB+8Low-E(双银)+12A+12㎜全超白钢化夹层中空玻璃）</t>
  </si>
  <si>
    <t>二层明框玻璃幕墙（8+1.52PVB+8Low-E(双银)+12A+12㎜全超白钢化夹层中空玻璃）（直+弯弧+直）（直段宽度210㎜+弧长1414㎜+直段宽度210㎜，圆弧半径900㎜，高2330㎜）</t>
  </si>
  <si>
    <t>二层明框玻璃幕墙（6+1.52PVB+6Low-E(双银)+12A+6㎜全超白钢化夹层中空玻璃）（直+弯弧+直）（直段宽度210㎜+弧长942㎜+直段宽度210㎜，圆弧半径600㎜，高620㎜）</t>
  </si>
  <si>
    <t>二层明框玻璃幕墙（8+1.52PVB+8Low-E(双银)+12A+15㎜全超白钢化夹层中空玻璃）</t>
  </si>
  <si>
    <t>北立面4~2/01轴二层</t>
  </si>
  <si>
    <t>二层明框玻璃幕墙（8+1.52PVB+8Low-E(双银)+12A+12㎜全超白钢化夹层中空玻璃）（直+弯弧+直）（直段宽度210㎜+弧长942㎜+直段宽度210㎜，圆弧半径600㎜，高3515㎜）</t>
  </si>
  <si>
    <t>二层明框玻璃幕墙（6+1.52PVB+6Low-E(双银)+12A+10㎜全超白钢化夹层中空玻璃）</t>
  </si>
  <si>
    <t>2#北立面23~18轴,2剖</t>
  </si>
  <si>
    <t>二层明框玻璃幕墙（6+1.52PVB+6Low-E(双银)+12A+10㎜全超白钢化夹层中空玻璃）（直+弯弧+直）（直段宽度210㎜+弧长1414㎜+直段宽度210㎜，圆弧半径900㎜，高2330㎜）</t>
  </si>
  <si>
    <t>玻璃地弹门</t>
  </si>
  <si>
    <t>地弹门（6Low-E(双银)+12A+6㎜全超白钢化中空玻璃）</t>
  </si>
  <si>
    <t>无节点</t>
  </si>
  <si>
    <t>石材幕墙（2#商业有下沉庭院）</t>
  </si>
  <si>
    <t>30mm厚光面福鼎黑石材（造型柱基座）</t>
  </si>
  <si>
    <t>30mm厚光面贝金米黄石材</t>
  </si>
  <si>
    <t>30mm厚光面贝金米黄石材（弧形）</t>
  </si>
  <si>
    <t>25mm厚透光云石造型柱</t>
  </si>
  <si>
    <t>1#楼北立面24轴</t>
  </si>
  <si>
    <t>30mm厚光面深灰色石材</t>
  </si>
  <si>
    <t>1#楼北立面15轴二层</t>
  </si>
  <si>
    <t>40mm厚自然面贝金米黄石材</t>
  </si>
  <si>
    <t>2#楼北立面5/01轴至4/01轴交B轴至F轴内庭</t>
  </si>
  <si>
    <t>40mm厚拉槽面贝金米黄石材</t>
  </si>
  <si>
    <t>30mm厚光面贝金米黄石材（造型柱弧形）</t>
  </si>
  <si>
    <t>2#楼南立面1/01轴右侧柱子</t>
  </si>
  <si>
    <t>30mm厚透光云石（造型柱弧形）</t>
  </si>
  <si>
    <t>贝金米黄石材拉槽线条1</t>
  </si>
  <si>
    <t>1#楼南立面22轴至24轴，下沉庭院上部线条</t>
  </si>
  <si>
    <t>贝金米黄石材拉槽线条2</t>
  </si>
  <si>
    <t>1#楼南立面22轴至24轴，下沉庭院下部弧形线条</t>
  </si>
  <si>
    <t>金属幕墙</t>
  </si>
  <si>
    <t>中灰色仿石材铝单板</t>
  </si>
  <si>
    <t>层间包梁，剖5</t>
  </si>
  <si>
    <t>中灰色仿石材铝单板（弧形）</t>
  </si>
  <si>
    <t>香槟色瓦楞板</t>
  </si>
  <si>
    <r>
      <rPr>
        <sz val="11"/>
        <color theme="1"/>
        <rFont val="宋体"/>
        <charset val="134"/>
        <scheme val="minor"/>
      </rPr>
      <t>1.5</t>
    </r>
    <r>
      <rPr>
        <sz val="11"/>
        <color theme="1"/>
        <rFont val="SimSun"/>
        <charset val="134"/>
      </rPr>
      <t>㎜厚，</t>
    </r>
    <r>
      <rPr>
        <sz val="11"/>
        <color theme="1"/>
        <rFont val="宋体"/>
        <charset val="134"/>
        <scheme val="minor"/>
      </rPr>
      <t>层间包梁，剖5，JD-203</t>
    </r>
  </si>
  <si>
    <t>香槟色瓦楞板（弧形）</t>
  </si>
  <si>
    <t>银灰色铝合金瓦楞板（异形）</t>
  </si>
  <si>
    <t>北立面</t>
  </si>
  <si>
    <t>银灰色铝合金瓦楞板（异形）（弧形）</t>
  </si>
  <si>
    <t>中灰色铝单板</t>
  </si>
  <si>
    <t>东立面墙面：银灰色铝板</t>
  </si>
  <si>
    <t>剖1，2#楼</t>
  </si>
  <si>
    <t>东立面墙面：银灰色铝板（弧形）</t>
  </si>
  <si>
    <t>剖1，PU-18造型大样图一</t>
  </si>
  <si>
    <t>浅灰色铝板</t>
  </si>
  <si>
    <t>1#设备庭院墙面，剖7</t>
  </si>
  <si>
    <t>银灰色铝单板</t>
  </si>
  <si>
    <t>1#楼北立面24轴造型柱，JD-235</t>
  </si>
  <si>
    <t>香槟色铝板（弧形）</t>
  </si>
  <si>
    <t>剖19</t>
  </si>
  <si>
    <t>香槟色铝板</t>
  </si>
  <si>
    <t>墙面：25㎜香槟色蜂窝铝板</t>
  </si>
  <si>
    <t>1#，剖19</t>
  </si>
  <si>
    <t>墙面：25㎜香槟色蜂窝铝板（弧形）</t>
  </si>
  <si>
    <t>吊顶：香槟色铝板</t>
  </si>
  <si>
    <t>JD-211-1</t>
  </si>
  <si>
    <r>
      <rPr>
        <sz val="11"/>
        <color theme="1"/>
        <rFont val="宋体"/>
        <charset val="134"/>
        <scheme val="minor"/>
      </rPr>
      <t>吊顶：25</t>
    </r>
    <r>
      <rPr>
        <sz val="11"/>
        <color theme="1"/>
        <rFont val="SimSun"/>
        <charset val="134"/>
      </rPr>
      <t>㎜</t>
    </r>
    <r>
      <rPr>
        <sz val="11"/>
        <color theme="1"/>
        <rFont val="宋体"/>
        <charset val="134"/>
        <scheme val="minor"/>
      </rPr>
      <t>香槟色蜂窝铝板</t>
    </r>
  </si>
  <si>
    <t>JD-211</t>
  </si>
  <si>
    <t>雨蓬上表面：银灰色铝板</t>
  </si>
  <si>
    <t>屋面上表面：浅灰色铝板</t>
  </si>
  <si>
    <t>2.5㎜铝单板（无龙骨）</t>
  </si>
  <si>
    <t>1#收边收口</t>
  </si>
  <si>
    <t>2㎜铝单板（背衬）</t>
  </si>
  <si>
    <t>1#楼北立面二层梁，剖6</t>
  </si>
  <si>
    <t>3㎜浅灰色穿孔铝板</t>
  </si>
  <si>
    <t>不锈钢天沟上盖板</t>
  </si>
  <si>
    <t>金属网</t>
  </si>
  <si>
    <t>二层金属网</t>
  </si>
  <si>
    <t>JD206-208</t>
  </si>
  <si>
    <t>二层金属网（圆弧）</t>
  </si>
  <si>
    <t>铝合金格栅与百叶</t>
  </si>
  <si>
    <t>2#北立面、东立面</t>
  </si>
  <si>
    <t>香槟色格栅线条（40*50）</t>
  </si>
  <si>
    <t>香槟色铝合金线条（169*100）</t>
  </si>
  <si>
    <t>20260330版图纸修改</t>
  </si>
  <si>
    <t>铝合金线条（80*160）</t>
  </si>
  <si>
    <t>JD-235</t>
  </si>
  <si>
    <t>浅灰色铝合金线条（200*50）</t>
  </si>
  <si>
    <t>屋面顶部，剖5</t>
  </si>
  <si>
    <t>银灰色铝合金线条（120*30）</t>
  </si>
  <si>
    <t>香槟色瓦楞板与仿石铝板之间线条，JD-202</t>
  </si>
  <si>
    <t>不锈钢</t>
  </si>
  <si>
    <t>6+1.14PVB+6㎜超白钢化夹层玻璃栏杆（弧形）</t>
  </si>
  <si>
    <t>入口钢龙骨</t>
  </si>
  <si>
    <t>项</t>
  </si>
  <si>
    <t>长住集团成都成华区迎晖路194号地块项目示范区幕墙工程</t>
  </si>
  <si>
    <r>
      <rPr>
        <b/>
        <sz val="9"/>
        <rFont val="Arial"/>
        <charset val="0"/>
      </rPr>
      <t xml:space="preserve"> </t>
    </r>
    <r>
      <rPr>
        <b/>
        <sz val="9"/>
        <rFont val="宋体"/>
        <charset val="134"/>
      </rPr>
      <t>措施费清单</t>
    </r>
  </si>
  <si>
    <t>综合单价</t>
  </si>
  <si>
    <t>合价</t>
  </si>
  <si>
    <t>11#号楼</t>
  </si>
  <si>
    <t>不含增值税税额</t>
  </si>
  <si>
    <t>含增值税税额</t>
  </si>
  <si>
    <t>安全文明环境费（含幕墙施工时简易措施等）</t>
  </si>
  <si>
    <t>措施费（含脚手架、吊车设备、登高车、叉车等）</t>
  </si>
  <si>
    <t>脚手架仅考虑改架、二次搭设等</t>
  </si>
  <si>
    <t>夜间施工、展示区赶工费（本项目工期较为紧张，充分考虑抢工费用，后续不可再向甲方上报抢工费用，存在夜间加班施工情况，本次报价充分考虑夜间加班费用）</t>
  </si>
  <si>
    <t>仅仅11#楼考虑该费用，后续楼栋正常施工可以不计或少计取该费用</t>
  </si>
  <si>
    <t>二次搬运及多次搬运费</t>
  </si>
  <si>
    <t>材料比较复杂对场地要求较高，综合考虑肯定容易发生转运费用</t>
  </si>
  <si>
    <t>已完工程及设备保护费、成品保护费</t>
  </si>
  <si>
    <t>豪宅类项目成品保护费用偏高</t>
  </si>
  <si>
    <t>外墙清洗费</t>
  </si>
  <si>
    <t>开模费</t>
  </si>
  <si>
    <t>1#2#楼商业幕墙</t>
  </si>
  <si>
    <t>安全文明环境费</t>
  </si>
  <si>
    <t>临时设施费</t>
  </si>
  <si>
    <t>冬雨季施工增加费</t>
  </si>
  <si>
    <t>脚手架费</t>
  </si>
  <si>
    <t>吊篮费</t>
  </si>
  <si>
    <t>机械措施费</t>
  </si>
  <si>
    <t>综合单价分析表</t>
  </si>
  <si>
    <t>清单项名称：</t>
  </si>
  <si>
    <t>费率</t>
  </si>
  <si>
    <t>金额</t>
  </si>
  <si>
    <t>直接工程费</t>
  </si>
  <si>
    <t>人工费</t>
  </si>
  <si>
    <t>元</t>
  </si>
  <si>
    <t>80系列</t>
  </si>
  <si>
    <t>材料费</t>
  </si>
  <si>
    <t>机械费</t>
  </si>
  <si>
    <t>名称</t>
  </si>
  <si>
    <t>米重</t>
  </si>
  <si>
    <t>长/宽</t>
  </si>
  <si>
    <t>数量</t>
  </si>
  <si>
    <t>总重</t>
  </si>
  <si>
    <t>单方</t>
  </si>
  <si>
    <t>直接费</t>
  </si>
  <si>
    <t>(1)+（2）+（3）</t>
  </si>
  <si>
    <t>粉末喷涂铝型材T5</t>
  </si>
  <si>
    <t>铝合金窗框-竖</t>
  </si>
  <si>
    <t>公司管理、利润</t>
  </si>
  <si>
    <t>（4）*a%</t>
  </si>
  <si>
    <t>铝合金窗框-横</t>
  </si>
  <si>
    <t>现场管理费</t>
  </si>
  <si>
    <t>（4）*b%</t>
  </si>
  <si>
    <t>铝合金中梃-竖</t>
  </si>
  <si>
    <t>税金</t>
  </si>
  <si>
    <t>[(4)+(5)+(6)]*c%</t>
  </si>
  <si>
    <t>铝合金加强中梃-竖</t>
  </si>
  <si>
    <t>（4）-（7）之和</t>
  </si>
  <si>
    <t>元/m²</t>
  </si>
  <si>
    <t>铝合金中梃-横</t>
  </si>
  <si>
    <t>其中</t>
  </si>
  <si>
    <t>铝合金转换料</t>
  </si>
  <si>
    <t>单价</t>
  </si>
  <si>
    <t>金额（元）</t>
  </si>
  <si>
    <t>铝合金扇料</t>
  </si>
  <si>
    <t>㎡</t>
  </si>
  <si>
    <t>开启压条</t>
  </si>
  <si>
    <t>固定压条</t>
  </si>
  <si>
    <t>人工费合计</t>
  </si>
  <si>
    <t>粉末喷涂铝型材T6</t>
  </si>
  <si>
    <t>隔热条（H=39mm）</t>
  </si>
  <si>
    <t>阳极氧化铝型材T6</t>
  </si>
  <si>
    <t>光身料铝型材T6</t>
  </si>
  <si>
    <t>热镀锌钢管</t>
  </si>
  <si>
    <t>80*30*3</t>
  </si>
  <si>
    <t>阳极氧化铝型材T5</t>
  </si>
  <si>
    <t>铝材表面氟碳喷涂</t>
  </si>
  <si>
    <t>三元乙丙胶条</t>
  </si>
  <si>
    <t>玻璃密封胶</t>
  </si>
  <si>
    <t>水泥砂浆封堵</t>
  </si>
  <si>
    <t>外开窗五金件</t>
  </si>
  <si>
    <t>5Low-E(双银)+12A+5+12A+5mm全超白钢化中空玻璃</t>
  </si>
  <si>
    <t>10Low-E(双银)+12A+10+12A+10mm全超白钢化中空玻璃</t>
  </si>
  <si>
    <t>辅材材料费</t>
  </si>
  <si>
    <t>材料费合计</t>
  </si>
  <si>
    <t>其他费</t>
  </si>
  <si>
    <t>机械费+运输费</t>
  </si>
  <si>
    <t>铝合金窗框</t>
  </si>
  <si>
    <t>铝合金窗框压板</t>
  </si>
  <si>
    <t>光身料铝型材T5</t>
  </si>
  <si>
    <t>铝合金窗框外罩板</t>
  </si>
  <si>
    <t>铝合金中梃</t>
  </si>
  <si>
    <t>铝合金中梃压板</t>
  </si>
  <si>
    <t>铝合金中梃罩板</t>
  </si>
  <si>
    <t>固定窗拼接件</t>
  </si>
  <si>
    <t>幕墙式铝合窗</t>
  </si>
  <si>
    <t>铝合金拼樘</t>
  </si>
  <si>
    <t>窗扇</t>
  </si>
  <si>
    <t>移门（系统门）</t>
  </si>
  <si>
    <t>8Low-E(双银)+12A+8+12A+8mm全超白钢化中空玻璃</t>
  </si>
  <si>
    <t>15Low-E(双银)+12A+15+12A+15mm全超白钢化中空玻璃（超宽）</t>
  </si>
  <si>
    <t>1-1剖/JD-132</t>
  </si>
  <si>
    <t>80x60x5矩形钢管</t>
  </si>
  <si>
    <t>热镀锌角钢</t>
  </si>
  <si>
    <t>L50*5</t>
  </si>
  <si>
    <t>热镀锌埋件</t>
  </si>
  <si>
    <t>150*200*10</t>
  </si>
  <si>
    <t>热镀锌钢连接件</t>
  </si>
  <si>
    <t>L=150</t>
  </si>
  <si>
    <t>25㎜葡萄牙灰石材</t>
  </si>
  <si>
    <t>钢芯60*40*4</t>
  </si>
  <si>
    <t>铝合金挂件</t>
  </si>
  <si>
    <t>石材幕墙人工制作安装费</t>
  </si>
  <si>
    <t>后切式背栓-M8</t>
  </si>
  <si>
    <t>M12x120不锈钢螺栓</t>
  </si>
  <si>
    <t>不锈钢螺栓-M8x35</t>
  </si>
  <si>
    <t>M12化学锚栓</t>
  </si>
  <si>
    <t>1.5mm镀锌钢板</t>
  </si>
  <si>
    <t>耐候密封胶</t>
  </si>
  <si>
    <t>云石胶</t>
  </si>
  <si>
    <t>其他材料费</t>
  </si>
  <si>
    <t>钢材拉弯</t>
  </si>
  <si>
    <t>东立面</t>
  </si>
  <si>
    <t>8-8剖/JD-117</t>
  </si>
  <si>
    <t>L=265</t>
  </si>
  <si>
    <t>L=225</t>
  </si>
  <si>
    <t>元/米</t>
  </si>
  <si>
    <t>石材线条人工制作安装费</t>
  </si>
  <si>
    <t>11-11剖/JD-135</t>
  </si>
  <si>
    <t>钢管60*40*4</t>
  </si>
  <si>
    <t>12轴</t>
  </si>
  <si>
    <t>1-1剖JD113</t>
  </si>
  <si>
    <t>300*200*10</t>
  </si>
  <si>
    <t>铝板幕墙人工制作安装费</t>
  </si>
  <si>
    <t>100mm厚防火岩棉</t>
  </si>
  <si>
    <t>2.5mm厚铝单板(中灰色)</t>
  </si>
  <si>
    <t>1-1剖JD112</t>
  </si>
  <si>
    <t>60x60x4矩形钢管</t>
  </si>
  <si>
    <t>L=85</t>
  </si>
  <si>
    <t>Z型</t>
  </si>
  <si>
    <t>L型</t>
  </si>
  <si>
    <t>M12膨胀螺栓</t>
  </si>
  <si>
    <t>铝型材拉弯</t>
  </si>
  <si>
    <t>2.5mm厚铝单板(浅灰色带弧形造型)</t>
  </si>
  <si>
    <t>2-2剖</t>
  </si>
  <si>
    <t>60x60x4，L=85</t>
  </si>
  <si>
    <t>横向</t>
  </si>
  <si>
    <t>竖向</t>
  </si>
  <si>
    <t>2.5mm厚铝单板(浅灰色)</t>
  </si>
  <si>
    <t>南北立面</t>
  </si>
  <si>
    <t>JD-117</t>
  </si>
  <si>
    <t>80x40x4矩形钢管</t>
  </si>
  <si>
    <t>2.5mm厚铝单板(银灰色)</t>
  </si>
  <si>
    <t>2.5mm厚铝单板(银灰色)弧形</t>
  </si>
  <si>
    <t>9-9剖，JD-117</t>
  </si>
  <si>
    <t>2.5mm厚铝单板(香槟色)</t>
  </si>
  <si>
    <t>2.5mm厚铝单板(香槟色)弧形</t>
  </si>
  <si>
    <t>4mm厚穿孔铝单板(香槟色)</t>
  </si>
  <si>
    <t>4mm厚穿孔铝单板(香槟色)弧形</t>
  </si>
  <si>
    <t>钢材表面氟碳喷涂</t>
  </si>
  <si>
    <t>北立面15-10轴</t>
  </si>
  <si>
    <t>9-9剖，JD-119</t>
  </si>
  <si>
    <t>4㎜香槟色穿孔铝单板（双层，内层2.5㎜中灰色铝单板）</t>
  </si>
  <si>
    <t>60x60x4，L=155</t>
  </si>
  <si>
    <t>四层玻璃栏杆下</t>
  </si>
  <si>
    <t>40x40x4矩形钢管</t>
  </si>
  <si>
    <r>
      <rPr>
        <sz val="10"/>
        <rFont val="宋体"/>
        <charset val="134"/>
      </rPr>
      <t>75*30</t>
    </r>
    <r>
      <rPr>
        <sz val="10"/>
        <rFont val="SimSun"/>
        <charset val="134"/>
      </rPr>
      <t>㎜</t>
    </r>
    <r>
      <rPr>
        <sz val="10"/>
        <rFont val="宋体"/>
        <charset val="134"/>
      </rPr>
      <t>不锈钢板</t>
    </r>
  </si>
  <si>
    <r>
      <rPr>
        <sz val="10"/>
        <rFont val="宋体"/>
        <charset val="134"/>
      </rPr>
      <t>1250</t>
    </r>
    <r>
      <rPr>
        <sz val="10"/>
        <rFont val="SimSun"/>
        <charset val="134"/>
      </rPr>
      <t>㎜</t>
    </r>
    <r>
      <rPr>
        <sz val="10"/>
        <rFont val="宋体"/>
        <charset val="134"/>
      </rPr>
      <t>高</t>
    </r>
  </si>
  <si>
    <t>2.5mm厚铝单板(浅灰色)弧形</t>
  </si>
  <si>
    <t>2.5mm厚铝单板(浅灰色)超长板</t>
  </si>
  <si>
    <t>北立面4-3轴</t>
  </si>
  <si>
    <t>80x60x4矩形钢管</t>
  </si>
  <si>
    <t>2.5mm厚铝单板(浅灰色)超长板带圆弧</t>
  </si>
  <si>
    <t>东西立面7-7剖</t>
  </si>
  <si>
    <t>60x40x4矩形钢管</t>
  </si>
  <si>
    <t>2.5mm厚瓦楞铝板(浅灰色)</t>
  </si>
  <si>
    <t>JD-109</t>
  </si>
  <si>
    <t>160x80x5矩形钢管</t>
  </si>
  <si>
    <t>2.5mm厚铝单板（中灰色/浅灰色双色)</t>
  </si>
  <si>
    <t>2.5mm厚铝单板（中灰色/浅灰色双色)弧形</t>
  </si>
  <si>
    <t>JD-135</t>
  </si>
  <si>
    <t>浅灰色铝板（包栏杆反坎）</t>
  </si>
  <si>
    <t>JD-113</t>
  </si>
  <si>
    <t>2.5mm厚蓝眼睛仿石铝板（带圆弧，带拉槽）</t>
  </si>
  <si>
    <t>北立面，4-3轴</t>
  </si>
  <si>
    <t>2-2剖，JD-114</t>
  </si>
  <si>
    <t>剖3，JD-109、JD-110</t>
  </si>
  <si>
    <t>160*80*5矩形钢管</t>
  </si>
  <si>
    <t>L75*50*5</t>
  </si>
  <si>
    <t>2.5mm厚葡萄牙米黄仿石铝板（瓦楞板）</t>
  </si>
  <si>
    <t>2.5mm厚葡萄牙米黄仿石铝板（瓦楞板）弧形</t>
  </si>
  <si>
    <t>2.5mm厚铝单板(中灰色/香槟色双色)</t>
  </si>
  <si>
    <t>2.5mm厚铝单板(中灰色/香槟色双色)弧形</t>
  </si>
  <si>
    <t>120x60x4矩形钢管</t>
  </si>
  <si>
    <t>剖4，JD-109、JD-110</t>
  </si>
  <si>
    <t>120*60*5矩形钢管</t>
  </si>
  <si>
    <t>铝合金格栅人工制作安装费</t>
  </si>
  <si>
    <t>130*70*3铝方管</t>
  </si>
  <si>
    <t>20*100*2铝方管</t>
  </si>
  <si>
    <t>30*60*1.5铝方管</t>
  </si>
  <si>
    <t>剖4</t>
  </si>
  <si>
    <t>60x60x4，L=120</t>
  </si>
  <si>
    <t>格栅竖向边框</t>
  </si>
  <si>
    <t>70*70*3铝方管</t>
  </si>
  <si>
    <t>横向边框</t>
  </si>
  <si>
    <t>铝合金百叶人工制作安装费</t>
  </si>
  <si>
    <t>边框</t>
  </si>
  <si>
    <t>百叶片</t>
  </si>
  <si>
    <t>不锈钢防虫网</t>
  </si>
  <si>
    <t>压板</t>
  </si>
  <si>
    <t>铝合金线条人工制作安装费</t>
  </si>
  <si>
    <t>装饰线条</t>
  </si>
  <si>
    <t>80*80*5矩形钢管</t>
  </si>
  <si>
    <t>屋面采光顶8+1.52+8㎜超白钢化夹层玻璃</t>
  </si>
  <si>
    <t>80*80*5，L=287</t>
  </si>
  <si>
    <t>副框</t>
  </si>
  <si>
    <t>压块</t>
  </si>
  <si>
    <t>采光顶人工制作安装费</t>
  </si>
  <si>
    <t>耐候结构胶</t>
  </si>
  <si>
    <t>8+1.52PVB+8超白钢化夹层玻璃</t>
  </si>
  <si>
    <t>热镀锌钢板</t>
  </si>
  <si>
    <t>56*3</t>
  </si>
  <si>
    <t>外罩板</t>
  </si>
  <si>
    <t>25纳米水晶硅+1.52PVB+6钢化夹层玻璃</t>
  </si>
  <si>
    <t>钢材表面防火漆</t>
  </si>
  <si>
    <t>电动开启装置</t>
  </si>
  <si>
    <t>7~10轴</t>
  </si>
  <si>
    <t>JD120</t>
  </si>
  <si>
    <t>不锈钢栏杆立柱</t>
  </si>
  <si>
    <t>75*30</t>
  </si>
  <si>
    <t>U型钢</t>
  </si>
  <si>
    <t>180*200*10</t>
  </si>
  <si>
    <t>6+1.14PVB+6㎜超白钢化夹层玻璃栏杆</t>
  </si>
  <si>
    <t>铝合金扶手</t>
  </si>
  <si>
    <t>铝合金扶手扣盖</t>
  </si>
  <si>
    <t>玻璃栏杆人工制作安装费</t>
  </si>
  <si>
    <t>包立柱</t>
  </si>
  <si>
    <t>6+1.14PVB+6超白钢化夹层玻璃</t>
  </si>
  <si>
    <t>6+1.14PVB+6超白钢化夹层玻璃（弯弧）</t>
  </si>
  <si>
    <t>250*200*10</t>
  </si>
  <si>
    <t>8+1.52SGP+8㎜超白钢化夹层玻璃栏杆</t>
  </si>
  <si>
    <t>8+1.52SGP+8㎜超白钢化夹层玻璃</t>
  </si>
  <si>
    <t>1.5mm乱纹仿铜不锈钢</t>
  </si>
  <si>
    <t>防火隔断人工制作安装费</t>
  </si>
  <si>
    <t>200mm厚防火岩棉</t>
  </si>
  <si>
    <t>防火密封胶</t>
  </si>
  <si>
    <t>铝板幕墙-无龙骨人工制作安装费</t>
  </si>
  <si>
    <t>1.5㎜镀锌钢板封堵</t>
  </si>
  <si>
    <t>人工制作安装费</t>
  </si>
  <si>
    <t>2mm不锈钢</t>
  </si>
  <si>
    <t>3㎜铝芯复合板（玻璃背称）</t>
  </si>
  <si>
    <t>材料表</t>
  </si>
  <si>
    <t>分类</t>
  </si>
  <si>
    <t>不含税综合单价（元/单位）</t>
  </si>
  <si>
    <t>材料损耗率</t>
  </si>
  <si>
    <t>含税单价</t>
  </si>
  <si>
    <t>11#楼</t>
  </si>
  <si>
    <t>1#2#商业</t>
  </si>
  <si>
    <t>石材</t>
  </si>
  <si>
    <t>加工增加费</t>
  </si>
  <si>
    <t>需确认厚度</t>
  </si>
  <si>
    <t>带圆弧</t>
  </si>
  <si>
    <t>50㎜厚贝金米黄亚光面石材</t>
  </si>
  <si>
    <r>
      <rPr>
        <sz val="10"/>
        <color theme="1"/>
        <rFont val="宋体"/>
        <charset val="134"/>
        <scheme val="minor"/>
      </rPr>
      <t>75*77</t>
    </r>
    <r>
      <rPr>
        <sz val="10"/>
        <color theme="1"/>
        <rFont val="SimSun"/>
        <charset val="134"/>
      </rPr>
      <t>㎜</t>
    </r>
  </si>
  <si>
    <r>
      <rPr>
        <sz val="10"/>
        <color theme="1"/>
        <rFont val="宋体"/>
        <charset val="134"/>
        <scheme val="minor"/>
      </rPr>
      <t>200*200</t>
    </r>
    <r>
      <rPr>
        <sz val="10"/>
        <color theme="1"/>
        <rFont val="SimSun"/>
        <charset val="134"/>
      </rPr>
      <t>㎜，</t>
    </r>
    <r>
      <rPr>
        <sz val="10"/>
        <color theme="1"/>
        <rFont val="宋体"/>
        <charset val="134"/>
        <scheme val="minor"/>
      </rPr>
      <t>R=200</t>
    </r>
  </si>
  <si>
    <t>铝板</t>
  </si>
  <si>
    <t>2.5mm厚铝单板</t>
  </si>
  <si>
    <t>屋面</t>
  </si>
  <si>
    <t>北立面墙面</t>
  </si>
  <si>
    <t>上下边带圆弧，带拉槽</t>
  </si>
  <si>
    <t>2.5mm厚蓝眼睛仿石铝板（四边带圆弧）</t>
  </si>
  <si>
    <t>2.5mm厚铝单板(中灰色仿石铝板)</t>
  </si>
  <si>
    <t>2.5mm厚铝单板(中灰色仿石铝板)弧形</t>
  </si>
  <si>
    <t>1.5mm厚香槟色铝合金瓦楞板</t>
  </si>
  <si>
    <t>1.5mm厚香槟色铝合金瓦楞板（弧形）</t>
  </si>
  <si>
    <t>1.5mm厚银灰色铝合金瓦楞板（弯弧造型）</t>
  </si>
  <si>
    <t>25㎜香槟色蜂窝铝板</t>
  </si>
  <si>
    <t>25㎜香槟色蜂窝铝板（弧形）</t>
  </si>
  <si>
    <t>2.5mm厚铝单板(香槟色)吊顶板</t>
  </si>
  <si>
    <t>超大板</t>
  </si>
  <si>
    <t>2.0mm厚粉末喷涂铝单板</t>
  </si>
  <si>
    <t>背称</t>
  </si>
  <si>
    <t>天沟上盖板</t>
  </si>
  <si>
    <t>玻璃</t>
  </si>
  <si>
    <t>6Low-E(双银)+12A+6+12A+6mm全超白钢化中空玻璃</t>
  </si>
  <si>
    <t>12Low-E(双银)+12A+12+12A+12mm全超白钢化中空玻璃</t>
  </si>
  <si>
    <t>15Low-E(双银)+12A+15+12A+15mm全超白钢化中空玻璃</t>
  </si>
  <si>
    <t>6Low-E(双银)+12A+6+12A+6mm全超白钢化中空玻璃-弧形</t>
  </si>
  <si>
    <t>6Low-E(双银)+12A+6+12A+6mm全超白钢化中空玻璃（弯弧）</t>
  </si>
  <si>
    <t>6Low-E(双银)+12A+6㎜全超白钢化中空玻璃</t>
  </si>
  <si>
    <t>8Low-E(双银)+12A+8㎜全超白钢化中空玻璃</t>
  </si>
  <si>
    <t>10Low-E(双银)+12A+10㎜全超白钢化中空玻璃</t>
  </si>
  <si>
    <t>12Low-E(双银)+12A+12㎜全超白钢化中空玻璃</t>
  </si>
  <si>
    <t>15Low-E(双银)+12A+15㎜全超白钢化中空玻璃</t>
  </si>
  <si>
    <r>
      <rPr>
        <sz val="10"/>
        <color rgb="FFFF0000"/>
        <rFont val="宋体"/>
        <charset val="134"/>
        <scheme val="minor"/>
      </rPr>
      <t>6+1.52PVB+6Low-E(双银)+12A+6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</t>
    </r>
  </si>
  <si>
    <r>
      <rPr>
        <sz val="10"/>
        <color rgb="FFFF0000"/>
        <rFont val="宋体"/>
        <charset val="134"/>
        <scheme val="minor"/>
      </rPr>
      <t>6+1.52PVB+6Low-E(双银)+12A+10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</t>
    </r>
  </si>
  <si>
    <r>
      <rPr>
        <sz val="10"/>
        <color rgb="FFFF0000"/>
        <rFont val="宋体"/>
        <charset val="134"/>
        <scheme val="minor"/>
      </rPr>
      <t>8+1.52PVB+8Low-E(双银)+12A+12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</t>
    </r>
  </si>
  <si>
    <r>
      <rPr>
        <sz val="10"/>
        <color rgb="FFFF0000"/>
        <rFont val="宋体"/>
        <charset val="134"/>
        <scheme val="minor"/>
      </rPr>
      <t>8+1.52PVB+8Low-E(双银)+12A+15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</t>
    </r>
  </si>
  <si>
    <r>
      <rPr>
        <sz val="10"/>
        <color rgb="FFFF0000"/>
        <rFont val="宋体"/>
        <charset val="134"/>
        <scheme val="minor"/>
      </rPr>
      <t>10+1.9SGP+10Low-E(双银)+12A+10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</t>
    </r>
  </si>
  <si>
    <r>
      <rPr>
        <sz val="10"/>
        <color rgb="FFFF0000"/>
        <rFont val="宋体"/>
        <charset val="134"/>
        <scheme val="minor"/>
      </rPr>
      <t>12+1.9SGP+12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全超白钢化夹层玻璃</t>
    </r>
  </si>
  <si>
    <t>（宽1820㎜，高3600㎜）</t>
  </si>
  <si>
    <t>15+2.28SGP+15全超白钢化夹层玻璃(超宽)（宽7200㎜，高3600㎜）</t>
  </si>
  <si>
    <r>
      <rPr>
        <sz val="10"/>
        <color rgb="FFFF0000"/>
        <rFont val="宋体"/>
        <charset val="134"/>
        <scheme val="minor"/>
      </rPr>
      <t>12+1.9SGP+12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全超白钢化夹层玻璃（弯弧）（弧长1414㎜，高3600㎜，半径900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</si>
  <si>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r>
      <rPr>
        <sz val="10"/>
        <color rgb="FFFF0000"/>
        <rFont val="宋体"/>
        <charset val="134"/>
        <scheme val="minor"/>
      </rPr>
      <t>12Low-E(双银)+12A+12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全超白钢化中空玻璃（直+弯弧）（直段宽度300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+弧长942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，圆弧半径600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，高3600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</si>
  <si>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r>
      <rPr>
        <sz val="10"/>
        <color rgb="FFFF0000"/>
        <rFont val="宋体"/>
        <charset val="134"/>
        <scheme val="minor"/>
      </rPr>
      <t>10Low-E(双银)+12A+10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全超白钢化中空玻璃（直+弯弧+直）（直段宽度210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+弧长942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+直线宽度210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，圆弧半径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600，高2500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</si>
  <si>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r>
      <rPr>
        <sz val="10"/>
        <color rgb="FFFF0000"/>
        <rFont val="宋体"/>
        <charset val="134"/>
        <scheme val="minor"/>
      </rPr>
      <t>10Low-E(双银)+12A+10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全超白钢化中空玻璃（直+弯弧+直）（直段宽度210㎜+弧长1414㎜+直线宽度210㎜，圆弧半径㎜900，高2500㎜）</t>
    </r>
  </si>
  <si>
    <t>8+1.52+8全超白钢化夹层玻璃（弯弧）（弧长942㎜，高3035㎜，半径600㎜）</t>
  </si>
  <si>
    <r>
      <rPr>
        <sz val="10"/>
        <color rgb="FFFF0000"/>
        <rFont val="宋体"/>
        <charset val="134"/>
        <scheme val="minor"/>
      </rPr>
      <t>8+1.52+8全超白钢化夹层玻璃（弯弧）（弧长1414㎜，高3035㎜，半径900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</si>
  <si>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t>8+1.52PVB+8Low-E(双银)+12A+12全超白钢化夹层中空玻璃（直+弯弧+直）（直段宽度210㎜+弧长942㎜+直线宽度210㎜，圆弧半径㎜600，高3500㎜）</t>
  </si>
  <si>
    <t>6+1.52PVB+6Low-E(双银)+12A+6全超白钢化夹层中空玻璃（直+弯弧+直）（直段宽度210㎜+弧长942㎜+直段宽度210㎜，圆弧半径㎜600，高620㎜）</t>
  </si>
  <si>
    <t>8+1.52PVB+8Low-E(双银)+12A+12全超白钢化夹层中空玻璃（直+弯弧+直）（直段宽度210㎜+弧长1414㎜+直段宽度210㎜，圆弧半径㎜900，高2300㎜）</t>
  </si>
  <si>
    <t>6+1.52PVB+6Low-E(双银)+12A+6全超白钢化夹层中空玻璃（直+弯弧+直）（直段宽度210㎜+弧长1414㎜+直段宽度210㎜，圆弧半径㎜900，高620㎜）</t>
  </si>
  <si>
    <t>6Low-E(双银)+12A+6mm全超白钢化中空玻璃（直+弯弧+直）（直段宽度210㎜+弧长1414㎜+直段宽度210㎜，圆弧半径㎜900，高620㎜）</t>
  </si>
  <si>
    <r>
      <rPr>
        <sz val="10"/>
        <color rgb="FFFF0000"/>
        <rFont val="宋体"/>
        <charset val="134"/>
        <scheme val="minor"/>
      </rPr>
      <t>12+1.9SGP+12全超白钢化夹层玻璃（弯弧）（弧长1135㎜，高3600㎜，半径900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</si>
  <si>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r>
      <rPr>
        <sz val="10"/>
        <color rgb="FFFF0000"/>
        <rFont val="宋体"/>
        <charset val="134"/>
        <scheme val="minor"/>
      </rPr>
      <t>12+1.9SGP+12全超白钢化夹层玻璃（弯弧）（弧长1498㎜，高3600㎜，半径900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</si>
  <si>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t>10+1.9SGP+10Low-E(双银)+12A+10㎜全超白钢化夹层中空玻璃（弯弧）（弧长1100㎜，圆弧半径900㎜，高3600㎜）</t>
  </si>
  <si>
    <t>10+1.9SGP+10Low-E(双银)+12A+10㎜全超白钢化夹层中空玻璃（直+弯弧）（直段宽度600㎜+弧长1100㎜，圆弧半径700㎜，高3600㎜）</t>
  </si>
  <si>
    <r>
      <rPr>
        <sz val="10"/>
        <color rgb="FFFF0000"/>
        <rFont val="宋体"/>
        <charset val="134"/>
        <scheme val="minor"/>
      </rPr>
      <t>8+1.52+8全超白钢化夹层玻璃（弯弧）（弧长1100mm，高3035㎜，半径700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）</t>
    </r>
  </si>
  <si>
    <r>
      <rPr>
        <sz val="10"/>
        <color rgb="FFFF0000"/>
        <rFont val="宋体"/>
        <charset val="134"/>
        <scheme val="minor"/>
      </rPr>
      <t>6+1.52PVB+6Low-E(双银)+12A+10</t>
    </r>
    <r>
      <rPr>
        <sz val="10"/>
        <color rgb="FFFF0000"/>
        <rFont val="SimSun"/>
        <charset val="134"/>
      </rPr>
      <t>㎜</t>
    </r>
    <r>
      <rPr>
        <sz val="10"/>
        <color rgb="FFFF0000"/>
        <rFont val="宋体"/>
        <charset val="134"/>
        <scheme val="minor"/>
      </rPr>
      <t>全超白钢化夹层中空玻璃（直+弯弧+直）（直段宽度210㎜+弧长1414㎜+直段宽度210㎜，圆弧半径㎜900，高2300㎜）</t>
    </r>
  </si>
  <si>
    <t>6+1.52PVB+6Low-E(双银)+12A+10㎜全超白钢化夹层中空玻璃（弯弧）（弧长1414㎜，圆弧半径900㎜，高3035㎜）</t>
  </si>
  <si>
    <t>10Low-E(双银)+12A+10mm全超白钢化中空玻璃（直+弯弧）（直段宽度210㎜+弧长1095㎜，圆弧半径㎜700，高2300㎜）</t>
  </si>
  <si>
    <t>6+1.14+6全超白钢化夹层玻璃(弯弧）（弧长942㎜，圆弧半径㎜600，高1200㎜）</t>
  </si>
  <si>
    <t>6+1.14+6全超白钢化夹层玻璃(弯弧）（直+弯弧）（直段宽度270㎜+弧长754㎜，圆弧半径㎜900，高1200㎜）</t>
  </si>
  <si>
    <t>8+1.52PVB+8Low-E(双银)+12A+8+1.52PVB+8㎜全超白钢化夹层中空玻璃（超高）（宽2175㎜，高6800㎜）</t>
  </si>
  <si>
    <t>10+1.9SGP+10Low-E(双银)+12A+12㎜全超白钢化夹层中空玻璃</t>
  </si>
  <si>
    <t>10+1.9SGP+10Low-E(双银)+12A+12㎜全超白钢化夹层中空玻璃）（弯弧）（弧长1414㎜，圆弧半径900㎜，高3600㎜）</t>
  </si>
  <si>
    <t>12+1.9SGP+12㎜全超白钢化夹层玻璃（弯弧）（弧长1498㎜，圆弧半径900㎜，高3600㎜）</t>
  </si>
  <si>
    <t>12+1.9SGP+12㎜全超白钢化夹层玻璃（直+弯弧）（直段宽度840㎜+弧长1135㎜，圆弧半径900㎜，高3600㎜）</t>
  </si>
  <si>
    <t>12+1.9SGP+12㎜全超白钢化夹层玻璃（直+弯弧+直）（直段宽度840㎜+弧长1498㎜+直段宽度450㎜，圆弧半径900㎜，高3600㎜）</t>
  </si>
  <si>
    <t>8+1.52PVB+8㎜全超白钢化夹层玻璃（直+弯弧）（直段宽度300㎜+弧长942㎜，圆弧半径600㎜，高3035㎜）</t>
  </si>
  <si>
    <t>8+1.52PVB+8㎜全超白钢化夹层玻璃（直+弯弧）（直段宽度840㎜+弧长1135㎜，圆弧半径900㎜，高3035㎜）</t>
  </si>
  <si>
    <t>8+1.52PVB+8㎜全超白钢化夹层玻璃（直+弯弧+直）（直段宽度840㎜+弧长1681㎜+直段宽度400㎜，圆弧半径900㎜，高3035㎜）</t>
  </si>
  <si>
    <t>10Low-E(双银)+12A+10mm全超白钢化中空玻璃（直+弯弧+直）（直段宽度210㎜+弧长1414㎜+直线宽度210㎜，圆弧半径㎜900，高2500㎜）</t>
  </si>
  <si>
    <t>10Low-E(双银)+12A+10㎜全超白钢化中空玻璃（直+弯弧+直）（直段宽度210㎜+弧长1414㎜+直段宽度210㎜，圆弧半径900㎜，高2345㎜）</t>
  </si>
  <si>
    <t>6Low-E(双银)+12A+6㎜全超白钢化中空玻璃（直+弯弧+直）（直段宽度210㎜+弧长1414㎜+直段宽度210㎜，圆弧半径900㎜，高620㎜）</t>
  </si>
  <si>
    <t>6+1.52PVB+6Low-E(双银)+12A+6㎜全超白钢化夹层中空玻璃（直+弯弧+直）（直段宽度210㎜+弧长1414㎜+直段宽度210㎜，圆弧半径900㎜，高620㎜）</t>
  </si>
  <si>
    <t>8+1.52PVB+8Low-E(双银)+12A+12㎜全超白钢化夹层中空玻璃（直+弯弧+直）（直段宽度210㎜+弧长1414㎜+直段宽度210㎜，圆弧半径900㎜，高2330㎜）</t>
  </si>
  <si>
    <t>6+1.52PVB+6Low-E(双银)+12A+6㎜全超白钢化夹层中空玻璃（直+弯弧+直）（直段宽度210㎜+弧长942㎜+直段宽度210㎜，圆弧半径600㎜，高620㎜）</t>
  </si>
  <si>
    <t>8+1.52PVB+8Low-E(双银)+12A+12㎜全超白钢化夹层中空玻璃（直+弯弧+直）（直段宽度210㎜+弧长942㎜+直段宽度210㎜，圆弧半径600㎜，高3515㎜）</t>
  </si>
  <si>
    <t>6+1.52PVB+6Low-E(双银)+12A+10㎜全超白钢化夹层中空玻璃（直+弯弧+直）（直段宽度210㎜+弧长1414㎜+直段宽度210㎜，圆弧半径900㎜，高2330㎜）</t>
  </si>
  <si>
    <t>8+1.52PVB+8㎜全超白钢化夹层玻璃</t>
  </si>
  <si>
    <t>金属粉</t>
  </si>
  <si>
    <t>铝型材</t>
  </si>
  <si>
    <t>kg</t>
  </si>
  <si>
    <t>亚铝</t>
  </si>
  <si>
    <t>PPG粉</t>
  </si>
  <si>
    <t>非常规颜色(红色、黄色、蓝色、紫色等鲜艳色</t>
  </si>
  <si>
    <t>多边形</t>
  </si>
  <si>
    <t>弧形</t>
  </si>
  <si>
    <t>隔热条（H=27mm）</t>
  </si>
  <si>
    <t>m</t>
  </si>
  <si>
    <t>钢材</t>
  </si>
  <si>
    <t>250*70*25㎜T型钢</t>
  </si>
  <si>
    <t>香槟色金属网</t>
  </si>
  <si>
    <t>香槟色金属网（弯弧）</t>
  </si>
  <si>
    <t>1.2mm不锈钢</t>
  </si>
  <si>
    <t>胶类</t>
  </si>
  <si>
    <t>支</t>
  </si>
  <si>
    <t>500ml/支</t>
  </si>
  <si>
    <t>300ml/支</t>
  </si>
  <si>
    <t>五金</t>
  </si>
  <si>
    <t>套</t>
  </si>
  <si>
    <t>悬窗五金件</t>
  </si>
  <si>
    <t>地弹簧</t>
  </si>
  <si>
    <t>不锈钢拉手</t>
  </si>
  <si>
    <t>地锁</t>
  </si>
  <si>
    <t>不锈钢挑件</t>
  </si>
  <si>
    <t>M10化学锚栓</t>
  </si>
  <si>
    <t>不锈钢背栓-M8</t>
  </si>
  <si>
    <r>
      <rPr>
        <sz val="10"/>
        <color theme="1"/>
        <rFont val="微软雅黑"/>
        <charset val="134"/>
      </rPr>
      <t>Ø</t>
    </r>
    <r>
      <rPr>
        <sz val="10"/>
        <color theme="1"/>
        <rFont val="宋体"/>
        <charset val="134"/>
        <scheme val="minor"/>
      </rPr>
      <t>8不锈钢弹簧插销</t>
    </r>
  </si>
  <si>
    <t>M6不锈钢螺栓</t>
  </si>
  <si>
    <t>30㎜隔音棉</t>
  </si>
  <si>
    <t>现场管理费指项目部管理人员工资、差旅费、各类关系处理费用</t>
  </si>
  <si>
    <t>位置</t>
  </si>
  <si>
    <t>计算式</t>
  </si>
  <si>
    <t>面积</t>
  </si>
  <si>
    <t>西立面柱脚</t>
  </si>
  <si>
    <t>(0.55+0.45+0.15+2.9+0.15+2.9)*1</t>
  </si>
  <si>
    <t>南立面柱脚</t>
  </si>
  <si>
    <t>0.55*(0.6+0.3)+0.55*(1.3+0.5+1.108+3.8+0.6+0.5+1.3)+0.55*(1.3+0.5+1.108+6.5+1.108+0.5+1.3)+0.55*(1.3+0.6)</t>
  </si>
  <si>
    <t>东立面柱脚</t>
  </si>
  <si>
    <t>0.55*(4.95+0.15+2.9+0.15+2.9)</t>
  </si>
  <si>
    <t>北立面柱脚</t>
  </si>
  <si>
    <t>0.55*0.6*4+0.25*（5.6+4.5+6.7+3.9+3.4+1+2+4.5+5.6）</t>
  </si>
  <si>
    <t>一层采光井底部</t>
  </si>
  <si>
    <t>0.2*5.11+0.2*5.86+0.2*5.01+0.2*2.46+0.2*1.96+0.2*5.36</t>
  </si>
  <si>
    <t>西立面平板</t>
  </si>
  <si>
    <t>1*3.06+3.5*1.53+0.45*3.06+2.87*0.2+2.87*(0.3+0.2)+2.9*3.06+2.1*3.5-2.7*1.7+0.75*2.1*2+0.75*3.5+(0.23+0.1)*2.88*2</t>
  </si>
  <si>
    <t>南立面平板</t>
  </si>
  <si>
    <t>0.6*3.06*6+(1.3*2.18+0.65*0.25)*2+(1.3*2.18+0.65*0.25-0.9*1.97)*4+(0.23+0.25)*(10.5+7.85+10.5)</t>
  </si>
  <si>
    <t>东立面平板</t>
  </si>
  <si>
    <t>2.9*3.06+4.95*3.06+(0.3+0.2)*2.87+(0.23+0.1)*2.88*2</t>
  </si>
  <si>
    <t>北立面平板</t>
  </si>
  <si>
    <t>0.6*3.06*2+0.25*3.06*6+(0.6*3.06+1.2*0.23)*4+0.25*4.03*4+(0.25+0.23)*(11.1+6.7+8.3+4.1+11.1)</t>
  </si>
  <si>
    <t>西立面线条</t>
  </si>
  <si>
    <t>南立面线条</t>
  </si>
  <si>
    <t>东立面线条</t>
  </si>
  <si>
    <t>北立面线条</t>
  </si>
  <si>
    <t>二层直段320高度</t>
  </si>
  <si>
    <t>(3.58+6.2+2.05+3.44+2.83+0.38+3.18+5.43+1.54+2.24+2.33+0.38+2.78+3.08+2.33+3.44+2.05+6.2+3.58)*(0.32+0.04*2)</t>
  </si>
  <si>
    <t>二层弧段320高度</t>
  </si>
  <si>
    <t>(1.021*7+0.864*3)*(0.32+0.04*2)</t>
  </si>
  <si>
    <t>三层直段390高度</t>
  </si>
  <si>
    <t>(3.58+4.83+3.96+4.83+3.58)*(0.39+0.04*2)</t>
  </si>
  <si>
    <t>三层弧段390高度</t>
  </si>
  <si>
    <t>(1.021*2)*(0.39+0.04*2)</t>
  </si>
  <si>
    <t>三层直段560高度</t>
  </si>
  <si>
    <t>(1.61*3)*(0.56+0.04*2)</t>
  </si>
  <si>
    <t>四层直段470高度</t>
  </si>
  <si>
    <t>(2+2.8+1.63+2.8+1.63+1.63+2.8+2)*(0.47+0.04*2)</t>
  </si>
  <si>
    <t>四层弧段470高度</t>
  </si>
  <si>
    <t>(1.021*5)*(0.47+0.04*2)</t>
  </si>
  <si>
    <t>四层直段290高度</t>
  </si>
  <si>
    <t>(7.15+5.8+7.3)*(0.29+0.04*2)</t>
  </si>
  <si>
    <t>0.38*3.61+0.26*1.88</t>
  </si>
  <si>
    <t>北立面采光天窗四周</t>
  </si>
  <si>
    <t>（1.35+0.4）*（0.4+0.15）*2+4.65*（0.4+0.15）-0.4*0.15*2</t>
  </si>
  <si>
    <t>（1.35+0.4）*（0.4+0.15）*2+4.65*（0.54+0.15）-0.4*0.15*2</t>
  </si>
  <si>
    <t>（1.35+0.4）*（0.4+0.15）*2+4.55*（0.54+0.15）-0.4*0.15*2</t>
  </si>
  <si>
    <t>（1.35+0.4）*（0.4+0.15）*2+2*（0.54+0.15）-0.4*0.15*2</t>
  </si>
  <si>
    <t>（1.35+0.4）*（0.4+0.15）*2+1.5*（0.54+0.15）-0.4*0.15*2</t>
  </si>
  <si>
    <t>（1.35+0.4）*（0.4+0.15）*2+4.9*（0.54+0.15）-0.4*0.15*2</t>
  </si>
  <si>
    <t>3.397*（0.46+0.37）+3.32*（0.46+0.37）+（2.418+6.555）+（11.789+5.024）+（2.355-6.75-1.912）+（2.25*2+0.3）*0.5+（2.25*2+0.85）*0.5</t>
  </si>
  <si>
    <t>3户</t>
  </si>
  <si>
    <t>北立面幕窗上下口</t>
  </si>
  <si>
    <t>（4.05*（0.727）+6.2*0.21*4）*2+4.05*1</t>
  </si>
  <si>
    <t>2.55*0.727+5*0.21*4</t>
  </si>
  <si>
    <t>北立面入户门上方</t>
  </si>
  <si>
    <t>1*1.1*3</t>
  </si>
  <si>
    <t>北立面顶部穿孔铝单板上方</t>
  </si>
  <si>
    <t>（6.36+7.26+5.16+2.36+6.36）*0.139</t>
  </si>
  <si>
    <t>北立面18-15轴</t>
  </si>
  <si>
    <t>（11.1*2.75-5.25*0.524-4.05*1.75-1.0*2.75-6.2*0.524）+1.75*0.25*2+2.75*0.3*2</t>
  </si>
  <si>
    <t>（6.7*3.75-1.1*3.75*2）+2.75*0.3*4</t>
  </si>
  <si>
    <t>北立面10-7轴</t>
  </si>
  <si>
    <t>（8.3*2.75-1.1*2.75-2.55*2.75-5.35*0.524）+2.75*0.3*2+2.75*0.25*2</t>
  </si>
  <si>
    <t>北立面7-4轴</t>
  </si>
  <si>
    <t>（4.1*3.75-1.1*3.75-2.3*0.524）+2.75*0.3*2</t>
  </si>
  <si>
    <t>北立面4-1轴</t>
  </si>
  <si>
    <t>（11.1*2.75-5.5*0.524-4.05*1.75-1.0*2.75）+0.75*0.25*2+2.75*0.3*2</t>
  </si>
  <si>
    <t>（4.05+1.1）*1.578+（11.1-4.05-1.1）*1.338</t>
  </si>
  <si>
    <t>6.7*1.538</t>
  </si>
  <si>
    <t>（1.1+2.05）*1.578+（8.3-1.1-2.05）*1.338</t>
  </si>
  <si>
    <t>4.1*1.538</t>
  </si>
  <si>
    <t>紫色-浅灰色</t>
  </si>
  <si>
    <t>北立面2/3/4层梁</t>
  </si>
  <si>
    <t>（6.2+5+6.2）*0.506+（6.2+5+6.2）*1.348+（6.2+5+6.2）*0.506</t>
  </si>
  <si>
    <t>黄色-银灰色</t>
  </si>
  <si>
    <t>北立面4层梁</t>
  </si>
  <si>
    <t>（6.36+7.26+5.16+2.36+6.36）*1.277</t>
  </si>
  <si>
    <t>（6.36+7.26+2.36+6.36）*0.139</t>
  </si>
  <si>
    <t>4.09*3.49*2</t>
  </si>
  <si>
    <t>（(2.4+0.1*2)+(2.07+0.1*2)*2）*(7.87+0.1*2)</t>
  </si>
  <si>
    <t>葡萄牙米黄石材三边</t>
  </si>
  <si>
    <t>（2.4+7.87*2）*0.1+（2.07+7.87*2）*0.1*2</t>
  </si>
  <si>
    <t>北立面，铝板外带线条</t>
  </si>
  <si>
    <t>（3.95*6.825+1.65*1.53+1.257）*2+（34.328+10.8*2.332）</t>
  </si>
  <si>
    <t>0.53*（6*2+6.9+4.855+2）</t>
  </si>
  <si>
    <t>顶部横向</t>
  </si>
  <si>
    <t>0.53*（0.628*20）</t>
  </si>
  <si>
    <t>0.58*（108.856-0.628*20）+(0.346-0.19)*5.52*2</t>
  </si>
  <si>
    <t>格栅两边JD-110</t>
  </si>
  <si>
    <t>双色宽度多0.05</t>
  </si>
  <si>
    <t>0.58*（0.628*20）</t>
  </si>
  <si>
    <r>
      <rPr>
        <sz val="10"/>
        <color rgb="FFFF0000"/>
        <rFont val="宋体"/>
        <charset val="134"/>
        <scheme val="minor"/>
      </rPr>
      <t>0.475*（</t>
    </r>
    <r>
      <rPr>
        <sz val="10"/>
        <rFont val="宋体"/>
        <charset val="134"/>
        <scheme val="minor"/>
      </rPr>
      <t>24.862-0.236*4）*2+0.475*（22.462-0.236*4）*2</t>
    </r>
  </si>
  <si>
    <t>傍边开窗JD-106</t>
  </si>
  <si>
    <t>0.475*（0.236*4）*2+0.475*（0.236*4）*2</t>
  </si>
  <si>
    <t>傍边开窗</t>
  </si>
  <si>
    <t>0.18*（3.35*2+3.95*2）*2</t>
  </si>
  <si>
    <t>JD-107</t>
  </si>
  <si>
    <t>0.18*（0.236*4）*2</t>
  </si>
  <si>
    <t>0.505*2.38</t>
  </si>
  <si>
    <t>剖3，JD-119,</t>
  </si>
  <si>
    <t>0.574*22.722</t>
  </si>
  <si>
    <t>东西立面</t>
  </si>
  <si>
    <t>（4.197+0.429）*（6.37+0.1*2）*2</t>
  </si>
  <si>
    <t>0.788*（6.37+0.1*2）*2</t>
  </si>
  <si>
    <t>（0.64+0.05*2）*2.86*2</t>
  </si>
  <si>
    <t>0.53*16.237*2</t>
  </si>
  <si>
    <t>0.53*（0.628*2）*2</t>
  </si>
  <si>
    <t>0.44*（4.9+0）*2</t>
  </si>
  <si>
    <t>剖7，3层</t>
  </si>
  <si>
    <t>0.44*（0.628*2）*2</t>
  </si>
  <si>
    <t>0.2*16.237*2</t>
  </si>
  <si>
    <t>东南立面，西南立面</t>
  </si>
  <si>
    <t>0.42*（12.287+14.387）*2</t>
  </si>
  <si>
    <t>剖7</t>
  </si>
  <si>
    <t>0.42*（0.298*4）*2</t>
  </si>
  <si>
    <t>（0.5*3.08*2）*2</t>
  </si>
  <si>
    <t>梯形</t>
  </si>
  <si>
    <t>所有栏杆下铝板都未算</t>
  </si>
  <si>
    <t>（0.5*0.298*4）*2</t>
  </si>
  <si>
    <t>0.63*（11.412-0.682*2）*2</t>
  </si>
  <si>
    <t>0.63*（0.682*2）*2</t>
  </si>
  <si>
    <t>东南立面，西南立面4层</t>
  </si>
  <si>
    <t>11.142*0.1*2</t>
  </si>
  <si>
    <t>1.287*（10.38+7.73+10.38）</t>
  </si>
  <si>
    <t>参剖1</t>
  </si>
  <si>
    <t>1.398*（10.38+7.73+10.38）</t>
  </si>
  <si>
    <t>南立面，1-2轴/17-18轴</t>
  </si>
  <si>
    <t>0.99*5.94*2</t>
  </si>
  <si>
    <t>JD-122</t>
  </si>
  <si>
    <t>0.83*10.914*2</t>
  </si>
  <si>
    <t>0.83*（0.628*2）*2</t>
  </si>
  <si>
    <r>
      <rPr>
        <sz val="10"/>
        <color rgb="FFFF0000"/>
        <rFont val="宋体"/>
        <charset val="134"/>
        <scheme val="minor"/>
      </rPr>
      <t>0.475*（</t>
    </r>
    <r>
      <rPr>
        <sz val="10"/>
        <rFont val="宋体"/>
        <charset val="134"/>
        <scheme val="minor"/>
      </rPr>
      <t>9.825-0.361*4）*3</t>
    </r>
  </si>
  <si>
    <r>
      <rPr>
        <sz val="10"/>
        <color rgb="FFFF0000"/>
        <rFont val="宋体"/>
        <charset val="134"/>
        <scheme val="minor"/>
      </rPr>
      <t>0.475*（</t>
    </r>
    <r>
      <rPr>
        <sz val="10"/>
        <rFont val="宋体"/>
        <charset val="134"/>
        <scheme val="minor"/>
      </rPr>
      <t>0.361*4）*3</t>
    </r>
  </si>
  <si>
    <t>南立面，横向，三层栏杆处</t>
  </si>
  <si>
    <t>0.74*（7.59+3.6）</t>
  </si>
  <si>
    <t>南立面，横向</t>
  </si>
  <si>
    <t>0.74*（0.393*2）</t>
  </si>
  <si>
    <t>南立面,7轴竖向</t>
  </si>
  <si>
    <r>
      <rPr>
        <sz val="10"/>
        <color rgb="FFFF0000"/>
        <rFont val="宋体"/>
        <charset val="134"/>
        <scheme val="minor"/>
      </rPr>
      <t>0.475*（</t>
    </r>
    <r>
      <rPr>
        <sz val="10"/>
        <rFont val="宋体"/>
        <charset val="134"/>
        <scheme val="minor"/>
      </rPr>
      <t>6.03）*2</t>
    </r>
  </si>
  <si>
    <t>南立面，7轴竖向凹槽造型</t>
  </si>
  <si>
    <t>0.877*3.7+1.827*3.3+3.277*3.3+0.477*1.3</t>
  </si>
  <si>
    <t>平面图</t>
  </si>
  <si>
    <t>南立面，2-7轴</t>
  </si>
  <si>
    <t>2.18*20.819+（5.4*3.265*2+11.529*2)</t>
  </si>
  <si>
    <t>剖11</t>
  </si>
  <si>
    <t>2.18*（0.628*3）+(5.4*0.628*2)</t>
  </si>
  <si>
    <t>(4.445*7.05+18*2+3.649*1.474)*1</t>
  </si>
  <si>
    <t>(0.298*4.445*2)*1</t>
  </si>
  <si>
    <t>2.5㎜银灰色铝板</t>
  </si>
  <si>
    <t>0.99*（14.254+1.2-0.628*3）</t>
  </si>
  <si>
    <t>0.99*（0.628*2）</t>
  </si>
  <si>
    <t>南立面，7-8轴</t>
  </si>
  <si>
    <t>0.42*14.154</t>
  </si>
  <si>
    <t>0.42*（0.298*4）</t>
  </si>
  <si>
    <t>南立面，7-17轴，三层栏杆处</t>
  </si>
  <si>
    <t>0.74*（4.6+6.23+3.6+7.59+3.6）</t>
  </si>
  <si>
    <t>南立面，7-17轴</t>
  </si>
  <si>
    <t>0.74*（0.393*3）*2</t>
  </si>
  <si>
    <t>南立面，8-17轴</t>
  </si>
  <si>
    <t>2.18*27.442+（5.4*3.265*2+11.529*2)</t>
  </si>
  <si>
    <t>参剖11</t>
  </si>
  <si>
    <t>南立面，12轴竖向凹槽造型</t>
  </si>
  <si>
    <t>13.277*4.38</t>
  </si>
  <si>
    <t>(4.445*13.6+18*2+3.649*1.474)*1</t>
  </si>
  <si>
    <t>(0.298*4.445*4)*1</t>
  </si>
  <si>
    <t>东南/西南四层栏杆处，</t>
  </si>
  <si>
    <t>0.17*17.785*2</t>
  </si>
  <si>
    <t>剖9</t>
  </si>
  <si>
    <t>东南/西南顶部处，</t>
  </si>
  <si>
    <t>（（0.06+0.45）*17.785+15.592）*2</t>
  </si>
  <si>
    <t>4层平面图</t>
  </si>
  <si>
    <t>（（0.06+0.45）*0.942*3）*2</t>
  </si>
  <si>
    <t>南立面三层栏杆内测</t>
  </si>
  <si>
    <t>0.65*（11.614*2+9.734）</t>
  </si>
  <si>
    <t>5.54*2+332.336-（0.85*1.6+3.15*1.3+1.25*1.8*2）-（（6.45+5.35+6.85）*3）-24.96+5.8*（13.53-10.2）</t>
  </si>
  <si>
    <t>屋面突出</t>
  </si>
  <si>
    <t>0.736*(7.657+12.557)</t>
  </si>
  <si>
    <t>0.1*300</t>
  </si>
  <si>
    <t>2.8*4.84+0.2*1.28*2</t>
  </si>
  <si>
    <t>（4.05*2+6.2*4）+（2.55*2+5*4）+（4.05*2+6.4*4）</t>
  </si>
  <si>
    <t>4.05+2.55+4.05</t>
  </si>
  <si>
    <t>16.237*2+（11.142-0.682*2）*2</t>
  </si>
  <si>
    <t>（0.628*2）*2+（0.628*2）*2</t>
  </si>
  <si>
    <t>东南立面</t>
  </si>
  <si>
    <t>（12.287+14.387）*2</t>
  </si>
  <si>
    <t>铝合金线条9（50*40）香槟色圆弧</t>
  </si>
  <si>
    <t>（0.298*4）*2</t>
  </si>
  <si>
    <t>（4.9+5.94）*2</t>
  </si>
  <si>
    <t>（0.628*2）*2</t>
  </si>
  <si>
    <t>（10.38+7.73+10.38）</t>
  </si>
  <si>
    <t>南立面，对称</t>
  </si>
  <si>
    <t>30.363*2+（14.254+1.2）</t>
  </si>
  <si>
    <t>（0.628*6）*2+（0.628*3）</t>
  </si>
  <si>
    <t>14.154+9.825*3+20.819</t>
  </si>
  <si>
    <t>（0.298*4）+（0.361*4）*3</t>
  </si>
  <si>
    <t>5.94+7.59+6.03+（4.6+6.23+3.6+7.59+3.6）</t>
  </si>
  <si>
    <t>0.393*4+0.393*4</t>
  </si>
  <si>
    <t>北立面浅灰色铝板外竖向线条，JD-103</t>
  </si>
  <si>
    <t>6.825*12+10.525*9+3.375*17+3.84*6</t>
  </si>
  <si>
    <t>（2.4+2.07*2）*5</t>
  </si>
  <si>
    <t>2*5.52+2.9*7.87</t>
  </si>
  <si>
    <t>（1.37+1.52*2）*5.81</t>
  </si>
  <si>
    <t>0.85*1.6+3.15*1.3+1.25*1.8*2</t>
  </si>
  <si>
    <t>（5.7+2.3+2.8+5.35+6.2+5.45+0.155*6*2）*0.15*0</t>
  </si>
  <si>
    <t>2.6*1.58</t>
  </si>
  <si>
    <t>（6.45+5.35+6.85）*3</t>
  </si>
  <si>
    <t>（5.7+2.3+2.8+5.35+6.2+5.45）*1.55</t>
  </si>
  <si>
    <t>17.165+9.432+17.165+20.835+6.85+20.835</t>
  </si>
  <si>
    <t>1.884*4+0.942</t>
  </si>
  <si>
    <t>3.397+3.33</t>
  </si>
  <si>
    <t>东西北立面</t>
  </si>
  <si>
    <t>（44.0+8.8*2）*4</t>
  </si>
  <si>
    <t>48+（44+3.6*3+2.4*3）*3</t>
  </si>
  <si>
    <t>一层采光顶下</t>
  </si>
  <si>
    <t>（5.7+2.3+2.8+5.35+6.2+5.45+0.155*6*2）*0.163</t>
  </si>
  <si>
    <t>南立面一层窗两边</t>
  </si>
  <si>
    <t>0.555*3.42*6+0.1*3.42*6</t>
  </si>
  <si>
    <t>造型柱背面封堵</t>
  </si>
  <si>
    <t>0.44*3.3*2*3</t>
  </si>
  <si>
    <t>南立面幕墙窗两边封堵</t>
  </si>
  <si>
    <t>0.21*2.76*8*3</t>
  </si>
  <si>
    <t>0.46*（4.162+3.762+4.062）</t>
  </si>
  <si>
    <t>5.7+9.8+19.9+4.8+5.7</t>
  </si>
  <si>
    <t>辅材及制作安装费</t>
  </si>
  <si>
    <t>二次加工费</t>
  </si>
  <si>
    <t>辅材</t>
  </si>
  <si>
    <t>运输费用</t>
  </si>
  <si>
    <t>制作安装费</t>
  </si>
  <si>
    <t>元/m2</t>
  </si>
  <si>
    <t>铝板幕墙-无龙骨</t>
  </si>
  <si>
    <t>格栅</t>
  </si>
  <si>
    <t>石材线条</t>
  </si>
  <si>
    <t>采光顶</t>
  </si>
  <si>
    <t>镀锌铁皮封堵</t>
  </si>
  <si>
    <t>座槽式玻璃幕墙</t>
  </si>
  <si>
    <t>T型钢玻璃幕墙</t>
  </si>
  <si>
    <t>明框玻璃幕墙</t>
  </si>
  <si>
    <t>金属网幕墙</t>
  </si>
  <si>
    <t>铝板背衬板</t>
  </si>
  <si>
    <t>施工管理费、利润</t>
  </si>
  <si>
    <t>防护棚</t>
  </si>
  <si>
    <t>租期（月）</t>
  </si>
  <si>
    <t>租赁费（元/月）</t>
  </si>
  <si>
    <t>安拆（元/台）</t>
  </si>
  <si>
    <t>进出运费（元/台）</t>
  </si>
  <si>
    <t>移位（元/台）</t>
  </si>
  <si>
    <t>检测（元/台）</t>
  </si>
  <si>
    <t>专家论证</t>
  </si>
  <si>
    <t>安全、文明施工费</t>
  </si>
  <si>
    <t>施工一段，高度≤100m</t>
  </si>
  <si>
    <t>成品、半成品及设备保护费</t>
  </si>
  <si>
    <t>m²</t>
  </si>
  <si>
    <t>成品、半成品及设备堆放费</t>
  </si>
  <si>
    <t>幕墙清洗保洁费用(一次)</t>
  </si>
  <si>
    <t>二次搬运费</t>
  </si>
  <si>
    <t>垃圾清运费用</t>
  </si>
  <si>
    <t>国标四性检测</t>
  </si>
  <si>
    <t>防雷接地</t>
  </si>
  <si>
    <t>双排</t>
  </si>
  <si>
    <t>淋水试验（二次）</t>
  </si>
  <si>
    <t>满堂</t>
  </si>
  <si>
    <t>措施费(吊篮、脚手架)</t>
  </si>
  <si>
    <t>剪刀车、直臂车</t>
  </si>
  <si>
    <t>水电费</t>
  </si>
  <si>
    <t>住宿费</t>
  </si>
  <si>
    <t>专家论证费</t>
  </si>
  <si>
    <t>施工许可证</t>
  </si>
  <si>
    <t>设计费</t>
  </si>
  <si>
    <t>不含税小计</t>
  </si>
  <si>
    <t>120*60*5</t>
  </si>
  <si>
    <t>100*50*5</t>
  </si>
  <si>
    <t>加劲板</t>
  </si>
  <si>
    <t>螺栓</t>
  </si>
  <si>
    <t>安装费</t>
  </si>
  <si>
    <t>1#楼南立面</t>
  </si>
  <si>
    <t>16剖</t>
  </si>
  <si>
    <t>铝合金立柱</t>
  </si>
  <si>
    <t>铝合金副框</t>
  </si>
  <si>
    <t>铝合金压块</t>
  </si>
  <si>
    <t>立柱插芯</t>
  </si>
  <si>
    <t>首层座槽式玻璃幕墙（15+2.25SGP+15㎜全超白钢化夹层玻璃）（超宽）</t>
  </si>
  <si>
    <t>（200+120）*300*8</t>
  </si>
  <si>
    <t>L=130，100*63*8角钢</t>
  </si>
  <si>
    <r>
      <rPr>
        <sz val="10"/>
        <rFont val="宋体"/>
        <charset val="134"/>
      </rPr>
      <t>12Low-E(双银)+12A+12</t>
    </r>
    <r>
      <rPr>
        <sz val="10"/>
        <rFont val="SimSun"/>
        <charset val="134"/>
      </rPr>
      <t>㎜</t>
    </r>
    <r>
      <rPr>
        <sz val="10"/>
        <rFont val="宋体"/>
        <charset val="134"/>
      </rPr>
      <t>全超白钢化中空玻璃（直+弯弧）（直段宽度300㎜+弧长942㎜，圆弧半径600㎜，高3600㎜）</t>
    </r>
  </si>
  <si>
    <t>首层座槽式玻璃幕墙（12+1.9SGP+12㎜全超白钢化夹层玻璃）</t>
  </si>
  <si>
    <t>12+1.9SGP+12㎜全超白钢化夹层玻璃</t>
  </si>
  <si>
    <t>首层座槽式玻璃幕墙（12+1.9SGP+12㎜全超白钢化夹层玻璃）（弯弧）（弧长1414㎜，圆弧半径900㎜，高3600㎜）</t>
  </si>
  <si>
    <t>12+1.9SGP+12㎜全超白钢化夹层玻璃（弯弧）（弧长1414㎜，高3600㎜，半径900㎜）</t>
  </si>
  <si>
    <t>2#楼南立面</t>
  </si>
  <si>
    <t>12剖</t>
  </si>
  <si>
    <t>首层座槽式玻璃幕墙（10+1.9SGP+10Low-E(双银)+12A+12㎜全超白钢化夹层中空玻璃）</t>
  </si>
  <si>
    <t>首层座槽式玻璃幕墙（12+1.9SGP+12㎜全超白钢化夹层玻璃）（直+弯弧）（直段宽度840㎜+弧长1135㎜，圆弧半径900㎜，高3600㎜）</t>
  </si>
  <si>
    <t>首层座槽式玻璃幕墙（12+1.9SGP+12㎜全超白钢化夹层玻璃）（直+弯弧+直）（直段宽度840㎜+弧长1498㎜+直段宽度450㎜，圆弧半径900㎜，高3600㎜）</t>
  </si>
  <si>
    <t>10+1.9SGP+10Low-E(双银)+12A+10㎜全超白钢化夹层中空玻璃</t>
  </si>
  <si>
    <t>首层座槽式玻璃幕墙（10+1.9SGP+10Low-E(双银)+12A+10㎜全超白钢化夹层中空玻璃）（弯弧）（弧长1100㎜，圆弧半径900㎜，高3600㎜）</t>
  </si>
  <si>
    <t>横向底座</t>
  </si>
  <si>
    <t>横向压板</t>
  </si>
  <si>
    <t>横向罩板</t>
  </si>
  <si>
    <t>横梁</t>
  </si>
  <si>
    <t>横梁压板</t>
  </si>
  <si>
    <t>横梁补偿料</t>
  </si>
  <si>
    <t>200*300*10</t>
  </si>
  <si>
    <r>
      <rPr>
        <sz val="10"/>
        <rFont val="宋体"/>
        <charset val="134"/>
      </rPr>
      <t>250*70*25</t>
    </r>
    <r>
      <rPr>
        <sz val="10"/>
        <rFont val="SimSun"/>
        <charset val="134"/>
      </rPr>
      <t>㎜</t>
    </r>
    <r>
      <rPr>
        <sz val="10"/>
        <rFont val="宋体"/>
        <charset val="134"/>
      </rPr>
      <t>T型钢</t>
    </r>
  </si>
  <si>
    <t>8+1.52+8全超白钢化夹层玻璃（弯弧）（弧长1414㎜，高3035㎜，半径900㎜）</t>
  </si>
  <si>
    <t>6+1.52PVB+6Low-E(双银)+12A+10㎜全超白钢化夹层中空玻璃</t>
  </si>
  <si>
    <t>1#楼北立面</t>
  </si>
  <si>
    <t>铝合金T型码</t>
  </si>
  <si>
    <t>铝合金装饰线条</t>
  </si>
  <si>
    <t>首层明框玻璃幕墙（10Low-E(双银)+12A+10㎜全超白钢化中空玻璃）</t>
  </si>
  <si>
    <t>铝合金压码</t>
  </si>
  <si>
    <t>铝合金横梁</t>
  </si>
  <si>
    <t>铝合金托码</t>
  </si>
  <si>
    <t>Ø8不锈钢弹簧插销</t>
  </si>
  <si>
    <t>首层明框玻璃幕墙（10Low-E(双银)+12A+10㎜全超白钢化中空玻璃）（直+弯弧+直）（直段宽度210㎜+弧长1414㎜+直段宽度210㎜，圆弧半径900㎜，高2500㎜）</t>
  </si>
  <si>
    <t>首层明框玻璃幕墙（15Low-E(双银)+12A+15㎜全超白钢化中空玻璃）</t>
  </si>
  <si>
    <t>首层明框玻璃幕墙（10Low-E(双银)+12A+10㎜全超白钢化中空玻璃）（直+弯弧+直）（直段宽度210㎜+弧长942㎜+直段宽度210㎜，圆弧半径600㎜，高2500㎜）</t>
  </si>
  <si>
    <t>10Low-E(双银)+12A+10㎜全超白钢化中空玻璃（直+弯弧+直）（直段宽度210㎜+弧长942㎜+直线宽度210㎜，圆弧半径㎜600，高2500㎜）</t>
  </si>
  <si>
    <t>首层明框玻璃幕墙（12Low-E(双银)+12A+12㎜全超白钢化中空玻璃）</t>
  </si>
  <si>
    <t>铝合金补偿料</t>
  </si>
  <si>
    <t>开启扇</t>
  </si>
  <si>
    <t>6+1.52PVB+6Low-E(双银)+12A+6㎜全超白钢化夹层中空玻璃</t>
  </si>
  <si>
    <t>8+1.52PVB+8Low-E(双银)+12A+12㎜全超白钢化夹层中空玻璃</t>
  </si>
  <si>
    <t>8+1.52PVB+8Low-E(双银)+12A+15㎜全超白钢化夹层中空玻璃</t>
  </si>
  <si>
    <t>2#楼北立面</t>
  </si>
  <si>
    <t>门扇</t>
  </si>
  <si>
    <t>2#楼</t>
  </si>
  <si>
    <t>5剖，JD202</t>
  </si>
  <si>
    <t>5剖，JD203</t>
  </si>
  <si>
    <t>5剖，JD205</t>
  </si>
  <si>
    <t>50x50x5矩形钢管</t>
  </si>
  <si>
    <t>1#北立面</t>
  </si>
  <si>
    <t>2#东立面</t>
  </si>
  <si>
    <t>1剖</t>
  </si>
  <si>
    <t>120x60x5矩形钢管</t>
  </si>
  <si>
    <t>60*5</t>
  </si>
  <si>
    <t>L=110</t>
  </si>
  <si>
    <t>1#设备庭院墙面</t>
  </si>
  <si>
    <t>7剖</t>
  </si>
  <si>
    <t>60*4</t>
  </si>
  <si>
    <t>19剖</t>
  </si>
  <si>
    <t>160x80x4矩形钢管</t>
  </si>
  <si>
    <t>吊顶：25㎜香槟色蜂窝铝板</t>
  </si>
  <si>
    <r>
      <rPr>
        <sz val="10"/>
        <rFont val="宋体"/>
        <charset val="134"/>
      </rPr>
      <t>30</t>
    </r>
    <r>
      <rPr>
        <sz val="10"/>
        <rFont val="SimSun"/>
        <charset val="134"/>
      </rPr>
      <t>㎜</t>
    </r>
    <r>
      <rPr>
        <sz val="10"/>
        <rFont val="宋体"/>
        <charset val="134"/>
      </rPr>
      <t>隔音棉</t>
    </r>
  </si>
  <si>
    <t>香槟色铝合金线条底部</t>
  </si>
  <si>
    <t>香槟色铝合金线条顶部</t>
  </si>
  <si>
    <t>铝合金立柱扣线</t>
  </si>
  <si>
    <t>200*100*12厚钢板</t>
  </si>
  <si>
    <t>一层，9-10轴</t>
  </si>
  <si>
    <t>一层采光顶下，JD-137</t>
  </si>
  <si>
    <t>7.2*3.6</t>
  </si>
  <si>
    <t>1#</t>
  </si>
  <si>
    <t>（1.85+1.2）*3.6</t>
  </si>
  <si>
    <t>（0.942+0.3）*2*3.6</t>
  </si>
  <si>
    <t>（1.4*2+30.8+3.9+0.22+1.05*2+5.8）*3.6</t>
  </si>
  <si>
    <t>（1.414*4）*3.6</t>
  </si>
  <si>
    <t>（7.2+1.65+0.985）*3.035+（2.785+30.8+3.9+3.58+5.785）*3.035</t>
  </si>
  <si>
    <t>（0.942+0.3）*2*3.035</t>
  </si>
  <si>
    <t>（1.414*4）*2*3.035</t>
  </si>
  <si>
    <t>1#北立面24~4轴，24~15轴二层</t>
  </si>
  <si>
    <t>（18.5+1.9-1.8*4-2.48）*2.5</t>
  </si>
  <si>
    <t>1#北立面24~4轴</t>
  </si>
  <si>
    <t>（0.21+1.414+0.21）*2.5*5</t>
  </si>
  <si>
    <t>（3.103*2）*2.5</t>
  </si>
  <si>
    <t>2.175*6.8</t>
  </si>
  <si>
    <t>（0.21+0.942+0.21）*2.5*2</t>
  </si>
  <si>
    <t>（2.79*2）*2.5</t>
  </si>
  <si>
    <t>（0.45*3）*2.5</t>
  </si>
  <si>
    <t>（11.4+1.85+1.8+1.08）*0.62</t>
  </si>
  <si>
    <t>（0.21*2+1.414）*3*0.62</t>
  </si>
  <si>
    <t>（11.4-1.8+1.85+1.08）*2.345</t>
  </si>
  <si>
    <t>（0.21*2+1.414）*3*2.345</t>
  </si>
  <si>
    <t>（11.605+1.4）*0.62+（10.53）*0.62+（0.45*3）*3.515</t>
  </si>
  <si>
    <t>（0.21*2+1.414）*2*0.62</t>
  </si>
  <si>
    <t>（11.605+1.4）*2.33+（1.8+1.8）*3.515</t>
  </si>
  <si>
    <t>（0.21*2+1.414）*2*2.33</t>
  </si>
  <si>
    <t>（0.21*2+0.942）*2*0.62</t>
  </si>
  <si>
    <t>（2.79*2）*3.515</t>
  </si>
  <si>
    <t>（0.21*2+0.942）*2*3.515</t>
  </si>
  <si>
    <t>（6.1+5.4+6.1）*3.6</t>
  </si>
  <si>
    <t>2#</t>
  </si>
  <si>
    <t>（1.414*2）*3.6</t>
  </si>
  <si>
    <t>（3.85+8.7+1.65+0.835*2+1.65+8.7）*3.6</t>
  </si>
  <si>
    <t>（1.498+1.135）*3.6</t>
  </si>
  <si>
    <t>（1.135+0.84）*3.6</t>
  </si>
  <si>
    <t>（0.84+1.198+0.45）*3.6</t>
  </si>
  <si>
    <t>（1.7+13.55）*3.6</t>
  </si>
  <si>
    <t>（1.1）*3.6</t>
  </si>
  <si>
    <t>（0.6+1.1）*3.6</t>
  </si>
  <si>
    <t>（6.05*2+5.4）*3.035</t>
  </si>
  <si>
    <t>（1.414*2）*2*3.035</t>
  </si>
  <si>
    <t>（3.835+8.7+1.65+3.42+1.65+8.7）*3.6</t>
  </si>
  <si>
    <t>（1.498+1.135）*3.035</t>
  </si>
  <si>
    <t>（1.135+0.84）*3.035</t>
  </si>
  <si>
    <t>（1.681+0.84+0.4）*3.035</t>
  </si>
  <si>
    <t>（3.45+13.55+0.55）*3.035</t>
  </si>
  <si>
    <t>（1.1*2）*3.035</t>
  </si>
  <si>
    <t>2#北立面23~3/01轴</t>
  </si>
  <si>
    <t>（15.88+2.97+0.96+0.96+1.36*2+1.8*3+1.27）*2.5</t>
  </si>
  <si>
    <t>（2.8*4）*2.5</t>
  </si>
  <si>
    <t>（0.21*2+1.414）*2.5*4</t>
  </si>
  <si>
    <t>2#北立面23~18轴</t>
  </si>
  <si>
    <t>（12.18+5.6）*0.62</t>
  </si>
  <si>
    <t>（0.21*2+1.414）*0.62*2</t>
  </si>
  <si>
    <t>（12.18+5.6-1.8）*2.33</t>
  </si>
  <si>
    <t>（0.21*2+1.414）*2.33*2</t>
  </si>
  <si>
    <t>2#北立面18~2/01轴</t>
  </si>
  <si>
    <t>（1.85+15.08+1.8*2+1.09*2+1.8+4.49+6.3+2.7+1.8）*0.62</t>
  </si>
  <si>
    <t>（0.21*2+1.414）*0.62*4+（0.21*2+1.095）*0.62</t>
  </si>
  <si>
    <t>2#北立面18~2/01轴,3剖</t>
  </si>
  <si>
    <t>（1.85+15.08+1.09*2+4.49+6.3+2.7）*2.345</t>
  </si>
  <si>
    <t>（0.21*2+1.414）*2.345*4+（0.21*2+1.095）*2.345</t>
  </si>
  <si>
    <t>玻璃栏板</t>
  </si>
  <si>
    <t>1#楼</t>
  </si>
  <si>
    <t>26.549-（0.27+0.754）*2</t>
  </si>
  <si>
    <t>（0.27+0.754）*2</t>
  </si>
  <si>
    <t>66.281-（0.46+0.754+0.44+0.754）-（0.44+0.754+0.41+0.754）-（0.19+0.754+0.19+0.754）</t>
  </si>
  <si>
    <t>（0.46+0.754+0.44+0.754）+（0.44+0.754+0.41+0.754）+（0.19+0.754+0.19+0.754）</t>
  </si>
  <si>
    <t>地弹门</t>
  </si>
  <si>
    <t>1.8*3.6</t>
  </si>
  <si>
    <t>1.8*2.5*9</t>
  </si>
  <si>
    <t>0.9*3.6*2</t>
  </si>
  <si>
    <t>1.75*3.6+1.75*3.6+1.8*3.6</t>
  </si>
  <si>
    <t>1.8*2.5*8</t>
  </si>
  <si>
    <t>2#楼北立面二层</t>
  </si>
  <si>
    <t>1.8*2.33+1.8*2.345*4</t>
  </si>
  <si>
    <t>2#楼东立面</t>
  </si>
  <si>
    <t>1.7*2.8+1.7*2.42</t>
  </si>
  <si>
    <t>1#楼南立面2/01~22轴</t>
  </si>
  <si>
    <t>（11.849+0.95-1.21*2）*3.043+（42.512+3.5+7.471-1.681*4）*3.043</t>
  </si>
  <si>
    <t>（1.21*2）*3.043+（1.681*4）*3.043</t>
  </si>
  <si>
    <t>2#楼南立面5/01~23轴，9剖</t>
  </si>
  <si>
    <t>（6.05+5.4+6.05+3.835+0.84+8.7+1.65+3.42+1.65+8.7+0.84+0.4+3.45+13.55+0.55）*3.043</t>
  </si>
  <si>
    <t>（1.414*2+1.135+1.498+1.135+1.681+1.1*2）*3.043</t>
  </si>
  <si>
    <t>（18.5+1.9-2.48）*0.535+（11.605）*0.935</t>
  </si>
  <si>
    <t>（0.21*2+1.414）*0.535+（0.21*2+1.414）*0.935*2</t>
  </si>
  <si>
    <t>1#楼北立面，JD-202/203</t>
  </si>
  <si>
    <t>(11.4+1.85+2.88+1.5)*0.64+（11.605+1.4）*0.27</t>
  </si>
  <si>
    <t>（0.21*2+1.414）*0.64*3+(0.21*2+1.414)*0.27*2</t>
  </si>
  <si>
    <t>1#楼北立面，JD-205</t>
  </si>
  <si>
    <t>（11.4+1.85+2.88）*0.25+（11.605）*0.25+10.53*0.25</t>
  </si>
  <si>
    <t>（0.21*2+1.414）*0.25+（0.21*2+1.414）*0.25*4+（0.21*2+0.942）*0.25*2</t>
  </si>
  <si>
    <t>1#楼北立面15~14轴</t>
  </si>
  <si>
    <t>1.5*0.7</t>
  </si>
  <si>
    <t>182.686+50.2*0.1+61.877*0.1</t>
  </si>
  <si>
    <t>187.79+（44.896+9.718+133.309-51）+51.194*0.1</t>
  </si>
  <si>
    <t>1#楼，JD-211</t>
  </si>
  <si>
    <t>50.2*2.956+51.194*2.956+61.877*2.956</t>
  </si>
  <si>
    <t>3.766*6.85</t>
  </si>
  <si>
    <t>1#楼北立面3/01轴造型柱</t>
  </si>
  <si>
    <t>3.68*6.85</t>
  </si>
  <si>
    <t>3.6*6.85</t>
  </si>
  <si>
    <t>（1.659+2.174）*6.85</t>
  </si>
  <si>
    <t>1#楼北立面栏杆下，剖3</t>
  </si>
  <si>
    <t>2.23*26.549</t>
  </si>
  <si>
    <t>（474.446-12.125-31.56-53.53）+（23.509+34.1+14.73）*0.5+（983.207-722.124）+126.86*0.2</t>
  </si>
  <si>
    <t>1#楼南立面，雨棚下</t>
  </si>
  <si>
    <t>（12.685+53.253）*0.25</t>
  </si>
  <si>
    <t>1#楼南立面3/01轴造型柱</t>
  </si>
  <si>
    <t>（6.8+0.81）*7.857</t>
  </si>
  <si>
    <t>2.69*6.85</t>
  </si>
  <si>
    <t>1#楼南立面2/01轴造型柱</t>
  </si>
  <si>
    <t>0.85*6.85</t>
  </si>
  <si>
    <t>14.384*（7.825+0.225+0.2）</t>
  </si>
  <si>
    <t>0.5*6.8*30</t>
  </si>
  <si>
    <t>（10.53+（0.21*2+0.942）*2）*1.09</t>
  </si>
  <si>
    <t>（15.88+2.97+23.72+9+1.27）*0.535</t>
  </si>
  <si>
    <t>（0.21*2+1.414）*0.535*4</t>
  </si>
  <si>
    <t>（12.18+66.281-0.754*4）*0.64</t>
  </si>
  <si>
    <t>（0.754*4+0.44*4）*0.64</t>
  </si>
  <si>
    <t>2#楼北立面23轴</t>
  </si>
  <si>
    <t>（4.414+1.11）*6.85</t>
  </si>
  <si>
    <t>2#楼南立面，雨棚下</t>
  </si>
  <si>
    <t>（12.18+5.6+1.85+15.08+1.8*2+4.5+6.3+1.8+2.7）*0.25</t>
  </si>
  <si>
    <t>（0.21*2+1.414）*0.25*7</t>
  </si>
  <si>
    <t>231.44+28.26*0.5+15.51*0.5</t>
  </si>
  <si>
    <t>345.557+67.62*0.1</t>
  </si>
  <si>
    <t>170.773*2.956</t>
  </si>
  <si>
    <t>337.093-（59.89+6.44+31.92+35.712）+（33.71+22.6+24.66）*0.5</t>
  </si>
  <si>
    <t>1071.588-722.124+126.86*0.2</t>
  </si>
  <si>
    <t>28.334*8.528-（4.6*6.3+11.02*6.3）+（4.6+6.3）*2*0.5+（11.02+6.3）*2*0.5</t>
  </si>
  <si>
    <t>1.925*2.4+0.075*（114.395+68.777）</t>
  </si>
  <si>
    <t>0.075*（170.773）</t>
  </si>
  <si>
    <t>2#收边收口</t>
  </si>
  <si>
    <t>0.313*（103.686+29.83+73.354+7.545+22.294+8.875+（2.501+8.01+3.4+3.405））</t>
  </si>
  <si>
    <t>0.313*（34.7+138.182+48.617+6.605）</t>
  </si>
  <si>
    <t>1#楼南立面2轴交A轴位置石材造型柱</t>
  </si>
  <si>
    <t>2.292*6.61</t>
  </si>
  <si>
    <t>1#楼南立面22轴至24轴交C轴</t>
  </si>
  <si>
    <t>6.8*9.3</t>
  </si>
  <si>
    <t>2.4*1.02+0.92*2.62+1.1*3</t>
  </si>
  <si>
    <t>1#楼南立面22轴至24轴，下沉庭院</t>
  </si>
  <si>
    <t>(5.4+4.48+8.6+5.8)*(2.6+0.7+0.07)</t>
  </si>
  <si>
    <t>5.4+4.48+8.6+5.8</t>
  </si>
  <si>
    <t>1#楼北立面4轴至2轴交G轴</t>
  </si>
  <si>
    <t>4.379*6.8*2</t>
  </si>
  <si>
    <t>1#楼北立面21轴至18轴交J轴</t>
  </si>
  <si>
    <t>2.108*3*2</t>
  </si>
  <si>
    <t>1#楼北立面3/01轴右侧柱中石材</t>
  </si>
  <si>
    <t>2.347+2.308*2</t>
  </si>
  <si>
    <t>1#楼北立面2/01轴至3/01轴</t>
  </si>
  <si>
    <t>0.81*6.8</t>
  </si>
  <si>
    <t>0.75*3.1</t>
  </si>
  <si>
    <t>1#楼北立面3/01轴至4/01轴中间</t>
  </si>
  <si>
    <t>（1.1+2.4）*2*0.9</t>
  </si>
  <si>
    <t>2*6.8</t>
  </si>
  <si>
    <t>2#楼南立面4/01轴至2轴</t>
  </si>
  <si>
    <t>15.6*6.8</t>
  </si>
  <si>
    <t>0.87*2.4+0.87*2.62+0.87*2.4+0.87*2.62</t>
  </si>
  <si>
    <t>2#楼南立面4/01轴至2轴，下沉庭院上部线条</t>
  </si>
  <si>
    <t>2#楼南立面4/01轴至2轴，下沉庭院下部弧形线条</t>
  </si>
  <si>
    <t>2#楼北立面1/17轴至15轴</t>
  </si>
  <si>
    <t>2#楼北立面4轴至2轴</t>
  </si>
  <si>
    <t>1.878*3*2</t>
  </si>
  <si>
    <t>2#楼北立面1轴</t>
  </si>
  <si>
    <t>4.908*3</t>
  </si>
  <si>
    <t>2#楼北立面5/01轴左侧造型柱</t>
  </si>
  <si>
    <t>28.952+62.141+14.056</t>
  </si>
  <si>
    <t>12.61*2</t>
  </si>
  <si>
    <t>2.08+2.28+2.09</t>
  </si>
  <si>
    <t>9.318+3.07</t>
  </si>
  <si>
    <t>3.912*6.6*2</t>
  </si>
  <si>
    <t>1.131*4*4.6</t>
  </si>
  <si>
    <t>铝合金格栅百叶</t>
  </si>
  <si>
    <t>1.5*（3+3.1）+1.5*（3+3.1）</t>
  </si>
  <si>
    <t>1.5*（3+3.1）+1.6*3.1</t>
  </si>
  <si>
    <t>2.3*2.6+1.4*2.5</t>
  </si>
  <si>
    <t>4.6*6.3+11.02*6.3</t>
  </si>
  <si>
    <t>4.42*511</t>
  </si>
  <si>
    <t>1#楼北立面雨棚灯槽</t>
  </si>
  <si>
    <t>50.2+51.194+61.877</t>
  </si>
  <si>
    <t>1#楼造型柱上，JD-235</t>
  </si>
  <si>
    <t>6.9*4</t>
  </si>
  <si>
    <t>1#楼南立面2/01造型柱</t>
  </si>
  <si>
    <t>15.314*2</t>
  </si>
  <si>
    <t>(11.4+(0.21*2+1.414)*1)+1.5*2+(2.8+(0.21*2+1.414)*2)+(11.605+1.4+(0.21*2+1.414)*2)</t>
  </si>
  <si>
    <t>2#楼南立面23轴柱</t>
  </si>
  <si>
    <t>2#楼北立面雨棚灯槽</t>
  </si>
  <si>
    <t>67.62+72.342</t>
  </si>
  <si>
    <t>4.6*690</t>
  </si>
  <si>
    <t>(12.18+5.6+(0.21*2+1.414)*0)+(1.85+15.08+1.8*2+(0.21*2+1.414)*2)+(3.98+4.49+0.21*2+1.414)+(6.3+2.7+1.8+(0.21*2+1.414)*2)</t>
  </si>
  <si>
    <t>103.686+29.83+73.354+7.545+22.294+8.875+（2.501+8.01+3.4+3.405）</t>
  </si>
  <si>
    <t>34.7+138.182+48.617+6.605</t>
  </si>
  <si>
    <t>228*3</t>
  </si>
  <si>
    <t>50*0.5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</si>
</sst>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%"/>
    <numFmt numFmtId="179" formatCode="0.000_ "/>
    <numFmt numFmtId="180" formatCode="0.000_);[Red]\(0.000\)"/>
    <numFmt numFmtId="181" formatCode="0.0000_ "/>
    <numFmt numFmtId="182" formatCode="0_ "/>
    <numFmt numFmtId="183" formatCode="#,##0.00_ "/>
    <numFmt numFmtId="184" formatCode="0_);[Red]\(0\)"/>
  </numFmts>
  <fonts count="6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theme="4"/>
      <name val="宋体"/>
      <charset val="134"/>
    </font>
    <font>
      <sz val="10"/>
      <name val="宋体"/>
      <charset val="134"/>
      <scheme val="minor"/>
    </font>
    <font>
      <sz val="10"/>
      <name val="SimSun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sz val="9"/>
      <color rgb="FFFF0000"/>
      <name val="宋体"/>
      <charset val="134"/>
    </font>
    <font>
      <sz val="10"/>
      <color theme="1"/>
      <name val="微软雅黑"/>
      <charset val="134"/>
    </font>
    <font>
      <sz val="9"/>
      <name val="Arial"/>
      <charset val="0"/>
    </font>
    <font>
      <b/>
      <sz val="9"/>
      <name val="Arial"/>
      <charset val="0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Geneva"/>
      <charset val="134"/>
    </font>
    <font>
      <sz val="11"/>
      <color indexed="8"/>
      <name val="宋体"/>
      <charset val="134"/>
    </font>
    <font>
      <sz val="10"/>
      <color theme="1"/>
      <name val="SimSun"/>
      <charset val="134"/>
    </font>
    <font>
      <sz val="10"/>
      <color rgb="FFFF0000"/>
      <name val="SimSun"/>
      <charset val="134"/>
    </font>
    <font>
      <sz val="11"/>
      <color theme="1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1" applyNumberFormat="0" applyAlignment="0" applyProtection="0">
      <alignment vertical="center"/>
    </xf>
    <xf numFmtId="0" fontId="45" fillId="12" borderId="22" applyNumberFormat="0" applyAlignment="0" applyProtection="0">
      <alignment vertical="center"/>
    </xf>
    <xf numFmtId="0" fontId="46" fillId="12" borderId="21" applyNumberFormat="0" applyAlignment="0" applyProtection="0">
      <alignment vertical="center"/>
    </xf>
    <xf numFmtId="0" fontId="47" fillId="13" borderId="23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5" fillId="0" borderId="0" applyProtection="0"/>
    <xf numFmtId="0" fontId="18" fillId="0" borderId="0"/>
    <xf numFmtId="0" fontId="56" fillId="0" borderId="0"/>
    <xf numFmtId="0" fontId="18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57" fillId="0" borderId="0">
      <alignment vertical="center"/>
    </xf>
  </cellStyleXfs>
  <cellXfs count="3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176" fontId="1" fillId="4" borderId="1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/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/>
    </xf>
    <xf numFmtId="0" fontId="6" fillId="5" borderId="2" xfId="49" applyFont="1" applyFill="1" applyBorder="1" applyAlignment="1">
      <alignment horizontal="center" vertical="center"/>
    </xf>
    <xf numFmtId="0" fontId="6" fillId="5" borderId="3" xfId="49" applyFont="1" applyFill="1" applyBorder="1" applyAlignment="1">
      <alignment horizontal="center" vertical="center" wrapText="1"/>
    </xf>
    <xf numFmtId="0" fontId="6" fillId="5" borderId="4" xfId="49" applyFont="1" applyFill="1" applyBorder="1" applyAlignment="1">
      <alignment horizontal="center" vertical="center" wrapText="1"/>
    </xf>
    <xf numFmtId="177" fontId="6" fillId="5" borderId="5" xfId="49" applyNumberFormat="1" applyFont="1" applyFill="1" applyBorder="1" applyAlignment="1">
      <alignment horizontal="center" vertical="center" wrapText="1"/>
    </xf>
    <xf numFmtId="177" fontId="6" fillId="5" borderId="4" xfId="49" applyNumberFormat="1" applyFont="1" applyFill="1" applyBorder="1" applyAlignment="1">
      <alignment horizontal="center" vertical="center" wrapText="1"/>
    </xf>
    <xf numFmtId="2" fontId="6" fillId="5" borderId="2" xfId="49" applyNumberFormat="1" applyFont="1" applyFill="1" applyBorder="1" applyAlignment="1">
      <alignment horizontal="center" vertical="center"/>
    </xf>
    <xf numFmtId="2" fontId="6" fillId="5" borderId="4" xfId="49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4" fillId="0" borderId="0" xfId="49" applyNumberFormat="1" applyFont="1" applyFill="1" applyBorder="1" applyAlignment="1">
      <alignment horizontal="center" vertical="center"/>
    </xf>
    <xf numFmtId="177" fontId="4" fillId="0" borderId="0" xfId="49" applyNumberFormat="1" applyFont="1" applyFill="1" applyBorder="1" applyAlignment="1">
      <alignment horizontal="center" vertical="center"/>
    </xf>
    <xf numFmtId="177" fontId="4" fillId="0" borderId="0" xfId="49" applyNumberFormat="1" applyFont="1" applyFill="1" applyBorder="1" applyAlignment="1">
      <alignment horizontal="center" vertical="center" wrapText="1"/>
    </xf>
    <xf numFmtId="177" fontId="4" fillId="0" borderId="0" xfId="49" applyNumberFormat="1" applyFont="1" applyFill="1" applyBorder="1" applyAlignment="1">
      <alignment vertical="center" wrapText="1"/>
    </xf>
    <xf numFmtId="176" fontId="4" fillId="0" borderId="0" xfId="49" applyNumberFormat="1" applyFont="1" applyFill="1" applyBorder="1" applyAlignment="1"/>
    <xf numFmtId="0" fontId="4" fillId="0" borderId="2" xfId="49" applyFont="1" applyFill="1" applyBorder="1" applyAlignment="1">
      <alignment horizontal="center" vertical="center"/>
    </xf>
    <xf numFmtId="0" fontId="4" fillId="0" borderId="6" xfId="49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/>
    </xf>
    <xf numFmtId="2" fontId="4" fillId="0" borderId="2" xfId="49" applyNumberFormat="1" applyFont="1" applyFill="1" applyBorder="1" applyAlignment="1">
      <alignment horizontal="center" vertical="center"/>
    </xf>
    <xf numFmtId="2" fontId="4" fillId="0" borderId="2" xfId="49" applyNumberFormat="1" applyFont="1" applyFill="1" applyBorder="1" applyAlignment="1">
      <alignment vertical="center" wrapText="1"/>
    </xf>
    <xf numFmtId="2" fontId="4" fillId="0" borderId="3" xfId="49" applyNumberFormat="1" applyFont="1" applyFill="1" applyBorder="1" applyAlignment="1">
      <alignment horizontal="center" vertical="center" wrapText="1"/>
    </xf>
    <xf numFmtId="2" fontId="4" fillId="0" borderId="7" xfId="49" applyNumberFormat="1" applyFont="1" applyFill="1" applyBorder="1" applyAlignment="1">
      <alignment horizontal="center" vertical="center" wrapText="1"/>
    </xf>
    <xf numFmtId="2" fontId="7" fillId="0" borderId="7" xfId="49" applyNumberFormat="1" applyFont="1" applyFill="1" applyBorder="1" applyAlignment="1">
      <alignment horizontal="center" vertical="center" wrapText="1"/>
    </xf>
    <xf numFmtId="177" fontId="8" fillId="0" borderId="8" xfId="49" applyNumberFormat="1" applyFont="1" applyFill="1" applyBorder="1" applyAlignment="1">
      <alignment horizontal="center" vertical="center"/>
    </xf>
    <xf numFmtId="177" fontId="4" fillId="0" borderId="8" xfId="49" applyNumberFormat="1" applyFont="1" applyFill="1" applyBorder="1" applyAlignment="1">
      <alignment horizontal="center" vertical="center"/>
    </xf>
    <xf numFmtId="177" fontId="4" fillId="0" borderId="9" xfId="49" applyNumberFormat="1" applyFont="1" applyFill="1" applyBorder="1" applyAlignment="1">
      <alignment horizontal="center" vertical="center"/>
    </xf>
    <xf numFmtId="0" fontId="4" fillId="0" borderId="10" xfId="49" applyFont="1" applyFill="1" applyBorder="1" applyAlignment="1">
      <alignment horizontal="center" vertical="center" wrapText="1"/>
    </xf>
    <xf numFmtId="2" fontId="4" fillId="0" borderId="11" xfId="49" applyNumberFormat="1" applyFont="1" applyFill="1" applyBorder="1" applyAlignment="1">
      <alignment horizontal="center" vertical="center" wrapText="1"/>
    </xf>
    <xf numFmtId="2" fontId="8" fillId="0" borderId="11" xfId="49" applyNumberFormat="1" applyFont="1" applyFill="1" applyBorder="1" applyAlignment="1">
      <alignment horizontal="center" vertical="center" wrapText="1"/>
    </xf>
    <xf numFmtId="177" fontId="4" fillId="0" borderId="12" xfId="49" applyNumberFormat="1" applyFont="1" applyFill="1" applyBorder="1" applyAlignment="1">
      <alignment vertical="center"/>
    </xf>
    <xf numFmtId="0" fontId="4" fillId="0" borderId="13" xfId="49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3" fontId="4" fillId="0" borderId="12" xfId="0" applyNumberFormat="1" applyFont="1" applyFill="1" applyBorder="1" applyAlignment="1">
      <alignment horizontal="left" vertical="center"/>
    </xf>
    <xf numFmtId="49" fontId="4" fillId="0" borderId="2" xfId="49" applyNumberFormat="1" applyFont="1" applyFill="1" applyBorder="1" applyAlignment="1">
      <alignment horizontal="center" vertical="center"/>
    </xf>
    <xf numFmtId="9" fontId="4" fillId="0" borderId="2" xfId="49" applyNumberFormat="1" applyFont="1" applyFill="1" applyBorder="1" applyAlignment="1">
      <alignment horizontal="center" vertical="center"/>
    </xf>
    <xf numFmtId="0" fontId="4" fillId="0" borderId="11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left" vertical="center"/>
    </xf>
    <xf numFmtId="176" fontId="4" fillId="0" borderId="12" xfId="49" applyNumberFormat="1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178" fontId="4" fillId="0" borderId="2" xfId="49" applyNumberFormat="1" applyFont="1" applyFill="1" applyBorder="1" applyAlignment="1">
      <alignment horizontal="center" vertical="center"/>
    </xf>
    <xf numFmtId="2" fontId="4" fillId="0" borderId="2" xfId="49" applyNumberFormat="1" applyFont="1" applyFill="1" applyBorder="1" applyAlignment="1">
      <alignment horizontal="center" vertical="center" wrapText="1"/>
    </xf>
    <xf numFmtId="2" fontId="4" fillId="0" borderId="0" xfId="49" applyNumberFormat="1" applyFont="1" applyFill="1" applyBorder="1" applyAlignment="1">
      <alignment horizontal="center" vertical="center" wrapText="1"/>
    </xf>
    <xf numFmtId="179" fontId="4" fillId="0" borderId="0" xfId="49" applyNumberFormat="1" applyFont="1" applyFill="1" applyBorder="1" applyAlignment="1"/>
    <xf numFmtId="177" fontId="4" fillId="0" borderId="2" xfId="49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76" fontId="8" fillId="0" borderId="0" xfId="49" applyNumberFormat="1" applyFont="1" applyFill="1" applyBorder="1" applyAlignment="1"/>
    <xf numFmtId="0" fontId="4" fillId="0" borderId="0" xfId="49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180" fontId="4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/>
    </xf>
    <xf numFmtId="177" fontId="4" fillId="0" borderId="12" xfId="49" applyNumberFormat="1" applyFont="1" applyFill="1" applyBorder="1" applyAlignment="1">
      <alignment horizontal="center" vertical="center"/>
    </xf>
    <xf numFmtId="0" fontId="10" fillId="0" borderId="2" xfId="49" applyFont="1" applyFill="1" applyBorder="1" applyAlignment="1">
      <alignment horizontal="center" vertical="center"/>
    </xf>
    <xf numFmtId="2" fontId="11" fillId="0" borderId="2" xfId="49" applyNumberFormat="1" applyFont="1" applyFill="1" applyBorder="1" applyAlignment="1">
      <alignment horizontal="center" vertical="center"/>
    </xf>
    <xf numFmtId="0" fontId="4" fillId="0" borderId="12" xfId="49" applyNumberFormat="1" applyFont="1" applyFill="1" applyBorder="1" applyAlignment="1"/>
    <xf numFmtId="0" fontId="4" fillId="0" borderId="2" xfId="0" applyFont="1" applyFill="1" applyBorder="1" applyAlignment="1">
      <alignment horizontal="left" vertical="center" wrapText="1"/>
    </xf>
    <xf numFmtId="9" fontId="4" fillId="0" borderId="2" xfId="3" applyFont="1" applyFill="1" applyBorder="1" applyAlignment="1">
      <alignment horizontal="center" vertical="center" wrapText="1"/>
    </xf>
    <xf numFmtId="0" fontId="4" fillId="0" borderId="11" xfId="49" applyNumberFormat="1" applyFont="1" applyFill="1" applyBorder="1" applyAlignment="1">
      <alignment horizontal="center" vertical="center" wrapText="1"/>
    </xf>
    <xf numFmtId="177" fontId="4" fillId="0" borderId="0" xfId="49" applyNumberFormat="1" applyFont="1" applyFill="1" applyBorder="1" applyAlignment="1">
      <alignment horizontal="left" vertical="center"/>
    </xf>
    <xf numFmtId="2" fontId="4" fillId="0" borderId="11" xfId="49" applyNumberFormat="1" applyFont="1" applyFill="1" applyBorder="1" applyAlignment="1">
      <alignment horizontal="center" vertical="center"/>
    </xf>
    <xf numFmtId="49" fontId="4" fillId="0" borderId="2" xfId="49" applyNumberFormat="1" applyFont="1" applyFill="1" applyBorder="1" applyAlignment="1">
      <alignment horizontal="center" vertical="center" wrapText="1"/>
    </xf>
    <xf numFmtId="0" fontId="4" fillId="0" borderId="11" xfId="49" applyNumberFormat="1" applyFont="1" applyFill="1" applyBorder="1" applyAlignment="1"/>
    <xf numFmtId="2" fontId="4" fillId="0" borderId="3" xfId="49" applyNumberFormat="1" applyFont="1" applyFill="1" applyBorder="1" applyAlignment="1">
      <alignment horizontal="center" vertical="center"/>
    </xf>
    <xf numFmtId="0" fontId="4" fillId="0" borderId="14" xfId="49" applyNumberFormat="1" applyFont="1" applyFill="1" applyBorder="1" applyAlignment="1"/>
    <xf numFmtId="0" fontId="4" fillId="0" borderId="15" xfId="49" applyNumberFormat="1" applyFont="1" applyFill="1" applyBorder="1" applyAlignment="1"/>
    <xf numFmtId="0" fontId="4" fillId="0" borderId="15" xfId="49" applyNumberFormat="1" applyFont="1" applyFill="1" applyBorder="1" applyAlignment="1">
      <alignment horizontal="center"/>
    </xf>
    <xf numFmtId="0" fontId="4" fillId="0" borderId="16" xfId="49" applyNumberFormat="1" applyFont="1" applyFill="1" applyBorder="1" applyAlignment="1"/>
    <xf numFmtId="176" fontId="4" fillId="0" borderId="0" xfId="49" applyNumberFormat="1" applyFont="1" applyFill="1" applyBorder="1" applyAlignment="1">
      <alignment horizontal="center" vertical="center"/>
    </xf>
    <xf numFmtId="179" fontId="4" fillId="0" borderId="0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horizontal="center" vertical="center"/>
    </xf>
    <xf numFmtId="181" fontId="4" fillId="0" borderId="0" xfId="49" applyNumberFormat="1" applyFont="1" applyFill="1" applyBorder="1" applyAlignment="1"/>
    <xf numFmtId="181" fontId="4" fillId="0" borderId="12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 wrapText="1"/>
    </xf>
    <xf numFmtId="0" fontId="4" fillId="0" borderId="4" xfId="49" applyFont="1" applyFill="1" applyBorder="1" applyAlignment="1">
      <alignment horizontal="center" vertical="center" wrapText="1"/>
    </xf>
    <xf numFmtId="177" fontId="4" fillId="0" borderId="4" xfId="49" applyNumberFormat="1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0" fontId="4" fillId="0" borderId="6" xfId="49" applyFont="1" applyFill="1" applyBorder="1" applyAlignment="1">
      <alignment horizontal="center" vertical="center"/>
    </xf>
    <xf numFmtId="177" fontId="4" fillId="0" borderId="6" xfId="49" applyNumberFormat="1" applyFont="1" applyFill="1" applyBorder="1" applyAlignment="1">
      <alignment horizontal="center" vertical="center"/>
    </xf>
    <xf numFmtId="2" fontId="4" fillId="0" borderId="6" xfId="49" applyNumberFormat="1" applyFont="1" applyFill="1" applyBorder="1" applyAlignment="1">
      <alignment horizontal="center" vertical="center"/>
    </xf>
    <xf numFmtId="2" fontId="4" fillId="0" borderId="7" xfId="49" applyNumberFormat="1" applyFont="1" applyFill="1" applyBorder="1" applyAlignment="1">
      <alignment horizontal="center" vertical="center"/>
    </xf>
    <xf numFmtId="0" fontId="4" fillId="0" borderId="13" xfId="49" applyFont="1" applyFill="1" applyBorder="1" applyAlignment="1">
      <alignment horizontal="center" vertical="center"/>
    </xf>
    <xf numFmtId="177" fontId="4" fillId="0" borderId="13" xfId="49" applyNumberFormat="1" applyFont="1" applyFill="1" applyBorder="1" applyAlignment="1">
      <alignment horizontal="center" vertical="center"/>
    </xf>
    <xf numFmtId="2" fontId="4" fillId="0" borderId="13" xfId="49" applyNumberFormat="1" applyFont="1" applyFill="1" applyBorder="1" applyAlignment="1">
      <alignment horizontal="center" vertical="center"/>
    </xf>
    <xf numFmtId="2" fontId="4" fillId="0" borderId="14" xfId="49" applyNumberFormat="1" applyFont="1" applyFill="1" applyBorder="1" applyAlignment="1">
      <alignment horizontal="center" vertical="center"/>
    </xf>
    <xf numFmtId="177" fontId="12" fillId="0" borderId="12" xfId="49" applyNumberFormat="1" applyFont="1" applyFill="1" applyBorder="1" applyAlignment="1">
      <alignment horizontal="center" vertical="center"/>
    </xf>
    <xf numFmtId="177" fontId="8" fillId="0" borderId="0" xfId="49" applyNumberFormat="1" applyFont="1" applyFill="1" applyBorder="1" applyAlignment="1">
      <alignment horizontal="center" vertical="center"/>
    </xf>
    <xf numFmtId="2" fontId="4" fillId="0" borderId="11" xfId="49" applyNumberFormat="1" applyFont="1" applyFill="1" applyBorder="1" applyAlignment="1">
      <alignment horizontal="left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180" fontId="8" fillId="0" borderId="0" xfId="49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 wrapText="1"/>
    </xf>
    <xf numFmtId="177" fontId="8" fillId="0" borderId="2" xfId="49" applyNumberFormat="1" applyFont="1" applyFill="1" applyBorder="1" applyAlignment="1">
      <alignment horizontal="center" vertical="center" wrapText="1"/>
    </xf>
    <xf numFmtId="176" fontId="4" fillId="0" borderId="0" xfId="49" applyNumberFormat="1" applyFont="1" applyFill="1" applyBorder="1" applyAlignment="1">
      <alignment vertical="center"/>
    </xf>
    <xf numFmtId="0" fontId="14" fillId="0" borderId="6" xfId="49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4" fillId="0" borderId="2" xfId="49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vertical="center"/>
    </xf>
    <xf numFmtId="9" fontId="1" fillId="2" borderId="0" xfId="3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9" fontId="1" fillId="0" borderId="0" xfId="3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182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176" fontId="16" fillId="0" borderId="2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horizontal="right" vertical="center"/>
    </xf>
    <xf numFmtId="0" fontId="13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7" fillId="0" borderId="0" xfId="0" applyFont="1" applyAlignment="1">
      <alignment horizontal="justify" vertical="center" indent="2"/>
    </xf>
    <xf numFmtId="179" fontId="1" fillId="0" borderId="0" xfId="0" applyNumberFormat="1" applyFont="1" applyFill="1" applyAlignment="1">
      <alignment vertical="center"/>
    </xf>
    <xf numFmtId="179" fontId="1" fillId="6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182" fontId="1" fillId="0" borderId="0" xfId="0" applyNumberFormat="1" applyFont="1" applyFill="1" applyAlignment="1">
      <alignment vertical="center"/>
    </xf>
    <xf numFmtId="176" fontId="1" fillId="6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18" fillId="0" borderId="0" xfId="0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21" fillId="0" borderId="2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176" fontId="4" fillId="0" borderId="2" xfId="0" applyNumberFormat="1" applyFont="1" applyFill="1" applyBorder="1" applyAlignment="1" applyProtection="1">
      <alignment horizontal="left" vertical="center"/>
    </xf>
    <xf numFmtId="176" fontId="4" fillId="0" borderId="2" xfId="0" applyNumberFormat="1" applyFont="1" applyFill="1" applyBorder="1" applyAlignment="1" applyProtection="1">
      <alignment horizontal="left" vertical="center" wrapText="1"/>
    </xf>
    <xf numFmtId="176" fontId="4" fillId="0" borderId="2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3" fillId="0" borderId="0" xfId="0" applyFont="1" applyFill="1" applyAlignment="1">
      <alignment horizontal="center" vertical="center"/>
    </xf>
    <xf numFmtId="0" fontId="22" fillId="0" borderId="15" xfId="50" applyFont="1" applyFill="1" applyBorder="1" applyAlignment="1" applyProtection="1">
      <alignment horizontal="center" vertical="center" wrapText="1"/>
    </xf>
    <xf numFmtId="0" fontId="22" fillId="0" borderId="15" xfId="50" applyFont="1" applyFill="1" applyBorder="1" applyAlignment="1" applyProtection="1">
      <alignment horizontal="left" vertical="center" wrapText="1"/>
    </xf>
    <xf numFmtId="176" fontId="22" fillId="0" borderId="15" xfId="50" applyNumberFormat="1" applyFont="1" applyFill="1" applyBorder="1" applyAlignment="1" applyProtection="1">
      <alignment horizontal="center" vertical="center" wrapText="1"/>
    </xf>
    <xf numFmtId="9" fontId="22" fillId="0" borderId="15" xfId="3" applyFont="1" applyFill="1" applyBorder="1" applyAlignment="1" applyProtection="1">
      <alignment horizontal="center" vertical="center" wrapText="1"/>
    </xf>
    <xf numFmtId="49" fontId="6" fillId="0" borderId="2" xfId="51" applyNumberFormat="1" applyFont="1" applyFill="1" applyBorder="1" applyAlignment="1" applyProtection="1">
      <alignment horizontal="center" vertical="center" wrapText="1"/>
    </xf>
    <xf numFmtId="177" fontId="6" fillId="0" borderId="2" xfId="51" applyNumberFormat="1" applyFont="1" applyFill="1" applyBorder="1" applyAlignment="1" applyProtection="1">
      <alignment horizontal="center" vertical="center" wrapText="1"/>
    </xf>
    <xf numFmtId="176" fontId="6" fillId="0" borderId="2" xfId="51" applyNumberFormat="1" applyFont="1" applyFill="1" applyBorder="1" applyAlignment="1" applyProtection="1">
      <alignment horizontal="center" vertical="center" wrapText="1"/>
    </xf>
    <xf numFmtId="9" fontId="6" fillId="0" borderId="2" xfId="3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176" fontId="1" fillId="2" borderId="2" xfId="0" applyNumberFormat="1" applyFont="1" applyFill="1" applyBorder="1" applyAlignment="1" applyProtection="1">
      <alignment horizontal="center" vertical="center"/>
      <protection locked="0"/>
    </xf>
    <xf numFmtId="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Alignment="1">
      <alignment horizontal="center" vertical="center"/>
    </xf>
    <xf numFmtId="179" fontId="13" fillId="0" borderId="0" xfId="0" applyNumberFormat="1" applyFont="1" applyFill="1" applyAlignment="1">
      <alignment horizontal="center" vertical="center"/>
    </xf>
    <xf numFmtId="0" fontId="21" fillId="0" borderId="2" xfId="55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 applyProtection="1">
      <alignment horizontal="center" vertical="center"/>
      <protection locked="0"/>
    </xf>
    <xf numFmtId="9" fontId="13" fillId="2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2" xfId="0" applyFont="1" applyFill="1" applyBorder="1" applyAlignment="1">
      <alignment vertical="center" wrapText="1"/>
    </xf>
    <xf numFmtId="0" fontId="0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24" fillId="0" borderId="0" xfId="0" applyFont="1" applyFill="1" applyBorder="1" applyAlignment="1" applyProtection="1">
      <protection locked="0"/>
    </xf>
    <xf numFmtId="0" fontId="16" fillId="0" borderId="4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25" fillId="0" borderId="0" xfId="0" applyFont="1" applyFill="1" applyBorder="1" applyAlignment="1" applyProtection="1">
      <protection locked="0"/>
    </xf>
    <xf numFmtId="0" fontId="1" fillId="0" borderId="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/>
    </xf>
    <xf numFmtId="179" fontId="13" fillId="0" borderId="0" xfId="0" applyNumberFormat="1" applyFont="1" applyFill="1" applyAlignment="1">
      <alignment horizontal="left" vertical="center"/>
    </xf>
    <xf numFmtId="0" fontId="16" fillId="7" borderId="2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4" fillId="0" borderId="0" xfId="0" applyFont="1" applyFill="1" applyAlignment="1" applyProtection="1">
      <protection locked="0"/>
    </xf>
    <xf numFmtId="0" fontId="1" fillId="0" borderId="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left" vertical="center"/>
    </xf>
    <xf numFmtId="0" fontId="21" fillId="0" borderId="2" xfId="56" applyFont="1" applyFill="1" applyBorder="1" applyAlignment="1" applyProtection="1">
      <alignment horizontal="center" vertical="center" wrapText="1"/>
      <protection locked="0"/>
    </xf>
    <xf numFmtId="0" fontId="4" fillId="0" borderId="2" xfId="49" applyFont="1" applyFill="1" applyBorder="1" applyAlignment="1">
      <alignment horizontal="left" vertical="center" wrapText="1"/>
    </xf>
    <xf numFmtId="178" fontId="1" fillId="2" borderId="2" xfId="3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4" fillId="0" borderId="2" xfId="49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49" applyFont="1" applyFill="1" applyBorder="1" applyAlignment="1">
      <alignment horizontal="center" vertical="center" wrapText="1"/>
    </xf>
    <xf numFmtId="177" fontId="4" fillId="2" borderId="2" xfId="49" applyNumberFormat="1" applyFont="1" applyFill="1" applyBorder="1" applyAlignment="1">
      <alignment horizontal="center" vertical="center" wrapText="1"/>
    </xf>
    <xf numFmtId="9" fontId="4" fillId="2" borderId="2" xfId="3" applyFont="1" applyFill="1" applyBorder="1" applyAlignment="1">
      <alignment horizontal="center" vertical="center" wrapText="1"/>
    </xf>
    <xf numFmtId="2" fontId="4" fillId="2" borderId="2" xfId="49" applyNumberFormat="1" applyFont="1" applyFill="1" applyBorder="1" applyAlignment="1">
      <alignment horizontal="center" vertical="center" wrapText="1"/>
    </xf>
    <xf numFmtId="2" fontId="4" fillId="2" borderId="3" xfId="49" applyNumberFormat="1" applyFont="1" applyFill="1" applyBorder="1" applyAlignment="1">
      <alignment horizontal="center" vertical="center"/>
    </xf>
    <xf numFmtId="0" fontId="27" fillId="0" borderId="0" xfId="57" applyFont="1" applyFill="1" applyBorder="1" applyAlignment="1">
      <alignment vertical="center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horizontal="center"/>
    </xf>
    <xf numFmtId="176" fontId="5" fillId="0" borderId="2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176" fontId="28" fillId="0" borderId="2" xfId="0" applyNumberFormat="1" applyFont="1" applyFill="1" applyBorder="1" applyAlignment="1">
      <alignment horizontal="center" vertical="center"/>
    </xf>
    <xf numFmtId="0" fontId="29" fillId="0" borderId="2" xfId="58" applyNumberFormat="1" applyFont="1" applyFill="1" applyBorder="1" applyAlignment="1">
      <alignment horizontal="center" vertical="center" wrapText="1"/>
    </xf>
    <xf numFmtId="0" fontId="29" fillId="0" borderId="13" xfId="58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183" fontId="29" fillId="0" borderId="2" xfId="0" applyNumberFormat="1" applyFont="1" applyFill="1" applyBorder="1" applyAlignment="1" applyProtection="1">
      <alignment horizontal="center" vertical="center" wrapText="1"/>
    </xf>
    <xf numFmtId="176" fontId="29" fillId="0" borderId="2" xfId="0" applyNumberFormat="1" applyFont="1" applyFill="1" applyBorder="1" applyAlignment="1" applyProtection="1">
      <alignment horizontal="center" vertical="center" wrapText="1"/>
    </xf>
    <xf numFmtId="184" fontId="29" fillId="0" borderId="2" xfId="59" applyNumberFormat="1" applyFont="1" applyFill="1" applyBorder="1" applyAlignment="1">
      <alignment horizontal="center" vertical="center" wrapText="1"/>
    </xf>
    <xf numFmtId="177" fontId="29" fillId="0" borderId="2" xfId="59" applyNumberFormat="1" applyFont="1" applyFill="1" applyBorder="1" applyAlignment="1">
      <alignment horizontal="center" vertical="center" wrapText="1"/>
    </xf>
    <xf numFmtId="176" fontId="29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/>
    </xf>
    <xf numFmtId="0" fontId="30" fillId="0" borderId="2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176" fontId="30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177" fontId="32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9" fontId="0" fillId="0" borderId="0" xfId="0" applyNumberForma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177" fontId="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4" fillId="0" borderId="17" xfId="0" applyNumberFormat="1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33" fillId="0" borderId="2" xfId="55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176" fontId="32" fillId="0" borderId="2" xfId="0" applyNumberFormat="1" applyFont="1" applyBorder="1" applyAlignment="1">
      <alignment horizontal="center" vertical="center"/>
    </xf>
    <xf numFmtId="0" fontId="32" fillId="9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/>
    </xf>
    <xf numFmtId="176" fontId="32" fillId="9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2" xfId="0" applyNumberForma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0" fontId="0" fillId="0" borderId="0" xfId="3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计算式及分析" xfId="49"/>
    <cellStyle name="常规_万科城A标门窗清单 2" xfId="50"/>
    <cellStyle name="?餑_x000c_睨_x0017__x000d_帼U_x0001_0_x0005_j'_x0007__x0001__x0001_" xfId="51"/>
    <cellStyle name="常规_四季花城10-1～6＃、11-9＃、11-10＃楼塑钢门窗工程量清单 (3) 3" xfId="52"/>
    <cellStyle name="常规 2 3" xfId="53"/>
    <cellStyle name="百分比 3" xfId="54"/>
    <cellStyle name="常规 2" xfId="55"/>
    <cellStyle name="常规 15 4" xfId="56"/>
    <cellStyle name="常规 3" xfId="57"/>
    <cellStyle name="3232 2" xfId="58"/>
    <cellStyle name="常规 2 2" xfId="59"/>
    <cellStyle name="常规 4" xfId="60"/>
  </cellStyles>
  <dxfs count="18">
    <dxf>
      <font>
        <b val="0"/>
        <i val="0"/>
        <strike val="0"/>
        <u val="none"/>
        <sz val="11"/>
        <color indexed="16"/>
      </font>
      <fill>
        <patternFill patternType="solid">
          <bgColor indexed="4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55.png"/><Relationship Id="rId8" Type="http://schemas.openxmlformats.org/officeDocument/2006/relationships/image" Target="media/image54.png"/><Relationship Id="rId7" Type="http://schemas.openxmlformats.org/officeDocument/2006/relationships/image" Target="media/image53.png"/><Relationship Id="rId6" Type="http://schemas.openxmlformats.org/officeDocument/2006/relationships/image" Target="media/image52.png"/><Relationship Id="rId5" Type="http://schemas.openxmlformats.org/officeDocument/2006/relationships/image" Target="media/image51.png"/><Relationship Id="rId4" Type="http://schemas.openxmlformats.org/officeDocument/2006/relationships/image" Target="media/image50.png"/><Relationship Id="rId3" Type="http://schemas.openxmlformats.org/officeDocument/2006/relationships/image" Target="media/image49.png"/><Relationship Id="rId2" Type="http://schemas.openxmlformats.org/officeDocument/2006/relationships/image" Target="media/image48.png"/><Relationship Id="rId14" Type="http://schemas.openxmlformats.org/officeDocument/2006/relationships/image" Target="media/image60.png"/><Relationship Id="rId13" Type="http://schemas.openxmlformats.org/officeDocument/2006/relationships/image" Target="media/image59.png"/><Relationship Id="rId12" Type="http://schemas.openxmlformats.org/officeDocument/2006/relationships/image" Target="media/image58.png"/><Relationship Id="rId11" Type="http://schemas.openxmlformats.org/officeDocument/2006/relationships/image" Target="media/image57.png"/><Relationship Id="rId10" Type="http://schemas.openxmlformats.org/officeDocument/2006/relationships/image" Target="media/image56.png"/><Relationship Id="rId1" Type="http://schemas.openxmlformats.org/officeDocument/2006/relationships/image" Target="media/image47.png"/></Relationships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86.xml"/><Relationship Id="rId97" Type="http://schemas.openxmlformats.org/officeDocument/2006/relationships/externalLink" Target="externalLinks/externalLink85.xml"/><Relationship Id="rId96" Type="http://schemas.openxmlformats.org/officeDocument/2006/relationships/externalLink" Target="externalLinks/externalLink84.xml"/><Relationship Id="rId95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82.xml"/><Relationship Id="rId93" Type="http://schemas.openxmlformats.org/officeDocument/2006/relationships/externalLink" Target="externalLinks/externalLink81.xml"/><Relationship Id="rId92" Type="http://schemas.openxmlformats.org/officeDocument/2006/relationships/externalLink" Target="externalLinks/externalLink80.xml"/><Relationship Id="rId91" Type="http://schemas.openxmlformats.org/officeDocument/2006/relationships/externalLink" Target="externalLinks/externalLink79.xml"/><Relationship Id="rId90" Type="http://schemas.openxmlformats.org/officeDocument/2006/relationships/externalLink" Target="externalLinks/externalLink78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76.xml"/><Relationship Id="rId87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3.xml"/><Relationship Id="rId84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71.xml"/><Relationship Id="rId82" Type="http://schemas.openxmlformats.org/officeDocument/2006/relationships/externalLink" Target="externalLinks/externalLink70.xml"/><Relationship Id="rId81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68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65.xml"/><Relationship Id="rId76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3.xml"/><Relationship Id="rId74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61.xml"/><Relationship Id="rId72" Type="http://schemas.openxmlformats.org/officeDocument/2006/relationships/externalLink" Target="externalLinks/externalLink60.xml"/><Relationship Id="rId71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55.xml"/><Relationship Id="rId66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52.xml"/><Relationship Id="rId63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0.xml"/><Relationship Id="rId61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48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3.xml"/><Relationship Id="rId54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0.xml"/><Relationship Id="rId51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38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3.xml"/><Relationship Id="rId44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0.xml"/><Relationship Id="rId41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28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0.xml"/><Relationship Id="rId31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4" Type="http://schemas.openxmlformats.org/officeDocument/2006/relationships/styles" Target="styles.xml"/><Relationship Id="rId133" Type="http://www.wps.cn/officeDocument/2020/cellImage" Target="cellimages.xml"/><Relationship Id="rId132" Type="http://schemas.openxmlformats.org/officeDocument/2006/relationships/sheetMetadata" Target="metadata.xml"/><Relationship Id="rId131" Type="http://schemas.openxmlformats.org/officeDocument/2006/relationships/sharedStrings" Target="sharedStrings.xml"/><Relationship Id="rId130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9" Type="http://schemas.openxmlformats.org/officeDocument/2006/relationships/externalLink" Target="externalLinks/externalLink117.xml"/><Relationship Id="rId128" Type="http://schemas.openxmlformats.org/officeDocument/2006/relationships/externalLink" Target="externalLinks/externalLink116.xml"/><Relationship Id="rId127" Type="http://schemas.openxmlformats.org/officeDocument/2006/relationships/externalLink" Target="externalLinks/externalLink115.xml"/><Relationship Id="rId126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3.xml"/><Relationship Id="rId124" Type="http://schemas.openxmlformats.org/officeDocument/2006/relationships/externalLink" Target="externalLinks/externalLink112.xml"/><Relationship Id="rId123" Type="http://schemas.openxmlformats.org/officeDocument/2006/relationships/externalLink" Target="externalLinks/externalLink111.xml"/><Relationship Id="rId122" Type="http://schemas.openxmlformats.org/officeDocument/2006/relationships/externalLink" Target="externalLinks/externalLink110.xml"/><Relationship Id="rId121" Type="http://schemas.openxmlformats.org/officeDocument/2006/relationships/externalLink" Target="externalLinks/externalLink109.xml"/><Relationship Id="rId120" Type="http://schemas.openxmlformats.org/officeDocument/2006/relationships/externalLink" Target="externalLinks/externalLink108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107.xml"/><Relationship Id="rId118" Type="http://schemas.openxmlformats.org/officeDocument/2006/relationships/externalLink" Target="externalLinks/externalLink106.xml"/><Relationship Id="rId117" Type="http://schemas.openxmlformats.org/officeDocument/2006/relationships/externalLink" Target="externalLinks/externalLink105.xml"/><Relationship Id="rId116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3.xml"/><Relationship Id="rId114" Type="http://schemas.openxmlformats.org/officeDocument/2006/relationships/externalLink" Target="externalLinks/externalLink102.xml"/><Relationship Id="rId113" Type="http://schemas.openxmlformats.org/officeDocument/2006/relationships/externalLink" Target="externalLinks/externalLink101.xml"/><Relationship Id="rId112" Type="http://schemas.openxmlformats.org/officeDocument/2006/relationships/externalLink" Target="externalLinks/externalLink100.xml"/><Relationship Id="rId111" Type="http://schemas.openxmlformats.org/officeDocument/2006/relationships/externalLink" Target="externalLinks/externalLink99.xml"/><Relationship Id="rId110" Type="http://schemas.openxmlformats.org/officeDocument/2006/relationships/externalLink" Target="externalLinks/externalLink98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7.xml"/><Relationship Id="rId108" Type="http://schemas.openxmlformats.org/officeDocument/2006/relationships/externalLink" Target="externalLinks/externalLink96.xml"/><Relationship Id="rId107" Type="http://schemas.openxmlformats.org/officeDocument/2006/relationships/externalLink" Target="externalLinks/externalLink95.xml"/><Relationship Id="rId106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92.xml"/><Relationship Id="rId103" Type="http://schemas.openxmlformats.org/officeDocument/2006/relationships/externalLink" Target="externalLinks/externalLink91.xml"/><Relationship Id="rId102" Type="http://schemas.openxmlformats.org/officeDocument/2006/relationships/externalLink" Target="externalLinks/externalLink90.xml"/><Relationship Id="rId101" Type="http://schemas.openxmlformats.org/officeDocument/2006/relationships/externalLink" Target="externalLinks/externalLink89.xml"/><Relationship Id="rId100" Type="http://schemas.openxmlformats.org/officeDocument/2006/relationships/externalLink" Target="externalLinks/externalLink88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3.png"/><Relationship Id="rId8" Type="http://schemas.openxmlformats.org/officeDocument/2006/relationships/image" Target="../media/image32.png"/><Relationship Id="rId7" Type="http://schemas.openxmlformats.org/officeDocument/2006/relationships/image" Target="../media/image31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3" Type="http://schemas.openxmlformats.org/officeDocument/2006/relationships/image" Target="../media/image27.png"/><Relationship Id="rId22" Type="http://schemas.openxmlformats.org/officeDocument/2006/relationships/image" Target="../media/image46.png"/><Relationship Id="rId21" Type="http://schemas.openxmlformats.org/officeDocument/2006/relationships/image" Target="../media/image45.png"/><Relationship Id="rId20" Type="http://schemas.openxmlformats.org/officeDocument/2006/relationships/image" Target="../media/image44.png"/><Relationship Id="rId2" Type="http://schemas.openxmlformats.org/officeDocument/2006/relationships/image" Target="../media/image26.png"/><Relationship Id="rId19" Type="http://schemas.openxmlformats.org/officeDocument/2006/relationships/image" Target="../media/image43.png"/><Relationship Id="rId18" Type="http://schemas.openxmlformats.org/officeDocument/2006/relationships/image" Target="../media/image42.png"/><Relationship Id="rId17" Type="http://schemas.openxmlformats.org/officeDocument/2006/relationships/image" Target="../media/image41.png"/><Relationship Id="rId16" Type="http://schemas.openxmlformats.org/officeDocument/2006/relationships/image" Target="../media/image40.png"/><Relationship Id="rId15" Type="http://schemas.openxmlformats.org/officeDocument/2006/relationships/image" Target="../media/image39.png"/><Relationship Id="rId14" Type="http://schemas.openxmlformats.org/officeDocument/2006/relationships/image" Target="../media/image38.png"/><Relationship Id="rId13" Type="http://schemas.openxmlformats.org/officeDocument/2006/relationships/image" Target="../media/image37.png"/><Relationship Id="rId12" Type="http://schemas.openxmlformats.org/officeDocument/2006/relationships/image" Target="../media/image36.png"/><Relationship Id="rId11" Type="http://schemas.openxmlformats.org/officeDocument/2006/relationships/image" Target="../media/image35.png"/><Relationship Id="rId10" Type="http://schemas.openxmlformats.org/officeDocument/2006/relationships/image" Target="../media/image34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142875</xdr:colOff>
      <xdr:row>50</xdr:row>
      <xdr:rowOff>161925</xdr:rowOff>
    </xdr:from>
    <xdr:to>
      <xdr:col>7</xdr:col>
      <xdr:colOff>959485</xdr:colOff>
      <xdr:row>50</xdr:row>
      <xdr:rowOff>760095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66735" y="20100925"/>
          <a:ext cx="816610" cy="598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276225</xdr:colOff>
      <xdr:row>48</xdr:row>
      <xdr:rowOff>38100</xdr:rowOff>
    </xdr:from>
    <xdr:to>
      <xdr:col>7</xdr:col>
      <xdr:colOff>1058545</xdr:colOff>
      <xdr:row>48</xdr:row>
      <xdr:rowOff>654050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00085" y="18389600"/>
          <a:ext cx="782320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53</xdr:row>
      <xdr:rowOff>292100</xdr:rowOff>
    </xdr:from>
    <xdr:to>
      <xdr:col>7</xdr:col>
      <xdr:colOff>912495</xdr:colOff>
      <xdr:row>53</xdr:row>
      <xdr:rowOff>866775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00060" y="22174200"/>
          <a:ext cx="83629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952500</xdr:colOff>
      <xdr:row>53</xdr:row>
      <xdr:rowOff>101600</xdr:rowOff>
    </xdr:from>
    <xdr:to>
      <xdr:col>7</xdr:col>
      <xdr:colOff>1762125</xdr:colOff>
      <xdr:row>53</xdr:row>
      <xdr:rowOff>1013460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76360" y="21983700"/>
          <a:ext cx="809625" cy="91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59</xdr:row>
      <xdr:rowOff>19050</xdr:rowOff>
    </xdr:from>
    <xdr:to>
      <xdr:col>7</xdr:col>
      <xdr:colOff>1219200</xdr:colOff>
      <xdr:row>59</xdr:row>
      <xdr:rowOff>775970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04835" y="26422350"/>
          <a:ext cx="1038225" cy="75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49</xdr:row>
      <xdr:rowOff>73025</xdr:rowOff>
    </xdr:from>
    <xdr:to>
      <xdr:col>7</xdr:col>
      <xdr:colOff>1118235</xdr:colOff>
      <xdr:row>49</xdr:row>
      <xdr:rowOff>723265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14360" y="19173825"/>
          <a:ext cx="92773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63</xdr:row>
      <xdr:rowOff>31750</xdr:rowOff>
    </xdr:from>
    <xdr:to>
      <xdr:col>7</xdr:col>
      <xdr:colOff>641350</xdr:colOff>
      <xdr:row>63</xdr:row>
      <xdr:rowOff>633730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2460" y="29800550"/>
          <a:ext cx="412750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68</xdr:row>
      <xdr:rowOff>107950</xdr:rowOff>
    </xdr:from>
    <xdr:to>
      <xdr:col>7</xdr:col>
      <xdr:colOff>1106170</xdr:colOff>
      <xdr:row>68</xdr:row>
      <xdr:rowOff>791210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33410" y="33204150"/>
          <a:ext cx="896620" cy="68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75</xdr:row>
      <xdr:rowOff>104775</xdr:rowOff>
    </xdr:from>
    <xdr:to>
      <xdr:col>7</xdr:col>
      <xdr:colOff>1254125</xdr:colOff>
      <xdr:row>75</xdr:row>
      <xdr:rowOff>866775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71510" y="39068375"/>
          <a:ext cx="100647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523875</xdr:colOff>
      <xdr:row>76</xdr:row>
      <xdr:rowOff>9525</xdr:rowOff>
    </xdr:from>
    <xdr:to>
      <xdr:col>7</xdr:col>
      <xdr:colOff>1123950</xdr:colOff>
      <xdr:row>76</xdr:row>
      <xdr:rowOff>572135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47735" y="39912925"/>
          <a:ext cx="60007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390525</xdr:colOff>
      <xdr:row>78</xdr:row>
      <xdr:rowOff>0</xdr:rowOff>
    </xdr:from>
    <xdr:to>
      <xdr:col>7</xdr:col>
      <xdr:colOff>1028700</xdr:colOff>
      <xdr:row>79</xdr:row>
      <xdr:rowOff>22860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414385" y="41478200"/>
          <a:ext cx="63817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409575</xdr:colOff>
      <xdr:row>71</xdr:row>
      <xdr:rowOff>57150</xdr:rowOff>
    </xdr:from>
    <xdr:to>
      <xdr:col>7</xdr:col>
      <xdr:colOff>1162685</xdr:colOff>
      <xdr:row>71</xdr:row>
      <xdr:rowOff>749300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433435" y="35667950"/>
          <a:ext cx="753110" cy="69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1209675</xdr:colOff>
      <xdr:row>78</xdr:row>
      <xdr:rowOff>0</xdr:rowOff>
    </xdr:from>
    <xdr:to>
      <xdr:col>7</xdr:col>
      <xdr:colOff>1734185</xdr:colOff>
      <xdr:row>78</xdr:row>
      <xdr:rowOff>588010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233535" y="41478200"/>
          <a:ext cx="524510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514350</xdr:colOff>
      <xdr:row>86</xdr:row>
      <xdr:rowOff>47625</xdr:rowOff>
    </xdr:from>
    <xdr:to>
      <xdr:col>7</xdr:col>
      <xdr:colOff>1010285</xdr:colOff>
      <xdr:row>86</xdr:row>
      <xdr:rowOff>1027430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538210" y="46402625"/>
          <a:ext cx="49593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103</xdr:row>
      <xdr:rowOff>114300</xdr:rowOff>
    </xdr:from>
    <xdr:to>
      <xdr:col>7</xdr:col>
      <xdr:colOff>1447800</xdr:colOff>
      <xdr:row>103</xdr:row>
      <xdr:rowOff>1191260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271510" y="57238900"/>
          <a:ext cx="120015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</xdr:colOff>
      <xdr:row>72</xdr:row>
      <xdr:rowOff>38100</xdr:rowOff>
    </xdr:from>
    <xdr:to>
      <xdr:col>7</xdr:col>
      <xdr:colOff>847725</xdr:colOff>
      <xdr:row>72</xdr:row>
      <xdr:rowOff>808990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90535" y="36487100"/>
          <a:ext cx="781050" cy="77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1123950</xdr:colOff>
      <xdr:row>72</xdr:row>
      <xdr:rowOff>76200</xdr:rowOff>
    </xdr:from>
    <xdr:to>
      <xdr:col>7</xdr:col>
      <xdr:colOff>1667510</xdr:colOff>
      <xdr:row>72</xdr:row>
      <xdr:rowOff>793115</xdr:rowOff>
    </xdr:to>
    <xdr:pic>
      <xdr:nvPicPr>
        <xdr:cNvPr id="25" name="图片 2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147810" y="36525200"/>
          <a:ext cx="543560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70</xdr:row>
      <xdr:rowOff>85725</xdr:rowOff>
    </xdr:from>
    <xdr:to>
      <xdr:col>7</xdr:col>
      <xdr:colOff>1248410</xdr:colOff>
      <xdr:row>70</xdr:row>
      <xdr:rowOff>690880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366760" y="34858325"/>
          <a:ext cx="905510" cy="60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314325</xdr:colOff>
      <xdr:row>113</xdr:row>
      <xdr:rowOff>19050</xdr:rowOff>
    </xdr:from>
    <xdr:to>
      <xdr:col>7</xdr:col>
      <xdr:colOff>1114425</xdr:colOff>
      <xdr:row>113</xdr:row>
      <xdr:rowOff>712470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338185" y="62287150"/>
          <a:ext cx="80010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104</xdr:row>
      <xdr:rowOff>82550</xdr:rowOff>
    </xdr:from>
    <xdr:to>
      <xdr:col>7</xdr:col>
      <xdr:colOff>1595755</xdr:colOff>
      <xdr:row>104</xdr:row>
      <xdr:rowOff>794385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319135" y="58451750"/>
          <a:ext cx="1300480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571500</xdr:colOff>
      <xdr:row>47</xdr:row>
      <xdr:rowOff>257175</xdr:rowOff>
    </xdr:from>
    <xdr:to>
      <xdr:col>12</xdr:col>
      <xdr:colOff>276225</xdr:colOff>
      <xdr:row>50</xdr:row>
      <xdr:rowOff>88900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436225" y="18227675"/>
          <a:ext cx="232156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553720</xdr:colOff>
      <xdr:row>92</xdr:row>
      <xdr:rowOff>47625</xdr:rowOff>
    </xdr:from>
    <xdr:to>
      <xdr:col>7</xdr:col>
      <xdr:colOff>1183005</xdr:colOff>
      <xdr:row>92</xdr:row>
      <xdr:rowOff>510540</xdr:rowOff>
    </xdr:to>
    <xdr:pic>
      <xdr:nvPicPr>
        <xdr:cNvPr id="34" name="图片 3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577580" y="50669825"/>
          <a:ext cx="629285" cy="46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372745</xdr:colOff>
      <xdr:row>73</xdr:row>
      <xdr:rowOff>147955</xdr:rowOff>
    </xdr:from>
    <xdr:to>
      <xdr:col>7</xdr:col>
      <xdr:colOff>923290</xdr:colOff>
      <xdr:row>73</xdr:row>
      <xdr:rowOff>768350</xdr:rowOff>
    </xdr:to>
    <xdr:pic>
      <xdr:nvPicPr>
        <xdr:cNvPr id="37" name="图片 3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396605" y="37435155"/>
          <a:ext cx="55054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377825</xdr:colOff>
      <xdr:row>61</xdr:row>
      <xdr:rowOff>95885</xdr:rowOff>
    </xdr:from>
    <xdr:to>
      <xdr:col>7</xdr:col>
      <xdr:colOff>1573530</xdr:colOff>
      <xdr:row>61</xdr:row>
      <xdr:rowOff>852805</xdr:rowOff>
    </xdr:to>
    <xdr:pic>
      <xdr:nvPicPr>
        <xdr:cNvPr id="41" name="图片 4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401685" y="28086685"/>
          <a:ext cx="1195705" cy="756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733425</xdr:colOff>
      <xdr:row>48</xdr:row>
      <xdr:rowOff>133350</xdr:rowOff>
    </xdr:from>
    <xdr:to>
      <xdr:col>7</xdr:col>
      <xdr:colOff>1296035</xdr:colOff>
      <xdr:row>49</xdr:row>
      <xdr:rowOff>37465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58045" y="20745450"/>
          <a:ext cx="562610" cy="69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790575</xdr:colOff>
      <xdr:row>50</xdr:row>
      <xdr:rowOff>25400</xdr:rowOff>
    </xdr:from>
    <xdr:to>
      <xdr:col>7</xdr:col>
      <xdr:colOff>1334135</xdr:colOff>
      <xdr:row>50</xdr:row>
      <xdr:rowOff>741680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15195" y="22250400"/>
          <a:ext cx="54356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58</xdr:row>
      <xdr:rowOff>209550</xdr:rowOff>
    </xdr:from>
    <xdr:to>
      <xdr:col>7</xdr:col>
      <xdr:colOff>1530985</xdr:colOff>
      <xdr:row>58</xdr:row>
      <xdr:rowOff>810260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05595" y="29305250"/>
          <a:ext cx="1350010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60</xdr:row>
      <xdr:rowOff>44450</xdr:rowOff>
    </xdr:from>
    <xdr:to>
      <xdr:col>7</xdr:col>
      <xdr:colOff>1362710</xdr:colOff>
      <xdr:row>60</xdr:row>
      <xdr:rowOff>663575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77020" y="30892750"/>
          <a:ext cx="121031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73</xdr:row>
      <xdr:rowOff>69850</xdr:rowOff>
    </xdr:from>
    <xdr:to>
      <xdr:col>7</xdr:col>
      <xdr:colOff>866140</xdr:colOff>
      <xdr:row>73</xdr:row>
      <xdr:rowOff>635635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00820" y="39757350"/>
          <a:ext cx="789940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1047750</xdr:colOff>
      <xdr:row>73</xdr:row>
      <xdr:rowOff>60325</xdr:rowOff>
    </xdr:from>
    <xdr:to>
      <xdr:col>7</xdr:col>
      <xdr:colOff>1609725</xdr:colOff>
      <xdr:row>73</xdr:row>
      <xdr:rowOff>662305</xdr:rowOff>
    </xdr:to>
    <xdr:pic>
      <xdr:nvPicPr>
        <xdr:cNvPr id="37" name="图片 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72370" y="39747825"/>
          <a:ext cx="56197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1028700</xdr:colOff>
      <xdr:row>74</xdr:row>
      <xdr:rowOff>174625</xdr:rowOff>
    </xdr:from>
    <xdr:to>
      <xdr:col>7</xdr:col>
      <xdr:colOff>1805940</xdr:colOff>
      <xdr:row>74</xdr:row>
      <xdr:rowOff>724535</xdr:rowOff>
    </xdr:to>
    <xdr:pic>
      <xdr:nvPicPr>
        <xdr:cNvPr id="38" name="图片 3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53320" y="40598725"/>
          <a:ext cx="77724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</xdr:colOff>
      <xdr:row>74</xdr:row>
      <xdr:rowOff>146050</xdr:rowOff>
    </xdr:from>
    <xdr:to>
      <xdr:col>7</xdr:col>
      <xdr:colOff>897890</xdr:colOff>
      <xdr:row>74</xdr:row>
      <xdr:rowOff>746760</xdr:rowOff>
    </xdr:to>
    <xdr:pic>
      <xdr:nvPicPr>
        <xdr:cNvPr id="39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053195" y="40570150"/>
          <a:ext cx="869315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209550</xdr:colOff>
      <xdr:row>75</xdr:row>
      <xdr:rowOff>171450</xdr:rowOff>
    </xdr:from>
    <xdr:to>
      <xdr:col>7</xdr:col>
      <xdr:colOff>1424305</xdr:colOff>
      <xdr:row>75</xdr:row>
      <xdr:rowOff>759460</xdr:rowOff>
    </xdr:to>
    <xdr:pic>
      <xdr:nvPicPr>
        <xdr:cNvPr id="40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234170" y="41433750"/>
          <a:ext cx="1214755" cy="58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76</xdr:row>
      <xdr:rowOff>206375</xdr:rowOff>
    </xdr:from>
    <xdr:to>
      <xdr:col>7</xdr:col>
      <xdr:colOff>1570990</xdr:colOff>
      <xdr:row>76</xdr:row>
      <xdr:rowOff>777240</xdr:rowOff>
    </xdr:to>
    <xdr:pic>
      <xdr:nvPicPr>
        <xdr:cNvPr id="41" name="图片 4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367520" y="42306875"/>
          <a:ext cx="1228090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67</xdr:row>
      <xdr:rowOff>9525</xdr:rowOff>
    </xdr:from>
    <xdr:to>
      <xdr:col>7</xdr:col>
      <xdr:colOff>1772285</xdr:colOff>
      <xdr:row>67</xdr:row>
      <xdr:rowOff>749300</xdr:rowOff>
    </xdr:to>
    <xdr:pic>
      <xdr:nvPicPr>
        <xdr:cNvPr id="43" name="图片 4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86595" y="34896425"/>
          <a:ext cx="1210310" cy="73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69</xdr:row>
      <xdr:rowOff>38735</xdr:rowOff>
    </xdr:from>
    <xdr:to>
      <xdr:col>7</xdr:col>
      <xdr:colOff>965200</xdr:colOff>
      <xdr:row>69</xdr:row>
      <xdr:rowOff>740410</xdr:rowOff>
    </xdr:to>
    <xdr:pic>
      <xdr:nvPicPr>
        <xdr:cNvPr id="44" name="图片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319895" y="36525835"/>
          <a:ext cx="669925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619125</xdr:colOff>
      <xdr:row>53</xdr:row>
      <xdr:rowOff>38100</xdr:rowOff>
    </xdr:from>
    <xdr:to>
      <xdr:col>7</xdr:col>
      <xdr:colOff>1327785</xdr:colOff>
      <xdr:row>54</xdr:row>
      <xdr:rowOff>46990</xdr:rowOff>
    </xdr:to>
    <xdr:pic>
      <xdr:nvPicPr>
        <xdr:cNvPr id="45" name="图片 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643745" y="24765000"/>
          <a:ext cx="708660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409575</xdr:colOff>
      <xdr:row>62</xdr:row>
      <xdr:rowOff>57150</xdr:rowOff>
    </xdr:from>
    <xdr:to>
      <xdr:col>7</xdr:col>
      <xdr:colOff>1248410</xdr:colOff>
      <xdr:row>62</xdr:row>
      <xdr:rowOff>774065</xdr:rowOff>
    </xdr:to>
    <xdr:pic>
      <xdr:nvPicPr>
        <xdr:cNvPr id="2" name="图片 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434195" y="32162750"/>
          <a:ext cx="83883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676275</xdr:colOff>
      <xdr:row>87</xdr:row>
      <xdr:rowOff>19050</xdr:rowOff>
    </xdr:from>
    <xdr:to>
      <xdr:col>7</xdr:col>
      <xdr:colOff>1238885</xdr:colOff>
      <xdr:row>88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00895" y="50742850"/>
          <a:ext cx="562610" cy="68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314325</xdr:colOff>
      <xdr:row>90</xdr:row>
      <xdr:rowOff>76200</xdr:rowOff>
    </xdr:from>
    <xdr:to>
      <xdr:col>7</xdr:col>
      <xdr:colOff>1648460</xdr:colOff>
      <xdr:row>90</xdr:row>
      <xdr:rowOff>831850</xdr:rowOff>
    </xdr:to>
    <xdr:pic>
      <xdr:nvPicPr>
        <xdr:cNvPr id="5" name="图片 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338945" y="53174900"/>
          <a:ext cx="1334135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89</xdr:row>
      <xdr:rowOff>66675</xdr:rowOff>
    </xdr:from>
    <xdr:to>
      <xdr:col>7</xdr:col>
      <xdr:colOff>1096645</xdr:colOff>
      <xdr:row>89</xdr:row>
      <xdr:rowOff>769620</xdr:rowOff>
    </xdr:to>
    <xdr:pic>
      <xdr:nvPicPr>
        <xdr:cNvPr id="6" name="图片 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653270" y="52327175"/>
          <a:ext cx="467995" cy="702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552450</xdr:colOff>
      <xdr:row>88</xdr:row>
      <xdr:rowOff>41275</xdr:rowOff>
    </xdr:from>
    <xdr:to>
      <xdr:col>7</xdr:col>
      <xdr:colOff>1552575</xdr:colOff>
      <xdr:row>88</xdr:row>
      <xdr:rowOff>796290</xdr:rowOff>
    </xdr:to>
    <xdr:pic>
      <xdr:nvPicPr>
        <xdr:cNvPr id="7" name="图片 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77070" y="51463575"/>
          <a:ext cx="100012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533400</xdr:colOff>
      <xdr:row>55</xdr:row>
      <xdr:rowOff>15875</xdr:rowOff>
    </xdr:from>
    <xdr:to>
      <xdr:col>7</xdr:col>
      <xdr:colOff>1557020</xdr:colOff>
      <xdr:row>55</xdr:row>
      <xdr:rowOff>912495</xdr:rowOff>
    </xdr:to>
    <xdr:pic>
      <xdr:nvPicPr>
        <xdr:cNvPr id="8" name="图片 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58020" y="26800175"/>
          <a:ext cx="1023620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56</xdr:row>
      <xdr:rowOff>22225</xdr:rowOff>
    </xdr:from>
    <xdr:to>
      <xdr:col>7</xdr:col>
      <xdr:colOff>1483360</xdr:colOff>
      <xdr:row>56</xdr:row>
      <xdr:rowOff>859790</xdr:rowOff>
    </xdr:to>
    <xdr:pic>
      <xdr:nvPicPr>
        <xdr:cNvPr id="9" name="图片 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86595" y="27771725"/>
          <a:ext cx="921385" cy="837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52</xdr:row>
      <xdr:rowOff>19050</xdr:rowOff>
    </xdr:from>
    <xdr:to>
      <xdr:col>7</xdr:col>
      <xdr:colOff>1405890</xdr:colOff>
      <xdr:row>52</xdr:row>
      <xdr:rowOff>723900</xdr:rowOff>
    </xdr:to>
    <xdr:pic>
      <xdr:nvPicPr>
        <xdr:cNvPr id="10" name="图片 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281795" y="23907750"/>
          <a:ext cx="114871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419100</xdr:colOff>
      <xdr:row>91</xdr:row>
      <xdr:rowOff>47625</xdr:rowOff>
    </xdr:from>
    <xdr:to>
      <xdr:col>7</xdr:col>
      <xdr:colOff>1324610</xdr:colOff>
      <xdr:row>91</xdr:row>
      <xdr:rowOff>1019810</xdr:rowOff>
    </xdr:to>
    <xdr:pic>
      <xdr:nvPicPr>
        <xdr:cNvPr id="4" name="图片 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443720" y="54213125"/>
          <a:ext cx="905510" cy="972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J6/f/XLS/YS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Hp-server/I/CHINA/616/BQ-MEA/MC/HOUSE/REIN_H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6700;&#38754;/2025.4.14/5.13&#19975;&#31185;&#28392;&#27743;&#39033;&#30446;&#24149;&#22681;&#24037;&#31243;&#65288;&#20303;&#23429;&#65289;1#2#/9200096613-1(&#38271;&#27801;&#19975;&#31185;&#28657;&#27743;&#19968;&#34399;&#39033;&#30446;3#&#22612;&#27004;&#24149;&#22681;&#65288;&#20108;&#26631;&#27573;&#65289;&#24037;&#31243;)_&#25307;&#26631;&#28165;&#21333;_(&#20379;&#24212;&#21830;&#19987;&#29992;)V1.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Users/SONY/Desktop/B6&#32452;&#22242;&#22320;&#19979;&#23460;&#22303;&#2604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K:/&#36149;&#38451;&#19975;&#31185;/&#24352;&#24037;/&#19975;&#31185;&#21672;&#35810;&#22996;&#25176;&#36164;&#26009;/&#24635;&#21253;&#21512;&#21516;&#21450;&#35745;&#20215;&#28165;&#21333;/&#19968;&#26399;&#19968;&#26631;&#24635;&#21253;/&#20108;&#24037;&#21306;&#32467;&#31639;/CHEN/&#20844;&#36335;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Ito14/respuestas/WINDOWS/Archivos%20temporales%20de%20Internet/Content.IE5/OPI30LEB/Archivos%20de%20programa/TRABAJO/EXCEL/INFORMES/l-p-n&#176;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HEN/&#20844;&#36335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&#21335;&#20140;&#25237;&#26631;&#24037;&#31243;/&#37197;&#21512;/&#21313;&#22235;&#25152;&#21378;&#25151;/A2~A7&#20272;&#20215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Z:/&#25505;&#3609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K:/&#36149;&#38451;&#19975;&#31185;/&#24352;&#24037;/&#19975;&#31185;&#21672;&#35810;&#22996;&#25176;&#36164;&#26009;/&#24635;&#21253;&#21512;&#21516;&#21450;&#35745;&#20215;&#28165;&#21333;/&#19968;&#26399;&#19968;&#26631;&#24635;&#21253;/CHEN/&#20844;&#36335;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&#24658;&#36890;&#27704;&#36798;/&#20975;&#33589;&#35946;&#22253;/&#20975;&#33589;&#35946;&#22253;&#32467;&#31639;/&#20013;&#24515;&#21306;&#24037;&#31243;&#32467;&#31639;/&#22320;&#19979;&#23460;&#24037;&#31243;/&#38050;&#31563;-&#22522;&#30784;&#2675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E27/c/PILAR/COMPBA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10.76.1.10/&#21512;&#32422;&#37096;/&#24037;&#20316;/&#20013;&#22830;&#20844;&#22253;&#19977;&#26399;/&#19977;&#26399;C-8/&#21464;&#26356;&#35780;&#23457;/C7&#12289;C8&#21464;&#26356;&#35780;&#23457;/&#35774;&#35745;&#21464;&#26356;-0013&#65288;&#21672;&#35810;&#21495;043&#65289;/&#21672;&#35810;&#34920;&#65288;2011-03-043&#65289;&#27494;&#27721;&#20013;&#22830;&#20844;&#22253;&#39033;&#30446;-2012-&#24037;&#31243;&#21464;&#26356;-0013&#12304;2012-12-28&#12305;&#27146;&#21326;&#32654;&#20256;&#26469;/&#35774;&#35745;&#21464;&#26356;-0013&#65288;&#21672;&#35810;&#21495;043&#65289;/&#25913;2011.10.18&#27491;&#24179;&#21672;&#35810;&#8212;&#38271;&#27801;/&#38271;&#27801;&#25307;&#26631;&#26102;&#25991;&#20214;/&#22522;&#30784;&#25968;&#25454;&#20998;&#26512;&#25351;&#26631;/&#22522;&#30784;&#25968;&#25454;&#20998;&#26512;&#25351;&#2663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PROJECT/07/0750/MC/B/Pre-Tender%20Estimate%20(Parcel%20A)/File%20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PROJECT/07/0701/MC/A/PrelCE200703012/PrelCost200703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CND/CQ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&#20420;&#32599;&#26031;&#20844;&#21496;/&#25104;&#26412;&#34920;/TENDER/2006&#24180;/CW%20%20SOHO/&#25104;&#26412;/Final%20cost%204/&#26397;&#22806;SOHO/060125-&#26397;&#22806;SOHO&#24149;&#22681;&#25307;&#26631;&#22270;&#20840;&#22871;&#36807;&#31243;&#22270;/&#24149;&#22681;&#38754;&#31215;1128&#27979;&#3163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Ito14/respuestas/WINDOWS/Archivos%20temporales%20de%20Internet/Content.IE5/OPI30LEB/FLSA/SOFTWARE/PROPUESTAS/Propuestas%202003/JUMBO%20PE&#209;ALOLEN%20marzo%202003/Presupuesto%20ABRIL%202003/JUMBO%20PE&#209;ALOLEN%20abri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Users/P-hjwzj/Desktop/&#20381;&#20113;&#21326;&#24220;&#24635;&#21253;/&#65281;&#65281;&#65281;&#24635;&#21253;&#25307;&#26631;&#27491;&#24335;&#21551;&#21160;/&#27169;&#25311;&#28165;&#21333;/&#38376;&#31383;&#27169;&#26495;/&#26639;&#26438;/&#26639;&#26438;&#26631;&#20070;&#20998;&#26512;/&#39567;&#26480;/&#27748;&#38125;&#26032;/2009-2-4&#24191;&#30005;&#27743;&#28286;&#26032;&#22478;&#19968;&#26399;/&#24037;&#31243;&#37327;&#35745;&#31639;&#34920;-&#27743;&#28286;&#26032;&#22478;&#21335;&#213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K:/&#36149;&#38451;&#19975;&#31185;/&#24352;&#24037;/&#19975;&#31185;&#21672;&#35810;&#22996;&#25176;&#36164;&#26009;/&#24635;&#21253;&#21512;&#21516;&#21450;&#35745;&#20215;&#28165;&#21333;/&#19968;&#26399;&#19968;&#26631;&#24635;&#21253;/&#35874;&#20025;/&#25237;&#26631;&#36164;&#26009;/&#30887;&#26690;&#22253;&#24037;&#31243;/&#38543;&#24030;&#30887;&#26690;&#22253;/&#27494;&#27721;&#30887;&#26690;&#22253;&#20964;&#20976;&#37202;&#24215;&#21457;&#20986;&#29256;&#26412;080129/&#28165;&#21333;&#12289;&#35745;&#20215;&#34920;&#12289;&#26448;&#26009;&#34920;&#21450;&#38480;&#20215;&#34920;&#65288;&#21457;&#20986;&#65289;/&#28165;&#21333;/&#19968;&#21306;/CHEN/&#20844;&#36335;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nts%20and%20Settings/All%20Users/Documents/&#26368;&#26032;&#26356;&#26032;/&#36164;&#26009;&#25991;&#20214;/excel&#24212;&#29992;&#25991;&#20214;/20043109262527/&#24037;&#31243;&#37327;&#35745;&#31639;040309&#29256;&#2641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Users/caog.VANKE/AppData/Local/Microsoft/Windows/Temporary%20Internet%20Files/Content.Outlook/WGEPJYIE/&#25391;&#21326;&#39033;&#30446;&#25237;&#26631;/&#25391;&#21326;&#36724;&#25215;&#21378;&#24066;&#25919;&#39033;&#30446;/&#25391;&#21326;&#25104;&#26412;/&#25391;&#21326;&#39033;&#30446;&#25104;&#26412;/&#25104;&#26412;&#20250;&#21518;/&#25237;&#26631;&#39044;&#31639;&#25104;&#2641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&#26395;&#20140;A&#21306;&#25307;&#26631;/&#26395;&#20140;&#20303;&#23429;&#22806;&#39280;&#20998;&#21253;/&#22806;&#39280;&#35780;&#26631;/&#26395;&#20140;4&#65283;&#20303;&#23429;&#22806;&#39280;&#28165;&#21333;06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Z:/&#20179;&#20648;&#37096;/&#26680;&#31639;&#23545;&#27604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&#28526;&#24030;&#21338;&#29289;&#39302;/&#36154;&#24037;/&#28526;&#24030;&#21338;&#29289;&#39302;/&#26045;&#24037;&#22270;&#25104;&#26412;/&#21160;&#24577;/&#26045;&#24037;&#22270;&#25104;&#26412;(&#28526;&#24030;&#6528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work/trinity%20plaza1190/&#28526;&#24030;&#21338;&#29289;&#39302;/&#36154;&#24037;/&#28526;&#24030;&#21338;&#29289;&#39302;/&#26045;&#24037;&#22270;&#25104;&#26412;/&#21160;&#24577;/&#26680;&#31639;&#23545;&#27604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A:/My%20Documents/HUNG/DUAN/LAMTIN/EXCEL/Thietb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Ito14/respuestas/WINDOWS/Archivos%20temporales%20de%20Internet/Content.IE5/OPI30LEB/$FACTU/A&#209;O98/$ENE9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&#21016;&#28023;&#29141;/&#26412;&#22320;&#30913;&#30424;%20(e)/Documents%20and%20Settings/Administrator/&#26700;&#38754;/&#20315;&#23665;&#19975;&#31185;&#21335;&#24196;&#22320;&#19979;&#24037;&#31243;&#37327;&#35745;&#31639;&#2433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Users/caog.VANKE/AppData/Local/Microsoft/Windows/Temporary%20Internet%20Files/Content.Outlook/WGEPJYIE/&#21556;&#20891;1/&#26700;&#38754;/wu/&#25991;&#20214;/&#26494;&#27743;&#20986;&#21475;&#21152;&#24037;&#21306;&#26597;&#39564;&#21306;/Documents%20and%20Settings/user/&#26700;&#38754;/EXCEL&#34920;8-2&#20154;&#26448;&#26426;&#27719;&#24635;&#34920;1(&#23454;&#38469;&#25104;&#26412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J:/Datos/facturacion/A&#241;o%202001/$JUN20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2018/TENDER/2006&#24180;/CW%20%20SOHO/&#25104;&#26412;/Final%20cost%204/&#26397;&#22806;SOHO/060125-&#26397;&#22806;SOHO&#24149;&#22681;&#25307;&#26631;&#22270;&#20840;&#22871;&#36807;&#31243;&#22270;/&#24149;&#22681;&#38754;&#31215;1128&#27979;&#3163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Web-gzdc/&#25104;&#26412;&#37096;&#25991;&#20214;/DOCUME~1/yaoj/LOCALS~1/Temp/107&#24037;&#20316;&#65293;home/&#22478;&#33457;/&#33829;&#38144;&#36153;&#29992;&#21512;&#21516;&#65293;&#20184;&#27454;&#65288;&#22478;&#33457;&#65289;01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Gc-&#24352;&#20426;/&#25307;&#21830;&#22320;&#20135;/&#19994;&#20313;&#24037;&#31243;/&#32418;&#28070;&#21672;&#35810;&#20844;&#21496;/&#24037;&#31243;&#37327;/&#25253;&#19994;&#20027;1/&#19975;&#31185;&#28165;&#21333;&#65288;&#31649;&#36947;&#29256;&#65289;/&#31649;&#36947;/&#20108;&#26631;&#27573;/&#24037;&#31243;&#36164;&#26009;/&#19975;&#31185;/&#37329;&#22495;&#34013;&#28286;/5-13&#35780;&#26631;/&#21672;&#35810;&#20844;&#21496;/&#24037;&#31243;&#36164;&#26009;/&#19975;&#31185;/&#22478;&#33457;&#20843;&#26399;&#32467;&#31639;/&#38468;&#20214;3-1%20&#25237;&#26631;&#25253;&#20215;&#28165;&#21333;&#65288;&#21512;&#21516;&#20215;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CND/HELENA/&#26126;&#32048;&#34920;%20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file-cddc/&#21508;&#37096;&#38376;&#23384;&#26723;&#25991;&#20214;/Documents%20and%20Settings/All%20Users/Documents/&#26368;&#26032;&#26356;&#26032;/&#36164;&#26009;&#25991;&#20214;/excel&#24212;&#29992;&#25991;&#20214;/20043109262527/&#24037;&#31243;&#37327;&#35745;&#31639;040309&#29256;&#2641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A-K%202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&#20313;&#27589;&#28304;/&#24037;&#31243;&#37327;&#35745;&#31639;&#24335;/&#24037;&#31243;&#37327;&#35745;&#31639;(&#27169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&#36865;&#36135;&#2133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&#25307;&#21830;&#22253;&#24314;2012-10-15&#26045;&#24037;&#22270;&#35774;&#35745;/&#25307;&#21830;&#22320;&#20135;&#23637;&#31034;&#21306;&#26223;&#35266;&#65288;&#21335;&#21306;&#32511;&#21270;&#20197;&#22806;&#65289;&#24037;&#31243;/6.4&#25307;&#21830;&#25104;&#26412;&#21450;&#25253;&#20215;/&#30887;&#26690;&#22253;/&#19977;&#26399;&#25104;&#26412;&#20998;&#26512;5.28/&#29233;&#23478;&#25237;&#26631;/&#29233;&#23478;&#22269;&#38469;&#24037;&#31243;&#37327;&#35745;&#31639;&#2433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WINDOWS/Desktop/CDN/A-K%20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Z:/&#26494;&#19979;&#30427;&#19968;&#36130;&#21153;&#36164;&#26009;/2007&#24180;/&#19975;&#31185;&#25112;&#30053;&#24615;&#21512;&#20316;&#35745;&#30011;/&#28145;&#22323;/&#28145;&#22323;&#31532;&#20116;&#22253;/2007&#24180;12&#26376;28&#26085;/&#19975;&#31185;/&#31532;5&#22290;&#39044;&#31639;&#31995;&#32479;2007-12-2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&#19975;&#31185;(&#32456;)/DOCUME~1/ADMINI~1/LOCALS~1/Temp/Rar$DI00.735/06&#24180;&#19975;&#31185;/06&#24180;&#19975;&#31185;/&#22825;&#26223;&#33457;&#22253;/&#22825;&#26223;&#19968;&#26399;&#24635;&#21253;&#28165;&#21333;-&#25105;&#21496;/A&#26635;&#23433;&#35013;&#35745;&#31639;&#24335;/&#24037;&#31243;&#37327;&#35745;&#31639;&#20070;&#22825;&#26223;A1~A3&#26635;(&#24378;&#30005;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Program%20Files/Tencent/QQ/Users/23212591/FileRecv/&#23452;&#26124;&#19975;&#36798;&#24191;&#22330;&#22303;&#24314;&#24037;&#31243;&#37327;&#28165;&#21333;&#65288;1-12#&#652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P:/&#26631;&#24213;/&#20016;&#30000;/&#22303;&#24314;&#24037;&#31243;&#37327;&#35745;&#31639;&#24335;&#21464;&#21387;&#22120;&#25151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1-&#27721;&#27743;&#28286;&#39033;&#30446;/3-K3&#37319;&#36141;&#35745;&#21010;/K3&#24635;&#21253;/&#24635;&#21253;&#20215;&#26684;&#20998;&#26512;&#27719;&#25253;/&#19975;&#31185;&#20854;&#20182;&#22478;&#24066;&#20844;&#21496;/&#35199;&#23433;/&#35199;&#23433;&#39640;&#26032;&#21326;&#24220;&#24635;&#21253;&#21450;&#31934;&#35013;&#20462;&#28165;&#21333;-&#26368;&#32456;&#29256;/&#35199;&#23433;&#19975;&#31185;&#39640;&#26032;&#21326;&#24220;&#39033;&#30446;&#19968;&#26399;&#65288;5~7#&#65289;&#27004;&#24635;&#21253;&#36716;&#22266;&#23450;&#24037;&#31243;&#37327;&#28165;&#21333;&#65288;&#32456;&#23457;0615&#6528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nts%20and%20Settings/prime61/&#26700;&#38754;/&#20020;&#26102;/&#19996;&#24179;B3.4&#26495;&#65288;1&#23618;&#20197;&#19978;&#6528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6494;&#19979;&#30427;&#19968;&#36130;&#21153;&#36164;&#26009;/2007&#24180;/&#19975;&#31185;&#25112;&#30053;&#24615;&#21512;&#20316;&#35745;&#30011;/&#28145;&#22323;/&#28145;&#22323;&#31532;&#20116;&#22253;/2007&#24180;12&#26376;28&#26085;/&#19975;&#31185;/&#31532;5&#22290;&#39044;&#31639;&#31995;&#32479;2007-12-2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LH/A-K%202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J:/CHEN/&#20844;&#36335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I:/&#21830;&#21153;&#25991;&#20214;/&#21830;&#21153;&#36164;&#26009;/&#22521;&#35757;/&#21830;&#21153;&#25253;&#20215;/2005-2&#26376;/&#27784;&#38451;&#28023;&#20851;/&#27784;&#38451;&#28023;&#20851;--&#25253;&#2021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HELENA/&#26126;&#32048;&#34920;%202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A-K%20201.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qzyser/&#21161;&#21451;&#23454;&#26696;/2008&#24180;&#24037;&#31243;&#25991;&#20214;/&#20013;&#28023;&#21271;&#28392;2&#26399;/&#25216;&#26415;&#20132;&#24213;/PUR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5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1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2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4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3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&#12304;&#28246;&#21271;&#21306;&#22495;&#12305;&#12304;&#35013;&#20462;&#35758;&#26631;&#26631;&#24213;&#12305;&#24681;&#26045;&#30887;&#26690;&#22253;&#19968;&#26399;7#&#27004;&#35013;&#20462;&#24037;&#31243;5.3&#21407;%20-&#32467;&#3163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WeChat%20Files/wxid_gxylw6gqm9fk22/FileStorage/File/2025-07/&#21547;&#37327;&#20998;&#26512;-&#20013;&#23665;&#22823;&#23398;&#38468;&#23646;&#21307;&#38498;&#24149;&#22681;&#26045;&#24037;&#22270;&#65288;20240604&#6528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Server/Etisalat/Project/Data/&#47568;&#47112;&#51060;&#49884;&#50500;/Ncc/AEc&#51077;&#52272;&#44204;&#51201;0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SERVER/DATA/DataFile/O/DB9604/RevMay97/SHOPLIS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entralfile/centralfile/Documents%20and%20Settings/MWK1/Local%20Settings/Temporary%20Internet%20Files/Content.IE5/WFWMNIQ9/MCI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K:/2014&#26045;&#24037;&#39033;&#30446;/4%20%20&#27494;&#27721;&#32511;&#22320;&#22269;&#21338;&#24191;&#22330;&#39033;&#30446;/&#44552;&#50997;&#48708;&#50857;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192.168.1.240/&#24037;&#20316;/&#24179;&#20937;&#36335;22&#34903;&#22346;&#39033;&#30446;&#24149;&#22681;&#25307;&#26631;&#25991;&#20214;/&#31572;&#30097;&#34917;&#20805;/&#24179;&#20937;&#25104;&#26412;/RecoveredExternalLink4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Muralidhara/SHARED%20FOLDER/SHARED%20FOLDER/AUG%20-%202005/INHOUSE/Aug%2005-SOBHA%20Rose-%20P%20Q%20S%20Revised%20(26.09.0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Mayflower1/Shared%20Folder/Documents%20and%20Settings/kurian/Local%20Settings/Temp/Labor%20bills%2019.08.06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bjdc-wxl/&#26684;&#26519;&#23567;&#38215;6&#21335;&#21306;&#24635;&#21253;&#25307;&#26631;&#25991;&#20214;&#65288;&#20869;&#37096;&#65289;/&#35780;&#26631;&#28165;&#21333;/&#26631;&#27573;&#8544;&#35780;&#26631;&#28165;&#21333;/Documents%20and%20Settings/lifeng_liu/&#26700;&#38754;/&#23385;&#20029;&#22937;&#24037;&#20316;&#25991;&#20214;&#22841;&#25105;&#24456;&#37325;&#35201;&#65292;&#19981;&#35201;&#21024;&#38500;&#25105;&#65281;/&#30005;&#27668;&#28165;&#21333;&#27169;&#26495;/&#39318;&#24072;&#22823;&#23398;&#29983;&#20844;&#23507;-&#22899;&#29983;&#23487;&#3329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npoepc0705sevel/SEVVEL/prelimianiries/Preliminaries%2027-6-06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&#25237;&#26631;&#32852;&#24819;/d/&#24037;&#31243;2005/&#26397;&#22806;SOHO/&#19971;&#26399;&#25307;&#26631;&#25991;&#20214;/&#19971;&#26399;&#25307;&#26631;&#25991;&#20214;/&#31532;&#19977;&#21367;&#24037;&#31243;&#37327;&#28165;&#21333;/&#31532;&#19977;&#21367;&#24037;&#31243;&#37327;&#28165;&#21333;/&#24314;&#22806;7&#26399;&#30446;&#26631;&#25511;&#21046;-&#31185;&#30446;-&#35745;&#21010;-6-1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192.168.114.29/&#22312;&#24314;&#24037;&#31243;/&#19977;&#20122;&#20964;&#20976;&#23707;/12.18&#25237;&#26631;&#25991;&#20214;/&#29579;&#32654;&#26519;/&#39033;&#30446;&#25991;&#20214;/&#37325;&#38050;&#24037;&#31243;/2008&#24180;&#24037;&#31243;/&#24191;&#24030;&#20122;&#36816;&#22330;&#39302;/&#25237;&#26631;&#25253;&#20215;/&#24037;&#31243;&#37327;&#35745;&#31639;&#31295;&#19982;&#27719;&#24635;&#31295;/2006&#24180;/&#20041;&#20044;&#22269;&#38469;&#21830;&#36152;&#22478;/&#20041;&#20044;&#22269;&#38469;&#21830;&#36152;&#22478;&#25253;&#20986;&#25253;&#20215;/&#38050;&#32467;&#26500;&#19982;&#24635;&#27719;&#24635;/&#26477;&#24030;&#24191;&#25773;&#30005;&#35270;&#20013;&#24515;&#65288;&#19968;&#26399;&#65289;/&#26477;&#24030;&#24191;&#30005;&#20013;&#24515;&#65288;&#19968;&#26399;&#65289;&#24037;&#31243;&#37327;&#28165;&#21333;/&#21103;&#26412;&#177;0.000&#20197;&#19978;&#22303;&#24314;&#24037;&#31243;&#37327;&#28165;&#21333;&#65288;3&#21495;&#28165;&#21333;&#6528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4037;&#31243;&#39033;&#30446;/&#24037;&#31243;&#25307;&#26631;&#37096;/&#25353;&#22320;&#21306;&#21010;&#20998;/&#27743;&#33487;/&#26080;&#38177;/&#26080;&#38177;&#38109;&#21512;&#37329;&#38376;&#31383;&#26680;&#20215;&#36164;&#26009;/&#21378;&#21830;&#25253;&#20215;/&#27743;&#33487;&#20896;&#20122;/RecoveredExternalLink1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09&#24180;&#39033;&#30446;/&#19979;&#27801;&#26381;&#21153;&#22806;&#21253;&#20154;&#25165;&#22521;&#35757;&#22522;&#22320;/&#27491;&#36798;&#30340;&#32467;&#26524;/&#26477;&#24030;&#19979;&#27801;&#26381;&#21153;&#22806;&#21253;&#20154;&#25165;&#22521;&#35757;&#22522;&#22320;/&#39044;&#31639;/2008&#24037;&#31243;&#21016;&#27704;&#38686;/2008&#24037;&#31243;&#21016;&#27704;&#38686;/&#20844;&#21496;&#24037;&#31243;/&#26477;&#24030;&#24066;&#25329;&#23480;&#26725;&#26725;&#35199;&#21382;&#21490;&#34903;&#21306;&#22812;&#26223;&#29031;&#26126;&#24037;&#31243;/&#36816;&#27827;&#30005;&#23376;&#26495;/&#39044;&#31639;/&#19977;&#26631;/&#24037;&#31243;/&#26477;&#24030;&#24066;&#38065;&#27743;&#26032;&#22478;&#20116;&#31119;&#33489;&#22810;&#23618;&#20844;&#23507;&#24037;&#31243;/E6_03%20&#25237;&#26631;&#24635;&#20215;&#23553;&#38754;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5237;&#26631;/2013/&#31532;&#19968;&#23395;&#24230;/&#24110;&#24537;/&#40644;&#29756;&#29756;&#37329;&#26124;/DOCUME~1/zj/LOCALS~1/Temp/Rar$DI00.906/&#25903;&#25252;&#24037;&#3124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Users/Administrator/AppData/Roaming/kingsoft/office6/backup/&#26032;&#24314;&#25991;&#20214;&#22841;/&#22806;&#22681;&#35745;&#31639;&#24335;2018.12.29/&#30005;&#33041;&#36716;&#23384;&#36164;&#26009;/&#26045;&#24037;&#29305;&#27530;&#31526;&#21495;/&#32467;&#26500;&#24037;&#31243;&#37327;&#35745;&#31639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0013;&#22825;&#24149;&#22681;&#22312;&#24314;&#39033;&#30446;/2022&#24180;/&#19996;&#28246;&#22564;&#30333;/&#27494;&#27721;&#19975;&#31185;&#19996;&#28246;&#22564;&#30333;&#39033;&#30446;&#20889;&#23383;&#27004;&#24149;&#22681;&#19982;&#20303;&#23429;&#22823;&#21306;&#38376;&#22836;&#24149;&#22681;&#24037;&#31243;&#32852;&#21512;&#25307;&#26631;&#37319;&#36141;/&#27494;&#27721;&#19975;&#31185;&#19996;&#28246;&#22564;&#30333;&#39033;&#30446;&#20889;&#23383;&#27004;&#24149;&#22681;&#19982;&#20303;&#23429;&#22823;&#21306;&#38376;&#22836;&#24149;&#22681;&#24037;&#31243;&#32852;&#21512;&#25307;&#26631;&#37319;&#36141;/SHZQY22102800015_20221110172108/9410_&#12304;4&#21495;&#27004;&#12305;9200059090-1(&#24149;&#22681;&#24037;&#31243;)_&#25307;&#26631;&#28165;&#21333;_(&#20379;&#24212;&#21830;&#19987;&#29992;)V1.0.xlsm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QQ&#24037;&#20316;&#25991;&#20214;&#22841;2018/&#24681;&#26045;&#36135;&#37327;7#/&#35745;&#31639;&#28165;&#21333;&#21512;&#21516;&#28165;&#21333;&#26631;&#24213;&#31561;-&#26368;&#32456;/&#12304;&#28246;&#21271;&#21306;&#22495;&#12305;&#12304;&#35013;&#20462;&#35758;&#26631;&#26631;&#24213;&#12305;&#24681;&#26045;&#30887;&#26690;&#22253;&#19968;&#26399;7&#21495;&#27004;&#35013;&#20462;&#24037;&#31243;-&#21547;&#19978;&#28014;/RecoveredExternalLink6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&#54728;&#51221;&#50885;/D/&#46020;&#47732;&#54632;/&#54252;&#54637;/&#44221;&#49345;&#53804;&#51088;/2&#50672;&#51452;/&#50725;&#50808;%20YARD%20ROOF%20&#49892;&#52824;/349A/&#45800;&#51473;&#5436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Chenjie/&#26412;&#22320;&#30913;&#30424;%20(D)/&#24029;&#20449;/&#25552;&#36135;&#21333;2007/&#24029;&#20449;/&#21512;&#21516;/&#22797;&#20214;%20&#26954;&#2766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7993;&#27743;&#24433;&#35270;&#21518;&#26399;&#21046;&#20316;&#20013;&#24515;&#19968;&#26399;&#39033;&#30446;&#24433;&#35270;&#25991;&#21270;&#32508;&#21512;&#26381;&#21153;&#22823;&#27004;&#21450;8&#24162;&#29420;&#31435;&#24433;&#35270;&#21046;&#20316;&#27004;&#24149;&#22681;&#24037;&#31243;/1.&#24037;&#31243;&#39033;&#30446;/2011&#24180;/41.&#22269;&#26426;&#30740;&#21457;&#20013;&#24515;/2012.01.11/2011&#24180;/31%20&#23433;&#24509;&#24191;&#30005;/&#25104;&#26412;&#34920;/&#26700;&#38754;/46024/&#26700;&#38754;/&#20013;&#22269;&#20154;&#23551;&#25968;&#25454;&#20013;&#24515;/&#25253;&#34920;/EXCEL&#34920;5-1&#32508;&#21512;&#21333;&#20215;&#20998;&#26512;&#34920;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Users/Administrator/AppData/Roaming/kingsoft/office6/backup/&#26032;&#24314;&#25991;&#20214;&#22841;/&#22806;&#22681;&#35745;&#31639;&#24335;2018.12.29/&#30005;&#33041;&#36716;&#23384;&#36164;&#26009;/&#20256;&#23186;&#36164;&#26009;/16F&#26631;&#20934;&#23618;/&#25253;&#30002;&#26041;/16&#23618;&#24037;&#31243;&#37327;&#35745;&#31639;&#34920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Program%20Files/Tencent/QQ/Users/460971535/FileRecv/RecoveredExternalLink3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38472;&#32418;&#20255;/2009&#24180;&#24230;/&#31532;&#19977;&#23395;&#24230;/8&#26376;&#20221;/34.&#20041;&#20044;&#20869;&#38470;&#21475;&#23736;&#19968;&#26631;&#27573;&#12289;&#20108;&#26631;&#27573;/&#19968;&#26631;&#27573;&#37325;&#26032;&#25307;&#26631;/&#21830;&#21153;&#25237;&#26631;&#36164;&#26009;/&#25104;&#26412;/&#24037;&#31243;&#37327;&#35745;&#3163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Program%20Files/Tencent/QQ/Users/460971535/FileRecv/RecoveredExternalLink1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NTS01/jhc/unzipped/Eastern%20Airline%20FE/GP/GP_Ph1/SBB-OIs/Hel-OI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NTS01/jhc/unzipped/Eastern%20Airline%20FE/GP/tamer/WINDOWS/GP_A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37045;&#28023;&#21326;-&#26032;&#30424;/&#20445;&#21033;&#22320;&#20135;/&#20445;&#21033;&#19996;&#27743;&#39318;&#24220;/A1&#26635;&#39640;&#23618;&#20132;&#27004;&#26631;&#20934;/A1&#26635;&#39640;&#23618;&#20108;&#26631;-2012-1-11/A1&#26635;&#32463;&#27982;&#26631;&#25171;&#21360;/&#21103;&#26412;&#20445;&#21033;&#19996;&#27743;&#28165;&#21333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gao/&#39532;&#38797;&#23665;&#37329;&#40560;&#22825;&#22320;&#24191;&#22330;&#24149;&#22681;&#24037;&#31243;/&#39532;&#38797;&#23665;&#35810;&#26631;&#38382;&#21367;2014-4-18/&#21442;&#32771;&#29992;/2013.5.17&#38271;&#20852;&#25253;&#20215;(&#26694;&#26550;&#21333;&#20803;&#65289;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nts%20and%20Settings/Administrator/&#26700;&#38754;/2013.9.27&#20013;&#21326;&#33402;&#26415;&#39302;&#25253;&#20215;&#35843;&#25972;-R2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4658;&#36890;&#27704;&#36798;/&#20975;&#33589;&#35946;&#22253;/&#20975;&#33589;&#35946;&#22253;&#32467;&#31639;/&#20013;&#24515;&#21306;&#24037;&#31243;&#32467;&#31639;/&#22320;&#19979;&#23460;&#24037;&#31243;/&#38050;&#31563;-&#22522;&#30784;&#26753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gao/&#39532;&#38797;&#23665;&#37329;&#40560;&#22825;&#22320;&#24191;&#22330;&#24149;&#22681;&#24037;&#31243;/&#39532;&#38797;&#23665;&#35810;&#26631;&#38382;&#21367;2014-4-18/&#25104;&#26412;&#21450;&#25253;&#20215;2014-4-18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http:/oa3.ah.cmcc/XCOA/fwgl.nsf/all/AA35C18357FBB7C54825753400321C15/$file/06&#24180;&#39044;&#31639;&#24037;&#20316;/2006&#24180;&#30465;&#20844;&#21496;&#32463;&#33829;&#30446;&#26631;&#39044;&#31639;/2006&#24180;&#32463;&#33829;&#30446;&#26631;&#39044;&#31639;&#32534;&#21046;&#27169;&#22411;/excel&#27169;&#22411;/TEMP/NEWTABL1_97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http:/oa3.ah.cmcc/XCOA/fwgl.nsf/all/AA35C18357FBB7C54825753400321C15/$file/06&#24180;&#39044;&#31639;&#24037;&#20316;/2006&#24180;&#30465;&#20844;&#21496;&#32463;&#33829;&#30446;&#26631;&#39044;&#31639;/2006&#24180;&#32463;&#33829;&#30446;&#26631;&#39044;&#31639;&#32534;&#21046;&#27169;&#22411;/excel&#27169;&#22411;/parekh/daily/Consensus%20Estimat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~1/zj/LOCALS~1/Temp/Rar$DI00.906/&#24191;&#36798;&#36719;&#20214;/&#24037;&#31243;&#25991;&#20214;/&#38450;&#28779;&#28034;&#26009;/&#27993;&#27743;&#34218;&#20159;&#30005;&#23376;/&#24037;&#31243;&#27010;&#20917;(&#23433;&#35013;)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~1/zj/LOCALS~1/Temp/Rar$DI00.906/&#24191;&#36798;&#36719;&#20214;/&#24037;&#31243;&#25991;&#20214;/&#38450;&#28779;&#28034;&#26009;/&#27993;&#27743;&#34218;&#20159;&#30005;&#23376;/&#39044;&#31639;&#20070;&#27743;&#23665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~1/zj/LOCALS~1/Temp/Rar$DI00.906/&#25903;&#25252;&#24037;&#31243;(2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http:/oa3.ah.cmcc/XCOA/fwgl.nsf/all/AA35C18357FBB7C54825753400321C15/$file/06&#24180;&#39044;&#31639;&#24037;&#20316;/2006&#24180;&#30465;&#20844;&#21496;&#32463;&#33829;&#30446;&#26631;&#39044;&#31639;/2006&#24180;&#32463;&#33829;&#30446;&#26631;&#39044;&#31639;&#32534;&#21046;&#27169;&#22411;/excel&#27169;&#22411;/local/projects/silkscroll/valuation/Jiangsu/CTHK_FPM_98%2001%2014%20Credit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NTS01/jhc/unzipped/Eastern%20Airline%20FE/Backup%20of%20Backup%20of%20LINDA%20LISTONE.xlk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2022.8.8&#21306;&#37319;/&#27993;&#35199;&#21306;&#37319;&#28165;&#21333;/2022&#38376;&#31383;&#24149;&#22681;&#21306;&#37319;&#36164;&#26009;/2022&#24180;&#21306;&#37319;&#28165;&#21333;/2022&#27993;&#35199;&#21306;&#22495;&#28165;&#21333;/file:/K:/&#25237;&#26631;/2013/&#31532;&#19968;&#23395;&#24230;/&#24110;&#24537;/&#40644;&#29756;&#29756;&#37329;&#26124;/92#&#38376;&#31383;&#24037;&#31243;&#37327;&#32479;&#35745;&#34920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40644;&#29756;&#29756;/2013&#24180;/&#31119;&#24314;/&#27849;&#21830;&#29615;&#29699;&#24191;&#22330;13A&#22320;&#22359;&#24149;&#22681;&#24037;&#31243;&#25307;&#26631;&#36164;&#26009;/&#35810;&#20215;&#21333;/&#21830;&#21153;&#37096;&#20998;/&#40857;&#23614;&#22366;&#38109;&#21512;&#37329;&#38376;&#31383;WICONA%20%202012.3.6&#65288;&#21457;&#40644;&#29756;&#29756;&#65289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NTS01/jhc/unzipped/Eastern%20Airline%20FE/fnl-gp2/ToolboxGP/Kor/OSP_Becht_Fi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0013;&#22269;%20&#21335;&#20140;%20&#26093;&#36745;/1%20&#39033;&#30446;&#31649;&#29702;/0%20&#38082;&#24742;&#31206;&#28142;&#65288;G29&#39033;&#30446;&#65289;/9%20&#39033;&#30446;&#25307;&#26631;/X2-&#20998;&#21253;&#24037;&#31243;/1%20&#22823;&#21306;/6%20&#21335;&#20140;&#26093;&#36745;&#38082;&#24742;&#31206;&#28142;&#39033;&#30446;&#22806;&#22681;&#30707;&#26448;&#24149;&#22681;&#24037;&#31243;/5%20&#35780;&#26631;/2%20&#25104;&#26412;/POWER%20ASSUMPTION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6379;&#21451;&#30340;&#29645;&#34255;/&#20854;&#20182;&#30340;&#20107;/2009/&#35768;&#20256;&#24800;/&#26477;&#24030;&#19996;&#37096;&#22269;&#38469;&#21830;&#21153;&#20013;&#24515;&#20108;&#26399;&#24037;&#31243;/&#25552;&#20379;&#36164;&#26009;/&#19996;&#37096;&#22269;&#38469;&#20108;&#26399;&#28165;&#21333;-9.8&#32456;/&#24037;&#31243;/&#26477;&#24030;&#24066;&#38065;&#27743;&#26032;&#22478;&#20116;&#31119;&#33489;&#22810;&#23618;&#20844;&#23507;&#24037;&#31243;/E6_03%20&#25237;&#26631;&#24635;&#20215;&#23553;&#38754;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2022.8.8&#21306;&#37319;/&#27993;&#35199;&#21306;&#37319;&#28165;&#21333;/2022&#38376;&#31383;&#24149;&#22681;&#21306;&#37319;&#36164;&#26009;/2022&#24180;&#21306;&#37319;&#28165;&#21333;/2022&#27993;&#35199;&#21306;&#22495;&#28165;&#21333;/file:/K:/&#25307;&#25237;&#26631;&#31649;&#29702;/&#38738;&#23665;&#28246;&#39033;&#30446;/&#21035;&#22661;&#38109;&#21512;&#37329;/8#&#27004;&#23637;&#31034;&#21306;/&#38738;&#23665;&#28246;8#&#27004;&#23637;&#31034;&#21306;&#38109;&#21512;&#37329;&#21512;&#21516;&#28165;&#21333;&#65288;&#32456;&#31295;&#65289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Program%20Files/Tencent/QQ/Users/460971535/FileRecv/&#37073;&#24030;&#20803;&#26086;&#22823;&#21414;&#24149;&#22681;&#22270;&#32440;/&#38182;&#24030;&#30334;&#33041;&#27719;/&#38182;&#24030;&#30334;&#33041;&#27719;&#24149;&#22681;/&#38182;&#24030;&#39033;&#30446;&#24149;&#22681;&#24037;&#31243;&#37327;&#28165;&#21333;2015040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GMCC_CWK/DATA/&#20840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0313;&#27589;&#28304;/&#24037;&#31243;&#37327;&#35745;&#31639;&#24335;/&#24037;&#31243;&#37327;&#35745;&#31639;(&#27169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/GMCC_CWK/DATA/MJ/GSM_XLS/HBBZB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6631;&#24213;/&#20016;&#30000;/&#22303;&#24314;&#24037;&#31243;&#37327;&#35745;&#31639;&#24335;&#21464;&#21387;&#22120;&#25151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Documents%20and%20Settings/MQGS-tbb-fhh/&#26700;&#38754;/&#25104;&#26412;&#21450;&#21547;&#37327;&#35745;&#31639;&#34920;&#26684;&#65288;&#27169;&#26495;&#65289;-201408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4037;&#31243;&#25991;&#20214;/4&#26376;&#20197;&#21069;/&#24037;&#31243;&#37327;&#35745;&#31639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1335;&#26124;/2&#12289;&#25307;&#26631;&#37319;&#36141;/20160917J15&#38376;&#31383;&#26639;&#26438;&#30334;&#21494;/Users/lenovo/Desktop/&#26494;&#19979;&#30427;&#19968;&#36130;&#21153;&#36164;&#26009;/2007&#24180;/&#19975;&#31185;&#25112;&#30053;&#24615;&#21512;&#20316;&#35745;&#30011;/&#28145;&#22323;/&#28145;&#22323;&#31532;&#20116;&#22253;/2007&#24180;12&#26376;28&#26085;/&#19975;&#31185;/&#31532;5&#22290;&#39044;&#31639;&#31995;&#32479;2007-12-24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/&#21335;&#26124;/2&#12289;&#25307;&#26631;&#37319;&#36141;/20160917J15&#38376;&#31383;&#26639;&#26438;&#30334;&#21494;/&#24037;&#20316;&#25991;&#20214;&#22841;/&#26361;&#21018;&#25991;&#20214;/&#30334;&#29790;&#26223;2&#26399;/&#30334;&#29790;&#26223;&#38376;&#31383;&#25307;&#26631;/hxm/&#20029;&#27700;&#20339;&#22253;&#19977;&#26399;&#22810;&#23618;&#20303;&#23429;&#24037;&#31243;&#37327;&#28165;&#21333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1#2#&#24149;&#22681;&#28165;&#21333;%20-%204.25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&#26143;&#28023;&#38376;&#31383;%20&#25253;&#20215;%20-%20&#26631;&#20934;&#23618;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/Library/Containers/com.tencent.xinWeChat/Data/Documents/xwechat_files/wujinqiao123_4886/cache/2026-04/Handoff/43/&#22612;&#27004;&#25104;&#26412;&#27979;&#31639;-4-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卫生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排水沟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建筑面积"/>
      <sheetName val="封面2"/>
      <sheetName val="清单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柱"/>
      <sheetName val="梁"/>
      <sheetName val="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#REF"/>
      <sheetName val="工程量"/>
      <sheetName val="Sheet1"/>
      <sheetName val="变量单"/>
      <sheetName val="XLR_NoRangeSheet"/>
      <sheetName val="3"/>
      <sheetName val="8"/>
      <sheetName val="2"/>
      <sheetName val="5"/>
      <sheetName val="6"/>
      <sheetName val="面积合计（藏）"/>
      <sheetName val="7"/>
      <sheetName val="4"/>
      <sheetName val="投标材料清单 "/>
      <sheetName val="1"/>
      <sheetName val="A"/>
      <sheetName val="单价表"/>
      <sheetName val="TOSHIBA-Structure"/>
      <sheetName val="Rate"/>
      <sheetName val="主材价格"/>
      <sheetName val="材料"/>
      <sheetName val="内围地梁钢筋说明"/>
      <sheetName val="Open"/>
      <sheetName val="改加胶玻璃、室外栏杆"/>
      <sheetName val="General"/>
      <sheetName val="材料价格表(立面）"/>
      <sheetName val="21"/>
      <sheetName val="单价报价明细表"/>
      <sheetName val="装饰汇总"/>
      <sheetName val="材料单价表"/>
      <sheetName val="1#量统计"/>
      <sheetName val="含量"/>
      <sheetName val="材料单价"/>
      <sheetName val="单价"/>
      <sheetName val="费率表"/>
      <sheetName val="Main"/>
      <sheetName val="费率及线密度"/>
      <sheetName val="买卖项目工程量清单"/>
      <sheetName val="场ര혁_x000c_"/>
      <sheetName val=""/>
      <sheetName val="墙面工程"/>
      <sheetName val="石材购买量统计"/>
      <sheetName val="承台(砖模) "/>
      <sheetName val="建筑面积 "/>
      <sheetName val="综合单价分析表"/>
      <sheetName val="设置"/>
      <sheetName val="单价分析过程"/>
      <sheetName val="主要材料价格表 (2)"/>
      <sheetName val="Hoja1"/>
      <sheetName val="做法表"/>
      <sheetName val="slipsumpR"/>
      <sheetName val="一次汇总"/>
      <sheetName val="清单汇总"/>
      <sheetName val="POWER ASSUMPTIONS"/>
      <sheetName val="Elem Cost"/>
      <sheetName val="SW-TEO"/>
      <sheetName val="其它项目清单（10）"/>
      <sheetName val="场ര혁_x005f_x000c_"/>
      <sheetName val="List price"/>
      <sheetName val="汇总表"/>
      <sheetName val="第一部分定价"/>
      <sheetName val="19#楼(作废)"/>
      <sheetName val="场ര혁_x005f_x005f_x005f_x000c_"/>
      <sheetName val="Toolbox"/>
      <sheetName val="PriceSummary"/>
      <sheetName val="单价构成"/>
      <sheetName val="eqpmad2"/>
      <sheetName val="场ര혁_x005f_x005f_x005f_x005f_x005f_x005f_x005f_x000c_"/>
      <sheetName val="基本资料"/>
      <sheetName val="三家其他应付公司"/>
      <sheetName val="场ര혁_x005f_x005f_x005f_x005f_x005f_x005f_x005f_x005f_x00"/>
      <sheetName val="KDB"/>
      <sheetName val="裙房"/>
      <sheetName val="明细表"/>
      <sheetName val="E_Summary"/>
      <sheetName val="D_Cntnts"/>
      <sheetName val="工程量样表2"/>
      <sheetName val="Bill-2.1（1）"/>
      <sheetName val="1."/>
      <sheetName val="外気負荷"/>
      <sheetName val="Financ. Overview"/>
      <sheetName val="5期B栋会所装饰精装修"/>
      <sheetName val="型材线密度表"/>
      <sheetName val="单位库"/>
      <sheetName val="施工参考单价报价表"/>
      <sheetName val="其它工作项目报价清单"/>
      <sheetName val="甲指乙供材料报价表"/>
      <sheetName val="土建工程综合单价表"/>
      <sheetName val="土建工程综合单价组价明细表"/>
      <sheetName val="板房区目标成本"/>
      <sheetName val="场ര혁_x005f_x005f_x005f_x005f_x00"/>
      <sheetName val="清单1-裙楼Ea"/>
      <sheetName val="葛安民(设计员)"/>
      <sheetName val="报价总表"/>
      <sheetName val="中大+广外汇总3.3"/>
      <sheetName val="动物实验中心3.1"/>
      <sheetName val="南实验楼"/>
      <sheetName val="生命科学大楼"/>
      <sheetName val="行政会议中心"/>
      <sheetName val="微纳尺度实验大楼"/>
      <sheetName val="南学院楼 "/>
      <sheetName val="公厕等其它工程"/>
      <sheetName val="公寓6-A（J-18A）"/>
      <sheetName val="公寓6-B（J-18B"/>
      <sheetName val="公寓1-4栋（J-28"/>
      <sheetName val="公寓5栋（J-29）"/>
      <sheetName val="公寓6栋（J-30）"/>
      <sheetName val="公寓7栋（J-31）"/>
      <sheetName val="公寓8栋（J-32）"/>
      <sheetName val="公寓9栋（J-33）"/>
      <sheetName val="公寓10栋（J-34）"/>
      <sheetName val="垃圾收集站等其它工程"/>
      <sheetName val="广外地下停车场"/>
      <sheetName val="广外游泳池"/>
      <sheetName val="广外门楼"/>
      <sheetName val="广外其它工程"/>
      <sheetName val="工程量清单报价汇总表"/>
      <sheetName val="标段综合合价部分3.5"/>
      <sheetName val="机电标段汇总表3.4"/>
      <sheetName val="机电广外地下停车场表三.2"/>
      <sheetName val="机电研究生公寓J30栋表三.2"/>
      <sheetName val="机电微纳尺度材料国家实验大楼表三.2"/>
      <sheetName val="机电中大生活区其它项目表三.2"/>
      <sheetName val="机电广外游泳池及附属用房表三.2"/>
      <sheetName val="机电广外其他项目表三.2"/>
      <sheetName val="机电中大教学区其它项目表三.2"/>
      <sheetName val="机电广外校门表三.2"/>
      <sheetName val="机电本科生公寓J18B栋表三.2"/>
      <sheetName val="机电研究生公寓J28栋表三.2"/>
      <sheetName val="机电研究生公寓J31栋表三.2"/>
      <sheetName val="机电生命科学实验楼表三.2"/>
      <sheetName val="机电动物实验中心表三.2"/>
      <sheetName val="机电本科生公寓J18A栋表三.2"/>
      <sheetName val="机电研究生公寓J33栋表三.2"/>
      <sheetName val="机电研究生公寓J34栋表三.2"/>
      <sheetName val="机电研究生公寓J32栋表三.2"/>
      <sheetName val="机电研究生公寓J29栋表三.2"/>
      <sheetName val="机电南实验楼表三.2"/>
      <sheetName val="机电南学院楼二期表三.2"/>
      <sheetName val="机电行政会议中心表3.2"/>
      <sheetName val="总包服务管理协调配合费4"/>
      <sheetName val="工程预留金5"/>
      <sheetName val="中山+广外主材表6.1"/>
      <sheetName val="甲招乙供材料表6.2"/>
      <sheetName val="机电暂定材料价表6.3"/>
      <sheetName val="机电主材换算表7.1"/>
      <sheetName val="机电安装费换算表7.2"/>
      <sheetName val="综合单价分析表8.1"/>
      <sheetName val="综合合价分析表8.2"/>
      <sheetName val="机电单价分析表1"/>
      <sheetName val="机电表2"/>
      <sheetName val="机电表3"/>
      <sheetName val="机电4"/>
      <sheetName val="机电5"/>
      <sheetName val="机电表6"/>
      <sheetName val="机电表7"/>
      <sheetName val="机电表8"/>
      <sheetName val="机电表9"/>
      <sheetName val="机电表10"/>
      <sheetName val="机电表11"/>
      <sheetName val="机电甲供设备材料表"/>
      <sheetName val="机电设备材料选用表"/>
      <sheetName val="附件2工程量计算"/>
      <sheetName val="BY08(5)19"/>
      <sheetName val="BY08(5)24"/>
      <sheetName val="BY0918"/>
      <sheetName val="BY0919"/>
      <sheetName val="BY10(5)22"/>
      <sheetName val="BY1319"/>
      <sheetName val="BY1319-"/>
      <sheetName val="XBY1419"/>
      <sheetName val="BY1219"/>
      <sheetName val="CL (2)"/>
      <sheetName val="型材线重表 (洋房）"/>
      <sheetName val="BY10109"/>
      <sheetName val="BY1021"/>
      <sheetName val="BY1029"/>
      <sheetName val="BY1079"/>
      <sheetName val="BY11115"/>
      <sheetName val="BY1125"/>
      <sheetName val="BY1129"/>
      <sheetName val="BY12109"/>
      <sheetName val="BY1229"/>
      <sheetName val="BY1249"/>
      <sheetName val="BY1279"/>
      <sheetName val="BY1050"/>
      <sheetName val="XS"/>
      <sheetName val="型材线重表 (商业）"/>
      <sheetName val="QF (2)"/>
      <sheetName val="DTM1435"/>
      <sheetName val="MLC1929"/>
      <sheetName val="DTM1437"/>
      <sheetName val="DTM1530"/>
      <sheetName val="DTM1525"/>
      <sheetName val="DTM1832"/>
      <sheetName val="DTM3032a"/>
      <sheetName val="DTM3335a"/>
      <sheetName val="DTM3029a"/>
      <sheetName val="MLC2330"/>
      <sheetName val="MLC2335"/>
      <sheetName val="MLC2429"/>
      <sheetName val="MLC2735"/>
      <sheetName val="MLC2637"/>
      <sheetName val="MLC2837"/>
      <sheetName val="MLC2629"/>
      <sheetName val="MLC2829"/>
      <sheetName val="MLC4135"/>
      <sheetName val="MLC3835"/>
      <sheetName val="MLC4035"/>
      <sheetName val="MLC4235"/>
      <sheetName val="MLC4335"/>
      <sheetName val="MLC4232"/>
      <sheetName val="MLC46(5)37-"/>
      <sheetName val="MLC4037"/>
      <sheetName val="MLC4430"/>
      <sheetName val="MLC4630"/>
      <sheetName val="MLC4730"/>
      <sheetName val="MLC3930"/>
      <sheetName val="MLC4230"/>
      <sheetName val="MLC4029"/>
      <sheetName val="MLC4830"/>
      <sheetName val="MLC9730"/>
      <sheetName val="MLC4830a"/>
      <sheetName val="MLC5430a"/>
      <sheetName val="MLC2832"/>
      <sheetName val="MLC3032"/>
      <sheetName val="MLC3335"/>
      <sheetName val="MLC34(5)24"/>
      <sheetName val="MLC3025"/>
      <sheetName val="MLC3325"/>
      <sheetName val="MLC4327"/>
      <sheetName val="MLC2824"/>
      <sheetName val="MLC3624"/>
      <sheetName val="MLC3132"/>
      <sheetName val="MLC3029"/>
      <sheetName val="MLC3129"/>
      <sheetName val="MLC3532"/>
      <sheetName val="MLC3629"/>
      <sheetName val="MLC3333"/>
      <sheetName val="MLC3533"/>
      <sheetName val="MLC3637"/>
      <sheetName val="MLC3137"/>
      <sheetName val="MLC3233"/>
      <sheetName val="MLC2828-"/>
      <sheetName val="MLC3228"/>
      <sheetName val="MLC3328-"/>
      <sheetName val="MLC3035"/>
      <sheetName val="MLC3135"/>
      <sheetName val="MLC3535a"/>
      <sheetName val="MLC3835a"/>
      <sheetName val="MLC3932a"/>
      <sheetName val="MLC4031a"/>
      <sheetName val="MLC4024a"/>
      <sheetName val="MLC4224a"/>
      <sheetName val="MLC4228a"/>
      <sheetName val="MLC4234a"/>
      <sheetName val="MLC3935a"/>
      <sheetName val="MLC3631a"/>
      <sheetName val="MLC4032a"/>
      <sheetName val="MLC4135a"/>
      <sheetName val="DTM3029a-"/>
      <sheetName val="MLC3330a"/>
      <sheetName val="MLC3830"/>
      <sheetName val="MLC3030"/>
      <sheetName val="MLC3330"/>
      <sheetName val="MLC3028"/>
      <sheetName val="MLC3328"/>
      <sheetName val="型材线重表 (高层）"/>
      <sheetName val="電気設備表"/>
      <sheetName val="计算式"/>
      <sheetName val="计算式2"/>
      <sheetName val="6、7座周边"/>
      <sheetName val="楼梯"/>
      <sheetName val="场ര혁_x005f_x005f_x00"/>
      <sheetName val="计算稿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窗帘盒"/>
      <sheetName val="G.1R-Shou COP Gf"/>
      <sheetName val="管桩"/>
      <sheetName val="管桩 (结算)"/>
      <sheetName val="承台"/>
      <sheetName val="底板"/>
      <sheetName val="陶粒砼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3.4.5号楼裙楼2层雨棚"/>
      <sheetName val="3.4.5号楼裙楼3层雨棚 (2)"/>
      <sheetName val="铝板统计"/>
      <sheetName val="总工程量计算"/>
      <sheetName val="场ര혁_x00"/>
      <sheetName val="금융비용"/>
      <sheetName val="집계표"/>
      <sheetName val="土方"/>
      <sheetName val="钢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常用项目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Sheet1"/>
      <sheetName val="暗渠以西人防地库（暂定）"/>
      <sheetName val="1 开办费汇总"/>
      <sheetName val="应供量清单"/>
      <sheetName val="資料庫"/>
      <sheetName val="Sheet4"/>
      <sheetName val="#REF!"/>
      <sheetName val="合格证 (2)"/>
      <sheetName val="明細表"/>
      <sheetName val="编制说明"/>
      <sheetName val="预算200326"/>
      <sheetName val="21"/>
      <sheetName val="BQ2-住宅部分"/>
      <sheetName val="BQ2-商业街部分"/>
      <sheetName val="POWER ASSUMPTIONS"/>
      <sheetName val="3"/>
      <sheetName val="8"/>
      <sheetName val="Wl. Fin."/>
      <sheetName val="型材表"/>
      <sheetName val="材料单价表"/>
      <sheetName val="XLR_NoRangeSheet"/>
      <sheetName val="BQ2.10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Toolbox"/>
      <sheetName val="Main"/>
      <sheetName val="GS"/>
      <sheetName val="中海城三期（01A及01E小学）"/>
      <sheetName val="中海城四期（02C）"/>
      <sheetName val="地连墙"/>
      <sheetName val="Open"/>
      <sheetName val="汇总表"/>
      <sheetName val="配置表"/>
      <sheetName val="主要项目单价分析表 "/>
      <sheetName val="电线"/>
      <sheetName val="电缆"/>
      <sheetName val="Financ. Overview"/>
      <sheetName val="eqpmad2"/>
      <sheetName val="磨具余料庫"/>
      <sheetName val="7"/>
      <sheetName val="投标材料清单 "/>
      <sheetName val="S1单价表"/>
      <sheetName val="일반공사"/>
      <sheetName val="2012-9科目余额表 (6)"/>
      <sheetName val="科目余额表 (5)"/>
      <sheetName val="工料测量师报告"/>
      <sheetName val="7.1APP3"/>
      <sheetName val="1"/>
      <sheetName val="G2TempSheet"/>
      <sheetName val="2.1设计部"/>
      <sheetName val="银行账户"/>
      <sheetName val="面积表"/>
      <sheetName val="单位"/>
      <sheetName val="SW-TEO"/>
      <sheetName val="G1102地块一区（省一建） "/>
      <sheetName val="二号清单"/>
      <sheetName val="工程量"/>
      <sheetName val="清单"/>
      <sheetName val="1."/>
      <sheetName val="内围地梁钢筋说明"/>
      <sheetName val="材料"/>
      <sheetName val="月报表"/>
      <sheetName val="Hic_150EOffice"/>
      <sheetName val="4、综合单价分析表"/>
      <sheetName val="材料价格"/>
      <sheetName val="工程量A"/>
      <sheetName val="单价报价明细表"/>
      <sheetName val="报价明细表"/>
      <sheetName val="一层·C区"/>
      <sheetName val="单位库"/>
      <sheetName val="CD"/>
      <sheetName val="貨品科目"/>
      <sheetName val="2"/>
      <sheetName val="6"/>
      <sheetName val="面积合计（藏）"/>
      <sheetName val="4"/>
      <sheetName val="5"/>
      <sheetName val="计算表"/>
      <sheetName val="03定额库"/>
      <sheetName val="94定额库"/>
      <sheetName val="封面"/>
      <sheetName val="清单库"/>
      <sheetName val="单价分析表格式"/>
      <sheetName val="1#"/>
      <sheetName val="BQ4.1.1至4.1.4"/>
      <sheetName val="雨棚"/>
      <sheetName val="电视监控"/>
      <sheetName val="BQ3-1"/>
      <sheetName val="BQ5.3-1"/>
      <sheetName val="投标价目总计"/>
      <sheetName val="开办费"/>
      <sheetName val="BQ2.1~基础工程及土方工程清单"/>
      <sheetName val="BQ2.2~GDG9#网点土方清单"/>
      <sheetName val="BQ3.1.1~地下室1土建清单"/>
      <sheetName val="BQ3.1.2~地下室1机电清单"/>
      <sheetName val="BQ4.1.1~GDG9#土建清单"/>
      <sheetName val="BQ4.1.2~GDG9#机电清单"/>
      <sheetName val="BQ5.1.1~GD6#土建清单"/>
      <sheetName val="BQ5.1.2~GD6#机电清单"/>
      <sheetName val="BQ5.2.1~GD7+GDG8#土建清单"/>
      <sheetName val="BQ5.2.2~GD7+GDG8#机电清单"/>
      <sheetName val="BQ5.3.1~GD8+GDG10#土建清单"/>
      <sheetName val="BQ5.3.2~GD8+GDG10#机电清单"/>
      <sheetName val="BQ5.4.1~GD9#土建清单 "/>
      <sheetName val="BQ5.4.2~GD9#机电清单"/>
      <sheetName val="00000ppy"/>
      <sheetName val="Data"/>
      <sheetName val="计算稿-3#楼"/>
      <sheetName val="三号清单之电气工程综合单价分析"/>
      <sheetName val="三号清单之给排水工程综合单价分析"/>
      <sheetName val="B1-1清单外装修"/>
      <sheetName val="XL4Poppy"/>
      <sheetName val="Mp-team 1"/>
      <sheetName val="土建地上商业部分"/>
      <sheetName val="柱"/>
      <sheetName val="费率表"/>
      <sheetName val="A"/>
      <sheetName val="单价表"/>
      <sheetName val="14.桥架"/>
      <sheetName val="before"/>
      <sheetName val="G.1R-Shou COP Gf"/>
      <sheetName val="改加胶玻璃、室外栏杆"/>
      <sheetName val="T(B)Summary"/>
      <sheetName val="EXRATE"/>
      <sheetName val="BQ"/>
      <sheetName val="机房工程B"/>
      <sheetName val="企业格式单价分析表"/>
      <sheetName val="Bill-2.1（1）"/>
      <sheetName val="sn"/>
      <sheetName val="RA-markate"/>
      <sheetName val="Setting"/>
      <sheetName val="总量统计"/>
      <sheetName val="10"/>
      <sheetName val="节点（12-2立面）"/>
      <sheetName val="附件二"/>
      <sheetName val="rebrand"/>
      <sheetName val="下拉菜单"/>
      <sheetName val="dw list"/>
      <sheetName val="KDB"/>
      <sheetName val="A翼写字楼"/>
      <sheetName val="S-Hotel"/>
      <sheetName val="SR6SUM"/>
      <sheetName val="基本资料"/>
      <sheetName val="清单汇总"/>
      <sheetName val="基 础"/>
      <sheetName val="数据"/>
      <sheetName val="JOA首頁"/>
      <sheetName val="第二章 - 可视对讲系统"/>
      <sheetName val="推拉"/>
      <sheetName val="目录"/>
      <sheetName val="Sheet1 (11)"/>
      <sheetName val="MOTOR"/>
      <sheetName val="S"/>
      <sheetName val="ID"/>
      <sheetName val="M&amp;E"/>
      <sheetName val="FS"/>
      <sheetName val="M-Par"/>
      <sheetName val="Col"/>
      <sheetName val="Wall(int)"/>
      <sheetName val="Wall(ext) "/>
      <sheetName val="Reinf"/>
      <sheetName val="Summary of Cost"/>
      <sheetName val="材料表"/>
      <sheetName val="G单价分析"/>
      <sheetName val="H单价分析"/>
      <sheetName val="N单价分析 "/>
      <sheetName val="C单价分析 "/>
      <sheetName val="一层电梯厅单价分析"/>
      <sheetName val="二层电梯厅单价分析"/>
      <sheetName val="参数"/>
      <sheetName val="Data Sheet"/>
      <sheetName val="A3地块围护结构"/>
      <sheetName val="第一部分定价"/>
      <sheetName val="Combo"/>
      <sheetName val="取费系数"/>
      <sheetName val="92#"/>
      <sheetName val="总价"/>
      <sheetName val="单价分析过程"/>
      <sheetName val="主要材料价格表 (2)"/>
      <sheetName val="土建工程综合单价表"/>
      <sheetName val="土建工程综合单价组价明细表"/>
      <sheetName val="KKKKKKKK"/>
      <sheetName val="电气设置"/>
      <sheetName val="电气计算"/>
      <sheetName val="设计部"/>
      <sheetName val="Fly Sheets"/>
      <sheetName val="MC"/>
      <sheetName val="7#强电"/>
      <sheetName val="点表"/>
      <sheetName val="工程计算书"/>
      <sheetName val="ben"/>
      <sheetName val="材料名称标准表"/>
      <sheetName val="建筑面积 "/>
      <sheetName val="Fee Rate Summary"/>
      <sheetName val="D0026B3"/>
      <sheetName val="架空层绿化回填土计算表"/>
      <sheetName val="架空层消防路回填土计算表"/>
      <sheetName val="一层板"/>
      <sheetName val="底板梁"/>
      <sheetName val="报价细目表"/>
      <sheetName val="G2C2"/>
      <sheetName val="工程清单"/>
      <sheetName val="主材表"/>
      <sheetName val="材料损耗(不打印)"/>
      <sheetName val="index"/>
      <sheetName val="附表02.管材管件"/>
      <sheetName val="五金（华建+坚朗）"/>
      <sheetName val="材料表-王瑜"/>
      <sheetName val="Estimate Details"/>
      <sheetName val="基础项目"/>
      <sheetName val="塔楼主体"/>
      <sheetName val="开办费项目"/>
      <sheetName val="定额"/>
      <sheetName val="配合比"/>
      <sheetName val="封"/>
      <sheetName val="做法表"/>
      <sheetName val="模板参数"/>
      <sheetName val="送电装材统计"/>
      <sheetName val="T1T2T3T4门窗表"/>
      <sheetName val="墙面工程"/>
      <sheetName val="工程量清单计价表-塔楼-03"/>
      <sheetName val="Aging Datasheet"/>
      <sheetName val="ECCS_1 DataSheet"/>
      <sheetName val="KPI Datasheet"/>
      <sheetName val="甲指乙供材料报价表"/>
      <sheetName val="P1012001"/>
      <sheetName val="8、主材品牌表 "/>
      <sheetName val="BQ2.2"/>
      <sheetName val="BQ2.1"/>
      <sheetName val="PUR资料库"/>
      <sheetName val="表3"/>
      <sheetName val="材料库"/>
      <sheetName val="工程量计算式"/>
      <sheetName val="125户型样板房"/>
      <sheetName val="工程材料"/>
      <sheetName val="工程量计算"/>
      <sheetName val="BQ9 地下室（城市广场）(2)"/>
      <sheetName val="按新系统"/>
      <sheetName val="1#量统计"/>
      <sheetName val="1-2A"/>
      <sheetName val="sheet2"/>
      <sheetName val="室内汇总"/>
      <sheetName val="名称"/>
      <sheetName val="单价分析表"/>
      <sheetName val="分部分项清单(模板)"/>
      <sheetName val="15-1-A户型"/>
      <sheetName val="材料汇总"/>
      <sheetName val="土建直接费"/>
      <sheetName val="单价分析"/>
      <sheetName val="安装综合单价分析表"/>
      <sheetName val="slipsumpR"/>
      <sheetName val="@cover"/>
      <sheetName val="综合单价分析表-详细"/>
      <sheetName val="变量单"/>
      <sheetName val="材料单价"/>
      <sheetName val="Contents"/>
      <sheetName val="成本多栏明细账"/>
      <sheetName val="甲"/>
      <sheetName val="電気設備表"/>
      <sheetName val="含量"/>
      <sheetName val="销售"/>
      <sheetName val="CFA"/>
      <sheetName val=""/>
      <sheetName val="3.1"/>
      <sheetName val="C"/>
      <sheetName val="基本参数表"/>
      <sheetName val="一号清单－措施费（高层+叠拼+地下室）"/>
      <sheetName val="二号清单—协调服务费"/>
      <sheetName val="资料库"/>
      <sheetName val="ANL"/>
      <sheetName val="计算表2"/>
      <sheetName val="基础工程量估算"/>
      <sheetName val="汇总"/>
      <sheetName val="301-6"/>
      <sheetName val="门窗表"/>
      <sheetName val="总措施项目"/>
      <sheetName val="给排水工程综合单价分析"/>
      <sheetName val="BQ2"/>
      <sheetName val="Bill 3"/>
      <sheetName val="招标补充说明2017.6.3"/>
      <sheetName val="Criteria"/>
      <sheetName val="柱计算"/>
      <sheetName val="裙房"/>
      <sheetName val="明细表"/>
      <sheetName val="含量 "/>
      <sheetName val="eva"/>
      <sheetName val="Basis"/>
      <sheetName val="承台(砖模) "/>
      <sheetName val="乙供材料设备表"/>
      <sheetName val="系数516"/>
      <sheetName val="2.1收益测算及指标(均摊)"/>
      <sheetName val="e"/>
      <sheetName val="成本预测"/>
      <sheetName val="成本结转表"/>
      <sheetName val="措施费测算"/>
      <sheetName val="dm"/>
      <sheetName val="Sum"/>
      <sheetName val="辅助表"/>
      <sheetName val="Summary T(A)"/>
      <sheetName val="6号地给排水"/>
      <sheetName val="施工参考单价报价表"/>
      <sheetName val="其它工作项目报价清单"/>
      <sheetName val="uint"/>
      <sheetName val="零星钢筋工程"/>
      <sheetName val="防水工程"/>
      <sheetName val="找平及抹灰"/>
      <sheetName val="砌体、抹灰工程"/>
      <sheetName val="_______"/>
      <sheetName val="核算项目余额表"/>
      <sheetName val="土方"/>
      <sheetName val="铁塔材料明细"/>
      <sheetName val="混凝土杆材料"/>
      <sheetName val="单位工程2"/>
      <sheetName val="土石方计算(2)"/>
      <sheetName val="数据汇总"/>
      <sheetName val="计算稿 (3)"/>
      <sheetName val="电气工程综合单价分析"/>
      <sheetName val="2006年10月"/>
      <sheetName val="单价"/>
      <sheetName val="快速代码 "/>
      <sheetName val="五号清单塔楼地上强电工程"/>
      <sheetName val="5201.2004"/>
      <sheetName val="索引"/>
      <sheetName val="Bill 5 - Carpark"/>
      <sheetName val="10.Linkway"/>
      <sheetName val="11.Bus Shelter-Bay"/>
      <sheetName val="KG-LS"/>
      <sheetName val="B1.2SUM"/>
      <sheetName val="B1.3SUM"/>
      <sheetName val="B1SUM"/>
      <sheetName val="装修材料费"/>
      <sheetName val="Arch"/>
      <sheetName val="弱电"/>
      <sheetName val="强电过路砼保护管 "/>
      <sheetName val="开发成本(PUD)"/>
      <sheetName val="开发产品变动表(Compelted units)"/>
      <sheetName val="JCT80"/>
      <sheetName val="2008实际(每月)"/>
      <sheetName val="2008实际(截至)"/>
      <sheetName val="2008予算(每月)"/>
      <sheetName val="2008予算(截至)"/>
      <sheetName val="目錄"/>
      <sheetName val="SkLabVariable"/>
      <sheetName val="11"/>
      <sheetName val="Pick List"/>
      <sheetName val="地梁"/>
      <sheetName val="B1.1SUM"/>
      <sheetName val="BQMP"/>
      <sheetName val="BQMPALOC"/>
      <sheetName val="A-summary"/>
      <sheetName val="8.2-EX Summary"/>
      <sheetName val="计算稿"/>
      <sheetName val="国产"/>
      <sheetName val="II-2 "/>
      <sheetName val="Z8"/>
      <sheetName val="Z2"/>
      <sheetName val="Z1"/>
      <sheetName val="设置"/>
      <sheetName val="费率及线密度"/>
      <sheetName val="1320CT"/>
      <sheetName val="钢筋费用细目"/>
      <sheetName val="REIN_HSE"/>
      <sheetName val="施工开办费"/>
      <sheetName val="开办费表"/>
      <sheetName val="Configuration"/>
      <sheetName val="8.2施工电梯租赁"/>
      <sheetName val="展示中心通风系统"/>
      <sheetName val="公共应急广播"/>
      <sheetName val="消防"/>
      <sheetName val="ZB"/>
      <sheetName val="面积指标"/>
      <sheetName val="HW-SW Support"/>
      <sheetName val="Alcatel Final RFQ"/>
      <sheetName val="Input Item Qties"/>
      <sheetName val="HP"/>
      <sheetName val="NE"/>
      <sheetName val="SUN"/>
      <sheetName val="SW"/>
      <sheetName val="Quick Input1"/>
      <sheetName val="Cost Plan -2"/>
      <sheetName val="1.投标总价排名对比表"/>
      <sheetName val="工程量分析表"/>
      <sheetName val="Validation source"/>
      <sheetName val="开关价"/>
      <sheetName val="0707版价格表"/>
      <sheetName val="综合单价分析表-高层"/>
      <sheetName val="报价单"/>
      <sheetName val="多媒体查询"/>
      <sheetName val="中心机房"/>
      <sheetName val="会议"/>
      <sheetName val="停车场"/>
      <sheetName val="BA"/>
      <sheetName val="物业"/>
      <sheetName val="移动通信"/>
      <sheetName val="防雷接地"/>
      <sheetName val="乙供材料表"/>
      <sheetName val="MOHKG"/>
      <sheetName val="Content"/>
      <sheetName val="gsde06"/>
      <sheetName val="Ref"/>
      <sheetName val="CHECKLIST"/>
      <sheetName val="WP-Matrix"/>
      <sheetName val="E_Summary"/>
      <sheetName val="D_Cntnts"/>
      <sheetName val="2号-土建"/>
      <sheetName val="计算公式"/>
      <sheetName val="장비당단가 (1)"/>
      <sheetName val="一次汇总"/>
      <sheetName val="成本汇总"/>
      <sheetName val="1S"/>
      <sheetName val="2S"/>
      <sheetName val="3.1S"/>
      <sheetName val="3.2"/>
      <sheetName val="3.2S"/>
      <sheetName val="3.3"/>
      <sheetName val="3.3S"/>
      <sheetName val="3.4"/>
      <sheetName val="3.4S"/>
      <sheetName val="3.5"/>
      <sheetName val="3.5S"/>
      <sheetName val="3.6"/>
      <sheetName val="3.6S"/>
      <sheetName val="3S"/>
      <sheetName val="8S"/>
      <sheetName val="装饰"/>
      <sheetName val="框架结构清单"/>
      <sheetName val="三、酒店玻璃幕墙、金属幕墙"/>
      <sheetName val="20#-1"/>
      <sheetName val="下拉"/>
      <sheetName val="成本测算"/>
      <sheetName val="华房01"/>
      <sheetName val="健翔01"/>
      <sheetName val="京通01"/>
      <sheetName val="铝合金门窗类型分析报价表"/>
      <sheetName val="主材价格"/>
      <sheetName val="设计指标"/>
      <sheetName val="计算式"/>
      <sheetName val="预算"/>
      <sheetName val="投保项目"/>
      <sheetName val="表3.1增城土建工程综合单价组价明细表"/>
      <sheetName val="집계표"/>
      <sheetName val="4S"/>
      <sheetName val="cashflow-commercial"/>
      <sheetName val="ancillary"/>
      <sheetName val="企业表一"/>
      <sheetName val="村级支出"/>
      <sheetName val="四季花城城南地块户型面积"/>
      <sheetName val="A1、A2栏杆和百叶清单 "/>
      <sheetName val="dongia (2)"/>
      <sheetName val="型材计算表(50平开窗)"/>
      <sheetName val="AA小双拼（6栋）"/>
      <sheetName val="AB、BA小双拼（7栋） "/>
      <sheetName val="敏感参数"/>
      <sheetName val="测算依据"/>
      <sheetName val="东一一层方柱砼"/>
      <sheetName val="砂浆单价表"/>
      <sheetName val="A2-1A2-2幢"/>
      <sheetName val="A8独立基础 "/>
      <sheetName val="工作台帐"/>
      <sheetName val="A户型标准层大堂清单"/>
      <sheetName val="3.基础梁"/>
      <sheetName val="门窗及阳台栏杆"/>
      <sheetName val="单位表"/>
      <sheetName val="Takeoff"/>
      <sheetName val="PILE_CAP"/>
      <sheetName val="1#非桩基础_"/>
      <sheetName val="塔楼给排水清单_"/>
      <sheetName val="18#裙楼土建_"/>
      <sheetName val="18#非桩基础_"/>
      <sheetName val="1_开办费汇总"/>
      <sheetName val="合格证_(2)"/>
      <sheetName val="POWER_ASSUMPTIONS"/>
      <sheetName val="Wl__Fin_"/>
      <sheetName val="BQ2_10"/>
      <sheetName val="D1#地库汇总BQ3_1-SUM"/>
      <sheetName val="A6#小高层地上汇总BQ5_1-SUM"/>
      <sheetName val="A7#小高层地上汇总BQ6_1-SUM"/>
      <sheetName val="A11#高层地上汇总BQ7_1-SUM"/>
      <sheetName val="A12#小高层地上汇总BQ8_1-SUM"/>
      <sheetName val="A15#高层汇总BQ9_1-SUM"/>
      <sheetName val="A16#高层汇总BQ10_1-SUM_"/>
      <sheetName val="S1#裙楼地上汇总BQ4_1-SUM"/>
      <sheetName val="主要项目单价分析表_"/>
      <sheetName val="Financ__Overview"/>
      <sheetName val="PILE_CAP1"/>
      <sheetName val="1#非桩基础_1"/>
      <sheetName val="塔楼给排水清单_1"/>
      <sheetName val="18#裙楼土建_1"/>
      <sheetName val="18#非桩基础_1"/>
      <sheetName val="1_开办费汇总1"/>
      <sheetName val="合格证_(2)1"/>
      <sheetName val="POWER_ASSUMPTIONS1"/>
      <sheetName val="Wl__Fin_1"/>
      <sheetName val="BQ2_101"/>
      <sheetName val="D1#地库汇总BQ3_1-SUM1"/>
      <sheetName val="A6#小高层地上汇总BQ5_1-SUM1"/>
      <sheetName val="A7#小高层地上汇总BQ6_1-SUM1"/>
      <sheetName val="A11#高层地上汇总BQ7_1-SUM1"/>
      <sheetName val="A12#小高层地上汇总BQ8_1-SUM1"/>
      <sheetName val="A15#高层汇总BQ9_1-SUM1"/>
      <sheetName val="A16#高层汇总BQ10_1-SUM_1"/>
      <sheetName val="S1#裙楼地上汇总BQ4_1-SUM1"/>
      <sheetName val="主要项目单价分析表_1"/>
      <sheetName val="Financ__Overview1"/>
      <sheetName val="BB小双拼（3栋） "/>
      <sheetName val="型材计算表（幕墙）"/>
      <sheetName val="2#"/>
      <sheetName val="型材计算表(90推拉门)"/>
      <sheetName val="26#"/>
      <sheetName val="27、28、29#"/>
      <sheetName val="3#"/>
      <sheetName val="35#"/>
      <sheetName val="4#（商业）"/>
      <sheetName val="5#（商业）"/>
      <sheetName val="主要材料清单"/>
      <sheetName val="钢筋型号表"/>
      <sheetName val="财务费用"/>
      <sheetName val="收入与成本"/>
      <sheetName val="销售比率"/>
      <sheetName val="建築面積"/>
      <sheetName val="给排水工程清单项目库"/>
      <sheetName val="零料缴库"/>
      <sheetName val="A1、A2单价分析表"/>
      <sheetName val="A1门窗清单"/>
      <sheetName val="A20单价分析表"/>
      <sheetName val="A20栋清单"/>
      <sheetName val="A21、A22单价分析表"/>
      <sheetName val="A21、22栋清单"/>
      <sheetName val="A3-4单价分析表"/>
      <sheetName val="A3门窗清单"/>
      <sheetName val="A4门窗清单"/>
      <sheetName val="B1、B2、B4-B7栋清单"/>
      <sheetName val="B1、B2、B4-B7单价分析表"/>
      <sheetName val="B1幕墙价分析表"/>
      <sheetName val="B1幕墙"/>
      <sheetName val="B2幕墙价分析表"/>
      <sheetName val="B2幕墙"/>
      <sheetName val="B3单价分析表"/>
      <sheetName val="B3幕墙价分析表"/>
      <sheetName val="B3幕墙"/>
      <sheetName val="B3栋清单"/>
      <sheetName val="B4幕墙价分析表"/>
      <sheetName val="B4幕墙"/>
      <sheetName val="B5幕墙价分析表"/>
      <sheetName val="B5幕墙"/>
      <sheetName val="B6幕墙价分析表"/>
      <sheetName val="B6幕墙"/>
      <sheetName val="B7幕墙价分析表"/>
      <sheetName val="B7幕墙"/>
      <sheetName val="售楼部单价分析表"/>
      <sheetName val="售楼部"/>
      <sheetName val="小学单价分析表"/>
      <sheetName val="小学"/>
      <sheetName val="幼儿园单价分析表"/>
      <sheetName val="幼儿园"/>
      <sheetName val="_x005f_x005f_x005f_x0000__x005f_x005f_x005f_x0000__x005"/>
      <sheetName val="#REF"/>
      <sheetName val="금융비용"/>
      <sheetName val="Movement of Exchange reserve"/>
      <sheetName val="其他项目清单"/>
      <sheetName val="第三章 - 非人防地库土建工程"/>
      <sheetName val="计算书"/>
      <sheetName val="使用说明"/>
      <sheetName val="防水指标"/>
      <sheetName val="9#楼大堂（装饰）"/>
      <sheetName val="计算簿"/>
      <sheetName val="9"/>
      <sheetName val="指定名称"/>
      <sheetName val="SUMIF"/>
      <sheetName val="DATEDIF3"/>
      <sheetName val="多条件查找"/>
      <sheetName val="计算出现频率最高的数和文本"/>
      <sheetName val="COUNTIF3"/>
      <sheetName val="FREQUENCY"/>
      <sheetName val="WEEKDAY2"/>
      <sheetName val="VLOOKUP2"/>
      <sheetName val="用公式建立频率分布"/>
      <sheetName val="OFFSET2"/>
      <sheetName val="LARGE"/>
      <sheetName val="时间求和2"/>
      <sheetName val="SUMIF、COUNTIF"/>
      <sheetName val="区分大小写查找"/>
      <sheetName val="INDEX4"/>
      <sheetName val="VLOOKUP4"/>
      <sheetName val="销售数据统计"/>
      <sheetName val="创建交叉数据表"/>
      <sheetName val="CFG桩工程量计算"/>
      <sheetName val="P1封面"/>
      <sheetName val="   合同台账  "/>
      <sheetName val="辅材"/>
      <sheetName val="园建人工测算"/>
      <sheetName val="土建"/>
      <sheetName val="隔墙"/>
      <sheetName val="凤一"/>
      <sheetName val="变更"/>
      <sheetName val="日报_无证（扣除变更数）"/>
      <sheetName val="日报_有证（扣除变更数）"/>
      <sheetName val="挞定退房"/>
      <sheetName val="禁删"/>
      <sheetName val="Building Blocks"/>
      <sheetName val="INDIRECT2"/>
      <sheetName val="统计(新地勘优化)"/>
      <sheetName val="汇总表及手算计算格式 (2)"/>
      <sheetName val="中庭园建"/>
      <sheetName val="桩钢筋"/>
      <sheetName val="2000전체분"/>
      <sheetName val="2000년1차"/>
      <sheetName val="其他工程量"/>
      <sheetName val="铝合金型材单价分析表"/>
      <sheetName val="감리을"/>
      <sheetName val="SR.2.3"/>
      <sheetName val="零星"/>
      <sheetName val="accode"/>
      <sheetName val="1.招采计划"/>
      <sheetName val="$,基础数据"/>
      <sheetName val="coa"/>
      <sheetName val="毛坯及材料调差（附表1）"/>
      <sheetName val="6-洋房地上"/>
      <sheetName val="梁"/>
      <sheetName val="二号清单-联排别墅地下土建（14#）"/>
      <sheetName val="综合单价分析表-地库电气"/>
      <sheetName val="主要规划指标"/>
      <sheetName val="小院围墙劈开砖现场核量"/>
      <sheetName val="系数表"/>
      <sheetName val="90户型"/>
      <sheetName val="07水"/>
      <sheetName val="Ⅱ 2#楼（标准层电梯厅）"/>
      <sheetName val="ⅠB户型"/>
      <sheetName val="ⅠC户型"/>
      <sheetName val="成本对标表"/>
      <sheetName val="表2 扣减系数表"/>
      <sheetName val="单位工程汇总表"/>
      <sheetName val="工程量清单计价表"/>
      <sheetName val="Parameters"/>
      <sheetName val="至10月末全成本汇总表（动态）"/>
      <sheetName val="CCTL"/>
      <sheetName val="WIP"/>
      <sheetName val="高层地上部分建筑清单"/>
      <sheetName val="Assumption"/>
      <sheetName val="골조시행"/>
      <sheetName val="工程量计算书"/>
      <sheetName val="型材线密度表"/>
      <sheetName val="1#楼"/>
      <sheetName val="门油漆计算式～徐界鹏"/>
      <sheetName val="板房区目标成本"/>
      <sheetName val="人工基价"/>
      <sheetName val="5.3计算式 (天棚)"/>
      <sheetName val="计算明细 "/>
      <sheetName val="营销费用预算"/>
      <sheetName val="营销合约"/>
      <sheetName val="成本项目"/>
      <sheetName val="试算平衡表"/>
      <sheetName val="XBase"/>
      <sheetName val="高层地上"/>
      <sheetName val="110KV"/>
      <sheetName val="BQ2.1围护"/>
      <sheetName val="BQ2.2土下"/>
      <sheetName val="BQ3.1土上"/>
      <sheetName val="BQ3.2安上"/>
      <sheetName val="BQ4总包配合费"/>
      <sheetName val="BQ6甲指乙供"/>
      <sheetName val="BQ7甲限材料设备清单"/>
      <sheetName val="GS1汇总表"/>
      <sheetName val="GS1.1编制说明"/>
      <sheetName val="BQ1.1"/>
      <sheetName val="BQ2.3安下"/>
      <sheetName val="安全文明施工措施项目清单"/>
      <sheetName val="BQ5其他项目"/>
      <sheetName val="BQ8主要材料表"/>
      <sheetName val="BQ1.11"/>
      <sheetName val="BQ1.2"/>
      <sheetName val="费用表"/>
      <sheetName val="BQ7.1地下车库机电"/>
      <sheetName val="BQ7.4底商机电"/>
      <sheetName val="BQ7.3住宅地上机电"/>
      <sheetName val="BQ7.2住宅地下机电"/>
      <sheetName val="GS1.3二标段 "/>
      <sheetName val="BQ3.1【地下车库】  "/>
      <sheetName val="BQ6.1【裙房商业】"/>
      <sheetName val="BQ5.1【上部结构之高层】"/>
      <sheetName val="BQ4.1【住宅地下室】"/>
      <sheetName val="水电工程"/>
      <sheetName val="苗木工程量"/>
      <sheetName val="比率"/>
      <sheetName val="付款进度表"/>
      <sheetName val="科目列表"/>
      <sheetName val="无合同工程及销费"/>
      <sheetName val="JW3"/>
      <sheetName val="JW4"/>
      <sheetName val="JW5"/>
      <sheetName val="3-7#综合单价分析表"/>
      <sheetName val="2#综合单价分析表"/>
      <sheetName val="FXFZ"/>
      <sheetName val="清单表"/>
      <sheetName val="主材表-不打印"/>
      <sheetName val="高层单价分析表 "/>
      <sheetName val="审批单"/>
      <sheetName val="工程量汇总表"/>
      <sheetName val="地下室空调风系统"/>
      <sheetName val="宁波水制"/>
      <sheetName val="5期B栋会所装饰精装修"/>
      <sheetName val="Construction"/>
      <sheetName val="土地"/>
      <sheetName val="一区"/>
      <sheetName val="下拉框值"/>
      <sheetName val="HISTFORE"/>
      <sheetName val="NPV"/>
      <sheetName val="10月发生（手工）"/>
      <sheetName val="1.1销售参数"/>
      <sheetName val="092~094 园区道路"/>
      <sheetName val="武汉中央公园项目-2012-工程变更-0014"/>
      <sheetName val="9-经营收入"/>
      <sheetName val="基本参数"/>
      <sheetName val="成本估算"/>
      <sheetName val="四号清单 4.2 高层之机电工程"/>
      <sheetName val="渔业路手算稿15#"/>
      <sheetName val="NO.2 天地墙面维修"/>
      <sheetName val="LA-054-058 B4入户"/>
      <sheetName val="给排水设置"/>
      <sheetName val="教学区B区 "/>
      <sheetName val="教学区D区"/>
      <sheetName val="4-投标综合单价"/>
      <sheetName val="单价分析表 "/>
      <sheetName val="硬景部分（一标段）"/>
      <sheetName val="外墙装饰"/>
      <sheetName val="东方国兴方案二成本测算表"/>
      <sheetName val="人工费"/>
      <sheetName val="表1.2地下部分土建清单（非人防车库） "/>
      <sheetName val="表1.6地下部分安装清单(非人防车库）"/>
      <sheetName val="表1.5地下部分安装清单（人防车库）"/>
      <sheetName val="表1.1 地下部分土建清单（人防车库）"/>
      <sheetName val="表1.8地上商业安装清单"/>
      <sheetName val="表1.4 地上商业土建清单"/>
      <sheetName val="表1.7地上塔楼安装清单 "/>
      <sheetName val="表1.3 地上塔楼土建清单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D"/>
      <sheetName val="4#5#(T)不打印"/>
      <sheetName val="B1-03"/>
      <sheetName val="杂项钢筋"/>
      <sheetName val="问题"/>
      <sheetName val="0-1.目标控制表（3#地）"/>
      <sheetName val="0-3.目标控制表（4#地）"/>
      <sheetName val="1.成本预测明细表"/>
      <sheetName val="3.招标采购策划"/>
      <sheetName val="5-工程指令台账"/>
      <sheetName val="0.成本目标控制表"/>
      <sheetName val="4-合约成本变动统计表"/>
      <sheetName val="基础数据"/>
      <sheetName val="소각장스케줄"/>
      <sheetName val="税金月度计算"/>
      <sheetName val="经济指标"/>
      <sheetName val="商管现金流量表"/>
      <sheetName val="资源库"/>
      <sheetName val="通风设置"/>
      <sheetName val="基础资料（B）"/>
      <sheetName val="二级成本动态表"/>
      <sheetName val="顶板梁"/>
      <sheetName val="角码等"/>
      <sheetName val="平开门窗代号"/>
      <sheetName val="表5 取费表"/>
      <sheetName val="表二报价"/>
      <sheetName val="表4 五金配置表"/>
      <sheetName val="价格表"/>
      <sheetName val="计算表1"/>
      <sheetName val="50mm厚结构凹槽苯板填充"/>
      <sheetName val="ironmongery"/>
      <sheetName val="综合单价分析表"/>
      <sheetName val="铝合金"/>
      <sheetName val="商铺零星计算"/>
      <sheetName val="住户大堂"/>
      <sheetName val="索引用表"/>
      <sheetName val="정부노임단가"/>
      <sheetName val="SOR"/>
      <sheetName val="代号(线密度)藏"/>
      <sheetName val="含量表"/>
      <sheetName val="西塔项目工程名称 链接"/>
      <sheetName val="E系列"/>
      <sheetName val="BA-Pl"/>
      <sheetName val="GRSummary"/>
      <sheetName val="Modified Store"/>
      <sheetName val="1-销售订单"/>
      <sheetName val="Budget vs Projection (CCL)"/>
      <sheetName val="压缩厂房"/>
      <sheetName val="数据有效性"/>
      <sheetName val="Hotel"/>
      <sheetName val="B4零星"/>
      <sheetName val="Elem Cost"/>
      <sheetName val="115户型"/>
      <sheetName val="华府二期4-8#楼地上土建工程"/>
      <sheetName val="合约分判"/>
      <sheetName val="4.基础梁拉梁"/>
      <sheetName val="社区用房工程量清单"/>
      <sheetName val="定义构件"/>
      <sheetName val="屋面板通用"/>
      <sheetName val="砖墙通用"/>
      <sheetName val="计算表(通用)"/>
      <sheetName val="构造柱通用"/>
      <sheetName val="楼梯通用"/>
      <sheetName val="门窗表通用"/>
      <sheetName val="圈过梁通用"/>
      <sheetName val="J1-11-20基础梁非通用 "/>
      <sheetName val="+0.00以上柱通用"/>
      <sheetName val="其它"/>
      <sheetName val="清单编制、填表及报价说明 "/>
      <sheetName val="GS汇总表"/>
      <sheetName val="B1-基本要求费 "/>
      <sheetName val="B2.1 -塔楼门窗"/>
      <sheetName val="B2.2-塔楼百叶"/>
      <sheetName val="B2.3 -塔楼门窗五金配件 "/>
      <sheetName val="B2.4-塔楼格栅 "/>
      <sheetName val="B2.5-塔楼栏杆"/>
      <sheetName val="B2.6-选择性项目（百叶、栏杆预埋件）"/>
      <sheetName val="B3.1 -塔楼门窗"/>
      <sheetName val="B3.2-塔楼百叶 "/>
      <sheetName val="B3.3 -塔楼门窗五金配件"/>
      <sheetName val="B3.4-塔楼格栅  "/>
      <sheetName val="B3.5-塔楼栏杆 "/>
      <sheetName val="B3.6-选择性项目（百叶、栏杆预埋件）"/>
      <sheetName val="综合单价分析表(制作)"/>
      <sheetName val="综合单价分析表(安装)"/>
      <sheetName val="后浇带板"/>
      <sheetName val="建筑面积"/>
      <sheetName val="静压管桩"/>
      <sheetName val="楼地面天棚"/>
      <sheetName val="楼梯"/>
      <sheetName val="栏杆、零星"/>
      <sheetName val="零星构件（结构）"/>
      <sheetName val="墙面"/>
      <sheetName val="墙面粉刷"/>
      <sheetName val="屋面及露台"/>
      <sheetName val="有梁板屋面板"/>
      <sheetName val="斜屋面板"/>
      <sheetName val="有梁板板"/>
      <sheetName val="2-项目参数输入表"/>
      <sheetName val="SOR14"/>
      <sheetName val="八.单梁连续梁通用"/>
      <sheetName val="대비"/>
      <sheetName val="ORIGIN"/>
      <sheetName val="노임"/>
      <sheetName val="부대tu"/>
      <sheetName val="12#楼分部分项工程量清单"/>
      <sheetName val="NO1-开办费"/>
      <sheetName val="节点手算"/>
      <sheetName val="FUEL FILLER"/>
      <sheetName val="2#计算式"/>
      <sheetName val="3#计算式"/>
      <sheetName val="附4-1其他项目清单（土建）"/>
      <sheetName val="_x005f_x0000__x005f_x0000__x005f_x0000__x005f_x0000__x0"/>
      <sheetName val="投标书"/>
      <sheetName val="综合总计"/>
      <sheetName val="第一章-开办项目说明"/>
      <sheetName val="第一章-分部分项工程"/>
      <sheetName val="2015成本科目参考表"/>
      <sheetName val="2013成本科目参考表"/>
      <sheetName val="第四章-照管费清单 "/>
      <sheetName val="第二章-暂列金额清单"/>
      <sheetName val="第三章-计日工清单"/>
      <sheetName val="第五章-甲供及甲指乙供材料汇总表"/>
      <sheetName val="附表1-综合单价分析表（样表）"/>
      <sheetName val="取费"/>
      <sheetName val="计算底稿"/>
      <sheetName val="配电箱对应的回路"/>
      <sheetName val="给排水工程量计算书"/>
      <sheetName val="5S"/>
      <sheetName val="내역"/>
      <sheetName val="실행철강하도"/>
      <sheetName val="铝材"/>
      <sheetName val="건축내역"/>
      <sheetName val="计算通用表格 (2)"/>
      <sheetName val="结构计算底稿"/>
      <sheetName val="变更估算底稿"/>
      <sheetName val="BQ2.1铝窗（6-8#楼)"/>
      <sheetName val="首层-"/>
      <sheetName val="Bill3-六层-"/>
      <sheetName val="Bill-11.1-七层"/>
      <sheetName val="Bill-9零星工程量清单"/>
      <sheetName val="投标汇总表"/>
      <sheetName val="내역서"/>
      <sheetName val="标准层幕墙综合单价分析表"/>
      <sheetName val="전기일위대가"/>
      <sheetName val="일위대가"/>
      <sheetName val="03-底稿（不打印）"/>
      <sheetName val="计价表"/>
      <sheetName val="Zones"/>
      <sheetName val="评估结论"/>
      <sheetName val="4.1.1"/>
      <sheetName val="附件38-电动隔光帘系统测算"/>
      <sheetName val=" 附件2 包干合同造价汇总表 (按业态机电)"/>
      <sheetName val="全期规划指标"/>
      <sheetName val="附件12水表电表预留测算分摊"/>
      <sheetName val="附件29-防雷接地增加等电位"/>
      <sheetName val="Cashflow(Scenario)"/>
      <sheetName val="铝合金门窗"/>
      <sheetName val="门窗"/>
      <sheetName val="PL 2007"/>
      <sheetName val="PL 2005"/>
      <sheetName val="PL 2006"/>
      <sheetName val="CFS"/>
      <sheetName val="手工计算"/>
      <sheetName val="锚索"/>
      <sheetName val="충주"/>
      <sheetName val="行政区划"/>
      <sheetName val="99CCTV"/>
      <sheetName val="99PA"/>
      <sheetName val="3.甲方直接分包及甲供材料设备 "/>
      <sheetName val="Control"/>
      <sheetName val="材料价格表"/>
      <sheetName val="실행예산-변경분"/>
      <sheetName val="线密度表"/>
      <sheetName val="DDETABLE "/>
      <sheetName val="望京4＃住宅外饰清单0610"/>
      <sheetName val="主要假设"/>
      <sheetName val="tph-comrental"/>
      <sheetName val="编码"/>
      <sheetName val="Report"/>
      <sheetName val="Variables"/>
      <sheetName val="细目（地库土建）"/>
      <sheetName val="Project Brief"/>
      <sheetName val="工程抗压桩"/>
      <sheetName val="标准表格"/>
      <sheetName val="科目表"/>
      <sheetName val="指标分摊"/>
      <sheetName val="规划指标"/>
      <sheetName val="综合计算表(饰面)"/>
      <sheetName val="15GSP"/>
      <sheetName val="PREVCM"/>
      <sheetName val="高层20座标准层电梯间装修"/>
      <sheetName val="材料价格（藏）"/>
      <sheetName val="9#栋工程量计算式"/>
      <sheetName val="Sheet267"/>
      <sheetName val="BQ4.1-1(土建)"/>
      <sheetName val="2.1分部分项--小高-17-18层"/>
      <sheetName val="数据采集"/>
      <sheetName val="资产负债表"/>
      <sheetName val="报价修改"/>
      <sheetName val="主要材料价格表"/>
      <sheetName val="附件21-1"/>
      <sheetName val="附件11"/>
      <sheetName val="测算3-投资部"/>
      <sheetName val="给排水"/>
      <sheetName val="BQ2.1（首层装饰工程）"/>
      <sheetName val="BQ2.2（标准层装饰工程）"/>
      <sheetName val="BQ2.3（负一层公共部位装饰工程）"/>
      <sheetName val="BQ2.4（负二层公共部位装饰工程）"/>
      <sheetName val="补充清单"/>
      <sheetName val="Form 3a"/>
      <sheetName val="001"/>
      <sheetName val="概算"/>
      <sheetName val="CSCCincSKR"/>
      <sheetName val="ISMS RTU fees"/>
      <sheetName val="Cabling cost"/>
      <sheetName val="职工花名册"/>
      <sheetName val="包干费用表"/>
      <sheetName val="材料数量"/>
      <sheetName val="市政设施"/>
      <sheetName val="Assumptions"/>
      <sheetName val="楼梯钢筋"/>
      <sheetName val="_x005f_x0000__x005f_x0000__x005"/>
      <sheetName val="工程基本措施费"/>
      <sheetName val="(m1)_(m2)_(m3)"/>
      <sheetName val="用量分摊（藏）"/>
      <sheetName val="计算汇总（藏）"/>
      <sheetName val="代号（藏）"/>
      <sheetName val="推拉门窗代号"/>
      <sheetName val="地弹簧门固定窗"/>
      <sheetName val="数据汇总表"/>
      <sheetName val="品牌表"/>
      <sheetName val="Sheet303"/>
      <sheetName val="型材线密度"/>
      <sheetName val="Hoja1"/>
      <sheetName val="工程清单编制说明"/>
      <sheetName val="面积统计"/>
      <sheetName val="输入项"/>
      <sheetName val="金地临平南"/>
      <sheetName val="饰面材料表"/>
      <sheetName val="Sheet3"/>
      <sheetName val="Hotel Profile"/>
      <sheetName val="平窗"/>
      <sheetName val="NO.3门窗计价表"/>
      <sheetName val="重要内部交易"/>
      <sheetName val="管理费用"/>
      <sheetName val="营业费用"/>
      <sheetName val="制造费用"/>
      <sheetName val="表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总说明"/>
      <sheetName val="幕墙编制说明"/>
      <sheetName val="铝合金门窗、幕墙体系门窗编制说明"/>
      <sheetName val="栏杆及百叶编制说明"/>
      <sheetName val="调差说明"/>
      <sheetName val="工作界面划分"/>
      <sheetName val="零星限价表"/>
      <sheetName val="投标人封皮"/>
      <sheetName val="汇总表"/>
      <sheetName val="下拉"/>
      <sheetName val="工程量清单"/>
      <sheetName val="住宅幕墙"/>
      <sheetName val="住宅及商业门窗"/>
      <sheetName val="住宅幕墙体系门窗"/>
      <sheetName val="住宅栏板"/>
      <sheetName val="其他工程"/>
      <sheetName val="工程量A6"/>
      <sheetName val="钢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零星"/>
      <sheetName val="土方"/>
      <sheetName val="土方计价表"/>
      <sheetName val="貨品科目"/>
      <sheetName val="21"/>
      <sheetName val="SW-T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土建商业清单"/>
      <sheetName val="工程量计算"/>
      <sheetName val="#REF!"/>
      <sheetName val="内围地梁钢筋说明"/>
      <sheetName val="Financ. Overview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Tiraje Mix"/>
      <sheetName val="itemizado"/>
      <sheetName val="B4零星"/>
      <sheetName val="工程量A6"/>
      <sheetName val="資料庫"/>
      <sheetName val="BASES"/>
      <sheetName val="B1材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明細表"/>
      <sheetName val="#REF!"/>
      <sheetName val="一次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A2"/>
      <sheetName val="汇总A2"/>
      <sheetName val="报价汇总A2"/>
      <sheetName val="工程量A6"/>
      <sheetName val="汇总A6 "/>
      <sheetName val="报价汇总A6"/>
      <sheetName val="工程量A7"/>
      <sheetName val="汇总A7"/>
      <sheetName val="报价汇总A7"/>
      <sheetName val="概算表"/>
      <sheetName val="含"/>
      <sheetName val="明(窗)"/>
      <sheetName val="含（杨）"/>
      <sheetName val="工程量"/>
      <sheetName val="BASES"/>
      <sheetName val="資料庫"/>
      <sheetName val="Sheet1"/>
      <sheetName val="一次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貨品科目"/>
      <sheetName val="萬輝"/>
      <sheetName val="板和"/>
      <sheetName val="東林"/>
      <sheetName val="富鴻"/>
      <sheetName val="長誠"/>
      <sheetName val="長誠 (2)"/>
      <sheetName val="友邦"/>
      <sheetName val="立興"/>
      <sheetName val="捷達時"/>
      <sheetName val="昌記"/>
      <sheetName val="現代"/>
      <sheetName val="恆業"/>
      <sheetName val="恆彩輝"/>
      <sheetName val="拓普"/>
      <sheetName val="恆昌"/>
      <sheetName val="鑫盛"/>
      <sheetName val="興發"/>
      <sheetName val="漢高"/>
      <sheetName val="杜邦"/>
      <sheetName val="寶旺"/>
      <sheetName val="華豐"/>
      <sheetName val="葉永聯"/>
      <sheetName val="合格证 (2)"/>
      <sheetName val="資料庫"/>
      <sheetName val="明細表"/>
      <sheetName val="PUR资料库"/>
      <sheetName val="6"/>
      <sheetName val="改加胶玻璃、室外栏杆"/>
      <sheetName val="General"/>
      <sheetName val="SW-TEO"/>
      <sheetName val="092~094 园区道路"/>
      <sheetName val="武汉紫云府-2014-设计变更-0004"/>
      <sheetName val="21"/>
      <sheetName val="工程量"/>
      <sheetName val="一発シート"/>
      <sheetName val="3"/>
      <sheetName val="8"/>
      <sheetName val="2"/>
      <sheetName val="7"/>
      <sheetName val="面积合计（藏）"/>
      <sheetName val="投标材料清单 "/>
      <sheetName val="4"/>
      <sheetName val="5"/>
      <sheetName val="1"/>
      <sheetName val="#REF!"/>
      <sheetName val="工程量计算"/>
      <sheetName val="断桥平开门窗"/>
      <sheetName val="断桥推拉窗"/>
      <sheetName val="断桥推拉门"/>
      <sheetName val="B1-1清单外装修"/>
      <sheetName val="基础工程"/>
      <sheetName val="土方工程"/>
      <sheetName val="XLR_NoRangeSheet"/>
      <sheetName val="内围地梁钢筋说明"/>
      <sheetName val="铝材"/>
      <sheetName val="before"/>
      <sheetName val="01#特色廊架单价工程量汇总表"/>
      <sheetName val="报价表"/>
      <sheetName val="Elem Cost"/>
      <sheetName val="一次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sheet2"/>
      <sheetName val="資料庫"/>
      <sheetName val="内围地梁钢筋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  <sheetName val="土建组价明细"/>
      <sheetName val="建筑面积 "/>
      <sheetName val="21"/>
      <sheetName val="合格证 (2)"/>
      <sheetName val="改加胶玻璃、室外栏杆"/>
      <sheetName val="一次汇总"/>
      <sheetName val="成本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ASE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GASTOS GENERALES"/>
      <sheetName val="工程量A6"/>
      <sheetName val="Sheet1"/>
      <sheetName val="明細表"/>
      <sheetName val="DDETAB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資料庫"/>
      <sheetName val="土建直接费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Others"/>
      <sheetName val="L1-L2"/>
      <sheetName val="L1-L2 (2)"/>
      <sheetName val="L3-L5"/>
      <sheetName val="Office"/>
      <sheetName val="Office (2)"/>
      <sheetName val="A"/>
      <sheetName val="3.0"/>
      <sheetName val="4.0"/>
      <sheetName val="5.0"/>
      <sheetName val="BASES"/>
      <sheetName val="Elem Cost"/>
      <sheetName val="資料庫"/>
      <sheetName val="单位库"/>
      <sheetName val="改加胶玻璃、室外栏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1(ECE-sum)"/>
      <sheetName val="S1(ECE-sum) (2)"/>
      <sheetName val="Elem Cost"/>
      <sheetName val="S3(SFA)"/>
      <sheetName val="StrucWk"/>
      <sheetName val="Unit Rate"/>
      <sheetName val="PC rate"/>
      <sheetName val="Sheet1"/>
      <sheetName val="改加胶玻璃、室外栏杆"/>
      <sheetName val="汇总表格"/>
      <sheetName val="工程量计算"/>
      <sheetName val="G2Tem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明細表"/>
      <sheetName val="#REF!"/>
      <sheetName val="092~094 园区道路"/>
      <sheetName val="LA-054-058 B4入户"/>
      <sheetName val="貨品科目"/>
      <sheetName val="Hoja1"/>
      <sheetName val="工程量计算"/>
      <sheetName val="G2Tem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Elem Cost"/>
      <sheetName val="Hoja1"/>
      <sheetName val="工程量A6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费用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LISTA-PR"/>
      <sheetName val="DETALLE"/>
      <sheetName val="RESUMEN"/>
      <sheetName val="COSTOS"/>
      <sheetName val="改加胶玻璃、室外栏杆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BASES"/>
      <sheetName val="工程量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计算表"/>
      <sheetName val="汇总表"/>
      <sheetName val="单位库"/>
      <sheetName val="Sheet1"/>
      <sheetName val="Sheet2"/>
      <sheetName val="Sheet3"/>
      <sheetName val="Sheet4"/>
      <sheetName val="土建直接费"/>
      <sheetName val="21"/>
      <sheetName val="工程量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单位库"/>
      <sheetName val="汇总表"/>
      <sheetName val="XLR_NoRangeSheet"/>
      <sheetName val="工程量计算"/>
      <sheetName val="Elem Cost"/>
      <sheetName val="S工程量(1)"/>
      <sheetName val="S工程量 (2)"/>
      <sheetName val="S工程量 (3)"/>
      <sheetName val="Financ. Overview"/>
      <sheetName val="Tool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工程量计算"/>
      <sheetName val="汇总清单"/>
      <sheetName val="已确定合同单价"/>
      <sheetName val="说明"/>
      <sheetName val="改加胶玻璃、室外栏杆"/>
      <sheetName val="List price"/>
      <sheetName val="General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工程量计算"/>
      <sheetName val="单位库"/>
      <sheetName val="汇总表"/>
      <sheetName val="内围地梁钢筋说明"/>
      <sheetName val="Hoja1"/>
      <sheetName val="门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装饰汇总"/>
      <sheetName val="1"/>
      <sheetName val="2"/>
      <sheetName val="3"/>
      <sheetName val="4"/>
      <sheetName val="5"/>
      <sheetName val="6"/>
      <sheetName val="7"/>
      <sheetName val="8"/>
      <sheetName val="单价"/>
      <sheetName val="投标材料清单 "/>
      <sheetName val="材料汇总"/>
      <sheetName val="面积合计（藏）"/>
      <sheetName val="用量分摊(藏）"/>
      <sheetName val="Hoja1"/>
      <sheetName val="工程量A"/>
      <sheetName val="21"/>
      <sheetName val="取费表"/>
      <sheetName val="系统材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材料明晰汇总"/>
      <sheetName val="工程量A"/>
      <sheetName val="T清单"/>
      <sheetName val="T报价明细表"/>
      <sheetName val="T含量表"/>
      <sheetName val="T工程量"/>
      <sheetName val="含量表A"/>
      <sheetName val="工程量对比汇总表 "/>
      <sheetName val="工程量"/>
      <sheetName val="梁"/>
      <sheetName val="Toolbox"/>
      <sheetName val="G.1R-Shou COP G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施工参考  (2)"/>
      <sheetName val="成本汇总 "/>
      <sheetName val="施工指标"/>
      <sheetName val="材料明晰汇总"/>
      <sheetName val="含量表"/>
      <sheetName val="成本分析表"/>
      <sheetName val="施工参考 "/>
      <sheetName val="生产指标"/>
      <sheetName val="生产参考 "/>
      <sheetName val="成本跟踪表"/>
      <sheetName val="采购指标"/>
      <sheetName val="设计指标"/>
      <sheetName val="工程量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S工程量(1)"/>
      <sheetName val="S工程量 (2)"/>
      <sheetName val="S工程量 (3)"/>
      <sheetName val="Hoja1"/>
      <sheetName val="POWER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成本分析表(3#)"/>
      <sheetName val="成本分析表(2#)"/>
      <sheetName val="成本分析表(1#)"/>
      <sheetName val="S含量表  (3)"/>
      <sheetName val="S含量表  (2)"/>
      <sheetName val="S含量表 "/>
      <sheetName val="S工程量 (3)"/>
      <sheetName val="S工程量 (2)"/>
      <sheetName val="S工程量(1)"/>
      <sheetName val="工程量对比汇总表 "/>
      <sheetName val="工程量A"/>
      <sheetName val="List price"/>
      <sheetName val="改加胶玻璃、室外栏杆"/>
      <sheetName val="Tool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DH Mo pa1"/>
      <sheetName val="tbi cho anh suu"/>
      <sheetName val="ND501"/>
      <sheetName val="List price"/>
      <sheetName val="Quan doi"/>
      <sheetName val="Ninh Thuan tach 5ti"/>
      <sheetName val="Ninh Thuan"/>
      <sheetName val="TTQCVTV"/>
      <sheetName val="Vinh Phuc"/>
      <sheetName val="Hung XNK"/>
      <sheetName val="Gia Lai"/>
      <sheetName val="ThaiNguyen tong the"/>
      <sheetName val="baclieu"/>
      <sheetName val="Ha Nam tong the"/>
      <sheetName val="Ha Nam 2000"/>
      <sheetName val="HaTinh99"/>
      <sheetName val="QuangTri"/>
      <sheetName val="4.0baccan99"/>
      <sheetName val="3.0xeKiengiang99"/>
      <sheetName val="Sheet1"/>
      <sheetName val="150.000"/>
      <sheetName val="工程量"/>
      <sheetName val="Hoja1"/>
      <sheetName val="XLR_NoRangeSheet"/>
      <sheetName val="改加胶玻璃、室外栏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S工程量(1)"/>
      <sheetName val="S工程量 (2)"/>
      <sheetName val="S工程量 (3)"/>
      <sheetName val="5201.2004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过梁"/>
      <sheetName val="砼墙"/>
      <sheetName val="基础梁"/>
      <sheetName val="桩承台基础"/>
      <sheetName val="梁"/>
      <sheetName val="柱"/>
      <sheetName val="板"/>
      <sheetName val="地面、天花"/>
      <sheetName val="内墙抹灰"/>
      <sheetName val="楼梯 "/>
      <sheetName val="零星砼"/>
      <sheetName val="汇总表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21"/>
      <sheetName val="5201.2004"/>
      <sheetName val="单位库"/>
      <sheetName val="Hoja1"/>
      <sheetName val="明細表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梁"/>
      <sheetName val="sheet2"/>
      <sheetName val="21"/>
      <sheetName val="改加胶玻璃、室外栏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$total"/>
      <sheetName val="$BA"/>
      <sheetName val="$BA-otu"/>
      <sheetName val="$CI"/>
      <sheetName val="$CI-otu"/>
      <sheetName val="$CI-vc"/>
      <sheetName val="$CO"/>
      <sheetName val="$EB"/>
      <sheetName val="$EC"/>
      <sheetName val="$HU"/>
      <sheetName val="$IN"/>
      <sheetName val="$LC"/>
      <sheetName val="$LE"/>
      <sheetName val="$LF-arr"/>
      <sheetName val="$LG"/>
      <sheetName val="$LP"/>
      <sheetName val="$LR"/>
      <sheetName val="LR-even"/>
      <sheetName val="$MA"/>
      <sheetName val="$MA-event"/>
      <sheetName val="$MC"/>
      <sheetName val="$NU"/>
      <sheetName val="$ PAC"/>
      <sheetName val="$PN"/>
      <sheetName val="$PR"/>
      <sheetName val="$PR-nc"/>
      <sheetName val="$PT"/>
      <sheetName val="$QU"/>
      <sheetName val="$RE"/>
      <sheetName val="$RC"/>
      <sheetName val="$SA"/>
      <sheetName val="$SS"/>
      <sheetName val="$SA-HITO "/>
      <sheetName val="$SJ"/>
      <sheetName val="$VI"/>
      <sheetName val="$VI hito"/>
      <sheetName val="$SF"/>
      <sheetName val="$LA"/>
      <sheetName val="$ TH"/>
      <sheetName val="$cisa"/>
      <sheetName val="$adelsol"/>
      <sheetName val="$cba"/>
      <sheetName val="$cTL "/>
      <sheetName val="$ cosal"/>
      <sheetName val="desglose factura"/>
      <sheetName val="desglose otras"/>
      <sheetName val="_total"/>
      <sheetName val="List price"/>
      <sheetName val="改加胶玻璃、室外栏杆"/>
      <sheetName val="土方"/>
      <sheetName val="資料庫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Hoja1"/>
      <sheetName val="汇总表格"/>
      <sheetName val="21"/>
      <sheetName val="表3"/>
      <sheetName val="4#号清单之地下室土建"/>
      <sheetName val="材料价格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参数1"/>
      <sheetName val="规划指标"/>
      <sheetName val="折线图2数据"/>
      <sheetName val="21"/>
      <sheetName val="#REF!"/>
      <sheetName val="墙面工程"/>
      <sheetName val="内围地梁钢筋说明"/>
      <sheetName val="建筑面积 "/>
      <sheetName val="成本汇总 "/>
      <sheetName val="基础资料（B）"/>
      <sheetName val="Parameters"/>
      <sheetName val="目录"/>
      <sheetName val="Note 1 - Recon Profit"/>
      <sheetName val="Cash Flow Statement"/>
      <sheetName val="2004年"/>
      <sheetName val="2006年"/>
      <sheetName val="2005年"/>
      <sheetName val="资本化利息分配表"/>
      <sheetName val="组团面积"/>
      <sheetName val="套数"/>
      <sheetName val="总指标"/>
      <sheetName val="Aging Datasheet"/>
      <sheetName val="面积指标"/>
      <sheetName val="单方成本测算(帐面)"/>
      <sheetName val="成本结转表(IFRS)"/>
      <sheetName val="参数表"/>
      <sheetName val="枣园--建安-间接"/>
      <sheetName val="Sheet1"/>
      <sheetName val="Financial highligts"/>
      <sheetName val="Mp-team 1"/>
      <sheetName val="土地款支出"/>
      <sheetName val="汇总表"/>
      <sheetName val="工程量计算书"/>
      <sheetName val="XLR_NoRangeSheet"/>
      <sheetName val="CFS"/>
      <sheetName val="敏感参数"/>
      <sheetName val="写字楼B"/>
      <sheetName val="名称"/>
      <sheetName val="计算表"/>
      <sheetName val="土建工程综合单价表"/>
      <sheetName val="综合单价汇总表"/>
      <sheetName val="财务费用"/>
      <sheetName val="收入与成本"/>
      <sheetName val="销售比率"/>
      <sheetName val="土建工程综合单价组价明细表"/>
      <sheetName val="全期规划指标 "/>
      <sheetName val="Global"/>
      <sheetName val="给排水工程量计算书"/>
      <sheetName val="板房区目标成本"/>
      <sheetName val="Open"/>
      <sheetName val="施工参考单价报价表"/>
      <sheetName val="甲指乙供材料报价表"/>
      <sheetName val="其它工作项目报价清单"/>
      <sheetName val="报批报建计划"/>
      <sheetName val="设计指标"/>
      <sheetName val="040506利息分摊"/>
      <sheetName val="2006内部公司往来利息及调整（per entity）"/>
      <sheetName val="07利息分摊"/>
      <sheetName val="list"/>
      <sheetName val="NAME"/>
      <sheetName val="   合同台账  "/>
      <sheetName val="A投资指标"/>
      <sheetName val="Z控制表"/>
      <sheetName val="K流量表过渡"/>
      <sheetName val="O售价敏感分析"/>
      <sheetName val="总表"/>
      <sheetName val="成就共享（全周期）"/>
      <sheetName val="15年御湾"/>
      <sheetName val="收入预测"/>
      <sheetName val="指标表"/>
      <sheetName val="车库"/>
      <sheetName val="江宁新指标"/>
      <sheetName val="叠拼"/>
      <sheetName val="复式"/>
      <sheetName val="平层"/>
      <sheetName val="独立商业"/>
      <sheetName val="地下超市"/>
      <sheetName val="规划指标表"/>
      <sheetName val="六类"/>
      <sheetName val="总体指标表"/>
      <sheetName val="地下车库"/>
      <sheetName val="时间设置"/>
      <sheetName val="成本测算"/>
      <sheetName val="sheet2"/>
      <sheetName val="2、明细表"/>
      <sheetName val="POWER ASSUMPTIONS"/>
      <sheetName val="梁"/>
      <sheetName val="成本汇总"/>
      <sheetName val="指标"/>
      <sheetName val="139叠加"/>
      <sheetName val="室内装修价格明细"/>
      <sheetName val="全区规划指标"/>
      <sheetName val="全区成本汇总"/>
      <sheetName val="PL 2007"/>
      <sheetName val="PL 2005"/>
      <sheetName val="PL 2006"/>
      <sheetName val="内部往来"/>
      <sheetName val="基础项目"/>
      <sheetName val="测算2-当前状态（含返迁）"/>
      <sheetName val="工程量计算"/>
      <sheetName val="Main"/>
      <sheetName val="承台(砖模) "/>
      <sheetName val="柱"/>
      <sheetName val="门窗表"/>
      <sheetName val="四季花城城南地块户型面积"/>
      <sheetName val="土建直接费"/>
      <sheetName val="Cashflow(Scenario)"/>
      <sheetName val="下拉菜单"/>
      <sheetName val="人工费"/>
      <sheetName val="工程材料"/>
      <sheetName val="单位库"/>
      <sheetName val="301-6"/>
      <sheetName val="Sheetl"/>
      <sheetName val="BS"/>
      <sheetName val="材料费"/>
      <sheetName val="材料"/>
      <sheetName val="5、销售费用预算表"/>
      <sheetName val="选项"/>
      <sheetName val="3-工程现金流"/>
      <sheetName val="3、销售物业开发销售表"/>
      <sheetName val="tph-comrental"/>
      <sheetName val="成本测算-太科园"/>
      <sheetName val="CJA 2006"/>
      <sheetName val="付款进度表"/>
      <sheetName val="科目列表"/>
      <sheetName val="无合同工程及销费"/>
      <sheetName val="二级成本动态表"/>
      <sheetName val="招标项目"/>
      <sheetName val="表3"/>
      <sheetName val="4#号清单之地下室土建"/>
      <sheetName val="1.资金支付台帐"/>
      <sheetName val="D户型防水"/>
      <sheetName val="基础数据"/>
      <sheetName val="XL4Poppy"/>
      <sheetName val="型材线密度表"/>
      <sheetName val="电（计算式）"/>
      <sheetName val="每日C300"/>
      <sheetName val="项目指标"/>
      <sheetName val="动态成本"/>
      <sheetName val="付款台账"/>
      <sheetName val="附表1"/>
      <sheetName val="合同台账"/>
      <sheetName val="东一一层方柱砼"/>
      <sheetName val="测算明细表(0+1+1)"/>
      <sheetName val="主要规划指标"/>
      <sheetName val="2.1设计部"/>
      <sheetName val="计算稿"/>
      <sheetName val="设计部"/>
      <sheetName val="Macro1"/>
      <sheetName val="Toolbox"/>
      <sheetName val="常用项目"/>
      <sheetName val="编码"/>
      <sheetName val="QY"/>
      <sheetName val="E1020"/>
      <sheetName val="A"/>
      <sheetName val="应付账款1-11明细表"/>
      <sheetName val="新城资金明细"/>
      <sheetName val="申鑫大厦租金明细"/>
      <sheetName val="三林明细"/>
      <sheetName val="东陆明细"/>
      <sheetName val="ITEM"/>
      <sheetName val="报表项目基本情况表"/>
      <sheetName val="甲供材表一水电材料(开关)"/>
      <sheetName val="甲供材表二水电材料（灯具）"/>
      <sheetName val="甲供材表三水电材料（浴霸）"/>
      <sheetName val="甲供材表四水电材料（五金洁具）"/>
      <sheetName val="4301_2004ch"/>
      <sheetName val="5201_2004"/>
      <sheetName val="预算执行情况_(2)"/>
      <sheetName val="附表-规划指标表一期"/>
      <sheetName val="附表-规划指标表三期"/>
      <sheetName val="G.1R-Shou COP Gf"/>
      <sheetName val="财务费用多栏明细账"/>
      <sheetName val="管理费用多栏明细账"/>
      <sheetName val="营业费用多栏明细账"/>
      <sheetName val="变更"/>
      <sheetName val="日报_无证（扣除变更数）"/>
      <sheetName val="日报_有证（扣除变更数）"/>
      <sheetName val="挞定退房"/>
      <sheetName val="营销费用合同－付款（城花）0109"/>
      <sheetName val="基本参数"/>
      <sheetName val="成本估算"/>
      <sheetName val="ECCS_1 DataSheet"/>
      <sheetName val="KPI Datasheet"/>
      <sheetName val="制造费用明细账"/>
      <sheetName val="对比"/>
      <sheetName val="调整分录"/>
      <sheetName val="封面"/>
      <sheetName val="金色二期产品成本分摊表"/>
      <sheetName val="P&amp;L"/>
      <sheetName val="合并TB"/>
      <sheetName val="2经济测算"/>
      <sheetName val="役"/>
      <sheetName val="附表28"/>
      <sheetName val="附表5-1"/>
      <sheetName val="附表8-1"/>
      <sheetName val="附表27"/>
      <sheetName val="附表17"/>
      <sheetName val="附表16"/>
      <sheetName val="附表4"/>
      <sheetName val="附表21"/>
      <sheetName val="附表24"/>
      <sheetName val="附表32"/>
      <sheetName val="附表33"/>
      <sheetName val="附表13"/>
      <sheetName val="附表15-1"/>
      <sheetName val="附表2"/>
      <sheetName val="附表3"/>
      <sheetName val="高层F毛坯"/>
      <sheetName val="弱电"/>
      <sheetName val="summary"/>
      <sheetName val="HVAC BoQ"/>
      <sheetName val="temp"/>
      <sheetName val="C.现金流量表"/>
      <sheetName val="4301_2004ch1"/>
      <sheetName val="5201_20041"/>
      <sheetName val="预算执行情况_(2)1"/>
      <sheetName val="建筑面积_"/>
      <sheetName val="成本汇总_"/>
      <sheetName val="Note_1_-_Recon_Profit"/>
      <sheetName val="Cash_Flow_Statement"/>
      <sheetName val="Aging_Datasheet"/>
      <sheetName val="Financial_highligts"/>
      <sheetName val="Mp-team_1"/>
      <sheetName val="全期规划指标_"/>
      <sheetName val="2006内部公司往来利息及调整（per_entity）"/>
      <sheetName val="___合同台账__"/>
      <sheetName val="POWER_ASSUMPTIONS"/>
      <sheetName val="PL_2007"/>
      <sheetName val="PL_2005"/>
      <sheetName val="PL_2006"/>
      <sheetName val="承台(砖模)_"/>
      <sheetName val="CJA_2006"/>
      <sheetName val="2_1设计部"/>
      <sheetName val="1_资金支付台帐"/>
      <sheetName val="G_1R-Shou_COP_Gf"/>
      <sheetName val="ECCS_1_DataSheet"/>
      <sheetName val="KPI_Datasheet"/>
      <sheetName val="資料庫"/>
      <sheetName val="改加胶玻璃、室外栏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城花八期报价汇总表"/>
      <sheetName val="A区土建±0.00以下土建工程"/>
      <sheetName val="A区土建±0.00以上建工程"/>
      <sheetName val="B区土建工程"/>
      <sheetName val="电气"/>
      <sheetName val="给排水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甲指乙供材料报价表"/>
      <sheetName val="施工参考单价报价表"/>
      <sheetName val="其它工作项目报价清单"/>
      <sheetName val="包干费用报价表"/>
      <sheetName val="材料耗用量表"/>
      <sheetName val="甲方、三方分包工程"/>
      <sheetName val="甲方、三方材料"/>
      <sheetName val="sheet2"/>
      <sheetName val="5201.2004"/>
      <sheetName val="基础项目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"/>
      <sheetName val="明細表 (2)"/>
      <sheetName val="資料庫"/>
      <sheetName val="下拉字段"/>
      <sheetName val="LA-054-058 B4入户"/>
      <sheetName val="房型DN3a-1Z"/>
      <sheetName val="合格证 (2)"/>
      <sheetName val="#REF!"/>
      <sheetName val="栏杆"/>
      <sheetName val="内围地梁钢筋说明"/>
      <sheetName val="表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工程量计算"/>
      <sheetName val="汇总清单"/>
      <sheetName val="已确定合同单价"/>
      <sheetName val="说明"/>
      <sheetName val="sheet2"/>
      <sheetName val="土建直接费"/>
      <sheetName val="承台(砖模) "/>
      <sheetName val="柱"/>
      <sheetName val="基 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明細表"/>
      <sheetName val="房型DN3a-1Z"/>
      <sheetName val="栏杆"/>
      <sheetName val="工程量计算"/>
      <sheetName val="单位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  <sheetName val="墙面工程"/>
      <sheetName val="基础项目"/>
      <sheetName val="表3"/>
      <sheetName val="4#号清单之地下室土建"/>
      <sheetName val="XLR_NoRangeSheet"/>
      <sheetName val="土建直接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CND"/>
      <sheetName val="北京辦 (4)"/>
      <sheetName val="北京辦 (5)"/>
      <sheetName val="北京辦"/>
      <sheetName val="北京辦 (3)"/>
      <sheetName val="順天通"/>
      <sheetName val="公司名称及地址 (2)"/>
      <sheetName val="全日通"/>
      <sheetName val="港龙"/>
      <sheetName val="申通"/>
      <sheetName val="顺风"/>
      <sheetName val="CND (2)"/>
      <sheetName val="固若1"/>
      <sheetName val="遠東"/>
      <sheetName val="迅富 5 (5)"/>
      <sheetName val="迅富1 (3)"/>
      <sheetName val="東方 (3)"/>
      <sheetName val="東方"/>
      <sheetName val="東方 (2)"/>
      <sheetName val="富達"/>
      <sheetName val="北京辦 (2)"/>
      <sheetName val="鴻恆基"/>
      <sheetName val="鴻恆基 (2)"/>
      <sheetName val="迅富 5 (4)"/>
      <sheetName val="東方5"/>
      <sheetName val="興發1"/>
      <sheetName val="CND  "/>
      <sheetName val="興 (3)"/>
      <sheetName val="CDN"/>
      <sheetName val="合格证 (2)"/>
      <sheetName val="明細表"/>
      <sheetName val="单价表"/>
      <sheetName val="土建工程综合单价表"/>
      <sheetName val="土建工程综合单价组价明细表"/>
      <sheetName val="单位库"/>
      <sheetName val="工程量计算书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计算表"/>
      <sheetName val="单位库"/>
      <sheetName val="计算表 (园建)"/>
      <sheetName val="Sheet1"/>
      <sheetName val="承台(砖模) "/>
      <sheetName val="柱"/>
      <sheetName val="基础项目"/>
      <sheetName val="工程量计算书"/>
      <sheetName val="表3"/>
      <sheetName val="4#号清单之地下室土建"/>
      <sheetName val="21"/>
      <sheetName val="施工参考单价报价表"/>
      <sheetName val="甲指乙供材料报价表"/>
      <sheetName val="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明細表"/>
      <sheetName val="生產通知單"/>
      <sheetName val="核对"/>
      <sheetName val="發貨單 (2)"/>
      <sheetName val="發貨單"/>
      <sheetName val="韶光"/>
      <sheetName val="吉田"/>
      <sheetName val="金盛"/>
      <sheetName val="雅維斯"/>
      <sheetName val="沈飞"/>
      <sheetName val="興發"/>
      <sheetName val="特凌"/>
      <sheetName val="東亞"/>
      <sheetName val="长空"/>
      <sheetName val="三元"/>
      <sheetName val="懿麟"/>
      <sheetName val="勃海铝"/>
      <sheetName val="板和"/>
      <sheetName val="订单总结"/>
      <sheetName val="王鎖生"/>
      <sheetName val="金圈"/>
      <sheetName val="金圈 (2)"/>
      <sheetName val="李鸿楷"/>
      <sheetName val="興發(2)"/>
      <sheetName val="興發(1)"/>
      <sheetName val="比利"/>
      <sheetName val="梁福成"/>
      <sheetName val="葉峰"/>
      <sheetName val="广亚"/>
      <sheetName val="瑞那斯"/>
      <sheetName val="广州装饰"/>
      <sheetName val="亚洲"/>
      <sheetName val="刘忠"/>
      <sheetName val="泰克峰"/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Sheet2"/>
      <sheetName val="鸿恒基"/>
      <sheetName val="华加日"/>
      <sheetName val="固若"/>
      <sheetName val="合格证 (2)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梁允党"/>
      <sheetName val="兴发"/>
      <sheetName val="时代"/>
      <sheetName val="时代 (2)"/>
      <sheetName val="南雄"/>
      <sheetName val="中建三局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三元德隆"/>
      <sheetName val="王锁生"/>
      <sheetName val="华加日展销部"/>
      <sheetName val="佳明"/>
      <sheetName val="束嘉"/>
      <sheetName val="杨尚威"/>
      <sheetName val="俊强"/>
      <sheetName val="顺天通"/>
      <sheetName val="东亚"/>
      <sheetName val="华美"/>
      <sheetName val="粤骏"/>
      <sheetName val="悦茂"/>
      <sheetName val="威卢克斯"/>
      <sheetName val="力基"/>
      <sheetName val="其昌"/>
      <sheetName val="艺宝"/>
      <sheetName val="凤铝"/>
      <sheetName val="普立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土建工程综合单价表"/>
      <sheetName val="土建工程综合单价组价明细表"/>
      <sheetName val="基础数据"/>
      <sheetName val="梁"/>
      <sheetName val="建筑面积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预算总表"/>
      <sheetName val="预算明细"/>
      <sheetName val="预算制作"/>
      <sheetName val="项目分类"/>
      <sheetName val="地面工程"/>
      <sheetName val="墙面工程"/>
      <sheetName val="顶面工程"/>
      <sheetName val="门窗工程"/>
      <sheetName val="水电工程"/>
      <sheetName val="拆除工程"/>
      <sheetName val="制作项目"/>
      <sheetName val="其他工程"/>
      <sheetName val="购买主材"/>
      <sheetName val="5201.2004"/>
      <sheetName val="基础项目"/>
      <sheetName val="承台(砖模) "/>
      <sheetName val="柱"/>
      <sheetName val="B4零星"/>
      <sheetName val="土建直接费"/>
      <sheetName val="单位库"/>
      <sheetName val="施工参考单价报价表"/>
      <sheetName val="甲指乙供材料报价表"/>
      <sheetName val="XLR_NoRangeSheet"/>
      <sheetName val="工程量计算书"/>
      <sheetName val="型材线密度表"/>
      <sheetName val="建筑面积 "/>
      <sheetName val="7"/>
      <sheetName val="投标材料清单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计算书"/>
      <sheetName val="基础项目"/>
      <sheetName val="墙面工程"/>
      <sheetName val="5201.2004"/>
      <sheetName val="单位库"/>
      <sheetName val="土建工程综合单价表"/>
      <sheetName val="表3"/>
      <sheetName val="4#号清单之地下室土建"/>
      <sheetName val="合格证 (2)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土建工程综合单价表"/>
      <sheetName val="土建工程综合单价组价明细表"/>
      <sheetName val="工程量计算书"/>
      <sheetName val="墙面工程"/>
      <sheetName val="建筑面积 "/>
      <sheetName val="附件1-主材单价表（必填）"/>
      <sheetName val="施工参考单价报价表"/>
      <sheetName val="附件1-主材单价表"/>
      <sheetName val="其它工作项目报价清单"/>
      <sheetName val="甲指乙供材料报价表"/>
      <sheetName val="Sheet2"/>
      <sheetName val="B4零星"/>
      <sheetName val="21"/>
      <sheetName val="材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  <sheetName val="5201.2004"/>
      <sheetName val="工程量计算书"/>
      <sheetName val="土建工程综合单价表"/>
      <sheetName val="B4零星"/>
      <sheetName val="单位库"/>
      <sheetName val="表3"/>
      <sheetName val="4#号清单之地下室土建"/>
      <sheetName val="汇总表格"/>
      <sheetName val="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投标总结"/>
      <sheetName val="1#清单之开办费"/>
      <sheetName val="2#号清单之塔楼不含商铺土建"/>
      <sheetName val="3#号清单之商铺土建"/>
      <sheetName val="4#号清单之地下室土建"/>
      <sheetName val="5号清单之地下车库"/>
      <sheetName val="附1.塔楼、商铺、地下室土建综合单价分析表"/>
      <sheetName val="附2.地库土建综合单价分析表"/>
      <sheetName val="附3.土建劳务价格调整"/>
      <sheetName val="指标分析"/>
      <sheetName val="表3"/>
      <sheetName val="甲供材"/>
      <sheetName val="附件4.干粉砂浆价格"/>
      <sheetName val="6#清单之电气"/>
      <sheetName val="7#清单之采暖"/>
      <sheetName val="8#清单之给排水"/>
      <sheetName val="9#清单之地库机电"/>
      <sheetName val="10#清单之小市政汇总"/>
      <sheetName val="10#清单之小市政雨污水"/>
      <sheetName val="10#清单之小市政电气"/>
      <sheetName val="10#清单之小市政零星"/>
      <sheetName val="附5.修缮项目及机械台班"/>
      <sheetName val="附6.现场文明施工方案列表"/>
      <sheetName val="sheet2"/>
      <sheetName val="施工参考单价报价表"/>
      <sheetName val="甲指乙供材料报价表"/>
      <sheetName val="承台(砖模) "/>
      <sheetName val="柱"/>
      <sheetName val="基础项目"/>
      <sheetName val="明細表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3板"/>
      <sheetName val="B4板"/>
      <sheetName val="B4零星"/>
      <sheetName val="建筑面积 "/>
      <sheetName val="土建工程综合单价表"/>
      <sheetName val="墙面工程"/>
      <sheetName val="21"/>
      <sheetName val="承台(砖模) "/>
      <sheetName val="柱"/>
      <sheetName val="資料庫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预算总表"/>
      <sheetName val="预算明细"/>
      <sheetName val="预算制作"/>
      <sheetName val="项目分类"/>
      <sheetName val="地面工程"/>
      <sheetName val="墙面工程"/>
      <sheetName val="顶面工程"/>
      <sheetName val="门窗工程"/>
      <sheetName val="水电工程"/>
      <sheetName val="拆除工程"/>
      <sheetName val="制作项目"/>
      <sheetName val="其他工程"/>
      <sheetName val="购买主材"/>
      <sheetName val="XLR_NoRangeSheet"/>
      <sheetName val="工程量计算书"/>
      <sheetName val="基础项目"/>
      <sheetName val="5201.2004"/>
      <sheetName val="B4零星"/>
      <sheetName val="建筑面积 "/>
      <sheetName val="量(原)"/>
      <sheetName val="型材线密度表"/>
      <sheetName val="承台(砖模) "/>
      <sheetName val="柱"/>
      <sheetName val="土建直接费"/>
      <sheetName val="单位库"/>
      <sheetName val="資料庫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合格证 (2)"/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特凌"/>
      <sheetName val="Sheet2"/>
      <sheetName val="鸿恒基"/>
      <sheetName val="华加日"/>
      <sheetName val="固若"/>
      <sheetName val="資料庫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發貨單 (2)"/>
      <sheetName val="發貨單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沈飞"/>
      <sheetName val="梁允党"/>
      <sheetName val="兴发"/>
      <sheetName val="时代"/>
      <sheetName val="时代 (2)"/>
      <sheetName val="南雄"/>
      <sheetName val="板和"/>
      <sheetName val="中建三局"/>
      <sheetName val="三元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展销部"/>
      <sheetName val="广州装饰"/>
      <sheetName val="懿麟"/>
      <sheetName val="佳明"/>
      <sheetName val="束嘉"/>
      <sheetName val="杨尚威"/>
      <sheetName val="俊强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生產通知單"/>
      <sheetName val="核对"/>
      <sheetName val="订单总结"/>
      <sheetName val="韶光"/>
      <sheetName val="雅維斯"/>
      <sheetName val="王鎖生"/>
      <sheetName val="金圈 (2)"/>
      <sheetName val="李鸿楷"/>
      <sheetName val="興發(2)"/>
      <sheetName val="興發(1)"/>
      <sheetName val="興發"/>
      <sheetName val="比利"/>
      <sheetName val="東亞"/>
      <sheetName val="梁福成"/>
      <sheetName val="葉峰"/>
      <sheetName val="勃海铝"/>
      <sheetName val="泰克峰"/>
      <sheetName val="明細表"/>
      <sheetName val="基础数据"/>
      <sheetName val="施工参考单价报价表"/>
      <sheetName val="其它工作项目报价清单"/>
      <sheetName val="甲指乙供材料报价表"/>
      <sheetName val="栏杆"/>
      <sheetName val="墙面工程"/>
      <sheetName val="基础项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分部分项工程量清单计价表"/>
      <sheetName val="封面"/>
      <sheetName val="室内精简装修计价清单"/>
      <sheetName val="XLR_NoRangeSheet"/>
      <sheetName val="析-2"/>
      <sheetName val="进度款审核"/>
      <sheetName val="POWER ASSUMPTIONS"/>
      <sheetName val="Sheet2"/>
      <sheetName val="人行道"/>
      <sheetName val="#REF!"/>
      <sheetName val="内围地梁钢筋说明"/>
      <sheetName val="搅拌桩计量"/>
      <sheetName val="旋挖桩混凝土量"/>
      <sheetName val="旋挖桩钢筋量"/>
      <sheetName val="计算表"/>
      <sheetName val="03定额库"/>
      <sheetName val="94定额库"/>
      <sheetName val="清单库"/>
      <sheetName val="工程量汇总表"/>
      <sheetName val="板房区目标成本"/>
      <sheetName val="单位库"/>
      <sheetName val="计算簿"/>
      <sheetName val="汇总表"/>
      <sheetName val="单位"/>
      <sheetName val="eqpmad2"/>
      <sheetName val="-1层~26层地面"/>
      <sheetName val="C栋复式-1层~26层墙面"/>
      <sheetName val="弱电"/>
      <sheetName val="强电过路砼保护管 "/>
      <sheetName val="铺贴砂浆分析表"/>
      <sheetName val="LTM销售"/>
      <sheetName val="HTM销售"/>
      <sheetName val="生鲜销售"/>
      <sheetName val="编制说明"/>
      <sheetName val="门窗"/>
      <sheetName val="室内汇总"/>
      <sheetName val="土建工程综合单价表"/>
      <sheetName val="土建工程综合单价组价明细表"/>
      <sheetName val="一层柱砼C40"/>
      <sheetName val="汇总"/>
      <sheetName val="单位工程费汇总表"/>
      <sheetName val="资料"/>
      <sheetName val="工程材料"/>
      <sheetName val="一期F区六标段工程进度款申请支付表"/>
      <sheetName val="一期F区块六标段本期完成工程造价确认汇总表"/>
      <sheetName val="一期F区六标段本期土建完成工程造价明细表"/>
      <sheetName val="一期F区六标段土建形象进度表"/>
      <sheetName val="一期F区六标段土建单体百分比组成"/>
      <sheetName val="一期F区六标段别墅区安装完成工程造价明细汇总表"/>
      <sheetName val="一期F区六标段别墅区安装形象进度表"/>
      <sheetName val="一期F区六标段高层及地下室安装完成工程造价明细表"/>
      <sheetName val="一期F区六标段高层及地下室安装形象进度表"/>
      <sheetName val="一期F区六标段室外安装完成工程造价确认表"/>
      <sheetName val="一期F区六标段未列项别墅区室外污水系统造价明细"/>
      <sheetName val="一期F区六标段未列项别墅区室外雨水系统造价明细"/>
      <sheetName val="一期F区六标段室外安装工程形象进度表"/>
      <sheetName val="一期F区六标段室外土建完成工程造价确认表"/>
      <sheetName val="一期F区六标段未列项别墅区室外土建造价明细表"/>
      <sheetName val="一期F区六标段室外土建工程形象进度表 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二级成本动态表"/>
      <sheetName val="雨水管网"/>
      <sheetName val="污水管网 "/>
      <sheetName val="清单"/>
      <sheetName val="数据汇总表"/>
      <sheetName val="基础项目"/>
      <sheetName val="材料损耗(不打印)"/>
      <sheetName val="墙面工程"/>
      <sheetName val="材料表"/>
      <sheetName val="1."/>
      <sheetName val="型材表"/>
      <sheetName val="单位工程汇总表"/>
      <sheetName val="工程量清单计价表"/>
      <sheetName val="5期B栋会所装饰精装修"/>
      <sheetName val="主营业务成本明细表"/>
      <sheetName val="过渡数据表"/>
      <sheetName val="下拉菜单"/>
      <sheetName val="指标分摊"/>
      <sheetName val="规划指标"/>
      <sheetName val="公共工程量底稿"/>
      <sheetName val="户型A工程量底稿"/>
      <sheetName val="户型A"/>
      <sheetName val="Parameters"/>
      <sheetName val="各截面长度"/>
      <sheetName val="XL4Poppy"/>
      <sheetName val="承台(砖模) "/>
      <sheetName val="柱"/>
      <sheetName val="施工参考单价报价表"/>
      <sheetName val="其它工作项目报价清单"/>
      <sheetName val="甲指乙供材料报价表"/>
      <sheetName val="型材线密度表"/>
      <sheetName val="园建计算表1梁工"/>
      <sheetName val="工程库"/>
      <sheetName val="总工程量计算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5201.2004"/>
      <sheetName val="基础梁"/>
      <sheetName val="详图"/>
      <sheetName val="门窗表"/>
      <sheetName val="厨厕通用"/>
      <sheetName val="地坪"/>
      <sheetName val="301-6"/>
      <sheetName val="B4零星"/>
      <sheetName val="华府二期4-8#楼地上土建工程"/>
      <sheetName val="建筑面积 "/>
      <sheetName val="工程量计算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附件4"/>
      <sheetName val="汇总表格"/>
      <sheetName val="（2）"/>
      <sheetName val="（3）"/>
      <sheetName val="（4）"/>
      <sheetName val="（5）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材料清单"/>
      <sheetName val="取费"/>
      <sheetName val="Hoja1"/>
      <sheetName val="施工参考单价报价表"/>
      <sheetName val="甲指乙供材料报价表"/>
      <sheetName val="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"/>
      <sheetName val="明細表 (2)"/>
      <sheetName val="資料庫"/>
      <sheetName val="合格证 (2)"/>
      <sheetName val="#REF!"/>
      <sheetName val="栏杆"/>
      <sheetName val="土建工程综合单价表"/>
      <sheetName val="下拉字段"/>
      <sheetName val="设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审查表"/>
      <sheetName val="生产单 (4)"/>
      <sheetName val="生产单"/>
      <sheetName val="生产单 (2)"/>
      <sheetName val="生产单 (3)"/>
      <sheetName val="生产单 (1)"/>
      <sheetName val="發貨單"/>
      <sheetName val="样办"/>
      <sheetName val="样办 (2)"/>
      <sheetName val="樣辦送货單"/>
      <sheetName val="俊威"/>
      <sheetName val="电镀"/>
      <sheetName val="迅富2"/>
      <sheetName val="迅富1"/>
      <sheetName val="迅富"/>
      <sheetName val="东林 (3)"/>
      <sheetName val="东方"/>
      <sheetName val="东方 (1)"/>
      <sheetName val="东林 (2)"/>
      <sheetName val="兴业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刘忠"/>
      <sheetName val="粤骏"/>
      <sheetName val="时代"/>
      <sheetName val="时代 (2)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懿麟"/>
      <sheetName val="勃海铝"/>
      <sheetName val="泰克峰"/>
      <sheetName val="中建三局"/>
      <sheetName val="盛兴"/>
      <sheetName val="富达"/>
      <sheetName val="板和"/>
      <sheetName val="东林"/>
      <sheetName val="三元"/>
      <sheetName val="创展"/>
      <sheetName val="CNDA"/>
      <sheetName val="CND"/>
      <sheetName val="公司名称及地址 (2)"/>
      <sheetName val="#REF!"/>
      <sheetName val="明細表"/>
      <sheetName val="合格证 (2)"/>
      <sheetName val="栏杆"/>
      <sheetName val="建筑面积 "/>
      <sheetName val="下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劉忠"/>
      <sheetName val="CS036"/>
      <sheetName val="報價單 (2)"/>
      <sheetName val="報價單"/>
      <sheetName val="吉田"/>
      <sheetName val="金圈"/>
      <sheetName val="韶光"/>
      <sheetName val="梁允党"/>
      <sheetName val="興發"/>
      <sheetName val="興發 (2)"/>
      <sheetName val="興發 (3)"/>
      <sheetName val="煙台盟昌"/>
      <sheetName val="余建忠"/>
      <sheetName val="葉峰"/>
      <sheetName val="唐生"/>
      <sheetName val="杜良棠"/>
      <sheetName val="鄒生"/>
      <sheetName val="胡生"/>
      <sheetName val="梁福成"/>
      <sheetName val="南海二建"/>
      <sheetName val="富達"/>
      <sheetName val="軒泰"/>
      <sheetName val="金聖"/>
      <sheetName val="唐蕾"/>
      <sheetName val="唐蕾 (2)"/>
      <sheetName val="恆隆"/>
      <sheetName val="艾迪"/>
      <sheetName val="亞洲"/>
      <sheetName val="王鎖生"/>
      <sheetName val="煙京"/>
      <sheetName val="張建國"/>
      <sheetName val="張建國 (2)"/>
      <sheetName val="董宇飛"/>
      <sheetName val="廣州鋁質"/>
      <sheetName val="楊尚威 (2)"/>
      <sheetName val="创展"/>
      <sheetName val="楊尚威"/>
      <sheetName val="興安"/>
      <sheetName val="東方 (2)"/>
      <sheetName val="東方"/>
      <sheetName val="亮佳"/>
      <sheetName val="金盛"/>
      <sheetName val="偉發"/>
      <sheetName val="吳生"/>
      <sheetName val="偉志"/>
      <sheetName val="特凌"/>
      <sheetName val="林生"/>
      <sheetName val="林生 (2)"/>
      <sheetName val="華加日"/>
      <sheetName val="華加日 (2)"/>
      <sheetName val="金利"/>
      <sheetName val="上海摩林"/>
      <sheetName val="張志芩"/>
      <sheetName val="東亞"/>
      <sheetName val="粵駿"/>
      <sheetName val="廣東裝飾"/>
      <sheetName val="彪福"/>
      <sheetName val="绿城"/>
      <sheetName val="綠城1"/>
      <sheetName val="廣亞"/>
      <sheetName val="力基"/>
      <sheetName val="莫兆記"/>
      <sheetName val="泰利"/>
      <sheetName val="潤恆"/>
      <sheetName val="其昌"/>
      <sheetName val="佳明"/>
      <sheetName val="俊强"/>
      <sheetName val="束嘉"/>
      <sheetName val="中建三局"/>
      <sheetName val="中建三局 (3)"/>
      <sheetName val="中建三局 (2)"/>
      <sheetName val="黎明"/>
      <sheetName val="华美"/>
      <sheetName val="阳光"/>
      <sheetName val="貨品科目"/>
      <sheetName val="明細表"/>
      <sheetName val="下拉字段"/>
      <sheetName val="施工参考单价报价表"/>
      <sheetName val="其它工作项目报价清单"/>
      <sheetName val="甲指乙供材料报价表"/>
      <sheetName val="合格证 (2)"/>
      <sheetName val="B4零星"/>
      <sheetName val="墙面工程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各截面长度"/>
      <sheetName val="H88清单编制"/>
      <sheetName val="25单位工程人材机汇总表"/>
      <sheetName val="25单位工程人材机汇总表2"/>
      <sheetName val="#REF!"/>
      <sheetName val="B3#楼措施汇总"/>
      <sheetName val="地面工程"/>
      <sheetName val="墙面工程"/>
      <sheetName val="天棚工程"/>
      <sheetName val="单位库"/>
      <sheetName val="Sheet1"/>
      <sheetName val="目录"/>
      <sheetName val="eqpmad2"/>
      <sheetName val="板房区目标成本"/>
      <sheetName val="单位"/>
      <sheetName val="块料名称"/>
      <sheetName val="门窗"/>
      <sheetName val="Sheet2"/>
      <sheetName val="LTM销售"/>
      <sheetName val="HTM销售"/>
      <sheetName val="生鲜销售"/>
      <sheetName val="雨水管网"/>
      <sheetName val="污水管网 "/>
      <sheetName val="工程库"/>
      <sheetName val="成本动态台帐"/>
      <sheetName val="（附表4-1）工程任务书1"/>
      <sheetName val="工程材料"/>
      <sheetName val="입찰내역 발주처 양식"/>
      <sheetName val="SW-T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 "/>
      <sheetName val="D户型 (2-3层）"/>
      <sheetName val="D户型 (4-9层）"/>
      <sheetName val="D-1户型 (2-3层） "/>
      <sheetName val="D-1户型 (4-9层）  "/>
      <sheetName val="E户型 (10层）"/>
      <sheetName val="E-1户型 (10层）  "/>
      <sheetName val="43#楼公共部位 "/>
      <sheetName val="室内发包人指定材料价格一览表"/>
      <sheetName val="公共区域发包人指定材料价格一览表 "/>
      <sheetName val="石材指定品牌价格表"/>
      <sheetName val="Sheet1"/>
      <sheetName val="21"/>
      <sheetName val="22"/>
      <sheetName val="24"/>
      <sheetName val="Module3"/>
      <sheetName val="Module2"/>
      <sheetName val="Module1"/>
      <sheetName val="各截面长度"/>
      <sheetName val="H88清单编制"/>
      <sheetName val="25单位工程人材机汇总表"/>
      <sheetName val="25单位工程人材机汇总表2"/>
      <sheetName val="#REF!"/>
      <sheetName val="B3#楼措施汇总"/>
      <sheetName val="地面工程"/>
      <sheetName val="墙面工程"/>
      <sheetName val="天棚工程"/>
      <sheetName val="板房区目标成本"/>
      <sheetName val="单位"/>
      <sheetName val="YJ115-A1户型(首层）"/>
      <sheetName val="YJ115-A户型(2-17层）"/>
      <sheetName val="YJ115-B户型(1~17层） "/>
      <sheetName val="34#楼公共部位 "/>
      <sheetName val="FitOutConfCentre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Sheet1"/>
      <sheetName val="目标成本汇总表"/>
      <sheetName val="板房区目标成本"/>
      <sheetName val="ABC区目标成本"/>
      <sheetName val="DEF区目标成本"/>
      <sheetName val="XX区目标成本"/>
      <sheetName val="参考科目及对应合同"/>
      <sheetName val="Sheet2"/>
      <sheetName val="21"/>
      <sheetName val="计算簿"/>
      <sheetName val="汇总表"/>
      <sheetName val="-1层~26层地面"/>
      <sheetName val="C栋复式-1层~26层墙面"/>
      <sheetName val="单位"/>
      <sheetName val="SUMMARY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封面"/>
      <sheetName val="室内精简装修计价清单"/>
      <sheetName val="进度款审核"/>
      <sheetName val="分部分项工程量清单计价表"/>
      <sheetName val="XLR_NoRangeSheet"/>
      <sheetName val="人行道"/>
      <sheetName val="析-2"/>
      <sheetName val="单位库"/>
      <sheetName val="eqpmad2"/>
      <sheetName val="#REF!"/>
      <sheetName val="Sheet2"/>
      <sheetName val="LTM销售"/>
      <sheetName val="HTM销售"/>
      <sheetName val="生鲜销售"/>
      <sheetName val="单位"/>
      <sheetName val="板房区目标成本"/>
      <sheetName val="单位工程费汇总表"/>
      <sheetName val="-1层~26层地面"/>
      <sheetName val="C栋复式-1层~26层墙面"/>
      <sheetName val="POWER ASSUMPTIONS"/>
      <sheetName val="计算簿"/>
      <sheetName val="汇总表"/>
      <sheetName val="指标分摊"/>
      <sheetName val="规划指标"/>
      <sheetName val="清单"/>
      <sheetName val="数据汇总表"/>
      <sheetName val="基础项目"/>
      <sheetName val="材料损耗(不打印)"/>
      <sheetName val="墙面工程"/>
      <sheetName val="材料表"/>
      <sheetName val="1"/>
      <sheetName val="1."/>
      <sheetName val="型材表"/>
      <sheetName val="计算表"/>
      <sheetName val="03定额库"/>
      <sheetName val="94定额库"/>
      <sheetName val="清单库"/>
      <sheetName val="工程量汇总表"/>
      <sheetName val="编制说明（）"/>
      <sheetName val="금융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计算表1"/>
      <sheetName val="单位"/>
      <sheetName val="公式说明"/>
      <sheetName val="21"/>
      <sheetName val="生人台帳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工程清单编制说明"/>
      <sheetName val="汇总表 "/>
      <sheetName val="40#楼公共部位"/>
      <sheetName val="42#楼公共部位  "/>
      <sheetName val="套内"/>
      <sheetName val="公共部位"/>
      <sheetName val="185#室内发包人指定材料价格一览表"/>
      <sheetName val="公共区域发包人指定材料价格一览表"/>
      <sheetName val="公共区域发包人指定材料价格一览表(7)"/>
      <sheetName val="材料用量及价格表"/>
      <sheetName val="21"/>
      <sheetName val="单位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工程清单编制说明"/>
      <sheetName val="清单"/>
      <sheetName val="S3建施"/>
      <sheetName val="1"/>
      <sheetName val="南区地下一层(合并至S3)"/>
      <sheetName val="含量分析"/>
      <sheetName val="单价分析表"/>
      <sheetName val="主材含税单价及品牌明细表(不打印）"/>
      <sheetName val="关联(不打印）"/>
      <sheetName val="Labor abs-NMR"/>
      <sheetName val="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SRC-B3U2"/>
      <sheetName val="BOQ-Rev.3"/>
      <sheetName val="Cost Summary"/>
      <sheetName val="材料单"/>
      <sheetName val="#REF!"/>
      <sheetName val="貨品科目"/>
      <sheetName val="XLR_NoRangeSheet"/>
      <sheetName val="eqpmad2"/>
      <sheetName val="清单1-裙楼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icmal"/>
      <sheetName val="BQ"/>
      <sheetName val="BQ External"/>
      <sheetName val="Notes"/>
      <sheetName val="_______"/>
      <sheetName val="核算项目余额表"/>
      <sheetName val="#REF"/>
      <sheetName val="StattCo yCharges"/>
      <sheetName val="GFA_HQ_Building"/>
      <sheetName val="GFA_Conference"/>
      <sheetName val="Su}}ary"/>
      <sheetName val="Basis"/>
      <sheetName val="TAS"/>
      <sheetName val="Penthouse Apartment"/>
      <sheetName val="SubmitCal"/>
      <sheetName val="D-623D"/>
      <sheetName val="LABOUR HISTOGRAM"/>
      <sheetName val="Cash2"/>
      <sheetName val="Z"/>
      <sheetName val="Raw Data"/>
      <sheetName val="Option"/>
      <sheetName val="Chiet tinh dz22"/>
      <sheetName val="Chiet tinh dz35"/>
      <sheetName val="CT Thang Mo"/>
      <sheetName val="Criteria"/>
      <sheetName val="Poz-1 "/>
      <sheetName val="차액보증"/>
      <sheetName val="B"/>
      <sheetName val="Assumptions"/>
      <sheetName val="@risk rents and incentives"/>
      <sheetName val="Car park lease"/>
      <sheetName val="Net rent analysis"/>
      <sheetName val="Customize Your Invoice"/>
      <sheetName val="HVAC BoQ"/>
      <sheetName val="PriceSummary"/>
      <sheetName val="改加胶玻璃、室外栏杆"/>
      <sheetName val="推拉"/>
      <sheetName val="平窗"/>
      <sheetName val="单价分析过程"/>
      <sheetName val="主要材料价格表 (2)"/>
      <sheetName val="3"/>
      <sheetName val="Staff Acco_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XLR_NoRangeSheet"/>
      <sheetName val="#REF!"/>
      <sheetName val="D0026B3"/>
      <sheetName val="Prices"/>
      <sheetName val="Rate summary"/>
      <sheetName val="SW-TEO"/>
      <sheetName val="科目余额表正式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-Hotel"/>
      <sheetName val="Quantity"/>
      <sheetName val="PNT-QUOT-#3"/>
      <sheetName val="COAT&amp;WRAP-QIOT-#3"/>
      <sheetName val="Earthwork"/>
      <sheetName val="GIAVLIEU"/>
      <sheetName val="Elemental Buildup"/>
      <sheetName val="BG"/>
      <sheetName val="RAB AR&amp;STR"/>
      <sheetName val="__-BLDG"/>
      <sheetName val="ml"/>
      <sheetName val="BOQ"/>
      <sheetName val="Bill No. 2"/>
      <sheetName val="Graph Data (DO NOT PRINT)"/>
      <sheetName val="Lab Cum Hist"/>
      <sheetName val="ancillary"/>
      <sheetName val="FOL - Bar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LABOUR_HISTOGRAM"/>
      <sheetName val="JAS"/>
      <sheetName val="Rate analysis"/>
      <sheetName val="企业表一"/>
      <sheetName val="M-5C"/>
      <sheetName val="M-5A"/>
      <sheetName val="Sheet2"/>
      <sheetName val="ANNEXURE-A"/>
      <sheetName val="CT  PL"/>
      <sheetName val="concrete"/>
      <sheetName val="beam-reinft-IIInd floor"/>
      <sheetName val="beam-reinft-machine rm"/>
      <sheetName val="girder"/>
      <sheetName val="Rocker"/>
      <sheetName val="98Price"/>
      <sheetName val="Bill 1"/>
      <sheetName val="Bill 2"/>
      <sheetName val="Bill 3"/>
      <sheetName val="Bill 4"/>
      <sheetName val="Bill 5"/>
      <sheetName val="Bill 6"/>
      <sheetName val="Bill 7"/>
      <sheetName val="POWER ASSUMPTIONS"/>
      <sheetName val="intr stool brkup"/>
      <sheetName val="Top she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Data"/>
      <sheetName val="Tender Summary"/>
      <sheetName val="Insurance Ext"/>
      <sheetName val="Prelims"/>
      <sheetName val="Body Sheet"/>
      <sheetName val="1.0 Executive Summary"/>
      <sheetName val="Geneí¬_x0008_i"/>
      <sheetName val="70"/>
      <sheetName val="HQ-TO"/>
      <sheetName val="LABOUR_HISTOGRAM1"/>
      <sheetName val="COC"/>
      <sheetName val="List"/>
      <sheetName val="Currencies"/>
      <sheetName val="Ap A"/>
      <sheetName val="SAP"/>
      <sheetName val="DATAS"/>
      <sheetName val="POWER"/>
      <sheetName val="MTP"/>
      <sheetName val="Inputs"/>
      <sheetName val="기계내역서"/>
      <sheetName val="SHOPLIST.xls"/>
      <sheetName val="Rate_Analysis"/>
      <sheetName val="ACT_SPS"/>
      <sheetName val="SPSF"/>
      <sheetName val="Invoice Summary"/>
      <sheetName val="Sheet3"/>
      <sheetName val="2 Div 14 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CODE"/>
      <sheetName val="HIRED LABOUR CODE"/>
      <sheetName val="PA- Consutant "/>
      <sheetName val="Design"/>
      <sheetName val="upa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Bill_21"/>
      <sheetName val="2_Div_14_"/>
      <sheetName val="Wall"/>
      <sheetName val="CERTIFICATE"/>
      <sheetName val="마산월령동골조물량변경"/>
      <sheetName val="Data Validation"/>
      <sheetName val="TOSHIBA-Structure"/>
      <sheetName val="材料名称标准表"/>
      <sheetName val="ConferenceCentre_x005f_x0000_옰ʒ䄂ʒ鵠ʐ䄂ʒ"/>
      <sheetName val="Geneí¬_x005f_x0008_i_x005f_x0000__x005f_x0000__x0"/>
      <sheetName val="70_x005f_x0000_,_0_x005f_x0000_s«_x005f_x0008_i_x"/>
      <sheetName val="資料庫"/>
      <sheetName val="材料"/>
      <sheetName val="eqpmad2"/>
      <sheetName val="BILL COV"/>
      <sheetName val="Geneí¬_x005f_x0008_i"/>
      <sheetName val="Ra  stair"/>
      <sheetName val="主要规划指标"/>
      <sheetName val="AD ST"/>
      <sheetName val="ConferenceCentre_x005f_x0000_옰ʒ"/>
      <sheetName val="Geneí¬_x005f_x0008_i_x000"/>
      <sheetName val="70_x005f_x0000_,_0_x005f_x0000_"/>
      <sheetName val="二标总"/>
      <sheetName val="雨棚"/>
      <sheetName val="Geneí¬_x0008_i_x000"/>
      <sheetName val="main"/>
      <sheetName val="单价表"/>
      <sheetName val="主材价格"/>
      <sheetName val="工程量"/>
      <sheetName val="内围地梁钢筋说明"/>
      <sheetName val="21"/>
      <sheetName val="입찰내역 발주처 양식"/>
      <sheetName val="??-BLDG"/>
      <sheetName val="GM &amp; 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RELIMINARIES"/>
      <sheetName val="NSC"/>
      <sheetName val="REMAINING AMOUNT "/>
      <sheetName val="letter"/>
      <sheetName val="CFA2"/>
      <sheetName val="Setting"/>
      <sheetName val="Sheet2"/>
      <sheetName val="工作表1"/>
      <sheetName val="总投资"/>
      <sheetName val="建安对标"/>
      <sheetName val="开发管理费"/>
      <sheetName val="同济设计费"/>
      <sheetName val="政府投资建设"/>
      <sheetName val="#REF!"/>
      <sheetName val="REMAINING_AMOUNT_"/>
      <sheetName val="Data"/>
      <sheetName val="COVER"/>
      <sheetName val="FinReturn"/>
      <sheetName val="금융비용"/>
      <sheetName val="cashflow-commercial"/>
      <sheetName val="外装修用料表"/>
      <sheetName val="tph-comrental"/>
      <sheetName val="A11A12-020"/>
      <sheetName val="A11A12-021"/>
      <sheetName val="加压泵房"/>
      <sheetName val="地库工程"/>
      <sheetName val="地上商业 "/>
      <sheetName val="XLR_NoRangeSheet"/>
      <sheetName val="CFA"/>
      <sheetName val="SW-TEO"/>
      <sheetName val="ACC"/>
      <sheetName val="21"/>
      <sheetName val="G2TempSheet"/>
      <sheetName val="Basis"/>
      <sheetName val="22#24#"/>
      <sheetName val="25#"/>
      <sheetName val="桩钢筋"/>
      <sheetName val="工程量"/>
      <sheetName val="貨品科目"/>
      <sheetName val="14与转让房地产有关的税金明细表-OK"/>
      <sheetName val="집계표"/>
      <sheetName val="改加胶玻璃、室外栏杆"/>
      <sheetName val="견적"/>
      <sheetName val="工程量计算表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eqpmad2"/>
      <sheetName val="주식"/>
      <sheetName val="清单1-裙楼Ea"/>
      <sheetName val="1.1.1（土建6#楼）"/>
      <sheetName val="材料表"/>
      <sheetName val="墙面工程"/>
      <sheetName val="土建"/>
      <sheetName val="材料"/>
      <sheetName val="MCIP"/>
      <sheetName val="CFS3"/>
      <sheetName val="出図表"/>
      <sheetName val="甲指乙供材料报价表"/>
      <sheetName val="DEH94"/>
      <sheetName val="材料价格表(立面）"/>
      <sheetName val="資料庫"/>
      <sheetName val="Sheet1"/>
      <sheetName val="실행예산-변경분"/>
      <sheetName val="8S"/>
      <sheetName val="addition核心筒连梁钢筋"/>
      <sheetName val="E&amp;M Summary"/>
      <sheetName val="建筑面积 "/>
      <sheetName val="General"/>
      <sheetName val="单位库"/>
      <sheetName val="#REF"/>
      <sheetName val="计算底稿-裙楼"/>
      <sheetName val="電気設備表"/>
      <sheetName val="EXRATE"/>
      <sheetName val="面积指标"/>
      <sheetName val="A翼写字楼"/>
      <sheetName val="敏感参数"/>
      <sheetName val="计算细目 "/>
      <sheetName val="AC"/>
      <sheetName val="FitOutConfCentre"/>
      <sheetName val="内围地梁钢筋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금융비용"/>
      <sheetName val="COVER"/>
      <sheetName val="D0026B3"/>
      <sheetName val="#REF!"/>
      <sheetName val="雨棚"/>
      <sheetName val="改加胶玻璃、室外栏杆"/>
      <sheetName val="材料单价表"/>
      <sheetName val="LIST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成本汇总"/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表紙"/>
      <sheetName val="工程量-计算书"/>
      <sheetName val="成汇"/>
      <sheetName val="갑지"/>
      <sheetName val="生人台帳"/>
      <sheetName val="금융비용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Rate analysis"/>
      <sheetName val="rc01"/>
      <sheetName val="雨棚"/>
      <sheetName val="Sheet1"/>
      <sheetName val="材料"/>
      <sheetName val="FitOutConfCentre"/>
      <sheetName val="附注"/>
      <sheetName val="21"/>
      <sheetName val="Combo"/>
      <sheetName val="입찰안"/>
      <sheetName val="板房区目标成本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Conc"/>
      <sheetName val="AOR"/>
      <sheetName val="XREF"/>
      <sheetName val="MPR_PA_1"/>
      <sheetName val="CFForecast detail"/>
      <sheetName val="Dropdowns"/>
      <sheetName val="Actuals"/>
      <sheetName val="Sheet3 (2)"/>
      <sheetName val="SUPPLY -Sanitary Fixtures"/>
      <sheetName val="External"/>
      <sheetName val="ITEMS FOR CIVIL TENDER"/>
      <sheetName val="Services"/>
      <sheetName val="3cd Annexure"/>
      <sheetName val="Kristal Court"/>
      <sheetName val="August TB"/>
      <sheetName val="Costing"/>
      <sheetName val="Basement Budget"/>
      <sheetName val="Assumptions"/>
      <sheetName val="Jams &amp; Cills"/>
      <sheetName val="Sheet1"/>
      <sheetName val="BOQ"/>
      <sheetName val="Enquire"/>
      <sheetName val="EAS"/>
      <sheetName val="DATA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BASIS -DEC 08"/>
      <sheetName val="ancillary"/>
      <sheetName val="FNI_Spec"/>
      <sheetName val="定义"/>
      <sheetName val="eqpmad2"/>
      <sheetName val="Structure Bills Qty"/>
      <sheetName val="_x005f_x0000_._x005f_x0008_p-NM"/>
      <sheetName val="_._x005f_x0008_p-NMR"/>
      <sheetName val="_x005f_x005f_x005f_x0000_._x005"/>
      <sheetName val="_._x005f_x005f_x005f_x0008_p-NM"/>
      <sheetName val="_._x005f_x005f_x005f_x005f_x005"/>
      <sheetName val="_x005f_x0000_._x005"/>
      <sheetName val="_._x005f_x0008_p-NM"/>
      <sheetName val="3"/>
      <sheetName val="_x005f_x005f_x005f_x005f_"/>
      <sheetName val="计算表2"/>
      <sheetName val="#REF!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temp"/>
      <sheetName val="说明"/>
      <sheetName val="电气汇总"/>
      <sheetName val="电气设备"/>
      <sheetName val="防雷"/>
      <sheetName val="强电"/>
      <sheetName val="电话"/>
      <sheetName val="电话系统"/>
      <sheetName val="电视"/>
      <sheetName val="消防系统"/>
      <sheetName val="网络"/>
      <sheetName val="清单1-裙楼Ea"/>
      <sheetName val="G.1R-Shou COP Gf"/>
      <sheetName val="设计部"/>
      <sheetName val="Toolbox"/>
      <sheetName val="1.1.1（土建6#楼）"/>
      <sheetName val="POWER ASSUMPTIONS"/>
      <sheetName val="B8"/>
      <sheetName val="B6"/>
      <sheetName val="#REF!"/>
      <sheetName val="地下室"/>
      <sheetName val="SW-TEO"/>
      <sheetName val="楼梯间"/>
      <sheetName val="主要规划指标"/>
      <sheetName val="推拉"/>
      <sheetName val="平窗"/>
      <sheetName val="Open"/>
      <sheetName val="XLR_NoRangeSheet"/>
      <sheetName val="计算稿"/>
      <sheetName val="Labor abs-NMR"/>
      <sheetName val="eqpmad2"/>
      <sheetName val="21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Break up Sheet"/>
      <sheetName val="eqpmad2"/>
      <sheetName val="Rate analysis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Labor abs-NMR"/>
      <sheetName val="6"/>
      <sheetName val="面积合计（藏）"/>
      <sheetName val="3"/>
      <sheetName val="4"/>
      <sheetName val="投标材料清单 "/>
      <sheetName val="5"/>
      <sheetName val="1"/>
      <sheetName val="清单1-裙楼Ea"/>
      <sheetName val="材料"/>
      <sheetName val="D1电气单价表"/>
      <sheetName val="Combo"/>
      <sheetName val="주식"/>
      <sheetName val="套内"/>
      <sheetName val="公共部位"/>
      <sheetName val="8"/>
      <sheetName val="2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各类分包供应"/>
      <sheetName val="总包园林分界"/>
      <sheetName val="问题"/>
      <sheetName val="需落实"/>
      <sheetName val="总包精装分界"/>
      <sheetName val="招标时间"/>
      <sheetName val="总包招标计划时间控制"/>
      <sheetName val="部位"/>
      <sheetName val="面积"/>
      <sheetName val="机电完成科目"/>
      <sheetName val="科目"/>
      <sheetName val="工作纲领"/>
      <sheetName val="修改本"/>
      <sheetName val="#REF"/>
      <sheetName val="裙房"/>
      <sheetName val="明细表"/>
      <sheetName val="3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1"/>
      <sheetName val="材料单价表"/>
      <sheetName val="分类说明"/>
      <sheetName val="原因说明"/>
      <sheetName val="차액보증"/>
      <sheetName val="工程量"/>
      <sheetName val="실행철강하도"/>
      <sheetName val="A"/>
      <sheetName val="单价表"/>
      <sheetName val="SW-TEO"/>
      <sheetName val="改加胶玻璃、室外栏杆"/>
      <sheetName val="Toolbox"/>
      <sheetName val="금융비용"/>
      <sheetName val="대비"/>
      <sheetName val="清单"/>
      <sheetName val="1."/>
      <sheetName val="硬质景观清单"/>
      <sheetName val="Labor abs-NMR"/>
      <sheetName val="21"/>
      <sheetName val="Financ. 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GM &amp; TA"/>
      <sheetName val="工程清单编制说明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涂料工程量"/>
      <sheetName val="Sheet1"/>
      <sheetName val="XLR_NoRange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工程量"/>
      <sheetName val="门窗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预算书"/>
      <sheetName val="费用表"/>
      <sheetName val="工料机"/>
      <sheetName val="定额清单"/>
      <sheetName val="XLR_NoRangeSheet"/>
      <sheetName val="取费表"/>
      <sheetName val="系统材料"/>
      <sheetName val="材料价格表"/>
      <sheetName val="SW-TEO"/>
      <sheetName val="DDETABLE "/>
      <sheetName val="单位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梁板计算表"/>
      <sheetName val="砼框柱"/>
      <sheetName val="楼梯QL雨篷"/>
      <sheetName val="其他钢筋计算表"/>
      <sheetName val="汇总表"/>
      <sheetName val="设置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投标人封皮"/>
      <sheetName val="编制说明"/>
      <sheetName val="幕墙界面"/>
      <sheetName val="零星价格"/>
      <sheetName val="汇总表"/>
      <sheetName val="下拉"/>
      <sheetName val="工程量清单"/>
      <sheetName val="玻璃幕墙"/>
      <sheetName val="陶板幕墙"/>
      <sheetName val="石材幕墙"/>
      <sheetName val="铝板幕墙"/>
      <sheetName val="雨棚"/>
      <sheetName val="铝合金装饰线条"/>
      <sheetName val="地弹门"/>
      <sheetName val="玻璃栏板"/>
      <sheetName val="格栅"/>
      <sheetName val="百叶"/>
      <sheetName val="门窗"/>
      <sheetName val="铁艺防护栏杆"/>
      <sheetName val="蜘蛛人挂点"/>
      <sheetName val="措施费"/>
      <sheetName val="暂列金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分部分项工程量清单计价表"/>
      <sheetName val="封面"/>
      <sheetName val="室内精简装修计价清单"/>
      <sheetName val="进度款审核"/>
      <sheetName val="XLR_NoRangeSheet"/>
      <sheetName val="POWER ASSUMPTIONS"/>
      <sheetName val="析-2"/>
      <sheetName val="Sheet2"/>
      <sheetName val="单位"/>
      <sheetName val="单位库"/>
      <sheetName val="人行道"/>
      <sheetName val="板房区目标成本"/>
      <sheetName val="搅拌桩计量"/>
      <sheetName val="旋挖桩混凝土量"/>
      <sheetName val="旋挖桩钢筋量"/>
      <sheetName val="#REF!"/>
      <sheetName val="计算表"/>
      <sheetName val="03定额库"/>
      <sheetName val="94定额库"/>
      <sheetName val="清单库"/>
      <sheetName val="工程量汇总表"/>
      <sheetName val="内围地梁钢筋说明"/>
      <sheetName val="计算簿"/>
      <sheetName val="汇总表"/>
      <sheetName val="LTM销售"/>
      <sheetName val="HTM销售"/>
      <sheetName val="生鲜销售"/>
      <sheetName val="铺贴砂浆分析表"/>
      <sheetName val="eqpmad2"/>
      <sheetName val="-1层~26层地面"/>
      <sheetName val="C栋复式-1层~26层墙面"/>
      <sheetName val="弱电"/>
      <sheetName val="强电过路砼保护管 "/>
      <sheetName val="编制说明"/>
      <sheetName val="土建工程综合单价表"/>
      <sheetName val="土建工程综合单价组价明细表"/>
      <sheetName val="门窗"/>
      <sheetName val="一层柱砼C40"/>
      <sheetName val="一期F区六标段工程进度款申请支付表"/>
      <sheetName val="一期F区块六标段本期完成工程造价确认汇总表"/>
      <sheetName val="一期F区六标段本期土建完成工程造价明细表"/>
      <sheetName val="一期F区六标段土建形象进度表"/>
      <sheetName val="一期F区六标段土建单体百分比组成"/>
      <sheetName val="一期F区六标段别墅区安装完成工程造价明细汇总表"/>
      <sheetName val="一期F区六标段别墅区安装形象进度表"/>
      <sheetName val="一期F区六标段高层及地下室安装完成工程造价明细表"/>
      <sheetName val="一期F区六标段高层及地下室安装形象进度表"/>
      <sheetName val="一期F区六标段室外安装完成工程造价确认表"/>
      <sheetName val="一期F区六标段未列项别墅区室外污水系统造价明细"/>
      <sheetName val="一期F区六标段未列项别墅区室外雨水系统造价明细"/>
      <sheetName val="一期F区六标段室外安装工程形象进度表"/>
      <sheetName val="一期F区六标段室外土建完成工程造价确认表"/>
      <sheetName val="一期F区六标段未列项别墅区室外土建造价明细表"/>
      <sheetName val="一期F区六标段室外土建工程形象进度表 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单位工程费汇总表"/>
      <sheetName val="二级成本动态表"/>
      <sheetName val="室内汇总"/>
      <sheetName val="雨水管网"/>
      <sheetName val="污水管网 "/>
      <sheetName val="汇总"/>
      <sheetName val="资料"/>
      <sheetName val="工程材料"/>
      <sheetName val="实体项目(0上)"/>
      <sheetName val="措施项目(0上)"/>
      <sheetName val="钢筋(0上)"/>
      <sheetName val="实体项目(0下)"/>
      <sheetName val="外立面装修"/>
      <sheetName val="未列项目清单计价表(0上) "/>
      <sheetName val="措施项目(0下)"/>
      <sheetName val="钢筋(0下)"/>
      <sheetName val="清单"/>
      <sheetName val="数据汇总表"/>
      <sheetName val="基础项目"/>
      <sheetName val="材料损耗(不打印)"/>
      <sheetName val="墙面工程"/>
      <sheetName val="材料表"/>
      <sheetName val="1."/>
      <sheetName val="型材表"/>
      <sheetName val="总工程量计算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1#工程量"/>
      <sheetName val="材料信息表"/>
      <sheetName val="금융비용"/>
      <sheetName val="Micro"/>
      <sheetName val="Macro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실행화면"/>
      <sheetName val="단중"/>
      <sheetName val="프로그램"/>
      <sheetName val="단중표"/>
      <sheetName val="입찰안"/>
      <sheetName val="갑지"/>
      <sheetName val="Bldg"/>
      <sheetName val="SG"/>
      <sheetName val="J100"/>
      <sheetName val="차액보증"/>
      <sheetName val="금융비용"/>
      <sheetName val="貨品科目"/>
      <sheetName val="#REF!"/>
      <sheetName val="设置"/>
      <sheetName val="雨棚"/>
      <sheetName val="Sheet1"/>
      <sheetName val="材料"/>
      <sheetName val="数据"/>
      <sheetName val="主材价格"/>
      <sheetName val="Financ. Overview"/>
      <sheetName val="Toolbox"/>
      <sheetName val="工程量"/>
      <sheetName val="改加胶玻璃、室外栏杆"/>
      <sheetName val="eqpmad2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资料库"/>
      <sheetName val="川信"/>
      <sheetName val="明細表"/>
      <sheetName val="3"/>
      <sheetName val="Sheet1"/>
      <sheetName val="sheet2"/>
      <sheetName val="改加胶玻璃、室外栏杆"/>
      <sheetName val="#REF!"/>
      <sheetName val="資料庫"/>
      <sheetName val="B4零星"/>
      <sheetName val="B1-1清单外装修"/>
      <sheetName val="基本资料"/>
      <sheetName val="PUR资料库"/>
      <sheetName val="21"/>
      <sheetName val="貨品科目"/>
      <sheetName val="内围地梁钢筋说明"/>
      <sheetName val="工程量计算"/>
      <sheetName val="工程量计算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建筑计算表"/>
      <sheetName val="汇总表"/>
      <sheetName val="原合同"/>
      <sheetName val="原合同汇总"/>
      <sheetName val="设置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封面"/>
      <sheetName val="报价说明"/>
      <sheetName val="投标报价汇总表"/>
      <sheetName val="裙楼清单汇总"/>
      <sheetName val="措施项目清单（裙楼）"/>
      <sheetName val="裙楼工程量清单"/>
      <sheetName val="单价"/>
      <sheetName val="材料表"/>
      <sheetName val="钢筋"/>
      <sheetName val="#REF"/>
      <sheetName val="G2TempSheet"/>
      <sheetName val="铺耐火砖"/>
      <sheetName val="XLR_NoRangeSheet"/>
      <sheetName val="Template"/>
      <sheetName val="内围地梁钢筋说明"/>
      <sheetName val="工程量"/>
      <sheetName val="3"/>
      <sheetName val="21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单位"/>
      <sheetName val="常用项目"/>
      <sheetName val="清单"/>
      <sheetName val="总表（不打印）"/>
      <sheetName val="型材线密度表"/>
      <sheetName val="建筑面积 "/>
      <sheetName val="承台(砖模) "/>
      <sheetName val="柱"/>
      <sheetName val="1."/>
      <sheetName val="材料损耗(不打印)"/>
      <sheetName val="Mp-team 1"/>
      <sheetName val="嘉里塔楼工程量"/>
      <sheetName val="4、综合单价分析表"/>
      <sheetName val="清单汇总"/>
      <sheetName val="单价分析过程"/>
      <sheetName val="主要材料价格表 (2)"/>
      <sheetName val="19#楼(作废)"/>
      <sheetName val="Toolbox"/>
      <sheetName val="费率及线密度"/>
      <sheetName val="材料价格"/>
      <sheetName val="Elem Cost"/>
      <sheetName val="设置"/>
      <sheetName val="单价分析"/>
      <sheetName val="List price"/>
      <sheetName val="#REF!"/>
      <sheetName val="ironmongery"/>
      <sheetName val="详细材料汇总表"/>
      <sheetName val="材料费汇总表"/>
      <sheetName val="单元面积"/>
      <sheetName val="工程量计算式2#楼"/>
      <sheetName val="6#楼"/>
      <sheetName val="SW-TEO"/>
      <sheetName val="Financ. Overview"/>
      <sheetName val="计算稿"/>
      <sheetName val="POWER ASSUMPTIONS"/>
      <sheetName val="裙房"/>
      <sheetName val="明细表"/>
      <sheetName val="材料"/>
      <sheetName val="Main"/>
      <sheetName val="做法表"/>
      <sheetName val="Sheet1"/>
      <sheetName val="北区裙楼工程量"/>
      <sheetName val="KDB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土建工程综合单价表"/>
      <sheetName val="土建工程综合单价组价明细表"/>
      <sheetName val="输入项"/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D0026B3"/>
      <sheetName val="Consensus Estimates"/>
      <sheetName val="eva"/>
      <sheetName val="Sheet2"/>
      <sheetName val="规划指标"/>
      <sheetName val="雨棚"/>
      <sheetName val="ANL"/>
      <sheetName val="变量单"/>
      <sheetName val="投标总价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经营予、决算封皮"/>
      <sheetName val="目录"/>
      <sheetName val="A"/>
      <sheetName val="입찰내역 발주처 양식"/>
      <sheetName val="管理费用"/>
      <sheetName val="重要内部交易"/>
      <sheetName val="制造费用"/>
      <sheetName val="财务费用"/>
      <sheetName val="营业费用"/>
      <sheetName val="Fly Sheets"/>
      <sheetName val="含量"/>
      <sheetName val="广联达材料编码"/>
      <sheetName val="玻璃幕墙加权"/>
      <sheetName val="含量说明"/>
      <sheetName val="分部分项工程清单计价表"/>
      <sheetName val="感染楼新清单"/>
      <sheetName val="感染楼单价分析表"/>
      <sheetName val="科研教学及肿瘤楼新清单"/>
      <sheetName val="肿瘤楼单价"/>
      <sheetName val="住院楼新清单"/>
      <sheetName val="住院楼综合单价"/>
      <sheetName val="门诊医技楼新清单"/>
      <sheetName val="门诊医技楼综合单价"/>
      <sheetName val="成本 "/>
      <sheetName val="eqpmad2"/>
      <sheetName val="1#量统计"/>
      <sheetName val="报价明细表"/>
      <sheetName val="单价表"/>
      <sheetName val="材料调价表"/>
      <sheetName val="别墅汇总表"/>
      <sheetName val="独栋"/>
      <sheetName val="D双拼"/>
      <sheetName val="六拼"/>
      <sheetName val="四拼"/>
      <sheetName val="损耗表"/>
      <sheetName val="含量表"/>
      <sheetName val="调价表"/>
      <sheetName val="综合单价分析表"/>
      <sheetName val="汇总表 "/>
      <sheetName val="General Index"/>
      <sheetName val="General Summary"/>
      <sheetName val="Plumb"/>
      <sheetName val="HVAC"/>
      <sheetName val="Emer"/>
      <sheetName val="Elec"/>
      <sheetName val="第一部分定价"/>
      <sheetName val="核算项目余额表"/>
      <sheetName val="材料单价表"/>
      <sheetName val="YC"/>
      <sheetName val="说明"/>
      <sheetName val="总量"/>
      <sheetName val="汇总表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成本比对汇总表"/>
      <sheetName val="合计"/>
      <sheetName val="外立面科目目标成本测算表（幕墙）"/>
      <sheetName val="外立面科目目标成本测算表（门窗）"/>
      <sheetName val="外立面科目目标成本测算表（门窗带钢副框）"/>
      <sheetName val="外立面科目目标成本测算表（涂料）"/>
      <sheetName val="工程量计算表1#"/>
      <sheetName val="工程量计算表2# "/>
      <sheetName val="工程量计算表3# "/>
      <sheetName val="工程量计算表4#"/>
      <sheetName val="工程量计算表5#"/>
      <sheetName val="工程量计算表6# "/>
      <sheetName val="财务成本"/>
      <sheetName val="变更项汇总表 (2)"/>
      <sheetName val="按投标图部分"/>
      <sheetName val="按施工图"/>
      <sheetName val="Sheet3"/>
      <sheetName val="装饰汇总"/>
      <sheetName val="材料汇总"/>
      <sheetName val="用量分摊(藏）"/>
      <sheetName val="国美商都A区外装饰幕墙工程"/>
      <sheetName val="单位工程费汇总表（A区）"/>
      <sheetName val="措施费A区"/>
      <sheetName val="其它项目清单A区"/>
      <sheetName val="工程清单汇总"/>
      <sheetName val="工程量清单"/>
      <sheetName val="单价分析表"/>
      <sheetName val="主要材料价格表"/>
      <sheetName val="零星工作项目计价表A区"/>
      <sheetName val="取费费率A区"/>
      <sheetName val="甲控乙供"/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PILE CAP"/>
      <sheetName val="BEAM"/>
      <sheetName val="SLAB"/>
      <sheetName val="WALL"/>
      <sheetName val="COLUMN"/>
      <sheetName val="Gener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措施费"/>
      <sheetName val="或建项目"/>
      <sheetName val="商业综合体"/>
      <sheetName val="空白单价分析表"/>
      <sheetName val="主要材料清单表"/>
      <sheetName val="宏1"/>
      <sheetName val="项目收益 (做资金现金流用)"/>
      <sheetName val="面积指标表"/>
      <sheetName val="项目收益"/>
      <sheetName val="目标成本"/>
      <sheetName val="差异分析"/>
      <sheetName val="成本策划定位表"/>
      <sheetName val="科目颜色区分"/>
      <sheetName val="fX8YK9"/>
      <sheetName val="合约规划1（2）"/>
      <sheetName val="合约规划（修改)"/>
      <sheetName val="合约规划（修改) (2)"/>
      <sheetName val="敏感性分析"/>
      <sheetName val="资金计划"/>
      <sheetName val="合约规划"/>
      <sheetName val="限价目录表"/>
      <sheetName val="材料价格表"/>
      <sheetName val="商务计划"/>
      <sheetName val="17#工程量"/>
      <sheetName val="17#清单"/>
      <sheetName val="P1工程量 "/>
      <sheetName val="P1,P2清单 "/>
      <sheetName val="清单1-裙楼Ea"/>
      <sheetName val="材料单价"/>
      <sheetName val="清单(三级)西"/>
      <sheetName val="清单(三级)南"/>
      <sheetName val="洋房"/>
      <sheetName val="洋房石材F23F25清单"/>
      <sheetName val="调价表 "/>
      <sheetName val="洋房石材询价"/>
      <sheetName val="SUM"/>
      <sheetName val="Heating"/>
      <sheetName val="Fire and Sanıtary"/>
      <sheetName val="Cooling "/>
      <sheetName val="业主责任6月底"/>
      <sheetName val="施工方责任6月底"/>
      <sheetName val="设计责任6月底"/>
      <sheetName val="分类说明"/>
      <sheetName val="原因说明"/>
      <sheetName val="台账"/>
      <sheetName val="变更单编号"/>
      <sheetName val="按原因分类"/>
      <sheetName val="数据库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G.1R-Shou COP Gf"/>
      <sheetName val="Open"/>
      <sheetName val="主材价格"/>
      <sheetName val="管桩"/>
      <sheetName val="管桩 (结算)"/>
      <sheetName val="承台"/>
      <sheetName val="底板"/>
      <sheetName val="板"/>
      <sheetName val="陶粒砼"/>
      <sheetName val="梁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3.4.5号楼裙楼2层雨棚"/>
      <sheetName val="3.4.5号楼裙楼3层雨棚 (2)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工程量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计算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一次汇总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材料单价表"/>
      <sheetName val="钢筋"/>
      <sheetName val="XLR_NoRangeSheet"/>
      <sheetName val="#REF"/>
      <sheetName val="门窗"/>
      <sheetName val="承台(砖模) "/>
      <sheetName val="柱"/>
      <sheetName val="工程量"/>
      <sheetName val="Financ. Overview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按新系统"/>
      <sheetName val="组价"/>
      <sheetName val="汇总"/>
      <sheetName val="改加胶玻璃、室外栏杆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一标段分部分项清单"/>
      <sheetName val="含量计算稿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封面"/>
      <sheetName val="报价说明"/>
      <sheetName val="投标总价表"/>
      <sheetName val="投标报价汇总表"/>
      <sheetName val="单位工程量清单汇总表"/>
      <sheetName val="分部分项工程量清单2"/>
      <sheetName val="分部分项工程量清单"/>
      <sheetName val="分项工程综合单价分析表 "/>
      <sheetName val="人工机械费及其它材料费清单"/>
      <sheetName val="主材损耗率清单"/>
      <sheetName val="费率清单"/>
      <sheetName val="限定品牌材料清单"/>
      <sheetName val="措施项目清单 "/>
      <sheetName val="零星工作项目清单"/>
      <sheetName val="指标及含量分配"/>
      <sheetName val="填报指引"/>
      <sheetName val="清单总目录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土建工程综合单价表"/>
      <sheetName val="土建工程综合单价组价明细表"/>
      <sheetName val="sheet2"/>
      <sheetName val="B1材料表"/>
      <sheetName val="工程量计算"/>
      <sheetName val="工程量"/>
      <sheetName val="XLR_NoRangeSheet"/>
      <sheetName val="Sheet1"/>
      <sheetName val="一次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SW-TEO"/>
      <sheetName val="工程量计算"/>
      <sheetName val="eqpmad2"/>
      <sheetName val="楼梯间"/>
      <sheetName val="设计部"/>
      <sheetName val="07水"/>
      <sheetName val="#REF!"/>
      <sheetName val="2.1设计部"/>
      <sheetName val="门窗表"/>
      <sheetName val="厨厕通用"/>
      <sheetName val="地坪"/>
      <sheetName val="DDETABLE "/>
      <sheetName val="POWER ASSUMPTIONS"/>
      <sheetName val="Toolbox"/>
      <sheetName val="合同明细"/>
      <sheetName val="Sheet2"/>
      <sheetName val="G.1R-Shou COP Gf"/>
      <sheetName val="Financ. Overview"/>
      <sheetName val="eva"/>
      <sheetName val="门窗"/>
      <sheetName val="A13-301"/>
      <sheetName val="一次汇总"/>
      <sheetName val="价格"/>
      <sheetName val="Open"/>
      <sheetName val="规划建筑一览表"/>
      <sheetName val="Main"/>
      <sheetName val="建安工程费(全)"/>
      <sheetName val="建安工程费（住宅）"/>
      <sheetName val="利润测算 (按物业类型)"/>
      <sheetName val="item information"/>
      <sheetName val="单位库"/>
      <sheetName val="新明源销售财务日报"/>
      <sheetName val="销售回款预测"/>
      <sheetName val="FYYS-1-编制底稿04-招聘活动支出"/>
      <sheetName val="项目汇总"/>
      <sheetName val="电视监控"/>
      <sheetName val="钢筋计算表"/>
      <sheetName val="分录表"/>
      <sheetName val="税金预测"/>
      <sheetName val="mwin"/>
      <sheetName val="汇总表1"/>
      <sheetName val="Sheet3"/>
      <sheetName val="折线图2数据"/>
      <sheetName val="施工参考单价报价表"/>
      <sheetName val="其它工作项目报价清单"/>
      <sheetName val="甲指乙供材料报价表"/>
      <sheetName val="11年计划"/>
      <sheetName val="字段"/>
      <sheetName val="3.投标总价汇总表"/>
      <sheetName val="4.1土建工程量清单计价表"/>
      <sheetName val="人员支出"/>
      <sheetName val="一般预算收入"/>
      <sheetName val="建安工程费"/>
      <sheetName val="基础设施费"/>
      <sheetName val="配套设施及不可预见"/>
      <sheetName val="前期工程费"/>
      <sheetName val="与原通过稿差异"/>
      <sheetName val="合同"/>
      <sheetName val="Sheet1"/>
      <sheetName val="与方案版差异"/>
      <sheetName val="全周期汇总表"/>
      <sheetName val="与方案版差异分析表 "/>
      <sheetName val="成本下降执行情况一览表"/>
      <sheetName val="D栋计算式明细"/>
      <sheetName val="背景音乐"/>
      <sheetName val="_Recovered_SheetName_ 0_"/>
      <sheetName val="总人口"/>
      <sheetName val="中小学生"/>
      <sheetName val="内围地梁钢筋说明"/>
      <sheetName val="单价分析过程"/>
      <sheetName val="主要材料价格表 (2)"/>
      <sheetName val="材料费工程量清单综合单价分析表"/>
      <sheetName val="主要材料、设备投标报价表"/>
      <sheetName val="Financ__Overview"/>
      <sheetName val="指定分包项目"/>
      <sheetName val="报价汇总表"/>
      <sheetName val="甲供材料设备及损耗表（甲购）"/>
      <sheetName val="基础台帐（土建）"/>
      <sheetName val="電気設備表"/>
      <sheetName val="大城际项目11.3"/>
      <sheetName val="3"/>
      <sheetName val="8"/>
      <sheetName val="列表"/>
      <sheetName val="average price"/>
      <sheetName val="05年预售率"/>
      <sheetName val="2006年宏观调控对绿城的影响"/>
      <sheetName val="二级科目"/>
      <sheetName val="基础信息"/>
      <sheetName val="银行账户信息"/>
      <sheetName val="室内汇总"/>
      <sheetName val="财政供养人员增幅"/>
      <sheetName val="报价细目表"/>
      <sheetName val="Estimate Details"/>
      <sheetName val="零星项目价格清单"/>
      <sheetName val="7#楼装饰部分"/>
      <sheetName val="8#楼-公区"/>
      <sheetName val="Control"/>
      <sheetName val="Bank Debt"/>
      <sheetName val="GFA"/>
      <sheetName val="主要规划指标"/>
      <sheetName val="单位"/>
      <sheetName val="1-合同台账"/>
      <sheetName val="5-综合认价台账"/>
      <sheetName val="四月份月报"/>
      <sheetName val="事业发展"/>
      <sheetName val="sn"/>
      <sheetName val="销售财务日报表②"/>
      <sheetName val="土方"/>
      <sheetName val="102 清单"/>
      <sheetName val="签约利润表"/>
      <sheetName val="测算模式"/>
      <sheetName val="目录"/>
      <sheetName val="材料"/>
      <sheetName val="UFPrn20020708110604"/>
      <sheetName val="现金流量表2"/>
      <sheetName val="现金流量表3"/>
      <sheetName val="00000000"/>
      <sheetName val="2002年3月份"/>
      <sheetName val="2004年4月份"/>
      <sheetName val="XL4Poppy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3"/>
      <sheetName val="表4"/>
      <sheetName val="表5"/>
      <sheetName val="表6"/>
      <sheetName val="表7"/>
      <sheetName val="表8"/>
      <sheetName val="表9"/>
      <sheetName val="表10"/>
      <sheetName val="表11"/>
      <sheetName val="表12"/>
      <sheetName val="表13"/>
      <sheetName val="表14"/>
      <sheetName val="表14 -1"/>
      <sheetName val="表14 -2"/>
      <sheetName val="表15"/>
      <sheetName val="仓储"/>
      <sheetName val="维修"/>
      <sheetName val="蒸汽"/>
      <sheetName val="供电"/>
      <sheetName val="污水"/>
      <sheetName val=" 能源"/>
      <sheetName val="供水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说明"/>
      <sheetName val="销量"/>
      <sheetName val="共享"/>
      <sheetName val="促销活动"/>
      <sheetName val="活动"/>
      <sheetName val="总表"/>
      <sheetName val="固定资产折旧测试"/>
      <sheetName val="__礫剑干啤（累"/>
      <sheetName val="ÏÖ½ðÁ÷Á¿±í2"/>
      <sheetName val="ÏÖ½ðÁ÷Á¿±í3"/>
      <sheetName val="2002Äê3ÔÂ·Ý"/>
      <sheetName val="2004Äê4ÔÂ·Ý"/>
      <sheetName val="±í1(»ã×Ü£©"/>
      <sheetName val="±í1 ÖÊ¹Ü²¿(14)"/>
      <sheetName val="±í1²ÆÎñ²¿(16) "/>
      <sheetName val="±í1ÐÐÕþ²¿(16)"/>
      <sheetName val="±í1²É¹º²¿(3)"/>
      <sheetName val="±í1Éè±¸²¿(9)"/>
      <sheetName val="±í1Éú²ú²¿(7)"/>
      <sheetName val="×Ü¾­°ì"/>
      <sheetName val="±í2"/>
      <sheetName val="±í1"/>
      <sheetName val="±í3"/>
      <sheetName val="±í4"/>
      <sheetName val="±í5"/>
      <sheetName val="±í6"/>
      <sheetName val="±í7"/>
      <sheetName val="±í8"/>
      <sheetName val="±í9"/>
      <sheetName val="±í10"/>
      <sheetName val="±í11"/>
      <sheetName val="±í12"/>
      <sheetName val="±í13"/>
      <sheetName val="±í14"/>
      <sheetName val="±í14 -1"/>
      <sheetName val="±í14 -2"/>
      <sheetName val="±í15"/>
      <sheetName val="²Ö´¢"/>
      <sheetName val="Î¬ÐÞ"/>
      <sheetName val="ÕôÆû"/>
      <sheetName val="¹©µç"/>
      <sheetName val="ÎÛË®"/>
      <sheetName val=" ÄÜÔ´"/>
      <sheetName val="¹©Ë®"/>
      <sheetName val="¿ÕÑ¹"/>
      <sheetName val="ÖÆãö"/>
      <sheetName val="¶þÑõ»¯Ì¼"/>
      <sheetName val="ÄðÔì"/>
      <sheetName val="°üÒ»"/>
      <sheetName val="°ü¶þ"/>
      <sheetName val="°üÈý"/>
      <sheetName val="×Ü¹«Ë¾"/>
      <sheetName val="ÂÌÒ¶24"/>
      <sheetName val="ÂÌÒ¶12"/>
      <sheetName val="ÂÌÒ¶10"/>
      <sheetName val="ÇåË¬ÂÌÒ¶24"/>
      <sheetName val="ÇåË¬ÂÌÒ¶12"/>
      <sheetName val="É¢Ôú¾Æ"/>
      <sheetName val="µ¥Î»³É±¾"/>
      <sheetName val="__µ_½£¸ÉÆ¡£¨ÀÛ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¹Ì¶¨×Ê²úÕÛ¾É²âÊÔ"/>
      <sheetName val="Links"/>
      <sheetName val="Lead"/>
      <sheetName val="___e¨¢¡Â¨¢_¡À¨ª2"/>
      <sheetName val="___e¨¢¡Â¨¢_¡À¨ª3"/>
      <sheetName val="2002_¨º3__¡¤Y"/>
      <sheetName val="2004_¨º4__¡¤Y"/>
      <sheetName val="¡À¨ª1(__¡Á¨¹¡ê_"/>
      <sheetName val="¡À¨ª1 _¨º1¨¹2_(14)"/>
      <sheetName val="¡À¨ª12___2_(16) "/>
      <sheetName val="¡À¨ª1DD_t2_(16)"/>
      <sheetName val="¡À¨ª12¨¦1o2_(3)"/>
      <sheetName val="¡À¨ª1¨¦¨¨¡À_2_(9)"/>
      <sheetName val="¡À¨ª1¨¦¨²2¨²2_(7)"/>
      <sheetName val="¡Á¨¹_-¡ã¨¬"/>
      <sheetName val="¡À¨ª2"/>
      <sheetName val="¡À¨ª1"/>
      <sheetName val="¡À¨ª3"/>
      <sheetName val="¡À¨ª4"/>
      <sheetName val="¡À¨ª5"/>
      <sheetName val="¡À¨ª6"/>
      <sheetName val="¡À¨ª7"/>
      <sheetName val="¡À¨ª8"/>
      <sheetName val="¡À¨ª9"/>
      <sheetName val="¡À¨ª10"/>
      <sheetName val="¡À¨ª11"/>
      <sheetName val="¡À¨ª12"/>
      <sheetName val="¡À¨ª13"/>
      <sheetName val="¡À¨ª14"/>
      <sheetName val="¡À¨ª14 -1"/>
      <sheetName val="¡À¨ª14 -2"/>
      <sheetName val="¡À¨ª15"/>
      <sheetName val="2_¡ä¡é"/>
      <sheetName val="__DT"/>
      <sheetName val="____"/>
      <sheetName val="1_¦Ì_"/>
      <sheetName val=" _¨¹_¡ä"/>
      <sheetName val="1___"/>
      <sheetName val="___1"/>
      <sheetName val="_t___¡¥¨¬_"/>
      <sheetName val="_e_¨¬"/>
      <sheetName val="¡ã¨¹¨°_"/>
      <sheetName val="¡ã¨¹_t"/>
      <sheetName val="¡ã¨¹¨¨y"/>
      <sheetName val="¡Á¨¹1___"/>
      <sheetName val="_¨¬¨°_24"/>
      <sheetName val="_¨¬¨°_12"/>
      <sheetName val="_¨¬¨°_10"/>
      <sheetName val="_____¨¬¨°_24"/>
      <sheetName val="_____¨¬¨°_12"/>
      <sheetName val="¨¦¡é_¨²__"/>
      <sheetName val="¦Ì£¤__3¨¦¡À_"/>
      <sheetName val="__¦Ì__¡ê_¨¦__¡ê¡§¨¤_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1¨¬_¡§¡Á¨º2¨²___¨¦2a¨º_"/>
      <sheetName val="SW_TEO"/>
      <sheetName val="隔墙"/>
      <sheetName val="00000ppy"/>
      <sheetName val="K2单人房"/>
      <sheetName val="清单汇总"/>
      <sheetName val="#REF"/>
      <sheetName val="硬质"/>
      <sheetName val="明細表"/>
      <sheetName val="資料庫"/>
      <sheetName val="21"/>
      <sheetName val="工程量清单报价汇总表"/>
      <sheetName val="Sheet9"/>
      <sheetName val="Hel-OIs"/>
      <sheetName val="02 19#～24#楼高层区幕墙装饰工程清单"/>
      <sheetName val="01 1#～18#楼多层区石材工程清单"/>
      <sheetName val="貨品科目"/>
      <sheetName val="墙面工程"/>
      <sheetName val="会计科目"/>
      <sheetName val="dm"/>
      <sheetName val="B"/>
      <sheetName val="Names"/>
      <sheetName val="索引表"/>
      <sheetName val="KKKKKKKK"/>
      <sheetName val=""/>
      <sheetName val="燃动"/>
      <sheetName val="土建工程综合单价表"/>
      <sheetName val="土建工程综合单价组价明细表"/>
      <sheetName val="量(原)"/>
      <sheetName val="VSNHEMQP"/>
      <sheetName val="附注"/>
      <sheetName val="分部分项工程量清单计价表1-1"/>
      <sheetName val="计算式"/>
      <sheetName val="费率表"/>
      <sheetName val="（地弹门）"/>
      <sheetName val="铝合金平开窗"/>
      <sheetName val="钢构玻璃雨棚"/>
      <sheetName val="玻璃幕墙"/>
      <sheetName val="石材"/>
      <sheetName val="基 础"/>
      <sheetName val="成本测算"/>
      <sheetName val="利润测算"/>
      <sheetName val="两税支付"/>
      <sheetName val="投资估算"/>
      <sheetName val="敏感性分析"/>
      <sheetName val="规划面积"/>
      <sheetName val="现金流量及资金计划"/>
      <sheetName val="酒店盈利测算"/>
      <sheetName val="利润测算表"/>
      <sheetName val="单方成本表"/>
      <sheetName val="LTM销售"/>
      <sheetName val="HTM销售"/>
      <sheetName val="生鲜销售"/>
      <sheetName val="收入"/>
      <sheetName val="参数"/>
      <sheetName val="2.规划面积"/>
      <sheetName val="5.投资估算"/>
      <sheetName val="02.参数表"/>
      <sheetName val="5.2.成本分配"/>
      <sheetName val="8.2.建安付款规划"/>
      <sheetName val="4.租售计划"/>
      <sheetName val="7.回款进度"/>
      <sheetName val="P1012001"/>
      <sheetName val="list"/>
      <sheetName val="NAME"/>
      <sheetName val="封面"/>
      <sheetName val="JY-4"/>
      <sheetName val="QY"/>
      <sheetName val="Data"/>
      <sheetName val="FIRE Parameters"/>
      <sheetName val="Bev.Cost"/>
      <sheetName val="07-6068"/>
      <sheetName val="40-2701"/>
      <sheetName val="2.1"/>
      <sheetName val="定价标准"/>
      <sheetName val="楼宇价目表A10"/>
      <sheetName val="楼宇价目表A9"/>
      <sheetName val="楼宇价目表B1"/>
      <sheetName val="楼宇价目表B2"/>
      <sheetName val="盈A030617使用格式"/>
      <sheetName val="南苑基本库"/>
      <sheetName val="Journal Listing"/>
      <sheetName val="Chart of Account"/>
      <sheetName val="填报说明 "/>
      <sheetName val="变更"/>
      <sheetName val="日报_无证（扣除变更数）"/>
      <sheetName val="日报_有证（扣除变更数）"/>
      <sheetName val="挞定退房"/>
      <sheetName val="Wl. Fin."/>
      <sheetName val="改加胶玻璃、室外栏杆"/>
      <sheetName val="General"/>
      <sheetName val="Bill-2.1（1）"/>
      <sheetName val="¡ä¨´_¨²___ꮸ⿜"/>
      <sheetName val="MC"/>
      <sheetName val="综合单价分析表"/>
      <sheetName val="措施费"/>
      <sheetName val="대비"/>
      <sheetName val="基础表"/>
      <sheetName val="表2 扣减系数表"/>
      <sheetName val="表5 取费表"/>
      <sheetName val="表二报价"/>
      <sheetName val="表4 五金配置表"/>
      <sheetName val="금융비용"/>
      <sheetName val="XLR_NoRangeSheet"/>
      <sheetName val="입찰안"/>
      <sheetName val="钢筋"/>
      <sheetName val="FitOutConfCentre"/>
      <sheetName val="1"/>
      <sheetName val="承台(砖模) "/>
      <sheetName val="柱"/>
      <sheetName val="清单"/>
      <sheetName val="大堂"/>
      <sheetName val="AP"/>
      <sheetName val="EST2(L)"/>
      <sheetName val="Node(1)"/>
      <sheetName val="SIGA"/>
      <sheetName val="Smoke Det"/>
      <sheetName val="网络视频服务器"/>
      <sheetName val="index"/>
      <sheetName val="地下室安装"/>
      <sheetName val="计算稿"/>
      <sheetName val="单价组成表"/>
      <sheetName val="计算明细附件1"/>
      <sheetName val="支付计划一期"/>
      <sheetName val="汇总"/>
      <sheetName val="雍华府"/>
      <sheetName val="依云郡"/>
      <sheetName val="贝肯山"/>
      <sheetName val="合计"/>
      <sheetName val="单价分析表3"/>
      <sheetName val="A1户型装饰"/>
      <sheetName val="铺装"/>
      <sheetName val="基本参数"/>
      <sheetName val="成本估算"/>
      <sheetName val="2"/>
      <sheetName val="6"/>
      <sheetName val="面积合计（藏）"/>
      <sheetName val="7"/>
      <sheetName val="4"/>
      <sheetName val="投标材料清单 "/>
      <sheetName val="5"/>
      <sheetName val="栽植外包"/>
      <sheetName val="华洋石材入库单"/>
      <sheetName val="莱州石材"/>
      <sheetName val="真石漆"/>
      <sheetName val="铁艺围栏"/>
      <sheetName val="西入口大门钢结构"/>
      <sheetName val="木结构"/>
      <sheetName val="亚峰园林钢结构"/>
      <sheetName val="门庭钢结构"/>
      <sheetName val="景石"/>
      <sheetName val="土建劳务"/>
      <sheetName val="机械 (2)"/>
      <sheetName val="种植土"/>
      <sheetName val="苗木费"/>
      <sheetName val="苗木费2"/>
      <sheetName val="资料库"/>
      <sheetName val="单价表"/>
      <sheetName val="Note 1 - Recon Profit"/>
      <sheetName val="Cash Flow Statement"/>
      <sheetName val="投标报价汇总表lhc"/>
      <sheetName val="S1单价表"/>
      <sheetName val="高层标准层电梯厅（包干）"/>
      <sheetName val="给排水工程量计算书"/>
      <sheetName val="工程量"/>
      <sheetName val="下拉"/>
      <sheetName val="2A工程量量明细"/>
      <sheetName val="分隔条工程量明细"/>
      <sheetName val="护角工程量明细"/>
      <sheetName val="3B工程量明细"/>
      <sheetName val="石材购买量统计"/>
      <sheetName val="基本数据"/>
      <sheetName val="基础工程量估算"/>
      <sheetName val="审计调整"/>
      <sheetName val="_______"/>
      <sheetName val="核算项目余额表"/>
      <sheetName val="工程库"/>
      <sheetName val="MASTER_RATE ANALYSIS"/>
      <sheetName val="设置"/>
      <sheetName val="信宜"/>
      <sheetName val="statement 1998"/>
      <sheetName val="企业表一"/>
      <sheetName val="KDB"/>
      <sheetName val="材料费调整"/>
      <sheetName val="外墙装饰"/>
      <sheetName val="715240"/>
      <sheetName val="电气清单"/>
      <sheetName val="雨水直槽"/>
      <sheetName val="污水签证"/>
      <sheetName val="沟槽石方结算"/>
      <sheetName val="沟槽石方"/>
      <sheetName val="清单部分"/>
      <sheetName val="污水按实"/>
      <sheetName val="雨水按实 "/>
      <sheetName val="人工费"/>
      <sheetName val="Assumptions"/>
      <sheetName val="Scenarios"/>
      <sheetName val="PRC GAAP"/>
      <sheetName val="户型主材表"/>
      <sheetName val="5F走道"/>
      <sheetName val="A投资指标"/>
      <sheetName val="Z控制表"/>
      <sheetName val="K流量表过渡"/>
      <sheetName val="O售价敏感分析"/>
      <sheetName val="下拉序列"/>
      <sheetName val="1#梁侧面积"/>
      <sheetName val="工程量计算手写稿"/>
      <sheetName val="计算表"/>
      <sheetName val="标准表格"/>
      <sheetName val="결과조달"/>
      <sheetName val="Aging Datasheet"/>
      <sheetName val="ECCS_1 DataSheet"/>
      <sheetName val="KPI Datasheet"/>
      <sheetName val="预算封面"/>
      <sheetName val="公检法司编制"/>
      <sheetName val="行政编制"/>
      <sheetName val="含量表"/>
      <sheetName val="表头"/>
      <sheetName val="累计利润表"/>
      <sheetName val="填表说明"/>
      <sheetName val="3、规划设计指标表"/>
      <sheetName val="下拉字段"/>
      <sheetName val="主城累计利润表"/>
      <sheetName val="主城月度利润表"/>
      <sheetName val="主城汇总考核表"/>
      <sheetName val="6.成本分配"/>
      <sheetName val="地下室"/>
      <sheetName val="5201.2004"/>
      <sheetName val="8.1.付款计划"/>
      <sheetName val="1-参数表"/>
      <sheetName val="敏感参数"/>
      <sheetName val="各种分类标准"/>
      <sheetName val="1#首层公区"/>
      <sheetName val="D0026B3"/>
      <sheetName val="综合认价"/>
      <sheetName val="设计指标"/>
      <sheetName val="参数表"/>
      <sheetName val="表1_质管部(14)"/>
      <sheetName val="表1财务部(16)_"/>
      <sheetName val="表14_-1"/>
      <sheetName val="表14_-2"/>
      <sheetName val="_能源"/>
      <sheetName val="13_65度雪花"/>
      <sheetName val="13_6雪花分配表"/>
      <sheetName val="13_65度沈阳"/>
      <sheetName val="13_65沈阳分配表"/>
      <sheetName val="煤水电备份_"/>
      <sheetName val="10_5度成本表"/>
      <sheetName val="桶酒20L_(雪)_"/>
      <sheetName val="桶酒30L_(雪)__"/>
      <sheetName val="±í1_ÖÊ¹Ü²¿(14)"/>
      <sheetName val="±í1²ÆÎñ²¿(16)_"/>
      <sheetName val="±í14_-1"/>
      <sheetName val="±í14_-2"/>
      <sheetName val="_ÄÜÔ´"/>
      <sheetName val="13_65¶ÈÑ©»¨"/>
      <sheetName val="13_6Ñ©»¨·ÖÅä±í"/>
      <sheetName val="13_65¶ÈÉòÑô"/>
      <sheetName val="13_65ÉòÑô·ÖÅä±í"/>
      <sheetName val="ÃºË®µç±¸·Ý_"/>
      <sheetName val="10_5¶È³É±¾±í"/>
      <sheetName val="Í°¾Æ20L_(Ñ©)_"/>
      <sheetName val="Í°¾Æ30L_(Ñ©)__"/>
      <sheetName val="¡À¨ª1__¨º1¨¹2_(14)"/>
      <sheetName val="¡À¨ª12___2_(16)_"/>
      <sheetName val="¡À¨ª14_-1"/>
      <sheetName val="¡À¨ª14_-2"/>
      <sheetName val="__¨¹_¡ä"/>
      <sheetName val="13_65_¨¨___¡§"/>
      <sheetName val="13_6___¡§¡¤___¡À¨ª"/>
      <sheetName val="13_65_¨¨¨¦¨°__"/>
      <sheetName val="13_65¨¦¨°__¡¤___¡À¨ª"/>
      <sheetName val="_o__¦Ì_¡À_¡¤Y_"/>
      <sheetName val="10_5_¨¨3¨¦¡À_¡À¨ª"/>
      <sheetName val="¨ª¡ã__20L_(__)_"/>
      <sheetName val="¨ª¡ã__30L_(__)__"/>
      <sheetName val="coa"/>
      <sheetName val="Input"/>
      <sheetName val="Rental"/>
      <sheetName val="计量单位库"/>
      <sheetName val="防水指标"/>
      <sheetName val="钢材单重"/>
      <sheetName val="9.2.2分部分项清单 B8"/>
      <sheetName val="03年价目表"/>
      <sheetName val="规划指标"/>
      <sheetName val="temp"/>
      <sheetName val="型材线密度表"/>
      <sheetName val="防水工程"/>
      <sheetName val="本年收入合计"/>
      <sheetName val="基础项目"/>
      <sheetName val="材料汇总"/>
      <sheetName val="MOHKG"/>
      <sheetName val="表2.5 一展空间精装工程 "/>
      <sheetName val="基础数据"/>
      <sheetName val="下单界面"/>
      <sheetName val="木地板及踢脚"/>
      <sheetName val="硬景部分（一标段）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Financ. Overview"/>
      <sheetName val="Toolbox"/>
      <sheetName val="单位库"/>
      <sheetName val="Main"/>
      <sheetName val="SW-TEO"/>
      <sheetName val="_REF!"/>
      <sheetName val="Sheet1"/>
      <sheetName val="Sheet2"/>
      <sheetName val="2002年3月份"/>
      <sheetName val="2004年4月份"/>
      <sheetName val="Sheet3"/>
      <sheetName val="XL4Poppy"/>
      <sheetName val="仓储"/>
      <sheetName val="企业表一"/>
      <sheetName val="M-5A"/>
      <sheetName val="POWER ASSUMPTIONS"/>
      <sheetName val="eqpmad2"/>
      <sheetName val="2002Äê3ÔÂ·Ý"/>
      <sheetName val="2004Äê4ÔÂ·Ý"/>
      <sheetName val="²Ö´¢"/>
      <sheetName val="ÆóÒµ±íÒ»"/>
      <sheetName val="B"/>
      <sheetName val="Financ_ Overview"/>
      <sheetName val="2002_¨º3__¡¤Y"/>
      <sheetName val="2004_¨º4__¡¤Y"/>
      <sheetName val="2_¡ä¡é"/>
      <sheetName val="_¨®¨°¦Ì¡À¨ª¨°_"/>
      <sheetName val="#REF!"/>
      <sheetName val="GP_AT"/>
      <sheetName val="Breakdown-Intrim"/>
      <sheetName val="关联方及集团内清单"/>
      <sheetName val="调整分录汇总"/>
      <sheetName val="预付清单"/>
      <sheetName val="在建工程设备"/>
      <sheetName val="财务费用"/>
      <sheetName val="资产负债表及损益表"/>
      <sheetName val="制造费用"/>
      <sheetName val="重要内部交易"/>
      <sheetName val="管理费用"/>
      <sheetName val="目录"/>
      <sheetName val="营业费用"/>
      <sheetName val="核算项目余额表"/>
      <sheetName val="64151支付情况"/>
      <sheetName val="包增减变动"/>
      <sheetName val="会计科目"/>
      <sheetName val="共機J"/>
      <sheetName val="MOHKG"/>
      <sheetName val="07水"/>
      <sheetName val="楼梯间"/>
      <sheetName val="合同明细"/>
      <sheetName val="主要规划指标"/>
      <sheetName val="9.2.2分部分项清单 B8"/>
      <sheetName val="#REF"/>
      <sheetName val="eva"/>
      <sheetName val="G.1R-Shou COP Gf"/>
      <sheetName val="e"/>
      <sheetName val="防水指标"/>
      <sheetName val="附件C"/>
      <sheetName val="一次汇总"/>
      <sheetName val="VRV参数"/>
      <sheetName val="00000ppy"/>
      <sheetName val="总人口"/>
      <sheetName val="普通套房2BS"/>
      <sheetName val="隔墙"/>
      <sheetName val="电视监控"/>
      <sheetName val="Open"/>
      <sheetName val="BA "/>
      <sheetName val="BA-Pl"/>
      <sheetName val="设备清单整理"/>
      <sheetName val="汇总表"/>
      <sheetName val="Sheet9"/>
      <sheetName val="Estimate Details"/>
      <sheetName val="Financ__Overview"/>
      <sheetName val="税金预测"/>
      <sheetName val="参照表"/>
      <sheetName val="1-4栋结算清单汇总表"/>
      <sheetName val="合同"/>
      <sheetName val="钢筋计算表"/>
      <sheetName val="承台(砖模) "/>
      <sheetName val="工程量计算"/>
      <sheetName val="2.1设计部"/>
      <sheetName val="合计"/>
      <sheetName val="财政供养人员增幅"/>
      <sheetName val="事业发展"/>
      <sheetName val="村级支出"/>
      <sheetName val="工程量清单-D1户型"/>
      <sheetName val="temp"/>
      <sheetName val="Mp-team 1"/>
      <sheetName val="3"/>
      <sheetName val="1#量统计"/>
      <sheetName val="嘉里塔楼工程量"/>
      <sheetName val="11年计划"/>
      <sheetName val="字段"/>
      <sheetName val="折线图2数据"/>
      <sheetName val="在水一方"/>
      <sheetName val="测算模式"/>
      <sheetName val="销售财务日报表②"/>
      <sheetName val="平衡表"/>
      <sheetName val="科目余额表"/>
      <sheetName val="P1012001"/>
      <sheetName val="金悦派"/>
      <sheetName val="内围地梁钢筋说明"/>
      <sheetName val="XLR_NoRangeSheet"/>
      <sheetName val="General"/>
      <sheetName val="Arch"/>
      <sheetName val="DDETABLE "/>
      <sheetName val="清单"/>
      <sheetName val="人工工时"/>
      <sheetName val="Combo"/>
      <sheetName val="1.1合同造价清单-总价包干"/>
      <sheetName val="算分表"/>
      <sheetName val="301-6"/>
      <sheetName val="工程材料"/>
      <sheetName val="总措施项目"/>
      <sheetName val="柱"/>
      <sheetName val="改加胶玻璃、室外栏杆"/>
      <sheetName val="21"/>
      <sheetName val="Data"/>
      <sheetName val="KKKKKKKK"/>
      <sheetName val="   合同台账  "/>
      <sheetName val="Estimate"/>
      <sheetName val="List"/>
      <sheetName val="科目表 "/>
      <sheetName val="合同卡片"/>
      <sheetName val="变量单"/>
      <sheetName val="5期B栋会所装饰精装修"/>
      <sheetName val="工程量"/>
      <sheetName val="2002_ê3__·Y"/>
      <sheetName val="2004_ê4__·Y"/>
      <sheetName val="2_′￠"/>
      <sheetName val="_óòμ±íò_"/>
      <sheetName val="22号"/>
      <sheetName val="资产负债表"/>
      <sheetName val="M-5C"/>
      <sheetName val="盈余公积 （合并)"/>
      <sheetName val="试算平衡表"/>
      <sheetName val=""/>
      <sheetName val="Bill-2.1（1）"/>
      <sheetName val="ironmongery"/>
      <sheetName val="KDB"/>
      <sheetName val="平开窗（单价）"/>
      <sheetName val="人工及辅材"/>
      <sheetName val="7"/>
      <sheetName val="投标材料清单 "/>
      <sheetName val="装饰部分"/>
      <sheetName val="人工费"/>
      <sheetName val="计算式模板"/>
      <sheetName val="Wl. Fin."/>
      <sheetName val="规划面积"/>
      <sheetName val="建安付款规划"/>
      <sheetName val="敏感性分析"/>
      <sheetName val="酒店盈利测算"/>
      <sheetName val="*REF!"/>
      <sheetName val="2002?¨º3??¡¤Y"/>
      <sheetName val="2004?¨º4??¡¤Y"/>
      <sheetName val="2?¡ä¡é"/>
      <sheetName val="?¨®¨°¦Ì¡À¨ª¨°?"/>
      <sheetName val="5201.2004"/>
      <sheetName val="甲指乙供材料报价表"/>
      <sheetName val="資料庫"/>
      <sheetName val="FYYS-1-编制底稿04-招聘活动支出"/>
      <sheetName val="8"/>
      <sheetName val="封面"/>
      <sheetName val="2002-CMHK"/>
      <sheetName val="四月份月报"/>
      <sheetName val="行政区划"/>
      <sheetName val="控股"/>
      <sheetName val="GDP"/>
      <sheetName val="香港瑞嘉08"/>
      <sheetName val="detail"/>
      <sheetName val="农业人口"/>
      <sheetName val="基础数据命名表"/>
      <sheetName val="现金流量表"/>
      <sheetName val="新明源销售财务日报"/>
      <sheetName val="单位"/>
      <sheetName val="JE"/>
      <sheetName val="COA"/>
      <sheetName val="master"/>
      <sheetName val="综合认价"/>
      <sheetName val="貨品科目"/>
      <sheetName val="1.1.1（土建6#楼）"/>
      <sheetName val="室内汇总"/>
      <sheetName val="2002年一般预算收入"/>
      <sheetName val="墙面工程"/>
      <sheetName val="公共区装饰 (2层)"/>
      <sheetName val="公共区装饰 (3层)"/>
      <sheetName val="公共区装饰 (1期) "/>
      <sheetName val="公共区装饰 (负1层) "/>
      <sheetName val="公共区装饰 (1层)"/>
      <sheetName val="土建工程综合单价表"/>
      <sheetName val="土建工程综合单价组价明细表"/>
      <sheetName val="中区地下室"/>
      <sheetName val="北区上盖"/>
      <sheetName val="优惠统计表"/>
      <sheetName val="1-10月"/>
      <sheetName val="公司名称"/>
      <sheetName val="填表情况"/>
      <sheetName val="2.1a-移动通话费"/>
      <sheetName val="2.2a-国內长途话费"/>
      <sheetName val="2.3a-港澳台长途话费"/>
      <sheetName val="2.4a-国际长途话费"/>
      <sheetName val="2.5a-IP长途话费"/>
      <sheetName val="2.6a-省內及省际出访漫遊"/>
      <sheetName val="2.7a-国际出访漫遊"/>
      <sheetName val="2.8a-月租费"/>
      <sheetName val="2.9.1a-网间结算收入"/>
      <sheetName val="2.9.2a-入访漫游"/>
      <sheetName val="2.9.5a-增值数据CMNET收入"/>
      <sheetName val="2.1-租賃支出"/>
      <sheetName val="2.2-业务费"/>
      <sheetName val="2.14-出访漫游"/>
      <sheetName val="2.3-佣金 手续费"/>
      <sheetName val="2.20-非付现宣传费用"/>
      <sheetName val="3-货币資金"/>
      <sheetName val="4-短期投資"/>
      <sheetName val="2.4-优惠统计"/>
      <sheetName val="2.5-维修费"/>
      <sheetName val="2.6-营业费用"/>
      <sheetName val="2.7-员工人数统计"/>
      <sheetName val="3-货币資金明細"/>
      <sheetName val="3.1.1银行调节表"/>
      <sheetName val="3.1.2银行调节表"/>
      <sheetName val="3.1.3-银行调节表"/>
      <sheetName val="4-应收帐款"/>
      <sheetName val="4.1-坏帐准备 "/>
      <sheetName val="5.1-其他应收款"/>
      <sheetName val="8-存貨"/>
      <sheetName val="5.2-预付帐款"/>
      <sheetName val="6.1-待摊费用"/>
      <sheetName val="10-其他流动資产"/>
      <sheetName val="11-长期投资"/>
      <sheetName val="7B-存貨"/>
      <sheetName val="7B.1-存貨"/>
      <sheetName val="存货盘点表7.1"/>
      <sheetName val="存货盘点表7.2"/>
      <sheetName val="8.1-固定資产"/>
      <sheetName val="8.2-非生产用固定资产"/>
      <sheetName val="9-在建工程"/>
      <sheetName val="10-工程物资"/>
      <sheetName val="15-无形資产"/>
      <sheetName val="11-长期待摊费用"/>
      <sheetName val="17-短期借款"/>
      <sheetName val="18-应付帐款"/>
      <sheetName val="19-預收帐款"/>
      <sheetName val="20-其他应付款"/>
      <sheetName val="21-应交稅金"/>
      <sheetName val="22-其他应交款"/>
      <sheetName val="23-預提费用"/>
      <sheetName val="24-一年内到期的长期负债"/>
      <sheetName val="25-长期借款"/>
      <sheetName val="25.1-长期借款"/>
      <sheetName val="26-长期应付款"/>
      <sheetName val="26.1-长期应付款"/>
      <sheetName val="25-入网费收费标准"/>
      <sheetName val="29-关联应收付"/>
      <sheetName val="30-資本承担"/>
      <sheetName val="31-经营租賃合约"/>
      <sheetName val="16-未付工程款"/>
      <sheetName val="17-无形資产"/>
      <sheetName val="18.1-应付帐款"/>
      <sheetName val="18.2-其他应付款"/>
      <sheetName val="18.3-预提费用"/>
      <sheetName val="18.4-其它应交款"/>
      <sheetName val="18.5-未交稅金"/>
      <sheetName val="18.6-預收帐款"/>
      <sheetName val="19-資本承担"/>
      <sheetName val="20-经营租賃合约"/>
      <sheetName val="23-或有事项"/>
      <sheetName val="24-在建工程结转固定资产情况"/>
      <sheetName val="27.1以前年度损益调整"/>
      <sheetName val="28.1-确认书附表(电信)"/>
      <sheetName val="Sheet8"/>
      <sheetName val="Sheet7"/>
      <sheetName val="Sheet6"/>
      <sheetName val="Sheet5"/>
      <sheetName val="Sheet4"/>
      <sheetName val="28.2-确认书附表(邮政局)"/>
      <sheetName val="28.3-确认书附表(移动集团)"/>
      <sheetName val="28.4-确认书附表(寻呼公司)"/>
      <sheetName val="28.5-确认书附表(无委会)"/>
      <sheetName val="28.6-确认书附表(其他邮电关联公司)"/>
      <sheetName val="36-資本开支"/>
      <sheetName val="37-十大供应商"/>
      <sheetName val="HBBZBK"/>
      <sheetName val="2月请款"/>
      <sheetName val="基本参数"/>
      <sheetName val="成本估算"/>
      <sheetName val="2"/>
      <sheetName val="6"/>
      <sheetName val="面积合计（藏）"/>
      <sheetName val="4"/>
      <sheetName val="5"/>
      <sheetName val="1"/>
      <sheetName val="规划指标"/>
      <sheetName val="Interims"/>
      <sheetName val="盈A030617使用格式"/>
      <sheetName val="楼宇价目表A10"/>
      <sheetName val="楼宇价目表A9"/>
      <sheetName val="楼宇价目表B1"/>
      <sheetName val="楼宇价目表B2"/>
      <sheetName val="南苑基本库"/>
      <sheetName val="4.产品成本分摊"/>
      <sheetName val="公检法司编制"/>
      <sheetName val="行政编制"/>
      <sheetName val="做法表"/>
      <sheetName val="钢材单重"/>
      <sheetName val="mwin"/>
      <sheetName val="收入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投资估算"/>
      <sheetName val="参数表"/>
      <sheetName val="利润测算"/>
      <sheetName val="两税支付"/>
      <sheetName val="利润测算（按物业类型）"/>
      <sheetName val="测算明细表(0+1+1)"/>
      <sheetName val="PREVCM"/>
      <sheetName val="before"/>
      <sheetName val="GP_AT.XLS"/>
      <sheetName val="index"/>
      <sheetName val="GRSummary"/>
      <sheetName val="报价细目表"/>
      <sheetName val="03-工程量清单偏差表"/>
      <sheetName val="工程量价分析表"/>
      <sheetName val="单包汇总清单"/>
      <sheetName val="双包汇总清单"/>
      <sheetName val="措施费对比表"/>
      <sheetName val="材料采购清单"/>
      <sheetName val="劳务辅材清单"/>
      <sheetName val="EXRATE"/>
      <sheetName val="表头"/>
      <sheetName val="利润测算_(按物业类型)"/>
      <sheetName val="现金流量及资金计划"/>
      <sheetName val="科目名称表"/>
      <sheetName val="利润测算 (按物业类型)"/>
      <sheetName val="平开窗0515"/>
      <sheetName val="A3 &amp; U 09-01"/>
      <sheetName val="庭院工程 "/>
      <sheetName val="设计部"/>
      <sheetName val="ZB"/>
      <sheetName val="LTM销售"/>
      <sheetName val="HTM销售"/>
      <sheetName val="生鲜销售"/>
      <sheetName val="费用表"/>
      <sheetName val="SOR.3.1.4"/>
      <sheetName val="B3.1.5"/>
      <sheetName val="清单1-裙楼Ea"/>
      <sheetName val="company operations"/>
      <sheetName val="hangzhou2"/>
      <sheetName val="Control"/>
      <sheetName val="施工参考单价报价表"/>
      <sheetName val="铺装计算式"/>
      <sheetName val="下拉"/>
      <sheetName val="常用项目"/>
      <sheetName val="基本数据"/>
      <sheetName val="土方"/>
      <sheetName val="材料单价表"/>
      <sheetName val="其它工作项目报价清单"/>
      <sheetName val="材料"/>
      <sheetName val="雨棚"/>
      <sheetName val="合格证 (2)"/>
      <sheetName val="本期工程报价总表"/>
      <sheetName val="Constants"/>
      <sheetName val="报价单"/>
      <sheetName val="Input"/>
      <sheetName val="DialogData"/>
      <sheetName val="网络视频服务器"/>
      <sheetName val="禁删"/>
      <sheetName val="2.1高层室内装饰"/>
      <sheetName val="新产品贡献率"/>
      <sheetName val="Financ__Overview1"/>
      <sheetName val="POWER_ASSUMPTIONS"/>
      <sheetName val="设定"/>
      <sheetName val="推拉"/>
      <sheetName val="综合计算表(饰面)"/>
      <sheetName val="补充工程量清单"/>
      <sheetName val="3-10存货汇总"/>
      <sheetName val="3-1-1现金"/>
      <sheetName val="明细分类账"/>
      <sheetName val="裙房"/>
      <sheetName val="明细表"/>
      <sheetName val="EVALUATE园建工程"/>
      <sheetName val="园林电气汇总"/>
      <sheetName val="XX排总"/>
      <sheetName val="现金清单"/>
      <sheetName val="表0参数配置表"/>
      <sheetName val="表6-项目总投资"/>
      <sheetName val="表6.1-项目总投资明细表"/>
      <sheetName val="模板配置"/>
      <sheetName val="配置表 "/>
      <sheetName val="基础数据"/>
      <sheetName val="业态"/>
      <sheetName val="1项目基础数据表"/>
      <sheetName val="B1-1清单外装修"/>
      <sheetName val="计算式"/>
      <sheetName val="_x005f_x0000__x005f_x0000__x005"/>
      <sheetName val="_x005f_x005f_x005f_x0000__x005f"/>
      <sheetName val="变量指标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PUR资料库"/>
      <sheetName val="资料库"/>
      <sheetName val="VSNHEMQP"/>
      <sheetName val="_x005f_x0000__x005f"/>
      <sheetName val="表4装修工程量清单"/>
      <sheetName val="_x005f_x005f_x005f_x005f_"/>
      <sheetName val="_x005f_x005f_"/>
      <sheetName val="代码表1"/>
      <sheetName val="清单汇总表"/>
      <sheetName val="MXB1"/>
      <sheetName val="MXB10"/>
      <sheetName val="总表"/>
      <sheetName val="窗型过程"/>
      <sheetName val="窗变量"/>
      <sheetName val="门窗拆料单"/>
      <sheetName val="玻璃表"/>
      <sheetName val="计价表"/>
      <sheetName val="help"/>
      <sheetName val="钢材表"/>
      <sheetName val="型材表"/>
      <sheetName val="门窗表"/>
      <sheetName val="配件表"/>
      <sheetName val="标准表格"/>
      <sheetName val="户型汇总表"/>
      <sheetName val="2006年10月"/>
      <sheetName val="基础项目"/>
      <sheetName val="铝合金"/>
      <sheetName val="月计划"/>
      <sheetName val="SUMMARY"/>
      <sheetName val="LB020A(月)"/>
      <sheetName val="售楼部装饰部分"/>
      <sheetName val="灌木工程"/>
      <sheetName val="硬质结算表"/>
      <sheetName val="综合单价分析表"/>
      <sheetName val="户型主材表"/>
      <sheetName val="B2"/>
      <sheetName val="S1单价表"/>
      <sheetName val="W02"/>
      <sheetName val="W13"/>
      <sheetName val="W12"/>
      <sheetName val="W01"/>
      <sheetName val="S12"/>
      <sheetName val="S11"/>
      <sheetName val="S02"/>
      <sheetName val="S01"/>
      <sheetName val="S05"/>
      <sheetName val="MPT FA"/>
      <sheetName val="无合同工程及销费"/>
      <sheetName val="科目列表"/>
      <sheetName val="成本动态台帐"/>
      <sheetName val="電気設備表"/>
      <sheetName val="本年收入合计"/>
      <sheetName val="工商税收"/>
      <sheetName val="Sch PR-2"/>
      <sheetName val="Sch PR-3"/>
      <sheetName val="农业用地"/>
      <sheetName val="汇总"/>
      <sheetName val="装饰3#楼 "/>
      <sheetName val="装饰4#楼"/>
      <sheetName val="111"/>
      <sheetName val="改造清单"/>
      <sheetName val="道路工程"/>
      <sheetName val="绿化工程"/>
      <sheetName val="明細表"/>
      <sheetName val="地梁"/>
      <sheetName val="MC"/>
      <sheetName val="至10月末全成本汇总表（动态）"/>
      <sheetName val="包干费用表"/>
      <sheetName val="建筑面积 "/>
      <sheetName val="10月佳通债务转移分析"/>
      <sheetName val="SUM"/>
      <sheetName val="安装主材表"/>
      <sheetName val="46~47层装饰主材表"/>
      <sheetName val="装饰清单（标段二）"/>
      <sheetName val="汇总表（一标段）"/>
      <sheetName val="汇总表 (二标段)"/>
      <sheetName val="装修材料费"/>
      <sheetName val="红叶负一"/>
      <sheetName val="材料表"/>
      <sheetName val="取费表"/>
      <sheetName val="系统材料"/>
      <sheetName val="15GSP"/>
      <sheetName val="실행철강하도"/>
      <sheetName val="三、酒店玻璃幕墙、金属幕墙"/>
      <sheetName val="average price"/>
      <sheetName val="05年预售率"/>
      <sheetName val="2006年宏观调控对绿城的影响"/>
      <sheetName val="Bank Debt"/>
      <sheetName val="GFA"/>
      <sheetName val="2经济测算"/>
      <sheetName val="2001 Monthly Sum"/>
      <sheetName val="人员支出"/>
      <sheetName val="支付计划一期"/>
      <sheetName val="中山低值"/>
      <sheetName val="Construction"/>
      <sheetName val="B1"/>
      <sheetName val="B3"/>
      <sheetName val="B4"/>
      <sheetName val="B9"/>
      <sheetName val="B5"/>
      <sheetName val="B8"/>
      <sheetName val="B6"/>
      <sheetName val="B10"/>
      <sheetName val="平整场地面积工程量计算表"/>
      <sheetName val="E100"/>
      <sheetName val="N100"/>
      <sheetName val="A3"/>
      <sheetName val="分类说明"/>
      <sheetName val="损  益  表"/>
      <sheetName val="第一部分定价"/>
      <sheetName val="二号清单-联排别墅地下土建（14#）"/>
      <sheetName val="D0026B3"/>
      <sheetName val="BAU"/>
      <sheetName val="电气工程"/>
      <sheetName val="综合单价组价表-安装"/>
      <sheetName val="综合单价组价表-装饰"/>
      <sheetName val="装饰工程"/>
      <sheetName val="给排水"/>
      <sheetName val="柜台清单"/>
      <sheetName val="综合单价组价表-柜台"/>
      <sheetName val="零星设备"/>
      <sheetName val="通风工程"/>
      <sheetName val="计算书"/>
      <sheetName val="楼梯钢筋"/>
      <sheetName val="墙类型"/>
      <sheetName val="FI"/>
      <sheetName val="敏感详细分析"/>
      <sheetName val="1.审算工程量"/>
      <sheetName val="输入表"/>
      <sheetName val="现场签证计价表"/>
      <sheetName val="设计变更计价表"/>
      <sheetName val="（一）SJ-000217-01计算稿"/>
      <sheetName val="型材线密度表"/>
      <sheetName val="价格"/>
      <sheetName val="工作台帐"/>
      <sheetName val="单价分析表"/>
      <sheetName val="参数"/>
      <sheetName val="基础资料（B）"/>
      <sheetName val="2.规划面积"/>
      <sheetName val="5.投资估算"/>
      <sheetName val="02.参数表"/>
      <sheetName val="5.2.成本分配"/>
      <sheetName val="8.2.建安付款规划"/>
      <sheetName val="NAME"/>
      <sheetName val="成本项目"/>
      <sheetName val="TAX COM"/>
      <sheetName val="模板"/>
      <sheetName val="综合单价汇总表"/>
      <sheetName val="_x005f_x0000__x005f_x0000__x005f_x0000__x005f_x0000__x0"/>
      <sheetName val="_x005f_x005f_x005f_x0000__x005f_x005f_x005f_x0000__x005"/>
      <sheetName val="_x005f_x005f_x005f_x005f_x005f_x005f_x005f_x0000__x005f"/>
      <sheetName val="_x005f_x005f_x005f_x005f_x005f_x005f_x005f_x005f_x005f_x005f_"/>
      <sheetName val="创想（A标段）"/>
      <sheetName val="BOX SUM"/>
      <sheetName val="accode"/>
      <sheetName val="33米以下B档 T2（幕墙）"/>
      <sheetName val="33-54米B档 T2（幕墙）"/>
      <sheetName val="B1材料表"/>
      <sheetName val="材料单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一览表"/>
      <sheetName val="汇总表"/>
      <sheetName val="说明"/>
      <sheetName val="B1"/>
      <sheetName val="B1材料"/>
      <sheetName val="B2材料"/>
      <sheetName val="售楼材料"/>
      <sheetName val="B1材料表"/>
      <sheetName val="B2材料表"/>
      <sheetName val="售楼材料表"/>
      <sheetName val="人工辅材"/>
      <sheetName val="B1参数"/>
      <sheetName val="年度采购"/>
      <sheetName val="B1样板"/>
      <sheetName val="B2样板"/>
      <sheetName val="售楼样板"/>
      <sheetName val="Sheet1"/>
      <sheetName val="一次汇总"/>
      <sheetName val="Financ. Overview"/>
      <sheetName val="Main"/>
      <sheetName val="sheet2"/>
      <sheetName val="建筑面积 "/>
      <sheetName val="XLR_NoRangeSheet"/>
      <sheetName val="成本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面积"/>
      <sheetName val="型材汇总表"/>
      <sheetName val="一次汇总"/>
      <sheetName val="成措分(框架）"/>
      <sheetName val="成措分 (单元)"/>
      <sheetName val="成本"/>
      <sheetName val="成本汇总"/>
      <sheetName val="分析表 (框架）"/>
      <sheetName val="分析表 (单元）"/>
      <sheetName val="封－1"/>
      <sheetName val="说"/>
      <sheetName val="工汇"/>
      <sheetName val="位汇"/>
      <sheetName val="分部分项工(框架)"/>
      <sheetName val="分部分项(单元)"/>
      <sheetName val="分表（框架）"/>
      <sheetName val="分表（单元）"/>
      <sheetName val="技术措施"/>
      <sheetName val="组织措施"/>
      <sheetName val="其他"/>
      <sheetName val="暂金"/>
      <sheetName val="专暂"/>
      <sheetName val="计工"/>
      <sheetName val="总服"/>
      <sheetName val="工日"/>
      <sheetName val="材料"/>
      <sheetName val="机械"/>
      <sheetName val="材料表"/>
      <sheetName val="3"/>
      <sheetName val="钢筋"/>
      <sheetName val="XLR_NoRangeSheet"/>
      <sheetName val="#REF"/>
      <sheetName val="材料价格表"/>
      <sheetName val="G2Tem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型材汇总表"/>
      <sheetName val="成本"/>
      <sheetName val="成措分"/>
      <sheetName val="成本汇总"/>
      <sheetName val="一次汇总"/>
      <sheetName val="封面"/>
      <sheetName val="说明"/>
      <sheetName val="汇总表（外报）"/>
      <sheetName val="分部分项（外报）"/>
      <sheetName val="措施费（外报）"/>
      <sheetName val="拆除修复费（外报）"/>
      <sheetName val="综合单价"/>
      <sheetName val="内围地梁钢筋说明"/>
      <sheetName val="材料表"/>
      <sheetName val="工程量计算"/>
      <sheetName val="改加胶玻璃、室外栏杆"/>
      <sheetName val="费用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  <sheetName val="#REF!"/>
      <sheetName val="改加胶玻璃、室外栏杆"/>
      <sheetName val="Open"/>
      <sheetName val="8"/>
      <sheetName val="3"/>
      <sheetName val="面积合计（藏）"/>
      <sheetName val="2"/>
      <sheetName val="5"/>
      <sheetName val="7"/>
      <sheetName val="6"/>
      <sheetName val="投标材料清单 "/>
      <sheetName val="4"/>
      <sheetName val="1"/>
      <sheetName val="XLR_NoRangeSheet"/>
      <sheetName val="Sheet1"/>
      <sheetName val="KDB"/>
      <sheetName val="21"/>
      <sheetName val="承台(砖模) "/>
      <sheetName val="柱"/>
      <sheetName val="建筑面积 "/>
      <sheetName val="Hoja1"/>
      <sheetName val="审计调整"/>
      <sheetName val="房屋及建筑物"/>
      <sheetName val="Main"/>
      <sheetName val="清单"/>
      <sheetName val="1."/>
      <sheetName val="雨棚"/>
      <sheetName val="材料"/>
      <sheetName val="一次汇总"/>
      <sheetName val="成本汇总"/>
      <sheetName val="钢筋"/>
      <sheetName val="表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报价调整说明"/>
      <sheetName val="材料询价单"/>
      <sheetName val="型材汇总表"/>
      <sheetName val="计算表"/>
      <sheetName val="成本汇总"/>
      <sheetName val="成措分"/>
      <sheetName val="一次汇总"/>
      <sheetName val="成本单价分析"/>
      <sheetName val="综合单价分析表"/>
      <sheetName val="封面"/>
      <sheetName val="总说明"/>
      <sheetName val="报价汇总表"/>
      <sheetName val="措施费报价表"/>
      <sheetName val="单项工程造价汇总表"/>
      <sheetName val="单位工程造价汇总表(1)"/>
      <sheetName val="工程量清单(1)"/>
      <sheetName val="措施项目清单计价表(一)(1)"/>
      <sheetName val="措施项目清单计价表(二)(1)"/>
      <sheetName val="其他项目清单计价表（1）"/>
      <sheetName val="零星（1）"/>
      <sheetName val="规费和税金清单计价表（1）"/>
      <sheetName val="分部分项工程量清单综合单价分析表(1)"/>
      <sheetName val="单位工程造价汇总表(2)"/>
      <sheetName val="工程量清单(2)"/>
      <sheetName val="措施项目清单计价表(一)(2)"/>
      <sheetName val="措施项目清单计价表(二)(2)"/>
      <sheetName val="其他项目清单计价表 (2)"/>
      <sheetName val="零星 (2)"/>
      <sheetName val="规费和税金清单计价表 (2)"/>
      <sheetName val="主要材料、设备价格表 "/>
      <sheetName val="分部分项工程量清单综合单价分析表(2)"/>
      <sheetName val="改加胶玻璃、室外栏杆"/>
      <sheetName val="内围地梁钢筋说明"/>
      <sheetName val="2"/>
      <sheetName val="SW-TEO"/>
      <sheetName val="基 础"/>
      <sheetName val="ddetable "/>
      <sheetName val="General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EBITDA"/>
      <sheetName val="Sheet1"/>
      <sheetName val="DDETABLE "/>
      <sheetName val="Control"/>
      <sheetName val="Comments"/>
      <sheetName val="#REF"/>
      <sheetName val="Main"/>
      <sheetName val="Toolbox"/>
      <sheetName val="temp"/>
      <sheetName val="Sheet2"/>
      <sheetName val="POWER ASSUMPTIONS"/>
      <sheetName val="eqpmad2"/>
      <sheetName val="G.1R-Shou COP Gf"/>
      <sheetName val="Financ. Overview"/>
      <sheetName val="设计部"/>
      <sheetName val="eva"/>
      <sheetName val="基本参数"/>
      <sheetName val="成本估算"/>
      <sheetName val="3"/>
      <sheetName val="7"/>
      <sheetName val="投标材料清单 "/>
      <sheetName val="#REF!"/>
      <sheetName val="Sheet9"/>
      <sheetName val="NEWTABL1_97"/>
      <sheetName val="型材计算表(50平开窗)"/>
      <sheetName val="AA小双拼（6栋）"/>
      <sheetName val="AB、BA小双拼（7栋） "/>
      <sheetName val="BB小双拼（3栋） "/>
      <sheetName val="型材计算表（幕墙）"/>
      <sheetName val="2#"/>
      <sheetName val="型材计算表(90推拉门)"/>
      <sheetName val="26#"/>
      <sheetName val="27、28、29#"/>
      <sheetName val="3#"/>
      <sheetName val="35#"/>
      <sheetName val="4#（商业）"/>
      <sheetName val="5#（商业）"/>
      <sheetName val="主要材料清单"/>
      <sheetName val="一次汇总"/>
      <sheetName val="成本汇总"/>
      <sheetName val="含量"/>
      <sheetName val="XLR_NoRangeSheet"/>
      <sheetName val="8"/>
      <sheetName val="2"/>
      <sheetName val="6"/>
      <sheetName val="面积合计（藏）"/>
      <sheetName val="4"/>
      <sheetName val="5"/>
      <sheetName val="1"/>
      <sheetName val="提足折旧"/>
      <sheetName val="33米以下B档 T2（幕墙）"/>
      <sheetName val="33-54米B档 T2（幕墙）"/>
      <sheetName val="G2TempSheet"/>
      <sheetName val="门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Consensus Estimates"/>
      <sheetName val="#REF"/>
      <sheetName val="POWER ASSUMPTIONS"/>
      <sheetName val="eva"/>
      <sheetName val="Sheet2"/>
      <sheetName val="Toolbox"/>
      <sheetName val="规划指标"/>
      <sheetName val="DDETABLE "/>
      <sheetName val="Sheet9"/>
      <sheetName val="Estimate Details"/>
      <sheetName val="主要规划指标"/>
      <sheetName val="3"/>
      <sheetName val="Financ. Overview"/>
      <sheetName val="  算量"/>
      <sheetName val="Open"/>
      <sheetName val="e"/>
      <sheetName val="before"/>
      <sheetName val="Combo"/>
      <sheetName val="temp"/>
      <sheetName val="Mp-team 1"/>
      <sheetName val="2.1设计部"/>
      <sheetName val="#REF!"/>
      <sheetName val="Sheet1"/>
      <sheetName val="土建直接费"/>
      <sheetName val="承台(砖模) "/>
      <sheetName val="15GSP"/>
      <sheetName val="楼梯间"/>
      <sheetName val="计算稿"/>
      <sheetName val="基础项目"/>
      <sheetName val="07水"/>
      <sheetName val="防水指标"/>
      <sheetName val="设计部"/>
      <sheetName val="A1户型装饰"/>
      <sheetName val="貨品科目"/>
      <sheetName val="墙面工程"/>
      <sheetName val="内围地梁钢筋说明"/>
      <sheetName val="A"/>
      <sheetName val="G2TempSheet"/>
      <sheetName val="单价表"/>
      <sheetName val="SW-TEO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XLR_NoRangeSheet"/>
      <sheetName val="单位库"/>
      <sheetName val="住宅防水单价指标"/>
      <sheetName val="毛坯及材料调差（附表1）"/>
      <sheetName val="Elem Cost"/>
      <sheetName val="庭院工程 "/>
      <sheetName val="Main"/>
      <sheetName val="2,3,4#标准层"/>
      <sheetName val="2,3,4#地下一层"/>
      <sheetName val="2,3,4#首层"/>
      <sheetName val="_http___oa3.ah.cmcc_XCOA_fwgl.n"/>
      <sheetName val="1.编制说明"/>
      <sheetName val="301-6"/>
      <sheetName val="工程材料"/>
      <sheetName val="安装工程"/>
      <sheetName val="工程量计算"/>
      <sheetName val="105平工程量"/>
      <sheetName val="eqpmad2"/>
      <sheetName val="XS"/>
      <sheetName val="材料单价表"/>
      <sheetName val="9#楼大堂（装饰）"/>
      <sheetName val="报价细目表"/>
      <sheetName val="型材计算表(50平开窗)"/>
      <sheetName val="AA小双拼（6栋）"/>
      <sheetName val="AB、BA小双拼（7栋） "/>
      <sheetName val="BB小双拼（3栋） "/>
      <sheetName val="型材计算表（幕墙）"/>
      <sheetName val="2#"/>
      <sheetName val="型材计算表(90推拉门)"/>
      <sheetName val="26#"/>
      <sheetName val="27、28、29#"/>
      <sheetName val="3#"/>
      <sheetName val="35#"/>
      <sheetName val="4#（商业）"/>
      <sheetName val="5#（商业）"/>
      <sheetName val="主要材料清单"/>
      <sheetName val="입찰안"/>
      <sheetName val="门窗"/>
      <sheetName val="B1材料表"/>
      <sheetName val="改加胶玻璃、室外栏杆"/>
      <sheetName val="取费表"/>
      <sheetName val="系统材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G2TempSheet"/>
      <sheetName val="Sheet1"/>
      <sheetName val="材料价格表"/>
      <sheetName val="工程量计算"/>
      <sheetName val="#REF!"/>
      <sheetName val="改加胶玻璃、室外栏杆"/>
      <sheetName val="33米以下B档 T2（幕墙）"/>
      <sheetName val="33-54米B档 T2（幕墙）"/>
      <sheetName val="一次汇总"/>
      <sheetName val="6"/>
      <sheetName val="钢筋"/>
      <sheetName val="XLR_NoRangeSheet"/>
      <sheetName val="#REF"/>
      <sheetName val="费用表"/>
      <sheetName val="单位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G2TempSheet"/>
      <sheetName val="Sheet1"/>
      <sheetName val="明細表"/>
      <sheetName val="#REF!"/>
      <sheetName val="材料"/>
      <sheetName val="单价表"/>
      <sheetName val="sheet2"/>
      <sheetName val="一次汇总"/>
      <sheetName val="建筑面积 "/>
      <sheetName val="工程量计算"/>
      <sheetName val="Financ. Overview"/>
      <sheetName val="Toolbox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预算书"/>
      <sheetName val="费用表"/>
      <sheetName val="工料机"/>
      <sheetName val="定额清单"/>
      <sheetName val="XLR_NoRangeSheet"/>
      <sheetName val="材料单价表"/>
      <sheetName val="1地块1,10#"/>
      <sheetName val="G2TempSheet"/>
      <sheetName val="内围地梁钢筋说明"/>
      <sheetName val="7"/>
      <sheetName val="投标材料清单 "/>
      <sheetName val="钢筋"/>
      <sheetName val="3"/>
      <sheetName val="8"/>
      <sheetName val="2"/>
      <sheetName val="6"/>
      <sheetName val="面积合计（藏）"/>
      <sheetName val="4"/>
      <sheetName val="5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CTHK_FPM_98 01 14 Credit"/>
      <sheetName val="G.1R-Shou COP Gf"/>
      <sheetName val="Sheet2"/>
      <sheetName val="Financ. Overview"/>
      <sheetName val="Toolbox"/>
      <sheetName val="2.1设计部"/>
      <sheetName val="eqpmad2"/>
      <sheetName val="设计部"/>
      <sheetName val="规划指标"/>
      <sheetName val="#REF"/>
      <sheetName val="Estimate Details"/>
      <sheetName val="Main"/>
      <sheetName val="1#"/>
      <sheetName val="裙房"/>
      <sheetName val="明细表"/>
      <sheetName val="Open"/>
      <sheetName val="07水"/>
      <sheetName val="#REF!"/>
      <sheetName val="Sheet9"/>
      <sheetName val="墙面工程"/>
      <sheetName val="Sheet1"/>
      <sheetName val="E系列"/>
      <sheetName val="e"/>
      <sheetName val="301-6"/>
      <sheetName val="工程材料"/>
      <sheetName val="梁"/>
      <sheetName val="DDETABLE "/>
      <sheetName val="대비"/>
      <sheetName val="费用表"/>
      <sheetName val="G2TempSheet"/>
      <sheetName val="审计调整"/>
      <sheetName val="一次汇总"/>
      <sheetName val="成本汇总"/>
      <sheetName val="General"/>
      <sheetName val="材料价格表"/>
    </sheetNames>
    <definedNames>
      <definedName name="exch_rate_1"/>
      <definedName name="exch_rate_2"/>
      <definedName name="exch_rate_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Open"/>
      <sheetName val="Financ. Overview"/>
      <sheetName val="Toolbox"/>
      <sheetName val="General"/>
      <sheetName val="改加胶玻璃、室外栏杆"/>
      <sheetName val="一分厂产量预算"/>
      <sheetName val="二分厂产量预量"/>
      <sheetName val="2003年采购数量合计"/>
      <sheetName val="2003年采购单价"/>
      <sheetName val="Sheet6"/>
      <sheetName val="Sheet5"/>
      <sheetName val="Sheet4"/>
      <sheetName val="产量合计"/>
      <sheetName val="酒液成本"/>
      <sheetName val="包装成本"/>
      <sheetName val="品牌酒液"/>
      <sheetName val="品牌成本"/>
      <sheetName val="品牌单位成本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预算底稿"/>
      <sheetName val="管理费用预算"/>
      <sheetName val="固定生产成本预算"/>
      <sheetName val="表1"/>
      <sheetName val="表3"/>
      <sheetName val="表4"/>
      <sheetName val="表5"/>
      <sheetName val="表6"/>
      <sheetName val="表7"/>
      <sheetName val="表8"/>
      <sheetName val="表9"/>
      <sheetName val="表10"/>
      <sheetName val="表11"/>
      <sheetName val="表12"/>
      <sheetName val="表13"/>
      <sheetName val="表14"/>
      <sheetName val="仓储"/>
      <sheetName val="维修"/>
      <sheetName val="蒸汽"/>
      <sheetName val="供电"/>
      <sheetName val="污水"/>
      <sheetName val=" 能源"/>
      <sheetName val="供水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汇总区域损益表"/>
      <sheetName val="区域损益表(攀)"/>
      <sheetName val="区域损益表(西昌"/>
      <sheetName val="分销分析表（西昌）"/>
      <sheetName val="分销分析表(攀)"/>
      <sheetName val="分销分析表 (汇总)"/>
      <sheetName val="销售分析表"/>
      <sheetName val="销售分析表(攀)"/>
      <sheetName val="销售分析表 (汇总)"/>
      <sheetName val="品牌分析表（西昌）"/>
      <sheetName val="品牌分析表(攀)"/>
      <sheetName val="品牌分析表(汇总)"/>
      <sheetName val="XL4Poppy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雪花分配表 "/>
      <sheetName val="桶酒8L"/>
      <sheetName val="沈阳鲜分配表  "/>
      <sheetName val="桶酒20L(沈阳鲜）   "/>
      <sheetName val="桶酒15L(沈阳鲜）  "/>
      <sheetName val="Instructions"/>
      <sheetName val="表0"/>
      <sheetName val="表0分析1表"/>
      <sheetName val="表0分析2表"/>
      <sheetName val="Check"/>
      <sheetName val="Dept"/>
      <sheetName val="其他财务信息表"/>
      <sheetName val="表1分析"/>
      <sheetName val="表2分析"/>
      <sheetName val="表3分析"/>
      <sheetName val="表4分析"/>
      <sheetName val="表5分析"/>
      <sheetName val="表6分析"/>
      <sheetName val="表7分析"/>
      <sheetName val="表8分析"/>
      <sheetName val="表9分析"/>
      <sheetName val="表10分析"/>
      <sheetName val="表11分析"/>
      <sheetName val="表12分析"/>
      <sheetName val="表13分析"/>
      <sheetName val="表14分析"/>
      <sheetName val="表15"/>
      <sheetName val="表15分析"/>
      <sheetName val="分销-三年"/>
      <sheetName val="分销预算底稿"/>
      <sheetName val="分销-2003"/>
      <sheetName val="分销-年度"/>
      <sheetName val="千升费用比较表"/>
      <sheetName val="预算项目说明"/>
      <sheetName val="附表-运费"/>
      <sheetName val="附表-仓储"/>
      <sheetName val="附表-修理"/>
      <sheetName val="附表-机物料"/>
      <sheetName val="附表-劳务费"/>
      <sheetName val="00000000"/>
      <sheetName val="10000000"/>
      <sheetName val="季报-表1-人数统计"/>
      <sheetName val="季报-表5-员工基本信息统计"/>
      <sheetName val="__礫剑干啤（累"/>
      <sheetName val="B"/>
      <sheetName val="会计科目"/>
      <sheetName val="Ò»·Ö³§²úÁ¿Ô¤Ëã"/>
      <sheetName val="¶þ·Ö³§²úÁ¿Ô¤Á¿"/>
      <sheetName val="2003Äê²É¹ºÊýÁ¿ºÏ¼Æ"/>
      <sheetName val="2003Äê²É¹ºµ¥¼Û"/>
      <sheetName val="²úÁ¿ºÏ¼Æ"/>
      <sheetName val="¾ÆÒº³É±¾"/>
      <sheetName val="°ü×°³É±¾"/>
      <sheetName val="Æ·ÅÆ¾ÆÒº"/>
      <sheetName val="Æ·ÅÆ³É±¾"/>
      <sheetName val="Æ·ÅÆµ¥Î»³É±¾"/>
      <sheetName val="±í1(»ã×Ü£©"/>
      <sheetName val="±í1 ÖÊ¹Ü²¿(14)"/>
      <sheetName val="±í1²ÆÎñ²¿(16) "/>
      <sheetName val="±í1ÐÐÕþ²¿(16)"/>
      <sheetName val="±í1²É¹º²¿(3)"/>
      <sheetName val="±í1Éè±¸²¿(9)"/>
      <sheetName val="±í1Éú²ú²¿(7)"/>
      <sheetName val="×Ü¾­°ì"/>
      <sheetName val="±í2"/>
      <sheetName val="Ô¤Ëãµ×¸å"/>
      <sheetName val="¹ÜÀí·ÑÓÃÔ¤Ëã"/>
      <sheetName val="¹Ì¶¨Éú²ú³É±¾Ô¤Ëã"/>
      <sheetName val="±í1"/>
      <sheetName val="±í3"/>
      <sheetName val="±í4"/>
      <sheetName val="±í5"/>
      <sheetName val="±í6"/>
      <sheetName val="±í7"/>
      <sheetName val="±í8"/>
      <sheetName val="±í9"/>
      <sheetName val="±í10"/>
      <sheetName val="±í11"/>
      <sheetName val="±í12"/>
      <sheetName val="±í13"/>
      <sheetName val="±í14"/>
      <sheetName val="²Ö´¢"/>
      <sheetName val="Î¬ÐÞ"/>
      <sheetName val="ÕôÆû"/>
      <sheetName val="¹©µç"/>
      <sheetName val="ÎÛË®"/>
      <sheetName val=" ÄÜÔ´"/>
      <sheetName val="¹©Ë®"/>
      <sheetName val="¿ÕÑ¹"/>
      <sheetName val="ÖÆãö"/>
      <sheetName val="¶þÑõ»¯Ì¼"/>
      <sheetName val="ÄðÔì"/>
      <sheetName val="°üÒ»"/>
      <sheetName val="°ü¶þ"/>
      <sheetName val="°üÈý"/>
      <sheetName val="×Ü¹«Ë¾"/>
      <sheetName val="ÂÌÒ¶24"/>
      <sheetName val="ÂÌÒ¶12"/>
      <sheetName val="ÂÌÒ¶10"/>
      <sheetName val="ÇåË¬ÂÌÒ¶24"/>
      <sheetName val="ÇåË¬ÂÌÒ¶12"/>
      <sheetName val="É¢Ôú¾Æ"/>
      <sheetName val="µ¥Î»³É±¾"/>
      <sheetName val="__µ_½£¸ÉÆ¡£¨ÀÛ"/>
      <sheetName val="»ã×ÜÇøÓòËðÒæ±í"/>
      <sheetName val="ÇøÓòËðÒæ±í(ÅÊ)"/>
      <sheetName val="ÇøÓòËðÒæ±í(Î÷²ý"/>
      <sheetName val="·ÖÏú·ÖÎö±í£¨Î÷²ý£©"/>
      <sheetName val="·ÖÏú·ÖÎö±í(ÅÊ)"/>
      <sheetName val="·ÖÏú·ÖÎö±í (»ã×Ü)"/>
      <sheetName val="ÏúÊÛ·ÖÎö±í"/>
      <sheetName val="ÏúÊÛ·ÖÎö±í(ÅÊ)"/>
      <sheetName val="ÏúÊÛ·ÖÎö±í (»ã×Ü)"/>
      <sheetName val="Æ·ÅÆ·ÖÎö±í£¨Î÷²ý£©"/>
      <sheetName val="Æ·ÅÆ·ÖÎö±í(ÅÊ)"/>
      <sheetName val="Æ·ÅÆ·ÖÎö±í(»ã×Ü)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Ñ©»¨·ÖÅä±í "/>
      <sheetName val="Í°¾Æ8L"/>
      <sheetName val="ÉòÑôÏÊ·ÖÅä±í  "/>
      <sheetName val="Í°¾Æ20L(ÉòÑôÏÊ£©   "/>
      <sheetName val="Í°¾Æ15L(ÉòÑôÏÊ£©  "/>
      <sheetName val="±í0"/>
      <sheetName val="±í0·ÖÎö1±í"/>
      <sheetName val="±í0·ÖÎö2±í"/>
      <sheetName val="ÆäËû²ÆÎñÐÅÏ¢±í"/>
      <sheetName val="±í1·ÖÎö"/>
      <sheetName val="±í2·ÖÎö"/>
      <sheetName val="±í3·ÖÎö"/>
      <sheetName val="±í4·ÖÎö"/>
      <sheetName val="±í5·ÖÎö"/>
      <sheetName val="±í6·ÖÎö"/>
      <sheetName val="±í7·ÖÎö"/>
      <sheetName val="±í8·ÖÎö"/>
      <sheetName val="±í9·ÖÎö"/>
      <sheetName val="±í10·ÖÎö"/>
      <sheetName val="±í11·ÖÎö"/>
      <sheetName val="±í12·ÖÎö"/>
      <sheetName val="±í13·ÖÎö"/>
      <sheetName val="±í14·ÖÎö"/>
      <sheetName val="±í15"/>
      <sheetName val="±í15·ÖÎö"/>
      <sheetName val="·ÖÏú-ÈýÄê"/>
      <sheetName val="·ÖÏúÔ¤Ëãµ×¸å"/>
      <sheetName val="·ÖÏú-2003"/>
      <sheetName val="·ÖÏú-Äê¶È"/>
      <sheetName val="Ç§Éý·ÑÓÃ±È½Ï±í"/>
      <sheetName val="Ô¤ËãÏîÄ¿ËµÃ÷"/>
      <sheetName val="¸½±í-ÔË·Ñ"/>
      <sheetName val="¸½±í-²Ö´¢"/>
      <sheetName val="¸½±í-ÐÞÀí"/>
      <sheetName val="¸½±í-»úÎïÁÏ"/>
      <sheetName val="¸½±í-ÀÍÎñ·Ñ"/>
      <sheetName val="¼¾±¨-±í1-ÈËÊýÍ³¼Æ"/>
      <sheetName val="¼¾±¨-±í5-Ô±¹¤»ù±¾ÐÅÏ¢Í³¼Æ"/>
      <sheetName val="SW-TEO"/>
      <sheetName val="¨°_¡¤_3¡ì2¨²¨¢__¡è__"/>
      <sheetName val="_t¡¤_3¡ì2¨²¨¢__¡è¨¢_"/>
      <sheetName val="2003_¨º2¨¦1o¨ºy¨¢_o___"/>
      <sheetName val="2003_¨º2¨¦1o¦Ì£¤__"/>
      <sheetName val="2¨²¨¢_o___"/>
      <sheetName val="__¨°o3¨¦¡À_"/>
      <sheetName val="¡ã¨¹¡Á¡ã3¨¦¡À_"/>
      <sheetName val="_¡¤____¨°o"/>
      <sheetName val="_¡¤__3¨¦¡À_"/>
      <sheetName val="_¡¤__¦Ì£¤__3¨¦¡À_"/>
      <sheetName val="¡À¨ª1(__¡Á¨¹¡ê_"/>
      <sheetName val="¡À¨ª1 _¨º1¨¹2_(14)"/>
      <sheetName val="¡À¨ª12___2_(16) "/>
      <sheetName val="¡À¨ª1DD_t2_(16)"/>
      <sheetName val="¡À¨ª12¨¦1o2_(3)"/>
      <sheetName val="¡À¨ª1¨¦¨¨¡À_2_(9)"/>
      <sheetName val="¡À¨ª1¨¦¨²2¨²2_(7)"/>
      <sheetName val="¡Á¨¹_-¡ã¨¬"/>
      <sheetName val="¡À¨ª2"/>
      <sheetName val="_¡è__¦Ì¡Á__"/>
      <sheetName val="1¨¹¨¤¨ª¡¤_¨®__¡è__"/>
      <sheetName val="1¨¬_¡§¨¦¨²2¨²3¨¦¡À__¡è__"/>
      <sheetName val="¡À¨ª1"/>
      <sheetName val="¡À¨ª3"/>
      <sheetName val="¡À¨ª4"/>
      <sheetName val="¡À¨ª5"/>
      <sheetName val="¡À¨ª6"/>
      <sheetName val="¡À¨ª7"/>
      <sheetName val="¡À¨ª8"/>
      <sheetName val="¡À¨ª9"/>
      <sheetName val="¡À¨ª10"/>
      <sheetName val="¡À¨ª11"/>
      <sheetName val="¡À¨ª12"/>
      <sheetName val="¡À¨ª13"/>
      <sheetName val="¡À¨ª14"/>
      <sheetName val="2_¡ä¡é"/>
      <sheetName val="__DT"/>
      <sheetName val="____"/>
      <sheetName val="1_¦Ì_"/>
      <sheetName val=" _¨¹_¡ä"/>
      <sheetName val="1___"/>
      <sheetName val="___1"/>
      <sheetName val="_t___¡¥¨¬_"/>
      <sheetName val="_e_¨¬"/>
      <sheetName val="¡ã¨¹¨°_"/>
      <sheetName val="¡ã¨¹_t"/>
      <sheetName val="¡ã¨¹¨¨y"/>
      <sheetName val="¡Á¨¹1___"/>
      <sheetName val="_¨¬¨°_24"/>
      <sheetName val="_¨¬¨°_12"/>
      <sheetName val="_¨¬¨°_10"/>
      <sheetName val="_____¨¬¨°_24"/>
      <sheetName val="_____¨¬¨°_12"/>
      <sheetName val="¨¦¡é_¨²__"/>
      <sheetName val="¦Ì£¤__3¨¦¡À_"/>
      <sheetName val="__¦Ì__¡ê_¨¦__¡ê¡§¨¤_"/>
      <sheetName val="__¡Á¨¹__¨®¨°_e¨°_¡À¨ª"/>
      <sheetName val="__¨®¨°_e¨°_¡À¨ª(_¨º)"/>
      <sheetName val="__¨®¨°_e¨°_¡À¨ª(_¡Â2y"/>
      <sheetName val="¡¤__¨²¡¤___¡À¨ª¡ê¡§_¡Â2y¡ê_"/>
      <sheetName val="¡¤__¨²¡¤___¡À¨ª(_¨º)"/>
      <sheetName val="¡¤__¨²¡¤___¡À¨ª (__¡Á¨¹)"/>
      <sheetName val="_¨²¨º_¡¤___¡À¨ª"/>
      <sheetName val="_¨²¨º_¡¤___¡À¨ª(_¨º)"/>
      <sheetName val="_¨²¨º_¡¤___¡À¨ª (__¡Á¨¹)"/>
      <sheetName val="_¡¤__¡¤___¡À¨ª¡ê¡§_¡Â2y¡ê_"/>
      <sheetName val="_¡¤__¡¤___¡À¨ª(_¨º)"/>
      <sheetName val="_¡¤__¡¤___¡À¨ª(__¡Á¨¹)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__¡§¡¤___¡À¨ª "/>
      <sheetName val="¨ª¡ã__8L"/>
      <sheetName val="¨¦¨°___¨º¡¤___¡À¨ª  "/>
      <sheetName val="¨ª¡ã__20L(¨¦¨°___¨º¡ê_   "/>
      <sheetName val="¨ª¡ã__15L(¨¦¨°___¨º¡ê_  "/>
      <sheetName val="¡À¨ª0"/>
      <sheetName val="¡À¨ª0¡¤___1¡À¨ª"/>
      <sheetName val="¡À¨ª0¡¤___2¡À¨ª"/>
      <sheetName val="____2___D__¡é¡À¨ª"/>
      <sheetName val="¡À¨ª1¡¤___"/>
      <sheetName val="¡À¨ª2¡¤___"/>
      <sheetName val="¡À¨ª3¡¤___"/>
      <sheetName val="¡À¨ª4¡¤___"/>
      <sheetName val="¡À¨ª5¡¤___"/>
      <sheetName val="¡À¨ª6¡¤___"/>
      <sheetName val="¡À¨ª7¡¤___"/>
      <sheetName val="¡À¨ª8¡¤___"/>
      <sheetName val="¡À¨ª9¡¤___"/>
      <sheetName val="¡À¨ª10¡¤___"/>
      <sheetName val="¡À¨ª11¡¤___"/>
      <sheetName val="¡À¨ª12¡¤___"/>
      <sheetName val="¡À¨ª13¡¤___"/>
      <sheetName val="¡À¨ª14¡¤___"/>
      <sheetName val="¡À¨ª15"/>
      <sheetName val="¡À¨ª15¡¤___"/>
      <sheetName val="¡¤__¨²-¨¨y_¨º"/>
      <sheetName val="¡¤__¨²_¡è__¦Ì¡Á__"/>
      <sheetName val="¡¤__¨²-2003"/>
      <sheetName val="¡¤__¨²-_¨º_¨¨"/>
      <sheetName val="_¡ì¨¦y¡¤_¨®_¡À¨¨__¡À¨ª"/>
      <sheetName val="_¡è_______¦Ì_¡Â"/>
      <sheetName val="__¡À¨ª-__¡¤_"/>
      <sheetName val="__¡À¨ª-2_¡ä¡é"/>
      <sheetName val="__¡À¨ª-DT¨¤¨ª"/>
      <sheetName val="__¡À¨ª-_¨²__¨¢_"/>
      <sheetName val="__¡À¨ª-¨¤¨ª__¡¤_"/>
      <sheetName val="__¡À¡§-¡À¨ª1-¨¨_¨ºy¨ª3__"/>
      <sheetName val="¡§-¡À¨ª5-_¡À1¡è_¨´¡À_D__¡é¨ª3__"/>
      <sheetName val="dm"/>
      <sheetName val="外销样表"/>
      <sheetName val="PIT"/>
      <sheetName val="11_¨¨¨¦¨°___¨º3¨¦ࠝ〚_x0005_"/>
      <sheetName val="11_¨¨¨¦¨°___¨º3¨¦妿〒_x0005_"/>
      <sheetName val="11_¨¨¨¦¨°___¨º3¨¦_x0005_"/>
      <sheetName val="11_¨¨¨¦¨°___¨缀ᨎ԰"/>
      <sheetName val="___¡¤_¡§¨_x0005_"/>
      <sheetName val="Links"/>
      <sheetName val="Lead"/>
      <sheetName val="ÀûÈóÔ­±¨"/>
      <sheetName val="11_¨¨¨¦¨°___¨º3¨¦헾】_x0005_"/>
      <sheetName val="费用表"/>
      <sheetName val="单位库"/>
      <sheetName val="Main"/>
      <sheetName val="设计部"/>
      <sheetName val="POWER ASSUMPTIONS"/>
      <sheetName val="e"/>
      <sheetName val="基本参数"/>
      <sheetName val="成本估算"/>
      <sheetName val="Mp-team 1"/>
      <sheetName val="工程材料"/>
      <sheetName val="3"/>
      <sheetName val="07水"/>
      <sheetName val="汇总"/>
      <sheetName val="常用项目"/>
      <sheetName val="??礫剑干啤（累"/>
      <sheetName val="??µ[½£¸ÉÆ¡£¨ÀÛ"/>
      <sheetName val="¨°?¡¤?3¡ì2¨²¨¢??¡è??"/>
      <sheetName val="?t¡¤?3¡ì2¨²¨¢??¡è¨¢?"/>
      <sheetName val="2003?¨º2¨¦1o¨ºy¨¢?o???"/>
      <sheetName val="2003?¨º2¨¦1o¦Ì£¤??"/>
      <sheetName val="2¨²¨¢?o???"/>
      <sheetName val="??¨°o3¨¦¡À?"/>
      <sheetName val="¡ã¨¹¡Á¡ã3¨¦¡À?"/>
      <sheetName val="?¡¤????¨°o"/>
      <sheetName val="?¡¤??3¨¦¡À?"/>
      <sheetName val="?¡¤??¦Ì£¤??3¨¦¡À?"/>
      <sheetName val="¡À¨ª1(??¡Á¨¹¡ê?"/>
      <sheetName val="¡À¨ª1 ?¨º1¨¹2?(14)"/>
      <sheetName val="¡À¨ª12???2?(16) "/>
      <sheetName val="¡À¨ª1DD?t2?(16)"/>
      <sheetName val="¡À¨ª12¨¦1o2?(3)"/>
      <sheetName val="¡À¨ª1¨¦¨¨¡À?2?(9)"/>
      <sheetName val="¡À¨ª1¨¦¨²2¨²2?(7)"/>
      <sheetName val="¡Á¨¹?-¡ã¨¬"/>
      <sheetName val="?¡è??¦Ì¡Á??"/>
      <sheetName val="1¨¹¨¤¨ª¡¤?¨®??¡è??"/>
      <sheetName val="1¨¬?¡§¨¦¨²2¨²3¨¦¡À??¡è??"/>
      <sheetName val="2?¡ä¡é"/>
      <sheetName val="??DT"/>
      <sheetName val="????"/>
      <sheetName val="1?¦Ì?"/>
      <sheetName val=" ?¨¹?¡ä"/>
      <sheetName val="1???"/>
      <sheetName val="???1"/>
      <sheetName val="?t???¡¥¨¬?"/>
      <sheetName val="?e?¨¬"/>
      <sheetName val="¡ã¨¹¨°?"/>
      <sheetName val="¡ã¨¹?t"/>
      <sheetName val="¡Á¨¹1???"/>
      <sheetName val="?¨¬¨°?24"/>
      <sheetName val="?¨¬¨°?12"/>
      <sheetName val="?¨¬¨°?10"/>
      <sheetName val="?????¨¬¨°?24"/>
      <sheetName val="?????¨¬¨°?12"/>
      <sheetName val="¨¦¡é?¨²??"/>
      <sheetName val="¦Ì£¤??3¨¦¡À?"/>
      <sheetName val="??¦Ì[?¡ê?¨¦??¡ê¡§¨¤?"/>
      <sheetName val="??¡Á¨¹??¨®¨°?e¨°?¡À¨ª"/>
      <sheetName val="??¨®¨°?e¨°?¡À¨ª(?¨º)"/>
      <sheetName val="??¨®¨°?e¨°?¡À¨ª(?¡Â2y"/>
      <sheetName val="¡¤??¨²¡¤???¡À¨ª¡ê¡§?¡Â2y¡ê?"/>
      <sheetName val="¡¤??¨²¡¤???¡À¨ª(?¨º)"/>
      <sheetName val="¡¤??¨²¡¤???¡À¨ª (??¡Á¨¹)"/>
      <sheetName val="?¨²¨º?¡¤???¡À¨ª"/>
      <sheetName val="?¨²¨º?¡¤???¡À¨ª(?¨º)"/>
      <sheetName val="?¨²¨º?¡¤???¡À¨ª (??¡Á¨¹)"/>
      <sheetName val="?¡¤??¡¤???¡À¨ª¡ê¡§?¡Â2y¡ê?"/>
      <sheetName val="?¡¤??¡¤???¡À¨ª(?¨º)"/>
      <sheetName val="?¡¤??¡¤???¡À¨ª(??¡Á¨¹)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??¡§¡¤???¡À¨ª "/>
      <sheetName val="¨ª¡ã??8L"/>
      <sheetName val="¨¦¨°???¨º¡¤???¡À¨ª  "/>
      <sheetName val="¨ª¡ã??20L(¨¦¨°???¨º¡ê?   "/>
      <sheetName val="¨ª¡ã??15L(¨¦¨°???¨º¡ê?  "/>
      <sheetName val="¡À¨ª0¡¤???1¡À¨ª"/>
      <sheetName val="¡À¨ª0¡¤???2¡À¨ª"/>
      <sheetName val="????2???D??¡é¡À¨ª"/>
      <sheetName val="¡À¨ª1¡¤???"/>
      <sheetName val="¡À¨ª2¡¤???"/>
      <sheetName val="¡À¨ª3¡¤???"/>
      <sheetName val="¡À¨ª4¡¤???"/>
      <sheetName val="¡À¨ª5¡¤???"/>
      <sheetName val="¡À¨ª6¡¤???"/>
      <sheetName val="¡À¨ª7¡¤???"/>
      <sheetName val="¡À¨ª8¡¤???"/>
      <sheetName val="¡À¨ª9¡¤???"/>
      <sheetName val="¡À¨ª10¡¤???"/>
      <sheetName val="¡À¨ª11¡¤???"/>
      <sheetName val="¡À¨ª12¡¤???"/>
      <sheetName val="¡À¨ª13¡¤???"/>
      <sheetName val="¡À¨ª14¡¤???"/>
      <sheetName val="¡À¨ª15¡¤???"/>
      <sheetName val="¡¤??¨²-¨¨y?¨º"/>
      <sheetName val="¡¤??¨²?¡è??¦Ì¡Á??"/>
      <sheetName val="¡¤??¨²-2003"/>
      <sheetName val="¡¤??¨²-?¨º?¨¨"/>
      <sheetName val="?¡ì¨¦y¡¤?¨®?¡À¨¨??¡À¨ª"/>
      <sheetName val="?¡è???????¦Ì?¡Â"/>
      <sheetName val="??¡À¨ª-??¡¤?"/>
      <sheetName val="??¡À¨ª-2?¡ä¡é"/>
      <sheetName val="??¡À¨ª-DT¨¤¨ª"/>
      <sheetName val="??¡À¨ª-?¨²??¨¢?"/>
      <sheetName val="??¡À¨ª-¨¤¨ª??¡¤?"/>
      <sheetName val="??¡À¡§-¡À¨ª1-¨¨?¨ºy¨ª3??"/>
      <sheetName val="¡§-¡À¨ª5-?¡À1¡è?¨´¡À?D??¡é¨ª3??"/>
      <sheetName val="11?¨¨¨¦¨°???¨º3¨¦ࠝ〚_x0005_"/>
      <sheetName val="11?¨¨¨¦¨°???¨º3¨¦妿〒_x0005_"/>
      <sheetName val="11?¨¨¨¦¨°???¨º3¨¦_x0005_"/>
      <sheetName val="11?¨¨¨¦¨°???¨缀ᨎ԰"/>
      <sheetName val="???¡¤?¡§¨_x0005_"/>
      <sheetName val="11?¨¨¨¦¨°???¨º3¨¦헾】_x0005_"/>
      <sheetName val="#REF!"/>
      <sheetName val="G.1R-Shou COP Gf"/>
      <sheetName val="楼梯间"/>
      <sheetName val="规划指标"/>
      <sheetName val="eva"/>
      <sheetName val="Sheet2"/>
      <sheetName val="庭院工程 "/>
      <sheetName val="temp"/>
      <sheetName val="Backup of Backup of LINDA LISTO"/>
      <sheetName val="单价表"/>
      <sheetName val="A2电梯厅"/>
      <sheetName val="00000ppy"/>
      <sheetName val="G2TempSheet"/>
      <sheetName val="单位"/>
      <sheetName val="核算项目余额表"/>
      <sheetName val="資料庫"/>
      <sheetName val="承台(砖模) "/>
      <sheetName val="柱"/>
      <sheetName val="企业表一"/>
      <sheetName val="M-5A"/>
      <sheetName val="折线图2数据"/>
      <sheetName val="11年计划"/>
      <sheetName val="字段"/>
      <sheetName val="目录"/>
      <sheetName val="FYYS-1-编制底稿04-招聘活动支出"/>
      <sheetName val="电视监控"/>
      <sheetName val="现金流量"/>
      <sheetName val="成本分析"/>
      <sheetName val="专7、现金流量表"/>
      <sheetName val="eqpmad2"/>
      <sheetName val="钢筋计算表"/>
      <sheetName val="基础项目"/>
      <sheetName val="世界城"/>
      <sheetName val="结算利润汇总表"/>
      <sheetName val="单方成本汇总表"/>
      <sheetName val="投资估算"/>
      <sheetName val="规划面积"/>
      <sheetName val="0.2参数表"/>
      <sheetName val="主城累计利润表"/>
      <sheetName val="主城月度利润表"/>
      <sheetName val="主城汇总考核表"/>
      <sheetName val="科目名称表"/>
      <sheetName val="建安付款规划"/>
      <sheetName val="dropdownDic"/>
      <sheetName val="1.投标总价封面"/>
      <sheetName val="2002年一般预算收入"/>
      <sheetName val="财政供养人员增幅"/>
      <sheetName val="总人口"/>
      <sheetName val="Backup_of_Backup_of_LINDA_LISTO"/>
      <sheetName val="背景音乐"/>
      <sheetName val="测算底表"/>
      <sheetName val="独立商业"/>
      <sheetName val="高层住宅"/>
      <sheetName val="成本汇总表"/>
      <sheetName val="项目汇总"/>
      <sheetName val="四月份月报"/>
      <sheetName val="5201.2004"/>
      <sheetName val="Repayment Summary"/>
      <sheetName val="合同"/>
      <sheetName val="7"/>
      <sheetName val="投标材料清单 "/>
      <sheetName val="2"/>
      <sheetName val="农业用地"/>
      <sheetName val="第一部分定价"/>
      <sheetName val="分类说明"/>
      <sheetName val="原因说明"/>
      <sheetName val="封面"/>
      <sheetName val="主要规划指标"/>
      <sheetName val="Bill-2.1（1）"/>
      <sheetName val="XLR_NoRangeSheet"/>
      <sheetName val="102 清单"/>
      <sheetName val="土建工程综合单价表"/>
      <sheetName val="ISMS RTU fees"/>
      <sheetName val="Part 2 - Structural"/>
      <sheetName val="Part 3 - Cladding"/>
      <sheetName val="Part 4 -Mech"/>
      <sheetName val="Part 5 - piping"/>
      <sheetName val="part 8 - thermal insul."/>
      <sheetName val="Tabelle"/>
      <sheetName val="数据分析"/>
      <sheetName val="输入参数"/>
      <sheetName val="Cabling cost"/>
      <sheetName val="DialogData"/>
      <sheetName val="附表02.管材管件"/>
      <sheetName val="销售回款预测"/>
      <sheetName val="Arch"/>
      <sheetName val="土地"/>
      <sheetName val="002新增单价组价明细 "/>
      <sheetName val="新明源销售财务日报"/>
      <sheetName val="税金预测"/>
      <sheetName val="mwin"/>
      <sheetName val="土建工程综合单价组价明细表"/>
      <sheetName val="销售财务日报表②"/>
      <sheetName val="科目代码"/>
      <sheetName val="基础数据命名表"/>
      <sheetName val="Backup%20of%20Backup%20of%20LIN"/>
      <sheetName val="评估结论"/>
      <sheetName val="技术指标"/>
      <sheetName val="C01-1"/>
      <sheetName val="P1012001"/>
      <sheetName val="编码"/>
      <sheetName val="1-合同台账"/>
      <sheetName val="5-综合认价台账"/>
      <sheetName val="accode"/>
      <sheetName val="Sheet1"/>
      <sheetName val="Collateral"/>
      <sheetName val="Disposition"/>
      <sheetName val="本年收入合计"/>
      <sheetName val="墙面工程"/>
      <sheetName val="甲指乙供材料报价表"/>
      <sheetName val="工程量计算"/>
      <sheetName val="计算式"/>
      <sheetName val="型材"/>
      <sheetName val="合"/>
      <sheetName val="分录表"/>
      <sheetName val="两税支付"/>
      <sheetName val="成本测算"/>
      <sheetName val="02.参数表"/>
      <sheetName val="基础资料（B）"/>
      <sheetName val="表头"/>
      <sheetName val="经济指标表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税费计算表"/>
      <sheetName val="日报(有预售证的)"/>
      <sheetName val="营销费用预算"/>
      <sheetName val="营销合约"/>
      <sheetName val=""/>
      <sheetName val="定价标准"/>
      <sheetName val="list"/>
      <sheetName val="QY"/>
      <sheetName val="2.1"/>
      <sheetName val="目标进度表(扣除变更数）"/>
      <sheetName val="JY-4"/>
      <sheetName val="NAME"/>
      <sheetName val="KKKKKKKK"/>
      <sheetName val="Parameters"/>
      <sheetName val="2经济测算"/>
      <sheetName val="Bev.Cost"/>
      <sheetName val="成本项目"/>
      <sheetName val="汇总(分项)"/>
      <sheetName val="_x005f_x0000__x005f_x0000__x005f_x0000__x005f_x0000__x0"/>
      <sheetName val="说明"/>
      <sheetName val="南苑基本库"/>
      <sheetName val="盈A030617使用格式"/>
      <sheetName val="_x005f_x005f_x005f_x0000__x005f_x005f_x005f_x0000__x005"/>
      <sheetName val="成本台帐"/>
      <sheetName val="_x005f_x005f_x005f_x005f_x005f_x005f_x005f_x0000__x005f"/>
      <sheetName val="楼宇价目表A10"/>
      <sheetName val="楼宇价目表A9"/>
      <sheetName val="楼宇价目表B1"/>
      <sheetName val="楼宇价目表B2"/>
      <sheetName val="材料费"/>
      <sheetName val="合同付款"/>
      <sheetName val="$TB 1"/>
      <sheetName val="$TB"/>
      <sheetName val="TENSCH"/>
      <sheetName val="Sheet1 (2)"/>
      <sheetName val="至10月末全成本汇总表（动态）"/>
      <sheetName val="合格证 (2)"/>
      <sheetName val="Financial highligts"/>
      <sheetName val="Setting"/>
      <sheetName val="Estimate Details"/>
      <sheetName val="Sheet9"/>
      <sheetName val="#REF"/>
      <sheetName val="4"/>
      <sheetName val="8"/>
      <sheetName val="6"/>
      <sheetName val="面积合计（藏）"/>
      <sheetName val="5"/>
      <sheetName val="1"/>
      <sheetName val="PLANT"/>
      <sheetName val="INSTRUMENT"/>
      <sheetName val="SpecITEM"/>
      <sheetName val="LINE_Sc"/>
      <sheetName val="MOTOR"/>
      <sheetName val="AD ST"/>
      <sheetName val="2.2 7#高层商品房"/>
      <sheetName val="SOR.3.1.4"/>
      <sheetName val="安装汇总表"/>
      <sheetName val="下拉"/>
      <sheetName val="21"/>
      <sheetName val="Combo"/>
      <sheetName val="型钢数据源"/>
      <sheetName val="材料单价表"/>
      <sheetName val="面积指标"/>
      <sheetName val="裙房"/>
      <sheetName val="明细表"/>
      <sheetName val="投标报价汇总表lhc"/>
      <sheetName val="A户型"/>
      <sheetName val="A1平层"/>
      <sheetName val="18#"/>
      <sheetName val="按新系统"/>
      <sheetName val="明細表"/>
      <sheetName val="中小学生"/>
      <sheetName val="事业发展"/>
      <sheetName val="行政区划"/>
      <sheetName val="村级支出"/>
      <sheetName val="1#梁侧面积"/>
      <sheetName val="华府二期4-8#楼地上土建工程"/>
      <sheetName val="量(原)"/>
      <sheetName val="Data"/>
      <sheetName val="工程量计算书"/>
      <sheetName val="10#保温"/>
      <sheetName val="_x005f_x005f_x005f_x005f_x005f_x005f_x005f_x005f_x005f_x005f_"/>
      <sheetName val="装饰清单"/>
      <sheetName val="DDETABLE "/>
      <sheetName val="推拉"/>
      <sheetName val="JOA首頁"/>
      <sheetName val="内围地梁钢筋说明"/>
      <sheetName val="网络"/>
      <sheetName val="11_¨¨¨¦¨°___¨º3¨¦ࠝ〚_x0005__x000"/>
      <sheetName val="11_¨¨¨¦¨°___¨º3¨¦妿〒_x0005__x000"/>
      <sheetName val="A"/>
      <sheetName val="资料库"/>
      <sheetName val="敏感参数"/>
      <sheetName val="MOHKG"/>
      <sheetName val="电气附"/>
      <sheetName val="92#"/>
      <sheetName val="_x005f_x0000__x005f_x0000__x005"/>
      <sheetName val="_x005f_x005f_x005f_x0000__x005f"/>
      <sheetName val="_x005f_x005f_x005f_x005f_"/>
      <sheetName val="主材表"/>
      <sheetName val="模板"/>
      <sheetName val="表2.5 一展空间精装工程 "/>
      <sheetName val="Summary"/>
      <sheetName val="C"/>
      <sheetName val="4.5.2投标报价汇总表 （二）"/>
      <sheetName val="基 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门窗"/>
      <sheetName val="General"/>
      <sheetName val="Ope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单价表"/>
      <sheetName val="系统材料"/>
      <sheetName val=" (透视前) 1#"/>
      <sheetName val="海德鲁配置表"/>
      <sheetName val="窗分析表"/>
      <sheetName val="取费表"/>
      <sheetName val="门窗"/>
      <sheetName val="G2TempSheet"/>
      <sheetName val="2"/>
      <sheetName val="Toolbox"/>
      <sheetName val="G.1R-Shou COP Gf"/>
      <sheetName val="8"/>
      <sheetName val="B1材料表"/>
      <sheetName val="建筑面积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G.1R-Shou COP Gf"/>
      <sheetName val="Open"/>
      <sheetName val="Toolbox"/>
      <sheetName val="3"/>
      <sheetName val="8"/>
      <sheetName val="2"/>
      <sheetName val="7"/>
      <sheetName val="6"/>
      <sheetName val="面积合计（藏）"/>
      <sheetName val="投标材料清单 "/>
      <sheetName val="4"/>
      <sheetName val="5"/>
      <sheetName val="1"/>
      <sheetName val="eva"/>
      <sheetName val="POWER ASSUMPTIONS"/>
      <sheetName val="#REF!"/>
      <sheetName val="07水"/>
      <sheetName val="设计部"/>
      <sheetName val="Financ. Overview"/>
      <sheetName val="Sheet2"/>
      <sheetName val="SW-TEO"/>
      <sheetName val="#REF"/>
      <sheetName val="合同明细"/>
      <sheetName val="OSP_Becht_Fin"/>
      <sheetName val="e"/>
      <sheetName val="MOHKG"/>
      <sheetName val="规划面积"/>
      <sheetName val="Main"/>
      <sheetName val="电视监控"/>
      <sheetName val="投资估算"/>
      <sheetName val="基础资料（B）"/>
      <sheetName val="eqpmad2"/>
      <sheetName val="合同"/>
      <sheetName val="钢筋计算表"/>
      <sheetName val="11年计划"/>
      <sheetName val="字段"/>
      <sheetName val="折线图2数据"/>
      <sheetName val="财政供养人员增幅"/>
      <sheetName val="人员支出"/>
      <sheetName val="Sheet1"/>
      <sheetName val="G_1R-Shou_COP_Gf"/>
      <sheetName val="Financ__Overview"/>
      <sheetName val="下拉菜单"/>
      <sheetName val="D栋计算式明细"/>
      <sheetName val="常用项目"/>
      <sheetName val="单位库"/>
      <sheetName val="销售回款预测"/>
      <sheetName val="税金预测"/>
      <sheetName val="参照表"/>
      <sheetName val="项目汇总"/>
      <sheetName val="2002年一般预算收入"/>
      <sheetName val="列表"/>
      <sheetName val="G2TempSheet"/>
      <sheetName val="Control"/>
      <sheetName val="汇总"/>
      <sheetName val="含量"/>
      <sheetName val="NVELGAM"/>
      <sheetName val="item information"/>
      <sheetName val="销售财务日报表②"/>
      <sheetName val="BOX SUM"/>
      <sheetName val="Customize Your Purchase Order"/>
      <sheetName val="Purchase Order"/>
      <sheetName val="分部分项工程量清单计价表【土建工程】"/>
      <sheetName val="定义构件"/>
      <sheetName val="Mp-team 1"/>
      <sheetName val="Setting"/>
      <sheetName val="土建工程综合单价组价明细表"/>
      <sheetName val="土建工程综合单价表"/>
      <sheetName val="AD ST"/>
      <sheetName val="5201.2004"/>
      <sheetName val="貨品科目"/>
      <sheetName val="工程量计算"/>
      <sheetName val="資料庫"/>
      <sheetName val="甲指乙供材料报价表"/>
      <sheetName val="计算式"/>
      <sheetName val="Combo"/>
      <sheetName val="Menu"/>
      <sheetName val="表1"/>
      <sheetName val="表2"/>
      <sheetName val="表3"/>
      <sheetName val="表4"/>
      <sheetName val="冰啤500"/>
      <sheetName val="零点小麦"/>
      <sheetName val="零点520"/>
      <sheetName val="新鲜72"/>
      <sheetName val="绿喜宝"/>
      <sheetName val="特制雪花"/>
      <sheetName val="塑箱雪花"/>
      <sheetName val="塑箱淡爽"/>
      <sheetName val="10度捆白"/>
      <sheetName val="10度箱白"/>
      <sheetName val="10度箱爽"/>
      <sheetName val="一品圣泉"/>
      <sheetName val="表5"/>
      <sheetName val="区域合计"/>
      <sheetName val="零点品牌"/>
      <sheetName val="喜宝品牌"/>
      <sheetName val="雪花品牌"/>
      <sheetName val="圣泉及其他"/>
      <sheetName val="Calendar"/>
      <sheetName val="说明"/>
      <sheetName val="销量"/>
      <sheetName val="价格"/>
      <sheetName val="共享"/>
      <sheetName val="促销活动"/>
      <sheetName val="总表"/>
      <sheetName val="XL4Poppy"/>
      <sheetName val="±í1"/>
      <sheetName val="±í2"/>
      <sheetName val="±í3"/>
      <sheetName val="±í4"/>
      <sheetName val="±ùÆ¡500"/>
      <sheetName val="ÁãµãÐ¡Âó"/>
      <sheetName val="Áãµã520"/>
      <sheetName val="ÐÂÏÊ72"/>
      <sheetName val="ÂÌÏ²±¦"/>
      <sheetName val="ÌØÖÆÑ©»¨"/>
      <sheetName val="ËÜÏäÑ©»¨"/>
      <sheetName val="ËÜÏäµ­Ë¬"/>
      <sheetName val="10¶ÈÀ¦°×"/>
      <sheetName val="10¶ÈÏä°×"/>
      <sheetName val="10¶ÈÏäË¬"/>
      <sheetName val="Ò»Æ·Ê¥Èª"/>
      <sheetName val="±í5"/>
      <sheetName val="ÇøÓòºÏ¼Æ"/>
      <sheetName val="ÁãµãÆ·ÅÆ"/>
      <sheetName val="Ï²±¦Æ·ÅÆ"/>
      <sheetName val="Ñ©»¨Æ·ÅÆ"/>
      <sheetName val="Ê¥Èª¼°ÆäËû"/>
      <sheetName val="ËµÃ÷"/>
      <sheetName val="ÏúÁ¿"/>
      <sheetName val="¼Û¸ñ"/>
      <sheetName val="¹²Ïí"/>
      <sheetName val="´ÙÏú»î¶¯"/>
      <sheetName val="×Ü±í"/>
      <sheetName val="G_1R_Shou COP Gf"/>
      <sheetName val="GP analysis Per month"/>
      <sheetName val="Sales breakdown "/>
      <sheetName val="MA Adj. Test"/>
      <sheetName val="¡À¨ª1"/>
      <sheetName val="¡À¨ª2"/>
      <sheetName val="¡À¨ª3"/>
      <sheetName val="¡À¨ª4"/>
      <sheetName val="¡À¨´__500"/>
      <sheetName val="¨¢_¦Ì_D__¨®"/>
      <sheetName val="¨¢_¦Ì_520"/>
      <sheetName val="D__¨º72"/>
      <sheetName val="_¨¬_2¡À|"/>
      <sheetName val="¨¬______¡§"/>
      <sheetName val="_¨¹_____¡§"/>
      <sheetName val="_¨¹__¦Ì-__"/>
      <sheetName val="10_¨¨¨¤|¡ã¡Á"/>
      <sheetName val="10_¨¨__¡ã¡Á"/>
      <sheetName val="10_¨¨____"/>
      <sheetName val="¨°__¡¤¨º£¤¨¨a"/>
      <sheetName val="¡À¨ª5"/>
      <sheetName val="__¨®¨°o___"/>
      <sheetName val="¨¢_¦Ì__¡¤__"/>
      <sheetName val="_2¡À|_¡¤__"/>
      <sheetName val="___¡§_¡¤__"/>
      <sheetName val="¨º£¤¨¨a_¡ã____"/>
      <sheetName val="_¦Ì_¡Â"/>
      <sheetName val="_¨²¨¢_"/>
      <sheetName val="____"/>
      <sheetName val="12_¨ª"/>
      <sheetName val="¡ä¨´_¨²___¡¥"/>
      <sheetName val="¡Á¨¹¡À¨ª"/>
      <sheetName val="财务费用"/>
      <sheetName val="资产负债表及损益表"/>
      <sheetName val="重要内部交易"/>
      <sheetName val="管理费用"/>
      <sheetName val="目录"/>
      <sheetName val="制造费用"/>
      <sheetName val="营业费用"/>
      <sheetName val="所得税凭证抽查"/>
      <sheetName val="核算项目余额表"/>
      <sheetName val="P1012001"/>
      <sheetName val="村级支出"/>
      <sheetName val="名称表"/>
      <sheetName val="电气管线"/>
      <sheetName val="给排水管道"/>
      <sheetName val="火灾报警管线"/>
      <sheetName val="弱电管线"/>
      <sheetName val="外墙装饰工程"/>
      <sheetName val="消防管道"/>
      <sheetName val="92#"/>
      <sheetName val="内围地梁钢筋说明"/>
      <sheetName val="工程量计算手写稿"/>
      <sheetName val="施工参考单价报价表"/>
      <sheetName val="计算表"/>
      <sheetName val="mwin"/>
      <sheetName val="新明源销售财务日报"/>
      <sheetName val="分录表"/>
      <sheetName val="5-综合认价台账"/>
      <sheetName val="基础项目"/>
      <sheetName val="综合认价"/>
      <sheetName val="材料单价表"/>
      <sheetName val="改加胶玻璃、室外栏杆"/>
      <sheetName val="建面及分期"/>
      <sheetName val="建安付款规划"/>
      <sheetName val="型材"/>
      <sheetName val="规划指标"/>
      <sheetName val="其它工作项目报价清单"/>
      <sheetName val="D1户型清单"/>
      <sheetName val="E系列"/>
      <sheetName val="梁"/>
      <sheetName val="2006年10月"/>
      <sheetName val=" 装饰工程清单"/>
      <sheetName val="编码"/>
      <sheetName val="8、主材品牌表 "/>
      <sheetName val="测算明细表(0+1+1)"/>
      <sheetName val="承台(砖模) "/>
      <sheetName val="柱"/>
      <sheetName val="材料"/>
      <sheetName val="本年收入合计"/>
      <sheetName val="推拉"/>
      <sheetName val="过渡数据表"/>
      <sheetName val="Ctinh 10kV"/>
      <sheetName val="2006内陆运输"/>
      <sheetName val="会计事项调整表"/>
      <sheetName val="temp"/>
      <sheetName val="精装人材机"/>
      <sheetName val="基础表"/>
      <sheetName val="FYYS-1-编制底稿04-招聘活动支出"/>
      <sheetName val="墙面工程"/>
      <sheetName val="HEADER"/>
      <sheetName val="KKKKKKKK"/>
      <sheetName val="Data"/>
      <sheetName val="隔墙"/>
      <sheetName val="Elem Cost"/>
      <sheetName val="封面"/>
      <sheetName val="5F走道"/>
      <sheetName val="成本台帐"/>
      <sheetName val="合计"/>
      <sheetName val="防水指标"/>
      <sheetName val="Cost Plan -2"/>
      <sheetName val="装饰清单"/>
      <sheetName val="地下室"/>
      <sheetName val="网络"/>
      <sheetName val="成本测算"/>
      <sheetName val="科目名称表"/>
      <sheetName val="利润测算"/>
      <sheetName val="两税支付"/>
      <sheetName val="利润测算_(按物业类型)"/>
      <sheetName val="敏感性分析"/>
      <sheetName val="现金流量及资金计划"/>
      <sheetName val="酒店盈利测算"/>
      <sheetName val="测算模式"/>
      <sheetName val="02.参数表"/>
      <sheetName val="2.规划面积"/>
      <sheetName val="明細表"/>
      <sheetName val="dropdownDic"/>
      <sheetName val="General"/>
      <sheetName val="Bill-2.1（1）"/>
      <sheetName val="立面图2"/>
      <sheetName val="立面图3"/>
      <sheetName val="立面图4"/>
      <sheetName val="立面图5"/>
      <sheetName val="立面图1"/>
      <sheetName val="楼梯间"/>
      <sheetName val="XLR_NoRangeSheet"/>
      <sheetName val="面积指标"/>
      <sheetName val="Sheet9"/>
      <sheetName val="材料汇总"/>
      <sheetName val="1.1.1（土建6#楼）"/>
      <sheetName val="主要规划指标"/>
      <sheetName val="敏感参数"/>
      <sheetName val="栏杆"/>
      <sheetName val="装饰"/>
      <sheetName val="Consumables"/>
      <sheetName val="Assumption"/>
      <sheetName val="DialogData"/>
      <sheetName val="Reference"/>
      <sheetName val="防盗报警"/>
      <sheetName val="机房电气"/>
      <sheetName val="程控交换机系统"/>
      <sheetName val="History"/>
      <sheetName val="附表02.管材管件"/>
      <sheetName val="Estimate Details"/>
      <sheetName val="取费表"/>
      <sheetName val="系统材料"/>
      <sheetName val="DDETABLE "/>
      <sheetName val="辅材"/>
      <sheetName val="基础表+取费"/>
      <sheetName val="编制说明"/>
      <sheetName val="汇总表"/>
      <sheetName val="1#地户内精装清单"/>
      <sheetName val="公区首层"/>
      <sheetName val="公区二层及标准层电梯厅"/>
      <sheetName val="公区地下一层"/>
      <sheetName val="零星项目"/>
      <sheetName val="毛坯改精装点位"/>
      <sheetName val="措施费"/>
      <sheetName val="商务偏差表"/>
      <sheetName val="甲供材损耗费用表"/>
      <sheetName val="甲分包表"/>
      <sheetName val="甲指乙供材料限价"/>
      <sheetName val="主要材料价格表"/>
      <sheetName val="设置"/>
      <sheetName val="JOA首頁"/>
      <sheetName val="单价表"/>
      <sheetName val="地上塔楼电气"/>
      <sheetName val="计算表达式"/>
      <sheetName val="变量单"/>
      <sheetName val="L2"/>
      <sheetName val="第一章土建工程清单-商业"/>
      <sheetName val="余良卿9月"/>
      <sheetName val="外销样表"/>
      <sheetName val="盈余公积 （合并)"/>
      <sheetName val="KDB"/>
      <sheetName val="园林电气汇总"/>
      <sheetName val="电气"/>
      <sheetName val="W"/>
      <sheetName val="补充工程量清单"/>
      <sheetName val="Register"/>
      <sheetName val="业态"/>
      <sheetName val="表1-项目基础数据表"/>
      <sheetName val="名称"/>
      <sheetName val="建造标准"/>
      <sheetName val="工程量"/>
      <sheetName val="裙房"/>
      <sheetName val="明细表"/>
      <sheetName val=""/>
      <sheetName val="_x005f_x0000__x005f_x0000__x005"/>
      <sheetName val="补充清单"/>
      <sheetName val="_x005f_x005f_x005f_x0000__x005f"/>
      <sheetName val="EVALUATE工程量清单"/>
      <sheetName val="地上办公60(土建)"/>
      <sheetName val="_x005f_x0000__x005f"/>
      <sheetName val="合格证 (2)"/>
      <sheetName val="量(原)"/>
      <sheetName val="_x005f_x005f_x005f_x005f_"/>
      <sheetName val="_x005f_x005f_"/>
      <sheetName val="sn"/>
      <sheetName val="S1单价表"/>
      <sheetName val="户型材料清单"/>
      <sheetName val="公区材料清单"/>
      <sheetName val="型材线密度表"/>
      <sheetName val="清单"/>
      <sheetName val="1."/>
      <sheetName val="_______"/>
      <sheetName val="其他应付款 "/>
      <sheetName val="主营成本"/>
      <sheetName val="企业表一"/>
      <sheetName val="M-5A"/>
      <sheetName val="M-5C"/>
      <sheetName val="审计调整"/>
      <sheetName val="入户大堂工程量计算底稿"/>
      <sheetName val="算分表"/>
      <sheetName val="Summary"/>
      <sheetName val="建筑面积 "/>
      <sheetName val="综合单价分析表"/>
      <sheetName val="_"/>
      <sheetName val="21"/>
      <sheetName val="B3.1"/>
      <sheetName val="B3.4"/>
      <sheetName val="工程量A"/>
      <sheetName val="组价表格"/>
      <sheetName val="5.基础档案"/>
      <sheetName val="1.合同台账"/>
      <sheetName val="科目表 "/>
      <sheetName val="合同卡片"/>
      <sheetName val="万达城合同台账"/>
      <sheetName val="☆汇总(融创报表)"/>
      <sheetName val="00000ppy"/>
      <sheetName val="SkLabVariable"/>
      <sheetName val="材料价格表(立面）"/>
      <sheetName val="一発シート"/>
      <sheetName val="MAT.8.1"/>
      <sheetName val="资产负债表"/>
      <sheetName val="中小学生"/>
      <sheetName val="行政区划"/>
      <sheetName val="事业发展"/>
      <sheetName val="Modified Store"/>
      <sheetName val="损益及资金快报"/>
      <sheetName val="总人口"/>
      <sheetName val="電気設備表"/>
      <sheetName val="Arch"/>
      <sheetName val="Parameters"/>
      <sheetName val="平衡表"/>
      <sheetName val="G_1R_Shou_COP_Gf"/>
      <sheetName val="GP_analysis_Per_month"/>
      <sheetName val="Sales_breakdown_"/>
      <sheetName val="MA_Adj__Test"/>
      <sheetName val="Financial highligts"/>
      <sheetName val="参数表"/>
      <sheetName val="合并TB"/>
      <sheetName val="外墙装饰"/>
      <sheetName val="地面硬质"/>
      <sheetName val="硬质"/>
      <sheetName val="company operations"/>
      <sheetName val="hangzhou2"/>
      <sheetName val="主材价格"/>
      <sheetName val="科目代码"/>
      <sheetName val="Repayment Summary"/>
      <sheetName val="测算底表"/>
      <sheetName val="单位"/>
      <sheetName val="地上砌体 "/>
      <sheetName val="전기BOX내역서"/>
      <sheetName val="骨浆计算式(备)"/>
      <sheetName val="门窗表"/>
      <sheetName val="计算式明细"/>
      <sheetName val="庭院工程 "/>
      <sheetName val="点表"/>
      <sheetName val="확정실적"/>
      <sheetName val="园建Ⅰ标段"/>
      <sheetName val="查询窗口（专业、类型）"/>
      <sheetName val="内部定额（新版）"/>
      <sheetName val="工程材料"/>
      <sheetName val="设计指标"/>
      <sheetName val="施工开办费"/>
      <sheetName val="FA Breakdown"/>
      <sheetName val="4月份 "/>
      <sheetName val="总分类账"/>
      <sheetName val="三家其他应付公司"/>
      <sheetName val="柱计算"/>
      <sheetName val="_x005f_x0000__x005f_x0000__x0_2"/>
      <sheetName val="_x005f_x005f_x005f_x0000__x00_2"/>
      <sheetName val="_x005f_x005f_x005f_x005f_x005_2"/>
      <sheetName val="_x005f_x005f_x005f_x005f_x005_3"/>
      <sheetName val="UFPrn20030305081341"/>
      <sheetName val="HVAC BoQ"/>
      <sheetName val="表2.5 一展空间精装工程 "/>
      <sheetName val="清单汇总"/>
      <sheetName val="301-6"/>
      <sheetName val="材料单价"/>
      <sheetName val="国产"/>
      <sheetName val="取费系数"/>
      <sheetName val="计算稿"/>
      <sheetName val="投保项目"/>
      <sheetName val="A"/>
      <sheetName val="第一部分定价"/>
      <sheetName val="科目余额表正式"/>
      <sheetName val="合项含量"/>
      <sheetName val="报价明细表"/>
      <sheetName val="楼地面天棚"/>
      <sheetName val="室内装饰"/>
      <sheetName val="ANL"/>
      <sheetName val="rebrand"/>
      <sheetName val="主结构量"/>
      <sheetName val="loaddata"/>
      <sheetName val="雨棚"/>
      <sheetName val="LB"/>
      <sheetName val="P&amp;L"/>
      <sheetName val="coa"/>
      <sheetName val="抹灰"/>
      <sheetName val="甲指乙供材料报价表（水电部分）"/>
      <sheetName val="Note 1 - Recon Profit"/>
      <sheetName val="Cash Flow Statement"/>
      <sheetName val="基 础"/>
      <sheetName val="一次汇总"/>
      <sheetName val="成本汇总"/>
      <sheetName val="材料价格表"/>
      <sheetName val="1#楼"/>
      <sheetName val="2.1设计部"/>
      <sheetName val="计算底稿"/>
      <sheetName val="材料表"/>
      <sheetName val="3老虎窗"/>
      <sheetName val="表2 扣减系数表"/>
      <sheetName val="工程量清单-D1户型"/>
      <sheetName val="基本参数"/>
      <sheetName val="成本估算"/>
      <sheetName val="职工花名册"/>
      <sheetName val="调11"/>
      <sheetName val="15-1-A户型"/>
      <sheetName val="03城东"/>
      <sheetName val="05惠州"/>
      <sheetName val="04宝棠"/>
      <sheetName val="02龙岗"/>
      <sheetName val="使用说明"/>
      <sheetName val="重慶小泉"/>
      <sheetName val="上海保利金鵬"/>
      <sheetName val="集水井、沉砂池单价分析表"/>
      <sheetName val="给排水工程量计算书"/>
      <sheetName val="管桩主材表"/>
      <sheetName val="报价细目表"/>
      <sheetName val="取费费率"/>
      <sheetName val="9栋A座d1户型"/>
      <sheetName val="农业人口"/>
      <sheetName val="基础编码"/>
      <sheetName val="含量1"/>
      <sheetName val="B8"/>
      <sheetName val="B6"/>
      <sheetName val="资金计划"/>
      <sheetName val="价格表"/>
      <sheetName val="网络视频服务器"/>
      <sheetName val="2.管材管件"/>
      <sheetName val="零料缴库"/>
      <sheetName val="目标进度表(扣除变更数）"/>
      <sheetName val="土建直接费"/>
      <sheetName val="A8独立基础 "/>
      <sheetName val="before"/>
      <sheetName val="第八章-开办及措施费"/>
      <sheetName val="第四章-架空层装饰"/>
      <sheetName val="master"/>
      <sheetName val="开发"/>
      <sheetName val="list"/>
      <sheetName val="NAME"/>
      <sheetName val="营销费用预算"/>
      <sheetName val="营销合约"/>
      <sheetName val="D4RP"/>
      <sheetName val="LinkData"/>
      <sheetName val="合同台账"/>
      <sheetName val="室内汇总"/>
      <sheetName val="Bill 5 - Carpark"/>
      <sheetName val="华府二期4-8#楼地上土建工程"/>
      <sheetName val="1#梁侧面积"/>
      <sheetName val="Sheet3"/>
      <sheetName val="收入与成本"/>
      <sheetName val="销售比率"/>
      <sheetName val="招标清单编制说明 "/>
      <sheetName val="酒店组价"/>
      <sheetName val="PopCache"/>
      <sheetName val="资料库"/>
      <sheetName val="条件表"/>
      <sheetName val="限定品牌及封样材料清单 "/>
      <sheetName val="南苑基本库"/>
      <sheetName val="销售分析"/>
      <sheetName val="盈A030617使用格式"/>
      <sheetName val="日报(有预售证的)"/>
      <sheetName val="2.1"/>
      <sheetName val="TENSCH"/>
      <sheetName val="Sheet1 (2)"/>
      <sheetName val="1.资金支付台帐"/>
      <sheetName val="目录 "/>
      <sheetName val="运营关键指标"/>
      <sheetName val="1.收入"/>
      <sheetName val="1.5 可租赁场地收入"/>
      <sheetName val="2.1物业支出"/>
      <sheetName val="2、经营支出"/>
      <sheetName val="2.3 职工薪酬&amp;行政费用"/>
      <sheetName val="2.2招商推广"/>
      <sheetName val="2.4法务"/>
      <sheetName val="2.5税金总表"/>
      <sheetName val="4 资产折旧摊销表"/>
      <sheetName val="3 利息支出"/>
      <sheetName val="定价标准"/>
      <sheetName val="调整分录"/>
      <sheetName val="BAL"/>
      <sheetName val="电07"/>
      <sheetName val="Bev.Cost"/>
      <sheetName val="A_TS AMT in (6HK)"/>
      <sheetName val="数据有效性"/>
      <sheetName val="配电工程"/>
      <sheetName val="date"/>
      <sheetName val="分部分项清单(模板)"/>
      <sheetName val="一般预算收入"/>
      <sheetName val="Metadata"/>
      <sheetName val="ECCS_1 DataSheet"/>
      <sheetName val="电气算式汇总"/>
      <sheetName val="费用表"/>
      <sheetName val="BoatTMP"/>
      <sheetName val="ancillary"/>
      <sheetName val="其他工程量"/>
      <sheetName val="upgrade"/>
      <sheetName val="Details Services"/>
      <sheetName val="单梁连续梁通用"/>
      <sheetName val="开启(防雨)百叶汇总表"/>
      <sheetName val="工程量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POWER ASSUMPTIONS"/>
      <sheetName val="_REF!"/>
      <sheetName val="Sheet1"/>
      <sheetName val="Sheet2"/>
      <sheetName val="Sheet3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说明"/>
      <sheetName val="销量"/>
      <sheetName val="共享"/>
      <sheetName val="促销活动"/>
      <sheetName val="活动"/>
      <sheetName val="总表"/>
      <sheetName val="XL4Poppy"/>
      <sheetName val="Toolbox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G.1R-Shou COP Gf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gvl"/>
      <sheetName val="SW-TEO"/>
      <sheetName val="所得税凭证抽查"/>
      <sheetName val="资产负债表及损益表"/>
      <sheetName val="重要内部交易"/>
      <sheetName val="财务费用"/>
      <sheetName val="管理费用"/>
      <sheetName val="目录"/>
      <sheetName val="营业费用"/>
      <sheetName val="制造费用"/>
      <sheetName val="会计事项调整表"/>
      <sheetName val="企业表一"/>
      <sheetName val="GP analysis Per month"/>
      <sheetName val="Sales breakdown "/>
      <sheetName val="MA Adj. Test"/>
      <sheetName val="POWERASSUMPTIONS"/>
      <sheetName val="华泰"/>
      <sheetName val="华意"/>
      <sheetName val="Financ. Overview"/>
      <sheetName val="#REF!"/>
      <sheetName val="成本项目"/>
      <sheetName val="日报(有预售证的)"/>
      <sheetName val="营销费用预算"/>
      <sheetName val="营销合约"/>
      <sheetName val="南苑基本库"/>
      <sheetName val="定价标准"/>
      <sheetName val="Main"/>
      <sheetName val="Open"/>
      <sheetName val="楼宇价目表A10"/>
      <sheetName val="楼宇价目表A9"/>
      <sheetName val="楼宇价目表B1"/>
      <sheetName val="楼宇价目表B2"/>
      <sheetName val="rebrand"/>
      <sheetName val="系数516"/>
      <sheetName val="预算200326"/>
      <sheetName val="单价报价明细表"/>
      <sheetName val="单位库"/>
      <sheetName val="材料"/>
      <sheetName val="eqpmad2"/>
      <sheetName val="单价表"/>
      <sheetName val="方案4"/>
      <sheetName val="Drop Down"/>
      <sheetName val="eva"/>
      <sheetName val="#REF"/>
      <sheetName val="07水"/>
      <sheetName val="合同明细"/>
      <sheetName val="方案1"/>
      <sheetName val="KKKKKKKK"/>
      <sheetName val="项目指标"/>
      <sheetName val="合同台账"/>
      <sheetName val="动态成本"/>
      <sheetName val="付款台账"/>
      <sheetName val="附表1"/>
      <sheetName val="POWER ASSUMPTION"/>
      <sheetName val="00000ppy"/>
      <sheetName val="Mp-team 1"/>
      <sheetName val="序列表"/>
      <sheetName val="原材料单价分析"/>
      <sheetName val="TRIAL3"/>
      <sheetName val="G-PROF1"/>
      <sheetName val="电视监控"/>
      <sheetName val="钢筋计算表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合同"/>
      <sheetName val="综合认价"/>
      <sheetName val="规划指标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节奏成本"/>
      <sheetName val="99CCTV"/>
      <sheetName val="楼梯间"/>
      <sheetName val="设计部"/>
      <sheetName val="面积指标"/>
      <sheetName val="2"/>
      <sheetName val="一次汇总"/>
      <sheetName val="材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G.1R-Shou COP Gf"/>
      <sheetName val="Toolbox"/>
      <sheetName val="Open"/>
      <sheetName val="General"/>
      <sheetName val="#REF!"/>
      <sheetName val="3"/>
      <sheetName val="清单1-裙楼Ea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改加胶玻璃、室外栏杆"/>
      <sheetName val="1#量统计"/>
      <sheetName val="POWER ASSUMPTIONS"/>
      <sheetName val="Sheet9"/>
      <sheetName val="一次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sheet2"/>
      <sheetName val="改加胶玻璃、室外栏杆"/>
      <sheetName val="材料价格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工程量清单报价说明"/>
      <sheetName val="汇总表"/>
      <sheetName val="直接费工程量清单 "/>
      <sheetName val="措施费清单"/>
      <sheetName val="计算表"/>
      <sheetName val="表01"/>
      <sheetName val="表02"/>
      <sheetName val="表03"/>
      <sheetName val="表04"/>
      <sheetName val="表05"/>
      <sheetName val="表06"/>
      <sheetName val="表07"/>
      <sheetName val="表08"/>
      <sheetName val="表09"/>
      <sheetName val="表10"/>
      <sheetName val="表11"/>
      <sheetName val="表12"/>
      <sheetName val="表13"/>
      <sheetName val="表14"/>
      <sheetName val="表15"/>
      <sheetName val="表16"/>
      <sheetName val="表17"/>
      <sheetName val="表18"/>
      <sheetName val="表19"/>
      <sheetName val="表20"/>
      <sheetName val="表21"/>
      <sheetName val="表22"/>
      <sheetName val="表23"/>
      <sheetName val="表24"/>
      <sheetName val="表25"/>
      <sheetName val="表26"/>
      <sheetName val="表27"/>
      <sheetName val="表28"/>
      <sheetName val="表29"/>
      <sheetName val="表30"/>
      <sheetName val="表31"/>
      <sheetName val="表32"/>
      <sheetName val="表33"/>
      <sheetName val="表34"/>
      <sheetName val="表35"/>
      <sheetName val="表36"/>
      <sheetName val="表37"/>
      <sheetName val="表38"/>
      <sheetName val="表39"/>
      <sheetName val="表40"/>
      <sheetName val="表41"/>
      <sheetName val="表42"/>
      <sheetName val="表43"/>
      <sheetName val="表44"/>
      <sheetName val="表45"/>
      <sheetName val="主要材料表"/>
      <sheetName val="改加胶玻璃、室外栏杆"/>
      <sheetName val="sheet2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全"/>
      <sheetName val="Toolbox"/>
      <sheetName val="DDETABLE "/>
      <sheetName val="SW-TEO"/>
      <sheetName val="2.1设计部"/>
      <sheetName val="eva"/>
      <sheetName val="Financ. Overview"/>
      <sheetName val="Open"/>
      <sheetName val="基础资料（B）"/>
      <sheetName val="G.1R-Shou COP Gf"/>
      <sheetName val="#REF"/>
      <sheetName val="Main"/>
      <sheetName val="eqpmad2"/>
      <sheetName val="POWER ASSUMPTIONS"/>
      <sheetName val="XLR_NoRangeSheet"/>
      <sheetName val="设计部"/>
      <sheetName val="e"/>
      <sheetName val="基本参数"/>
      <sheetName val="成本估算"/>
      <sheetName val="temp"/>
      <sheetName val="Estimate Details"/>
      <sheetName val="07水"/>
      <sheetName val="楼梯间"/>
      <sheetName val="计算底稿"/>
      <sheetName val="规划指标"/>
      <sheetName val="#REF!"/>
      <sheetName val="墙面工程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資料庫"/>
      <sheetName val="合同明细"/>
      <sheetName val="基础项目"/>
      <sheetName val="Mp-team 1"/>
      <sheetName val="5201.2004"/>
      <sheetName val="材料汇总"/>
      <sheetName val="信息"/>
      <sheetName val="主要规划指标"/>
      <sheetName val="柱"/>
      <sheetName val="主要材料价格表 （对照）FINAL (2)"/>
      <sheetName val="1.1.1（土建6#楼）"/>
      <sheetName val="单位"/>
      <sheetName val="03年价目表"/>
      <sheetName val="基 础"/>
      <sheetName val="表01"/>
      <sheetName val="改加胶玻璃、室外栏杆"/>
      <sheetName val="单价分析表"/>
      <sheetName val="总表（不打印）"/>
      <sheetName val="主材表（不打印）"/>
      <sheetName val="一次汇总"/>
      <sheetName val="钢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Elem Cost"/>
      <sheetName val="建筑面积 "/>
      <sheetName val="改加胶玻璃、室外栏杆"/>
      <sheetName val="名称"/>
      <sheetName val="#REF!"/>
      <sheetName val="第一部分定价"/>
      <sheetName val="21"/>
      <sheetName val="内围地梁钢筋说明"/>
      <sheetName val="Rate"/>
      <sheetName val="Hoja1"/>
      <sheetName val="材料名称标准表"/>
      <sheetName val="单位库"/>
      <sheetName val="主要材料价格表"/>
      <sheetName val="表01"/>
      <sheetName val="材料表"/>
      <sheetName val="基 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优惠统计表"/>
      <sheetName val="Sheet1"/>
      <sheetName val="1-10月"/>
      <sheetName val="公司名称"/>
      <sheetName val="填表情况"/>
      <sheetName val="2.1a-移动通话费"/>
      <sheetName val="2.2a-国內长途话费"/>
      <sheetName val="2.3a-港澳台长途话费"/>
      <sheetName val="2.4a-国际长途话费"/>
      <sheetName val="2.5a-IP长途话费"/>
      <sheetName val="2.6a-省內及省际出访漫遊"/>
      <sheetName val="2.7a-国际出访漫遊"/>
      <sheetName val="2.8a-月租费"/>
      <sheetName val="2.9.1a-网间结算收入"/>
      <sheetName val="2.9.2a-入访漫游"/>
      <sheetName val="2.9.5a-增值数据CMNET收入"/>
      <sheetName val="2.1-租賃支出"/>
      <sheetName val="2.2-业务费"/>
      <sheetName val="2.14-出访漫游"/>
      <sheetName val="2.3-佣金 手续费"/>
      <sheetName val="2.20-非付现宣传费用"/>
      <sheetName val="3-货币資金"/>
      <sheetName val="4-短期投資"/>
      <sheetName val="2.4-优惠统计"/>
      <sheetName val="2.5-维修费"/>
      <sheetName val="2.6-营业费用"/>
      <sheetName val="2.7-员工人数统计"/>
      <sheetName val="3-货币資金明細"/>
      <sheetName val="3.1.1银行调节表"/>
      <sheetName val="3.1.2银行调节表"/>
      <sheetName val="3.1.3-银行调节表"/>
      <sheetName val="4-应收帐款"/>
      <sheetName val="4.1-坏帐准备 "/>
      <sheetName val="5.1-其他应收款"/>
      <sheetName val="8-存貨"/>
      <sheetName val="5.2-预付帐款"/>
      <sheetName val="6.1-待摊费用"/>
      <sheetName val="10-其他流动資产"/>
      <sheetName val="11-长期投资"/>
      <sheetName val="7B-存貨"/>
      <sheetName val="7B.1-存貨"/>
      <sheetName val="存货盘点表7.1"/>
      <sheetName val="存货盘点表7.2"/>
      <sheetName val="8.1-固定資产"/>
      <sheetName val="8.2-非生产用固定资产"/>
      <sheetName val="9-在建工程"/>
      <sheetName val="10-工程物资"/>
      <sheetName val="15-无形資产"/>
      <sheetName val="11-长期待摊费用"/>
      <sheetName val="17-短期借款"/>
      <sheetName val="18-应付帐款"/>
      <sheetName val="19-預收帐款"/>
      <sheetName val="20-其他应付款"/>
      <sheetName val="21-应交稅金"/>
      <sheetName val="22-其他应交款"/>
      <sheetName val="23-預提费用"/>
      <sheetName val="24-一年内到期的长期负债"/>
      <sheetName val="25-长期借款"/>
      <sheetName val="25.1-长期借款"/>
      <sheetName val="26-长期应付款"/>
      <sheetName val="26.1-长期应付款"/>
      <sheetName val="25-入网费收费标准"/>
      <sheetName val="29-关联应收付"/>
      <sheetName val="30-資本承担"/>
      <sheetName val="31-经营租賃合约"/>
      <sheetName val="16-未付工程款"/>
      <sheetName val="17-无形資产"/>
      <sheetName val="18.1-应付帐款"/>
      <sheetName val="18.2-其他应付款"/>
      <sheetName val="18.3-预提费用"/>
      <sheetName val="18.4-其它应交款"/>
      <sheetName val="18.5-未交稅金"/>
      <sheetName val="18.6-預收帐款"/>
      <sheetName val="19-資本承担"/>
      <sheetName val="20-经营租賃合约"/>
      <sheetName val="23-或有事项"/>
      <sheetName val="24-在建工程结转固定资产情况"/>
      <sheetName val="27.1以前年度损益调整"/>
      <sheetName val="28.1-确认书附表(电信)"/>
      <sheetName val="Sheet8"/>
      <sheetName val="Sheet7"/>
      <sheetName val="Sheet6"/>
      <sheetName val="Sheet5"/>
      <sheetName val="Sheet4"/>
      <sheetName val="Sheet3"/>
      <sheetName val="Sheet2"/>
      <sheetName val="28.2-确认书附表(邮政局)"/>
      <sheetName val="28.3-确认书附表(移动集团)"/>
      <sheetName val="28.4-确认书附表(寻呼公司)"/>
      <sheetName val="28.5-确认书附表(无委会)"/>
      <sheetName val="28.6-确认书附表(其他邮电关联公司)"/>
      <sheetName val="36-資本开支"/>
      <sheetName val="37-十大供应商"/>
      <sheetName val="HBBZBK"/>
      <sheetName val="G.1R-Shou COP Gf"/>
      <sheetName val="DDETABLE "/>
      <sheetName val="楼梯间"/>
      <sheetName val="Financ. Overview"/>
      <sheetName val="Toolbox"/>
      <sheetName val="e"/>
      <sheetName val="2月请款"/>
      <sheetName val="#REF"/>
      <sheetName val="合同明细"/>
      <sheetName val="eqpmad2"/>
      <sheetName val="基本参数"/>
      <sheetName val="成本估算"/>
      <sheetName val="Main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07水"/>
      <sheetName val="POWER ASSUMPTIONS"/>
      <sheetName val="SW-TEO"/>
      <sheetName val="防水指标"/>
      <sheetName val="规划指标"/>
      <sheetName val="Open"/>
      <sheetName val="承台(砖模) "/>
      <sheetName val="柱"/>
      <sheetName val="改加胶玻璃、室外栏杆"/>
      <sheetName val="#REF!"/>
      <sheetName val="21"/>
      <sheetName val="temp"/>
      <sheetName val="Sheet9"/>
      <sheetName val="2.1设计部"/>
      <sheetName val="Combo"/>
      <sheetName val="设计部"/>
      <sheetName val="工程量清单-D1户型"/>
      <sheetName val="B地块乔灌木"/>
      <sheetName val="安装工程"/>
      <sheetName val="A2地块乔灌木"/>
      <sheetName val="消防通道铺装占用工程量"/>
      <sheetName val="保安视频监控系统"/>
      <sheetName val="资金计划"/>
      <sheetName val="主要规划指标"/>
      <sheetName val="before"/>
      <sheetName val="PREVCM"/>
      <sheetName val="网络"/>
      <sheetName val="钢筋"/>
      <sheetName val="Interims"/>
      <sheetName val="50百叶窗汇总"/>
      <sheetName val="HBBZBK.XLS"/>
      <sheetName val="材料损耗(不打印)"/>
      <sheetName val="明細表"/>
      <sheetName val="資料庫"/>
      <sheetName val="Estimate Details"/>
      <sheetName val="eva"/>
      <sheetName val="结算书封面（城市公司）"/>
      <sheetName val="工程信息表"/>
      <sheetName val="工程量计算"/>
      <sheetName val="道路工程"/>
      <sheetName val="伞形钢架工程量"/>
      <sheetName val="A"/>
      <sheetName val="计算式"/>
      <sheetName val="貨品科目"/>
      <sheetName val="室内汇总"/>
      <sheetName val="Categories"/>
      <sheetName val="节点"/>
      <sheetName val="5201.2004"/>
      <sheetName val="表3"/>
      <sheetName val="1#"/>
      <sheetName val="材料品牌推荐表"/>
      <sheetName val="基础项目"/>
      <sheetName val="做法表"/>
      <sheetName val="报价细目表"/>
      <sheetName val="A1、A2栏杆和百叶清单 "/>
      <sheetName val="A1、A2单价分析表"/>
      <sheetName val="A1门窗清单"/>
      <sheetName val="A20单价分析表"/>
      <sheetName val="A20栋清单"/>
      <sheetName val="A21、A22单价分析表"/>
      <sheetName val="A21、22栋清单"/>
      <sheetName val="A3-4单价分析表"/>
      <sheetName val="A3门窗清单"/>
      <sheetName val="A4门窗清单"/>
      <sheetName val="B1、B2、B4-B7栋清单"/>
      <sheetName val="B1、B2、B4-B7单价分析表"/>
      <sheetName val="B1幕墙价分析表"/>
      <sheetName val="B1幕墙"/>
      <sheetName val="B2幕墙价分析表"/>
      <sheetName val="B2幕墙"/>
      <sheetName val="B3单价分析表"/>
      <sheetName val="B3幕墙价分析表"/>
      <sheetName val="B3幕墙"/>
      <sheetName val="B3栋清单"/>
      <sheetName val="B4幕墙价分析表"/>
      <sheetName val="B4幕墙"/>
      <sheetName val="B5幕墙价分析表"/>
      <sheetName val="B5幕墙"/>
      <sheetName val="B6幕墙价分析表"/>
      <sheetName val="B6幕墙"/>
      <sheetName val="B7幕墙价分析表"/>
      <sheetName val="B7幕墙"/>
      <sheetName val="售楼部单价分析表"/>
      <sheetName val="售楼部"/>
      <sheetName val="小学单价分析表"/>
      <sheetName val="小学"/>
      <sheetName val="幼儿园单价分析表"/>
      <sheetName val="幼儿园"/>
      <sheetName val="主材表"/>
      <sheetName val="单位库"/>
      <sheetName val="9.2.2分部分项清单 B8"/>
      <sheetName val="XLR_NoRangeSheet"/>
      <sheetName val="1.1.1（土建6#楼）"/>
      <sheetName val="03-工程量清单偏差表"/>
      <sheetName val="电气"/>
      <sheetName val="面积指标"/>
      <sheetName val="单价分析表格式"/>
      <sheetName val="资料库"/>
      <sheetName val="测算明细表(0+1+1)"/>
      <sheetName val="铺装—住宅"/>
      <sheetName val="General"/>
      <sheetName val="铺装（大区）"/>
      <sheetName val="海绵城市"/>
      <sheetName val="绿化（配建）"/>
      <sheetName val="小品（大区）"/>
      <sheetName val="单位"/>
      <sheetName val="A1户型装饰"/>
      <sheetName val="03年价目表"/>
      <sheetName val="B1-1清单外装修"/>
      <sheetName val="基 础"/>
      <sheetName val="材料价格表"/>
    </sheetNames>
    <definedNames>
      <definedName name="返回对话" refersTo="=#NAME?"/>
      <definedName name="检验" refersTo="=#NAME?"/>
      <definedName name="退出EXCEL" refersTo="=#NAME?"/>
      <definedName name="修改" refersTo="=#NAME?"/>
      <definedName name="预览" refersTo="=#NAME?"/>
      <definedName name="主程序.打印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  <sheetName val="改加胶玻璃、室外栏杆"/>
      <sheetName val="#REF!"/>
      <sheetName val="eqpmad2"/>
      <sheetName val="内围地梁钢筋说明"/>
      <sheetName val="Sheet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单价分析过程"/>
      <sheetName val="主要材料价格表 (2)"/>
      <sheetName val="ironmongery"/>
      <sheetName val="主要材料价格表"/>
      <sheetName val="工程量"/>
      <sheetName val="21"/>
      <sheetName val="柱计算"/>
      <sheetName val="sLAB"/>
      <sheetName val="STAFFSCHED "/>
      <sheetName val="承台(砖模) "/>
      <sheetName val="sheet2"/>
      <sheetName val="#REF"/>
    </sheetNames>
    <definedNames>
      <definedName name="全部打印" refersTo="=#NAME?"/>
      <definedName name="退出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成本表"/>
      <sheetName val="脚手架"/>
      <sheetName val="工程量清单"/>
      <sheetName val="单价分析表"/>
      <sheetName val="工程量计算式"/>
      <sheetName val="加权含量"/>
      <sheetName val="含量分析"/>
      <sheetName val="主要材料表"/>
      <sheetName val="改加胶玻璃、室外栏杆"/>
      <sheetName val="材料表"/>
      <sheetName val="8"/>
      <sheetName val="7"/>
      <sheetName val="投标材料清单 "/>
      <sheetName val="3"/>
      <sheetName val="承台(砖模) "/>
      <sheetName val="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计算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XLR_NoRangeSheet"/>
      <sheetName val="清单汇总"/>
      <sheetName val="8"/>
      <sheetName val="2"/>
      <sheetName val="3"/>
      <sheetName val="材料表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预算总表"/>
      <sheetName val="预算明细"/>
      <sheetName val="预算制作"/>
      <sheetName val="项目分类"/>
      <sheetName val="地面工程"/>
      <sheetName val="墙面工程"/>
      <sheetName val="顶面工程"/>
      <sheetName val="门窗工程"/>
      <sheetName val="水电工程"/>
      <sheetName val="拆除工程"/>
      <sheetName val="制作项目"/>
      <sheetName val="其他工程"/>
      <sheetName val="购买主材"/>
      <sheetName val="基础项目"/>
      <sheetName val="coa"/>
      <sheetName val="#REF!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模板"/>
      <sheetName val="措施项目"/>
      <sheetName val="建筑、装修"/>
      <sheetName val="安装"/>
      <sheetName val="钢材单重"/>
      <sheetName val="DDETABLE "/>
      <sheetName val="基础项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编制说明"/>
      <sheetName val="工程量计算规则"/>
      <sheetName val="措施项目清单"/>
      <sheetName val="门窗工程量清单"/>
      <sheetName val="幕墙工程量清单"/>
      <sheetName val="1#楼面积计算式"/>
      <sheetName val="2#楼面积计算式"/>
      <sheetName val="【70系列铝合金外平开窗】单价分析表"/>
      <sheetName val="【70系列铝合金外平开门】单价分析表"/>
      <sheetName val="【塑钢推拉门】单价分析表 "/>
      <sheetName val="【百叶、格栅】单价分析表"/>
      <sheetName val="【栏杆】单价分析表"/>
      <sheetName val="【门窗其他】单价分析表"/>
      <sheetName val="【幕墙】单价分析表"/>
      <sheetName val="米重表"/>
      <sheetName val="单列费用清单"/>
      <sheetName val="主要材料损耗表"/>
      <sheetName val="加工、包装运输、安装费"/>
      <sheetName val="主材表"/>
      <sheetName val="玻璃价格表"/>
      <sheetName val="铝型材加工费表"/>
      <sheetName val="铝板成品加工费表"/>
      <sheetName val="五金配置表"/>
      <sheetName val="品牌"/>
      <sheetName val="2#楼面积计算式 "/>
      <sheetName val="墙面工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对比表"/>
      <sheetName val="门窗工程量清单（送审版）"/>
      <sheetName val="门窗工程量清单（实施版） "/>
      <sheetName val="【70系列铝合金外平开窗】单价分析表"/>
      <sheetName val="【栏杆】单价分析表"/>
      <sheetName val="米重表"/>
      <sheetName val="主材表"/>
      <sheetName val="主要材料损耗表"/>
      <sheetName val="加工、包装运输、安装费"/>
      <sheetName val="品牌"/>
      <sheetName val="Sheet1"/>
      <sheetName val="模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塔楼报价汇总"/>
      <sheetName val="综合单价"/>
      <sheetName val="单价分析表"/>
      <sheetName val="链接材料"/>
      <sheetName val="工程量汇总"/>
      <sheetName val="工程量计算"/>
      <sheetName val="含量"/>
    </sheetNames>
    <sheetDataSet>
      <sheetData sheetId="0">
        <row r="30">
          <cell r="G30">
            <v>37494777.3691573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O9" sqref="O9"/>
    </sheetView>
  </sheetViews>
  <sheetFormatPr defaultColWidth="9" defaultRowHeight="16.8"/>
  <cols>
    <col min="1" max="1" width="9" style="235"/>
    <col min="2" max="2" width="19.7211538461538" style="235" customWidth="1"/>
    <col min="3" max="3" width="13.6826923076923" style="235" customWidth="1"/>
    <col min="4" max="4" width="15.0673076923077" style="235" customWidth="1"/>
    <col min="5" max="5" width="16.625" style="235" customWidth="1"/>
    <col min="6" max="6" width="16.3942307692308" style="235" customWidth="1"/>
    <col min="7" max="7" width="12.2115384615385" customWidth="1"/>
    <col min="9" max="9" width="12.75" style="235" hidden="1" customWidth="1"/>
    <col min="10" max="10" width="9" style="235" hidden="1" customWidth="1"/>
    <col min="11" max="11" width="12.25" style="235" hidden="1" customWidth="1"/>
    <col min="12" max="12" width="12.75" style="235" hidden="1" customWidth="1"/>
    <col min="13" max="13" width="14.125" style="235" hidden="1" customWidth="1"/>
  </cols>
  <sheetData>
    <row r="1" ht="41" customHeight="1" spans="1:13">
      <c r="A1" s="309" t="s">
        <v>0</v>
      </c>
      <c r="B1" s="309"/>
      <c r="C1" s="309"/>
      <c r="D1" s="309"/>
      <c r="E1" s="309"/>
      <c r="F1" s="309"/>
    </row>
    <row r="2" ht="39" customHeight="1" spans="1:13">
      <c r="A2" s="273" t="s">
        <v>1</v>
      </c>
      <c r="B2" s="273" t="s">
        <v>2</v>
      </c>
      <c r="C2" s="295" t="s">
        <v>3</v>
      </c>
      <c r="D2" s="274" t="s">
        <v>4</v>
      </c>
      <c r="E2" s="295" t="s">
        <v>5</v>
      </c>
      <c r="F2" s="273" t="s">
        <v>6</v>
      </c>
      <c r="J2" s="235" t="s">
        <v>7</v>
      </c>
      <c r="K2" s="235" t="s">
        <v>8</v>
      </c>
      <c r="L2" s="235" t="s">
        <v>9</v>
      </c>
      <c r="M2" s="235" t="s">
        <v>10</v>
      </c>
    </row>
    <row r="3" ht="27" customHeight="1" spans="1:13">
      <c r="A3" s="273">
        <v>1</v>
      </c>
      <c r="B3" s="273" t="s">
        <v>11</v>
      </c>
      <c r="C3" s="276">
        <f ca="1">排屋工程量清单!D118*11</f>
        <v>40189.1144908</v>
      </c>
      <c r="D3" s="273">
        <f ca="1">排屋工程量清单!G118*11</f>
        <v>37681752.6211897</v>
      </c>
      <c r="E3" s="276">
        <f ca="1">D3/C3</f>
        <v>937.610920236018</v>
      </c>
      <c r="F3" s="310" t="s">
        <v>12</v>
      </c>
      <c r="I3" s="235" t="s">
        <v>13</v>
      </c>
      <c r="J3" s="235">
        <v>1</v>
      </c>
      <c r="K3" s="235">
        <v>16000</v>
      </c>
      <c r="L3" s="235">
        <v>24</v>
      </c>
      <c r="M3" s="235">
        <f>L3*K3*J3</f>
        <v>384000</v>
      </c>
    </row>
    <row r="4" ht="33" customHeight="1" spans="1:13">
      <c r="A4" s="273">
        <v>2</v>
      </c>
      <c r="B4" s="273" t="s">
        <v>14</v>
      </c>
      <c r="C4" s="276">
        <f ca="1">'商业工程量清单 '!D104</f>
        <v>8319.4104868</v>
      </c>
      <c r="D4" s="273">
        <f ca="1">'商业工程量清单 '!G104</f>
        <v>7934002.92881245</v>
      </c>
      <c r="E4" s="276">
        <f ca="1">D4/C4</f>
        <v>953.673693755218</v>
      </c>
      <c r="F4" s="273"/>
      <c r="I4" s="235" t="s">
        <v>15</v>
      </c>
      <c r="J4" s="235">
        <v>1</v>
      </c>
      <c r="K4" s="235">
        <v>13000</v>
      </c>
      <c r="L4" s="235">
        <v>16</v>
      </c>
      <c r="M4" s="235">
        <f t="shared" ref="M4:M13" si="0">L4*K4*J4</f>
        <v>208000</v>
      </c>
    </row>
    <row r="5" ht="30" customHeight="1" spans="1:13">
      <c r="A5" s="273">
        <v>3</v>
      </c>
      <c r="B5" s="273" t="s">
        <v>16</v>
      </c>
      <c r="C5" s="276">
        <v>30816.26</v>
      </c>
      <c r="D5" s="273">
        <f>[117]塔楼报价汇总!$G$30</f>
        <v>37494777.3691573</v>
      </c>
      <c r="E5" s="276">
        <f>D5/C5</f>
        <v>1216.72056794553</v>
      </c>
      <c r="F5" s="310" t="s">
        <v>12</v>
      </c>
      <c r="I5" s="235" t="s">
        <v>17</v>
      </c>
      <c r="J5" s="235">
        <v>2</v>
      </c>
      <c r="K5" s="235">
        <v>13000</v>
      </c>
      <c r="L5" s="235">
        <v>16</v>
      </c>
      <c r="M5" s="235">
        <f t="shared" si="0"/>
        <v>416000</v>
      </c>
    </row>
    <row r="6" ht="30" customHeight="1" spans="1:13">
      <c r="A6" s="273">
        <v>4</v>
      </c>
      <c r="B6" s="273" t="s">
        <v>18</v>
      </c>
      <c r="C6" s="273"/>
      <c r="D6" s="273">
        <f>M14</f>
        <v>2165000</v>
      </c>
      <c r="E6" s="273"/>
      <c r="F6" s="273" t="s">
        <v>19</v>
      </c>
      <c r="G6" s="311">
        <f ca="1">D6/D13</f>
        <v>0.0251377254412132</v>
      </c>
      <c r="I6" s="235" t="s">
        <v>20</v>
      </c>
      <c r="J6" s="235">
        <v>1</v>
      </c>
      <c r="K6" s="235">
        <v>9000</v>
      </c>
      <c r="L6" s="235">
        <v>16</v>
      </c>
      <c r="M6" s="235">
        <f t="shared" si="0"/>
        <v>144000</v>
      </c>
    </row>
    <row r="7" ht="30" customHeight="1" spans="1:13">
      <c r="A7" s="273">
        <v>5</v>
      </c>
      <c r="B7" s="273" t="s">
        <v>21</v>
      </c>
      <c r="C7" s="273"/>
      <c r="D7" s="273">
        <v>150000</v>
      </c>
      <c r="E7" s="273"/>
      <c r="F7" s="273" t="s">
        <v>19</v>
      </c>
      <c r="G7" s="311">
        <f ca="1">D7/D13</f>
        <v>0.00174164379500322</v>
      </c>
      <c r="I7" s="235" t="s">
        <v>22</v>
      </c>
      <c r="J7" s="235">
        <v>1</v>
      </c>
      <c r="K7" s="235">
        <v>9000</v>
      </c>
      <c r="L7" s="235">
        <v>16</v>
      </c>
      <c r="M7" s="235">
        <f t="shared" si="0"/>
        <v>144000</v>
      </c>
    </row>
    <row r="8" ht="30" customHeight="1" spans="1:13">
      <c r="A8" s="273">
        <v>6</v>
      </c>
      <c r="B8" s="273" t="s">
        <v>23</v>
      </c>
      <c r="C8" s="273"/>
      <c r="D8" s="273">
        <v>50000</v>
      </c>
      <c r="E8" s="273"/>
      <c r="F8" s="273" t="s">
        <v>19</v>
      </c>
      <c r="G8" s="311">
        <f ca="1">D8/D13</f>
        <v>0.000580547931667742</v>
      </c>
      <c r="I8" s="235" t="s">
        <v>24</v>
      </c>
      <c r="J8" s="235">
        <v>1</v>
      </c>
      <c r="K8" s="235">
        <v>8000</v>
      </c>
      <c r="L8" s="235">
        <v>8</v>
      </c>
      <c r="M8" s="235">
        <f t="shared" si="0"/>
        <v>64000</v>
      </c>
    </row>
    <row r="9" ht="30" customHeight="1" spans="1:13">
      <c r="A9" s="273">
        <v>7</v>
      </c>
      <c r="B9" s="273" t="s">
        <v>25</v>
      </c>
      <c r="C9" s="273"/>
      <c r="D9" s="273">
        <v>80000</v>
      </c>
      <c r="E9" s="273"/>
      <c r="F9" s="273" t="s">
        <v>19</v>
      </c>
      <c r="G9" s="311">
        <f ca="1">D9/D13</f>
        <v>0.000928876690668387</v>
      </c>
      <c r="I9" s="235" t="s">
        <v>26</v>
      </c>
      <c r="J9" s="235">
        <v>1</v>
      </c>
      <c r="K9" s="235">
        <v>5000</v>
      </c>
      <c r="L9" s="235">
        <v>16</v>
      </c>
      <c r="M9" s="235">
        <f t="shared" si="0"/>
        <v>80000</v>
      </c>
    </row>
    <row r="10" ht="30" customHeight="1" spans="1:13">
      <c r="A10" s="273">
        <v>8</v>
      </c>
      <c r="B10" s="273" t="s">
        <v>27</v>
      </c>
      <c r="C10" s="273"/>
      <c r="D10" s="273">
        <v>450000</v>
      </c>
      <c r="E10" s="273"/>
      <c r="F10" s="273" t="s">
        <v>19</v>
      </c>
      <c r="G10" s="311">
        <f ca="1">D10/D13</f>
        <v>0.00522493138500967</v>
      </c>
      <c r="I10" s="235" t="s">
        <v>28</v>
      </c>
      <c r="J10" s="235">
        <v>1</v>
      </c>
      <c r="K10" s="235">
        <v>8000</v>
      </c>
      <c r="L10" s="235">
        <v>16</v>
      </c>
      <c r="M10" s="235">
        <f t="shared" si="0"/>
        <v>128000</v>
      </c>
    </row>
    <row r="11" ht="27" customHeight="1" spans="1:13">
      <c r="A11" s="273">
        <v>9</v>
      </c>
      <c r="B11" s="273" t="s">
        <v>29</v>
      </c>
      <c r="C11" s="273"/>
      <c r="D11" s="273">
        <v>120000</v>
      </c>
      <c r="E11" s="273"/>
      <c r="F11" s="273" t="s">
        <v>19</v>
      </c>
      <c r="G11" s="311">
        <f ca="1">D11/D13</f>
        <v>0.00139331503600258</v>
      </c>
      <c r="I11" s="235" t="s">
        <v>30</v>
      </c>
      <c r="J11" s="235">
        <v>1</v>
      </c>
      <c r="K11" s="235">
        <v>12000</v>
      </c>
      <c r="L11" s="235">
        <v>16</v>
      </c>
      <c r="M11" s="235">
        <f t="shared" si="0"/>
        <v>192000</v>
      </c>
    </row>
    <row r="12" ht="27" customHeight="1" spans="1:13">
      <c r="A12" s="273"/>
      <c r="B12" s="273"/>
      <c r="C12" s="273"/>
      <c r="D12" s="273"/>
      <c r="E12" s="273"/>
      <c r="F12" s="273"/>
      <c r="I12" s="235" t="s">
        <v>31</v>
      </c>
      <c r="J12" s="235">
        <v>1</v>
      </c>
      <c r="K12" s="235">
        <v>15000</v>
      </c>
      <c r="L12" s="235">
        <v>24</v>
      </c>
      <c r="M12" s="235">
        <f t="shared" si="0"/>
        <v>360000</v>
      </c>
    </row>
    <row r="13" ht="29" customHeight="1" spans="1:13">
      <c r="A13" s="273"/>
      <c r="B13" s="273" t="s">
        <v>32</v>
      </c>
      <c r="C13" s="297">
        <f ca="1">SUM(C3:C5)</f>
        <v>79324.7849776</v>
      </c>
      <c r="D13" s="277">
        <f ca="1">SUM(D3:D12)</f>
        <v>86125532.9191594</v>
      </c>
      <c r="E13" s="273"/>
      <c r="F13" s="273"/>
      <c r="G13" s="312">
        <f ca="1">D13/C13</f>
        <v>1085.73295147891</v>
      </c>
      <c r="I13" s="235" t="s">
        <v>33</v>
      </c>
      <c r="J13" s="235">
        <v>1</v>
      </c>
      <c r="K13" s="235">
        <v>2500</v>
      </c>
      <c r="L13" s="235">
        <v>18</v>
      </c>
      <c r="M13" s="235">
        <f t="shared" si="0"/>
        <v>45000</v>
      </c>
    </row>
    <row r="14" ht="23" customHeight="1" spans="1:13">
      <c r="I14" s="235" t="s">
        <v>32</v>
      </c>
      <c r="J14" s="235">
        <f>SUM(J3:J13)</f>
        <v>12</v>
      </c>
      <c r="M14" s="313">
        <f>SUM(M3:M13)</f>
        <v>2165000</v>
      </c>
    </row>
    <row r="15" ht="24" customHeight="1"/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view="pageBreakPreview" zoomScaleNormal="100" workbookViewId="0">
      <pane ySplit="2" topLeftCell="A19" activePane="bottomLeft" state="frozen"/>
      <selection/>
      <selection pane="bottomLeft" activeCell="C52" sqref="C52"/>
    </sheetView>
  </sheetViews>
  <sheetFormatPr defaultColWidth="9" defaultRowHeight="16.8"/>
  <cols>
    <col min="1" max="1" width="7.75" style="235" customWidth="1"/>
    <col min="2" max="2" width="30.375" style="235" customWidth="1"/>
    <col min="3" max="3" width="31.625" customWidth="1"/>
    <col min="4" max="4" width="11.5"/>
    <col min="5" max="5" width="7.375" customWidth="1"/>
    <col min="6" max="6" width="15" style="236" customWidth="1"/>
    <col min="7" max="7" width="17.875" style="236" customWidth="1"/>
    <col min="8" max="8" width="27.875" customWidth="1"/>
    <col min="10" max="10" width="12.625"/>
  </cols>
  <sheetData>
    <row r="1" ht="35" customHeight="1" spans="1:8">
      <c r="A1" s="271" t="s">
        <v>34</v>
      </c>
      <c r="B1" s="271"/>
      <c r="C1" s="271"/>
      <c r="D1" s="271"/>
      <c r="E1" s="271"/>
      <c r="F1" s="271"/>
      <c r="G1" s="271"/>
      <c r="H1" s="271"/>
    </row>
    <row r="2" ht="30" customHeight="1" spans="1:8">
      <c r="A2" s="273" t="s">
        <v>1</v>
      </c>
      <c r="B2" s="273" t="s">
        <v>2</v>
      </c>
      <c r="C2" s="273" t="s">
        <v>35</v>
      </c>
      <c r="D2" s="275" t="s">
        <v>36</v>
      </c>
      <c r="E2" s="275" t="s">
        <v>37</v>
      </c>
      <c r="F2" s="276" t="s">
        <v>38</v>
      </c>
      <c r="G2" s="276" t="s">
        <v>39</v>
      </c>
      <c r="H2" s="273" t="s">
        <v>6</v>
      </c>
    </row>
    <row r="3" ht="30" customHeight="1" spans="1:8">
      <c r="A3" s="277" t="s">
        <v>40</v>
      </c>
      <c r="B3" s="277" t="s">
        <v>41</v>
      </c>
      <c r="C3" s="273"/>
      <c r="D3" s="279">
        <f>SUM(D4:D21)</f>
        <v>115.204</v>
      </c>
      <c r="E3" s="275"/>
      <c r="F3" s="276"/>
      <c r="G3" s="279">
        <f ca="1">SUM(G4:G21)</f>
        <v>86828.225977378</v>
      </c>
      <c r="H3" s="280"/>
    </row>
    <row r="4" ht="30" customHeight="1" outlineLevel="1" spans="1:8">
      <c r="A4" s="273">
        <v>1</v>
      </c>
      <c r="B4" s="273" t="s">
        <v>42</v>
      </c>
      <c r="C4" s="280"/>
      <c r="D4" s="275">
        <f>4.05*1.75*2</f>
        <v>14.175</v>
      </c>
      <c r="E4" s="72" t="s">
        <v>43</v>
      </c>
      <c r="F4" s="276">
        <f ca="1">VLOOKUP(B4,'综合单价分析表 (11#楼)'!A:I,9,)</f>
        <v>808.613687711195</v>
      </c>
      <c r="G4" s="276">
        <f ca="1" t="shared" ref="G4:G10" si="0">+F4*D4</f>
        <v>11462.0990233062</v>
      </c>
      <c r="H4" s="280"/>
    </row>
    <row r="5" ht="30" customHeight="1" outlineLevel="1" spans="1:8">
      <c r="A5" s="199">
        <f>MAX($A$3:$A4)+1</f>
        <v>2</v>
      </c>
      <c r="B5" s="273" t="s">
        <v>44</v>
      </c>
      <c r="C5" s="280"/>
      <c r="D5" s="275">
        <f>1.1*1.75*2</f>
        <v>3.85</v>
      </c>
      <c r="E5" s="72" t="s">
        <v>43</v>
      </c>
      <c r="F5" s="276">
        <f ca="1">F4</f>
        <v>808.613687711195</v>
      </c>
      <c r="G5" s="276">
        <f ca="1" t="shared" si="0"/>
        <v>3113.1626976881</v>
      </c>
      <c r="H5" s="280"/>
    </row>
    <row r="6" ht="30" customHeight="1" outlineLevel="1" spans="1:8">
      <c r="A6" s="199">
        <f>MAX($A$3:$A5)+1</f>
        <v>3</v>
      </c>
      <c r="B6" s="273" t="s">
        <v>45</v>
      </c>
      <c r="C6" s="280"/>
      <c r="D6" s="275">
        <f>2.55*1.75</f>
        <v>4.4625</v>
      </c>
      <c r="E6" s="72" t="s">
        <v>43</v>
      </c>
      <c r="F6" s="276">
        <f ca="1">F4</f>
        <v>808.613687711195</v>
      </c>
      <c r="G6" s="276">
        <f ca="1" t="shared" si="0"/>
        <v>3608.43858141121</v>
      </c>
      <c r="H6" s="280"/>
    </row>
    <row r="7" ht="30" customHeight="1" outlineLevel="1" spans="1:8">
      <c r="A7" s="199">
        <f>MAX($A$3:$A6)+1</f>
        <v>4</v>
      </c>
      <c r="B7" s="301" t="s">
        <v>46</v>
      </c>
      <c r="C7" s="280"/>
      <c r="D7" s="302">
        <f>4.05*0.75</f>
        <v>3.0375</v>
      </c>
      <c r="E7" s="72" t="s">
        <v>43</v>
      </c>
      <c r="F7" s="276">
        <f ca="1">F4</f>
        <v>808.613687711195</v>
      </c>
      <c r="G7" s="276">
        <f ca="1" t="shared" si="0"/>
        <v>2456.16407642275</v>
      </c>
      <c r="H7" s="280"/>
    </row>
    <row r="8" ht="30" customHeight="1" outlineLevel="1" spans="1:8">
      <c r="A8" s="199">
        <f>MAX($A$3:$A7)+1</f>
        <v>5</v>
      </c>
      <c r="B8" s="273" t="s">
        <v>47</v>
      </c>
      <c r="C8" s="280"/>
      <c r="D8" s="275">
        <f>6.2*2*2</f>
        <v>24.8</v>
      </c>
      <c r="E8" s="72" t="s">
        <v>43</v>
      </c>
      <c r="F8" s="276">
        <f ca="1">F4</f>
        <v>808.613687711195</v>
      </c>
      <c r="G8" s="276">
        <f ca="1" t="shared" si="0"/>
        <v>20053.6194552376</v>
      </c>
      <c r="H8" s="280"/>
    </row>
    <row r="9" ht="30" customHeight="1" outlineLevel="1" spans="1:8">
      <c r="A9" s="199">
        <f>MAX($A$3:$A8)+1</f>
        <v>6</v>
      </c>
      <c r="B9" s="273" t="s">
        <v>48</v>
      </c>
      <c r="C9" s="280"/>
      <c r="D9" s="275">
        <f>0.75*1.75*3</f>
        <v>3.9375</v>
      </c>
      <c r="E9" s="72" t="s">
        <v>43</v>
      </c>
      <c r="F9" s="276">
        <f ca="1">F4</f>
        <v>808.613687711195</v>
      </c>
      <c r="G9" s="276">
        <f ca="1" t="shared" si="0"/>
        <v>3183.91639536283</v>
      </c>
      <c r="H9" s="280"/>
    </row>
    <row r="10" ht="30" customHeight="1" outlineLevel="1" spans="1:8">
      <c r="A10" s="199"/>
      <c r="B10" s="273" t="s">
        <v>49</v>
      </c>
      <c r="C10" s="280"/>
      <c r="D10" s="275">
        <f>0.75*1.75*3</f>
        <v>3.9375</v>
      </c>
      <c r="E10" s="72" t="s">
        <v>43</v>
      </c>
      <c r="F10" s="276">
        <f ca="1">F4</f>
        <v>808.613687711195</v>
      </c>
      <c r="G10" s="276">
        <f ca="1" t="shared" si="0"/>
        <v>3183.91639536283</v>
      </c>
      <c r="H10" s="280"/>
    </row>
    <row r="11" ht="30" customHeight="1" outlineLevel="1" spans="1:8">
      <c r="A11" s="199">
        <f>MAX($A$3:$A9)+1</f>
        <v>7</v>
      </c>
      <c r="B11" s="273" t="s">
        <v>50</v>
      </c>
      <c r="C11" s="303" t="s">
        <v>51</v>
      </c>
      <c r="D11" s="275">
        <f>5*2</f>
        <v>10</v>
      </c>
      <c r="E11" s="72" t="s">
        <v>43</v>
      </c>
      <c r="F11" s="276">
        <f ca="1">F4</f>
        <v>808.613687711195</v>
      </c>
      <c r="G11" s="276">
        <f ca="1" t="shared" ref="G11:G21" si="1">+F11*D11</f>
        <v>8086.13687711195</v>
      </c>
      <c r="H11" s="280" t="s">
        <v>52</v>
      </c>
    </row>
    <row r="12" ht="30" customHeight="1" outlineLevel="1" spans="1:8">
      <c r="A12" s="199">
        <f>MAX($A$3:$A11)+1</f>
        <v>8</v>
      </c>
      <c r="B12" s="273" t="s">
        <v>53</v>
      </c>
      <c r="C12" s="303" t="s">
        <v>51</v>
      </c>
      <c r="D12" s="275">
        <f>1*1.55*2</f>
        <v>3.1</v>
      </c>
      <c r="E12" s="72" t="s">
        <v>43</v>
      </c>
      <c r="F12" s="276">
        <f ca="1">F11</f>
        <v>808.613687711195</v>
      </c>
      <c r="G12" s="276">
        <f ca="1" t="shared" si="1"/>
        <v>2506.7024319047</v>
      </c>
      <c r="H12" s="280" t="s">
        <v>52</v>
      </c>
    </row>
    <row r="13" ht="30" customHeight="1" outlineLevel="1" spans="1:8">
      <c r="A13" s="199">
        <f>MAX($A$3:$A12)+1</f>
        <v>9</v>
      </c>
      <c r="B13" s="273" t="s">
        <v>54</v>
      </c>
      <c r="C13" s="303" t="s">
        <v>51</v>
      </c>
      <c r="D13" s="275">
        <f>1.05*1.5</f>
        <v>1.575</v>
      </c>
      <c r="E13" s="72" t="s">
        <v>43</v>
      </c>
      <c r="F13" s="276">
        <f ca="1">F11</f>
        <v>808.613687711195</v>
      </c>
      <c r="G13" s="276">
        <f ca="1" t="shared" si="1"/>
        <v>1273.56655814513</v>
      </c>
      <c r="H13" s="280" t="s">
        <v>52</v>
      </c>
    </row>
    <row r="14" ht="30" customHeight="1" outlineLevel="1" spans="1:8">
      <c r="A14" s="199">
        <f>MAX($A$3:$A13)+1</f>
        <v>10</v>
      </c>
      <c r="B14" s="273" t="s">
        <v>55</v>
      </c>
      <c r="C14" s="303" t="s">
        <v>56</v>
      </c>
      <c r="D14" s="275">
        <f>3*2.3</f>
        <v>6.9</v>
      </c>
      <c r="E14" s="72" t="s">
        <v>43</v>
      </c>
      <c r="F14" s="276">
        <v>600</v>
      </c>
      <c r="G14" s="276">
        <f t="shared" si="1"/>
        <v>4140</v>
      </c>
      <c r="H14" s="280" t="s">
        <v>52</v>
      </c>
    </row>
    <row r="15" ht="30" customHeight="1" outlineLevel="1" spans="1:8">
      <c r="A15" s="199">
        <f>MAX($A$3:$A14)+1</f>
        <v>11</v>
      </c>
      <c r="B15" s="273" t="s">
        <v>57</v>
      </c>
      <c r="C15" s="303" t="s">
        <v>51</v>
      </c>
      <c r="D15" s="275">
        <f>1.25*1.55</f>
        <v>1.9375</v>
      </c>
      <c r="E15" s="72" t="s">
        <v>43</v>
      </c>
      <c r="F15" s="276">
        <f ca="1">F11</f>
        <v>808.613687711195</v>
      </c>
      <c r="G15" s="276">
        <f ca="1" t="shared" si="1"/>
        <v>1566.68901994044</v>
      </c>
      <c r="H15" s="280" t="s">
        <v>52</v>
      </c>
    </row>
    <row r="16" ht="30" customHeight="1" outlineLevel="1" spans="1:8">
      <c r="A16" s="199">
        <f>MAX($A$3:$A15)+1</f>
        <v>12</v>
      </c>
      <c r="B16" s="273" t="s">
        <v>58</v>
      </c>
      <c r="C16" s="303" t="s">
        <v>59</v>
      </c>
      <c r="D16" s="275">
        <f>3.1*2.3</f>
        <v>7.13</v>
      </c>
      <c r="E16" s="72" t="s">
        <v>43</v>
      </c>
      <c r="F16" s="276">
        <f ca="1">F4</f>
        <v>808.613687711195</v>
      </c>
      <c r="G16" s="276">
        <f ca="1" t="shared" si="1"/>
        <v>5765.41559338082</v>
      </c>
      <c r="H16" s="280" t="s">
        <v>52</v>
      </c>
    </row>
    <row r="17" ht="30" customHeight="1" outlineLevel="1" spans="1:8">
      <c r="A17" s="199">
        <f>MAX($A$3:$A16)+1</f>
        <v>13</v>
      </c>
      <c r="B17" s="273" t="s">
        <v>60</v>
      </c>
      <c r="C17" s="303" t="s">
        <v>51</v>
      </c>
      <c r="D17" s="275">
        <f>0.85*2.3</f>
        <v>1.955</v>
      </c>
      <c r="E17" s="72" t="s">
        <v>43</v>
      </c>
      <c r="F17" s="276">
        <f>F14</f>
        <v>600</v>
      </c>
      <c r="G17" s="276">
        <f t="shared" si="1"/>
        <v>1173</v>
      </c>
      <c r="H17" s="280" t="s">
        <v>52</v>
      </c>
    </row>
    <row r="18" ht="30" customHeight="1" outlineLevel="1" spans="1:8">
      <c r="A18" s="199">
        <f>MAX($A$3:$A17)+1</f>
        <v>14</v>
      </c>
      <c r="B18" s="273" t="s">
        <v>61</v>
      </c>
      <c r="C18" s="303" t="s">
        <v>56</v>
      </c>
      <c r="D18" s="275">
        <f>2.55*2.15</f>
        <v>5.4825</v>
      </c>
      <c r="E18" s="72" t="s">
        <v>43</v>
      </c>
      <c r="F18" s="276">
        <f>F14</f>
        <v>600</v>
      </c>
      <c r="G18" s="276">
        <f t="shared" si="1"/>
        <v>3289.5</v>
      </c>
      <c r="H18" s="280" t="s">
        <v>62</v>
      </c>
    </row>
    <row r="19" ht="30" customHeight="1" outlineLevel="1" spans="1:8">
      <c r="A19" s="199">
        <f>MAX($A$3:$A18)+1</f>
        <v>15</v>
      </c>
      <c r="B19" s="273" t="s">
        <v>63</v>
      </c>
      <c r="C19" s="303" t="s">
        <v>51</v>
      </c>
      <c r="D19" s="275">
        <f>0.95*1.345</f>
        <v>1.27775</v>
      </c>
      <c r="E19" s="72" t="s">
        <v>43</v>
      </c>
      <c r="F19" s="276">
        <f>F14</f>
        <v>600</v>
      </c>
      <c r="G19" s="276">
        <f t="shared" si="1"/>
        <v>766.65</v>
      </c>
      <c r="H19" s="280" t="s">
        <v>62</v>
      </c>
    </row>
    <row r="20" ht="30" customHeight="1" outlineLevel="1" spans="1:8">
      <c r="A20" s="199">
        <f>MAX($A$3:$A19)+1</f>
        <v>16</v>
      </c>
      <c r="B20" s="273" t="s">
        <v>64</v>
      </c>
      <c r="C20" s="303" t="s">
        <v>65</v>
      </c>
      <c r="D20" s="275">
        <f>2.7*5.45</f>
        <v>14.715</v>
      </c>
      <c r="E20" s="72" t="s">
        <v>43</v>
      </c>
      <c r="F20" s="276">
        <f>F14</f>
        <v>600</v>
      </c>
      <c r="G20" s="276">
        <f t="shared" si="1"/>
        <v>8829</v>
      </c>
      <c r="H20" s="280" t="s">
        <v>62</v>
      </c>
    </row>
    <row r="21" ht="30" customHeight="1" outlineLevel="1" spans="1:8">
      <c r="A21" s="199">
        <f>MAX($A$3:$A20)+1</f>
        <v>17</v>
      </c>
      <c r="B21" s="273" t="s">
        <v>66</v>
      </c>
      <c r="C21" s="303" t="s">
        <v>51</v>
      </c>
      <c r="D21" s="275">
        <f>1.25*2.345</f>
        <v>2.93125</v>
      </c>
      <c r="E21" s="72" t="s">
        <v>43</v>
      </c>
      <c r="F21" s="276">
        <f ca="1">F4</f>
        <v>808.613687711195</v>
      </c>
      <c r="G21" s="276">
        <f ca="1" t="shared" si="1"/>
        <v>2370.24887210344</v>
      </c>
      <c r="H21" s="280" t="s">
        <v>62</v>
      </c>
    </row>
    <row r="22" ht="30" customHeight="1" spans="1:8">
      <c r="A22" s="277" t="s">
        <v>67</v>
      </c>
      <c r="B22" s="277" t="s">
        <v>68</v>
      </c>
      <c r="C22" s="280"/>
      <c r="D22" s="279">
        <f>SUM(D23:D47)</f>
        <v>515.11425</v>
      </c>
      <c r="E22" s="72"/>
      <c r="F22" s="276"/>
      <c r="G22" s="279">
        <f ca="1">SUM(G23:G47)</f>
        <v>648486.355781197</v>
      </c>
      <c r="H22" s="280"/>
    </row>
    <row r="23" ht="30" customHeight="1" outlineLevel="1" spans="1:8">
      <c r="A23" s="199">
        <f>MAX($A$3:$A22)+1</f>
        <v>18</v>
      </c>
      <c r="B23" s="273" t="s">
        <v>69</v>
      </c>
      <c r="C23" s="280"/>
      <c r="D23" s="275">
        <f>10.3*2.59</f>
        <v>26.677</v>
      </c>
      <c r="E23" s="72" t="s">
        <v>43</v>
      </c>
      <c r="F23" s="276">
        <f ca="1">VLOOKUP(B23,'综合单价分析表 (11#楼)'!A:I,9,)</f>
        <v>1258.91752321198</v>
      </c>
      <c r="G23" s="276">
        <f ca="1">D23*F23</f>
        <v>33584.142766726</v>
      </c>
      <c r="H23" s="280" t="s">
        <v>70</v>
      </c>
    </row>
    <row r="24" ht="30" customHeight="1" outlineLevel="1" spans="1:8">
      <c r="A24" s="199">
        <f>MAX($A$3:$A23)+1</f>
        <v>19</v>
      </c>
      <c r="B24" s="301" t="s">
        <v>71</v>
      </c>
      <c r="C24" s="304"/>
      <c r="D24" s="302">
        <f>4.162*(2.47+0.7)</f>
        <v>13.19354</v>
      </c>
      <c r="E24" s="72" t="s">
        <v>43</v>
      </c>
      <c r="F24" s="276">
        <f ca="1">F23</f>
        <v>1258.91752321198</v>
      </c>
      <c r="G24" s="276">
        <f ca="1" t="shared" ref="G24:G47" si="2">D24*F24</f>
        <v>16609.5786991982</v>
      </c>
      <c r="H24" s="280" t="s">
        <v>72</v>
      </c>
    </row>
    <row r="25" ht="30" customHeight="1" outlineLevel="1" spans="1:8">
      <c r="A25" s="199">
        <f>MAX($A$3:$A24)+1</f>
        <v>20</v>
      </c>
      <c r="B25" s="273" t="s">
        <v>73</v>
      </c>
      <c r="C25" s="280"/>
      <c r="D25" s="275">
        <f>7.65*2.59</f>
        <v>19.8135</v>
      </c>
      <c r="E25" s="72" t="s">
        <v>43</v>
      </c>
      <c r="F25" s="276">
        <f ca="1">F23</f>
        <v>1258.91752321198</v>
      </c>
      <c r="G25" s="276">
        <f ca="1" t="shared" si="2"/>
        <v>24943.5623461606</v>
      </c>
      <c r="H25" s="280" t="s">
        <v>70</v>
      </c>
    </row>
    <row r="26" ht="30" customHeight="1" outlineLevel="1" spans="1:8">
      <c r="A26" s="199">
        <f>MAX($A$3:$A25)+1</f>
        <v>21</v>
      </c>
      <c r="B26" s="301" t="s">
        <v>74</v>
      </c>
      <c r="C26" s="304"/>
      <c r="D26" s="302">
        <f>3.762*(2.47+0.7)</f>
        <v>11.92554</v>
      </c>
      <c r="E26" s="72" t="s">
        <v>43</v>
      </c>
      <c r="F26" s="276">
        <f ca="1">F23</f>
        <v>1258.91752321198</v>
      </c>
      <c r="G26" s="276">
        <f ca="1" t="shared" si="2"/>
        <v>15013.2712797654</v>
      </c>
      <c r="H26" s="280" t="s">
        <v>72</v>
      </c>
    </row>
    <row r="27" ht="30" customHeight="1" outlineLevel="1" spans="1:8">
      <c r="A27" s="199">
        <f>MAX($A$3:$A26)+1</f>
        <v>22</v>
      </c>
      <c r="B27" s="273" t="s">
        <v>75</v>
      </c>
      <c r="C27" s="280"/>
      <c r="D27" s="275">
        <f>10.3*2.59</f>
        <v>26.677</v>
      </c>
      <c r="E27" s="72" t="s">
        <v>43</v>
      </c>
      <c r="F27" s="276">
        <f ca="1">F23</f>
        <v>1258.91752321198</v>
      </c>
      <c r="G27" s="276">
        <f ca="1" t="shared" si="2"/>
        <v>33584.142766726</v>
      </c>
      <c r="H27" s="280" t="s">
        <v>70</v>
      </c>
    </row>
    <row r="28" ht="30" customHeight="1" outlineLevel="1" spans="1:8">
      <c r="A28" s="199">
        <f>MAX($A$3:$A27)+1</f>
        <v>23</v>
      </c>
      <c r="B28" s="273" t="s">
        <v>76</v>
      </c>
      <c r="C28" s="280"/>
      <c r="D28" s="275">
        <f>4.062*(2.47+0.7)</f>
        <v>12.87654</v>
      </c>
      <c r="E28" s="72" t="s">
        <v>43</v>
      </c>
      <c r="F28" s="276">
        <f ca="1">F23</f>
        <v>1258.91752321198</v>
      </c>
      <c r="G28" s="276">
        <f ca="1" t="shared" si="2"/>
        <v>16210.50184434</v>
      </c>
      <c r="H28" s="280" t="s">
        <v>72</v>
      </c>
    </row>
    <row r="29" ht="30" customHeight="1" outlineLevel="1" spans="1:8">
      <c r="A29" s="199">
        <f>MAX($A$3:$A28)+1</f>
        <v>24</v>
      </c>
      <c r="B29" s="273" t="s">
        <v>77</v>
      </c>
      <c r="C29" s="280"/>
      <c r="D29" s="275">
        <f>2.86*2.22*2</f>
        <v>12.6984</v>
      </c>
      <c r="E29" s="72" t="s">
        <v>43</v>
      </c>
      <c r="F29" s="276">
        <f ca="1">F23</f>
        <v>1258.91752321198</v>
      </c>
      <c r="G29" s="276">
        <f ca="1" t="shared" si="2"/>
        <v>15986.238276755</v>
      </c>
      <c r="H29" s="280" t="s">
        <v>72</v>
      </c>
    </row>
    <row r="30" ht="30" customHeight="1" outlineLevel="1" spans="1:8">
      <c r="A30" s="199">
        <f>MAX($A$3:$A29)+1</f>
        <v>25</v>
      </c>
      <c r="B30" s="273" t="s">
        <v>78</v>
      </c>
      <c r="C30" s="280"/>
      <c r="D30" s="275">
        <f>13.714*2.71*2</f>
        <v>74.32988</v>
      </c>
      <c r="E30" s="72" t="s">
        <v>43</v>
      </c>
      <c r="F30" s="276">
        <f ca="1">F23</f>
        <v>1258.91752321198</v>
      </c>
      <c r="G30" s="276">
        <f ca="1" t="shared" si="2"/>
        <v>93575.1884302437</v>
      </c>
      <c r="H30" s="280" t="s">
        <v>79</v>
      </c>
    </row>
    <row r="31" ht="30" customHeight="1" outlineLevel="1" spans="1:8">
      <c r="A31" s="199">
        <f>MAX($A$3:$A30)+1</f>
        <v>26</v>
      </c>
      <c r="B31" s="273" t="s">
        <v>80</v>
      </c>
      <c r="C31" s="280"/>
      <c r="D31" s="275">
        <f>7.212*2.71*2</f>
        <v>39.08904</v>
      </c>
      <c r="E31" s="72" t="s">
        <v>43</v>
      </c>
      <c r="F31" s="276">
        <f ca="1">F23</f>
        <v>1258.91752321198</v>
      </c>
      <c r="G31" s="276">
        <f ca="1" t="shared" si="2"/>
        <v>49209.877421534</v>
      </c>
      <c r="H31" s="280" t="s">
        <v>70</v>
      </c>
    </row>
    <row r="32" ht="30" customHeight="1" outlineLevel="1" spans="1:8">
      <c r="A32" s="199">
        <f>MAX($A$3:$A31)+1</f>
        <v>27</v>
      </c>
      <c r="B32" s="273" t="s">
        <v>81</v>
      </c>
      <c r="C32" s="280"/>
      <c r="D32" s="275">
        <f>4.502*2.73</f>
        <v>12.29046</v>
      </c>
      <c r="E32" s="72" t="s">
        <v>43</v>
      </c>
      <c r="F32" s="276">
        <f ca="1">F23</f>
        <v>1258.91752321198</v>
      </c>
      <c r="G32" s="276">
        <f ca="1" t="shared" si="2"/>
        <v>15472.6754623359</v>
      </c>
      <c r="H32" s="280" t="s">
        <v>72</v>
      </c>
    </row>
    <row r="33" ht="30" customHeight="1" outlineLevel="1" spans="1:8">
      <c r="A33" s="199">
        <f>MAX($A$3:$A32)+1</f>
        <v>28</v>
      </c>
      <c r="B33" s="273" t="s">
        <v>82</v>
      </c>
      <c r="C33" s="280"/>
      <c r="D33" s="275">
        <f>7.913*2.71</f>
        <v>21.44423</v>
      </c>
      <c r="E33" s="72" t="s">
        <v>43</v>
      </c>
      <c r="F33" s="276">
        <f ca="1">F23</f>
        <v>1258.91752321198</v>
      </c>
      <c r="G33" s="276">
        <f ca="1" t="shared" si="2"/>
        <v>26996.516918788</v>
      </c>
      <c r="H33" s="280" t="s">
        <v>79</v>
      </c>
    </row>
    <row r="34" ht="30" customHeight="1" outlineLevel="1" spans="1:8">
      <c r="A34" s="199">
        <f>MAX($A$3:$A33)+1</f>
        <v>29</v>
      </c>
      <c r="B34" s="273" t="s">
        <v>83</v>
      </c>
      <c r="C34" s="280"/>
      <c r="D34" s="275">
        <f>5.512*2.71</f>
        <v>14.93752</v>
      </c>
      <c r="E34" s="72" t="s">
        <v>43</v>
      </c>
      <c r="F34" s="276">
        <f ca="1">F23</f>
        <v>1258.91752321198</v>
      </c>
      <c r="G34" s="276">
        <f ca="1" t="shared" si="2"/>
        <v>18805.1056813294</v>
      </c>
      <c r="H34" s="280" t="s">
        <v>70</v>
      </c>
    </row>
    <row r="35" ht="30" customHeight="1" outlineLevel="1" spans="1:8">
      <c r="A35" s="199">
        <f>MAX($A$3:$A34)+1</f>
        <v>30</v>
      </c>
      <c r="B35" s="273" t="s">
        <v>84</v>
      </c>
      <c r="C35" s="280"/>
      <c r="D35" s="275">
        <f>4.102*2.71</f>
        <v>11.11642</v>
      </c>
      <c r="E35" s="72" t="s">
        <v>43</v>
      </c>
      <c r="F35" s="276">
        <f ca="1">F23</f>
        <v>1258.91752321198</v>
      </c>
      <c r="G35" s="276">
        <f ca="1" t="shared" si="2"/>
        <v>13994.6559333841</v>
      </c>
      <c r="H35" s="280" t="s">
        <v>72</v>
      </c>
    </row>
    <row r="36" ht="30" customHeight="1" outlineLevel="1" spans="1:8">
      <c r="A36" s="199">
        <f>MAX($A$3:$A35)+1</f>
        <v>31</v>
      </c>
      <c r="B36" s="273" t="s">
        <v>85</v>
      </c>
      <c r="C36" s="280"/>
      <c r="D36" s="275">
        <f>4.402*2.73</f>
        <v>12.01746</v>
      </c>
      <c r="E36" s="72" t="s">
        <v>43</v>
      </c>
      <c r="F36" s="276">
        <f ca="1">F23</f>
        <v>1258.91752321198</v>
      </c>
      <c r="G36" s="276">
        <f ca="1" t="shared" si="2"/>
        <v>15128.990978499</v>
      </c>
      <c r="H36" s="280" t="s">
        <v>72</v>
      </c>
    </row>
    <row r="37" ht="30" customHeight="1" outlineLevel="1" spans="1:8">
      <c r="A37" s="199">
        <f>MAX($A$3:$A36)+1</f>
        <v>32</v>
      </c>
      <c r="B37" s="273" t="s">
        <v>86</v>
      </c>
      <c r="C37" s="280"/>
      <c r="D37" s="275">
        <f>9.352*2.63*2</f>
        <v>49.19152</v>
      </c>
      <c r="E37" s="72" t="s">
        <v>43</v>
      </c>
      <c r="F37" s="276">
        <f ca="1">F23</f>
        <v>1258.91752321198</v>
      </c>
      <c r="G37" s="276">
        <f ca="1" t="shared" si="2"/>
        <v>61928.0665214326</v>
      </c>
      <c r="H37" s="280" t="s">
        <v>72</v>
      </c>
    </row>
    <row r="38" ht="30" customHeight="1" outlineLevel="1" spans="1:8">
      <c r="A38" s="199">
        <f>MAX($A$3:$A37)+1</f>
        <v>33</v>
      </c>
      <c r="B38" s="273" t="s">
        <v>87</v>
      </c>
      <c r="C38" s="280"/>
      <c r="D38" s="275">
        <f>1.61*2.52*3</f>
        <v>12.1716</v>
      </c>
      <c r="E38" s="72" t="s">
        <v>43</v>
      </c>
      <c r="F38" s="276">
        <f ca="1">F24</f>
        <v>1258.91752321198</v>
      </c>
      <c r="G38" s="276">
        <f ca="1" t="shared" si="2"/>
        <v>15323.0405255269</v>
      </c>
      <c r="H38" s="280" t="s">
        <v>88</v>
      </c>
    </row>
    <row r="39" ht="30" customHeight="1" outlineLevel="1" spans="1:8">
      <c r="A39" s="199">
        <f>MAX($A$3:$A38)+1</f>
        <v>34</v>
      </c>
      <c r="B39" s="273" t="s">
        <v>89</v>
      </c>
      <c r="C39" s="280"/>
      <c r="D39" s="275">
        <f>5.69*2.64</f>
        <v>15.0216</v>
      </c>
      <c r="E39" s="72" t="s">
        <v>43</v>
      </c>
      <c r="F39" s="276">
        <f ca="1">F25</f>
        <v>1258.91752321198</v>
      </c>
      <c r="G39" s="276">
        <f ca="1" t="shared" si="2"/>
        <v>18910.9554666811</v>
      </c>
      <c r="H39" s="280" t="s">
        <v>70</v>
      </c>
    </row>
    <row r="40" ht="30" customHeight="1" outlineLevel="1" spans="1:8">
      <c r="A40" s="199">
        <f>MAX($A$3:$A39)+1</f>
        <v>35</v>
      </c>
      <c r="B40" s="273" t="s">
        <v>90</v>
      </c>
      <c r="C40" s="280"/>
      <c r="D40" s="275">
        <f>3.96*2.63</f>
        <v>10.4148</v>
      </c>
      <c r="E40" s="72" t="s">
        <v>43</v>
      </c>
      <c r="F40" s="276">
        <f ca="1">F23</f>
        <v>1258.91752321198</v>
      </c>
      <c r="G40" s="276">
        <f ca="1" t="shared" si="2"/>
        <v>13111.3742207481</v>
      </c>
      <c r="H40" s="280" t="s">
        <v>72</v>
      </c>
    </row>
    <row r="41" ht="30" customHeight="1" outlineLevel="1" spans="1:8">
      <c r="A41" s="199">
        <f>MAX($A$3:$A40)+1</f>
        <v>36</v>
      </c>
      <c r="B41" s="273" t="s">
        <v>91</v>
      </c>
      <c r="C41" s="280"/>
      <c r="D41" s="275">
        <f>4.19*2.64</f>
        <v>11.0616</v>
      </c>
      <c r="E41" s="72" t="s">
        <v>43</v>
      </c>
      <c r="F41" s="276">
        <f ca="1">F23</f>
        <v>1258.91752321198</v>
      </c>
      <c r="G41" s="276">
        <f ca="1" t="shared" si="2"/>
        <v>13925.6420747616</v>
      </c>
      <c r="H41" s="280" t="s">
        <v>70</v>
      </c>
    </row>
    <row r="42" ht="30" customHeight="1" outlineLevel="1" spans="1:8">
      <c r="A42" s="199">
        <f>MAX($A$3:$A41)+1</f>
        <v>37</v>
      </c>
      <c r="B42" s="273" t="s">
        <v>92</v>
      </c>
      <c r="C42" s="280"/>
      <c r="D42" s="275">
        <f>6.2*1.8*2</f>
        <v>22.32</v>
      </c>
      <c r="E42" s="72" t="s">
        <v>43</v>
      </c>
      <c r="F42" s="276">
        <f ca="1">F23</f>
        <v>1258.91752321198</v>
      </c>
      <c r="G42" s="276">
        <f ca="1" t="shared" si="2"/>
        <v>28099.0391180914</v>
      </c>
      <c r="H42" s="280" t="s">
        <v>72</v>
      </c>
    </row>
    <row r="43" ht="30" customHeight="1" outlineLevel="1" spans="1:8">
      <c r="A43" s="199">
        <f>MAX($A$3:$A42)+1</f>
        <v>38</v>
      </c>
      <c r="B43" s="273" t="s">
        <v>93</v>
      </c>
      <c r="C43" s="280"/>
      <c r="D43" s="275">
        <f>5*1.9</f>
        <v>9.5</v>
      </c>
      <c r="E43" s="72" t="s">
        <v>43</v>
      </c>
      <c r="F43" s="276">
        <f ca="1">F23</f>
        <v>1258.91752321198</v>
      </c>
      <c r="G43" s="276">
        <f ca="1" t="shared" si="2"/>
        <v>11959.7164705138</v>
      </c>
      <c r="H43" s="280" t="s">
        <v>70</v>
      </c>
    </row>
    <row r="44" ht="30" customHeight="1" outlineLevel="1" spans="1:8">
      <c r="A44" s="199">
        <f>MAX($A$3:$A43)+1</f>
        <v>39</v>
      </c>
      <c r="B44" s="273" t="s">
        <v>94</v>
      </c>
      <c r="C44" s="280"/>
      <c r="D44" s="275">
        <f>5.77*2.53</f>
        <v>14.5981</v>
      </c>
      <c r="E44" s="72" t="s">
        <v>43</v>
      </c>
      <c r="F44" s="276">
        <f ca="1">F23</f>
        <v>1258.91752321198</v>
      </c>
      <c r="G44" s="276">
        <f ca="1" t="shared" si="2"/>
        <v>18377.8038956008</v>
      </c>
      <c r="H44" s="280" t="s">
        <v>72</v>
      </c>
    </row>
    <row r="45" ht="30" customHeight="1" outlineLevel="1" spans="1:8">
      <c r="A45" s="199">
        <f>MAX($A$3:$A44)+1</f>
        <v>40</v>
      </c>
      <c r="B45" s="273" t="s">
        <v>95</v>
      </c>
      <c r="C45" s="280"/>
      <c r="D45" s="275">
        <f>5.072*2.49</f>
        <v>12.62928</v>
      </c>
      <c r="E45" s="72" t="s">
        <v>43</v>
      </c>
      <c r="F45" s="276">
        <f ca="1">F23</f>
        <v>1258.91752321198</v>
      </c>
      <c r="G45" s="276">
        <f ca="1" t="shared" si="2"/>
        <v>15899.2218975506</v>
      </c>
      <c r="H45" s="280" t="s">
        <v>70</v>
      </c>
    </row>
    <row r="46" ht="30" customHeight="1" outlineLevel="1" spans="1:8">
      <c r="A46" s="199">
        <f>MAX($A$3:$A45)+1</f>
        <v>41</v>
      </c>
      <c r="B46" s="273" t="s">
        <v>96</v>
      </c>
      <c r="C46" s="280"/>
      <c r="D46" s="275">
        <f>4.27*2.53</f>
        <v>10.8031</v>
      </c>
      <c r="E46" s="72" t="s">
        <v>43</v>
      </c>
      <c r="F46" s="276">
        <f ca="1">F23</f>
        <v>1258.91752321198</v>
      </c>
      <c r="G46" s="276">
        <f ca="1" t="shared" si="2"/>
        <v>13600.2118950113</v>
      </c>
      <c r="H46" s="280" t="s">
        <v>72</v>
      </c>
    </row>
    <row r="47" ht="30" customHeight="1" outlineLevel="1" spans="1:8">
      <c r="A47" s="199">
        <f>MAX($A$3:$A46)+1</f>
        <v>42</v>
      </c>
      <c r="B47" s="273" t="s">
        <v>97</v>
      </c>
      <c r="C47" s="280"/>
      <c r="D47" s="275">
        <f>7.694*2.49*2</f>
        <v>38.31612</v>
      </c>
      <c r="E47" s="72" t="s">
        <v>43</v>
      </c>
      <c r="F47" s="276">
        <f ca="1">F23</f>
        <v>1258.91752321198</v>
      </c>
      <c r="G47" s="276">
        <f ca="1" t="shared" si="2"/>
        <v>48236.834889493</v>
      </c>
      <c r="H47" s="280" t="s">
        <v>70</v>
      </c>
    </row>
    <row r="48" ht="30" customHeight="1" spans="1:8">
      <c r="A48" s="273" t="s">
        <v>98</v>
      </c>
      <c r="B48" s="277" t="s">
        <v>99</v>
      </c>
      <c r="C48" s="280"/>
      <c r="D48" s="297">
        <f ca="1">SUM(D49:D57)</f>
        <v>511.918758</v>
      </c>
      <c r="E48" s="72"/>
      <c r="F48" s="276"/>
      <c r="G48" s="297">
        <f ca="1">SUM(G49:G57)</f>
        <v>613586.53081218</v>
      </c>
      <c r="H48" s="280"/>
    </row>
    <row r="49" ht="59" customHeight="1" outlineLevel="1" spans="1:10">
      <c r="A49" s="199">
        <v>1</v>
      </c>
      <c r="B49" s="305" t="s">
        <v>100</v>
      </c>
      <c r="C49" s="280" t="s">
        <v>101</v>
      </c>
      <c r="D49" s="275">
        <f ca="1">SUMIF('工程量计算式 (11#楼)'!A:A,B49,'工程量计算式 (11#楼)'!E:E)</f>
        <v>67.8042</v>
      </c>
      <c r="E49" s="72" t="s">
        <v>43</v>
      </c>
      <c r="F49" s="276">
        <f ca="1">VLOOKUP(B49,'综合单价分析表 (11#楼)'!A:I,9,)</f>
        <v>1214.54533669784</v>
      </c>
      <c r="G49" s="276">
        <f ca="1" t="shared" ref="G49:G57" si="3">D49*F49</f>
        <v>82351.2749185277</v>
      </c>
      <c r="H49" s="280"/>
    </row>
    <row r="50" ht="66" customHeight="1" outlineLevel="1" spans="1:10">
      <c r="A50" s="199">
        <v>2</v>
      </c>
      <c r="B50" s="273" t="s">
        <v>102</v>
      </c>
      <c r="C50" s="280" t="s">
        <v>101</v>
      </c>
      <c r="D50" s="275">
        <f ca="1">D49*0.2</f>
        <v>13.56084</v>
      </c>
      <c r="E50" s="72" t="s">
        <v>43</v>
      </c>
      <c r="F50" s="276">
        <f ca="1">VLOOKUP(B50,'综合单价分析表 (11#楼)'!A:I,9,)</f>
        <v>2277.50546705014</v>
      </c>
      <c r="G50" s="276">
        <f ca="1" t="shared" si="3"/>
        <v>30884.8872377922</v>
      </c>
      <c r="H50" s="280"/>
    </row>
    <row r="51" ht="65" customHeight="1" outlineLevel="1" spans="1:10">
      <c r="A51" s="199">
        <v>3</v>
      </c>
      <c r="B51" s="273" t="s">
        <v>103</v>
      </c>
      <c r="C51" s="290" t="s">
        <v>104</v>
      </c>
      <c r="D51" s="275">
        <f ca="1">SUMIF('工程量计算式 (11#楼)'!A:A,B51,'工程量计算式 (11#楼)'!E:E)</f>
        <v>134.7826</v>
      </c>
      <c r="E51" s="72" t="s">
        <v>43</v>
      </c>
      <c r="F51" s="276">
        <f ca="1">VLOOKUP(B51,'综合单价分析表 (11#楼)'!A:I,9,)</f>
        <v>1275.13132839085</v>
      </c>
      <c r="G51" s="276">
        <f ca="1" t="shared" si="3"/>
        <v>171865.515781973</v>
      </c>
      <c r="H51" s="280"/>
    </row>
    <row r="52" ht="44" customHeight="1" outlineLevel="1" spans="1:10">
      <c r="A52" s="199">
        <v>4</v>
      </c>
      <c r="B52" s="273" t="s">
        <v>105</v>
      </c>
      <c r="C52" s="280" t="s">
        <v>106</v>
      </c>
      <c r="D52" s="275">
        <f ca="1">D51*0.2</f>
        <v>26.95652</v>
      </c>
      <c r="E52" s="72" t="s">
        <v>43</v>
      </c>
      <c r="F52" s="276">
        <f ca="1">VLOOKUP(B52,'综合单价分析表 (11#楼)'!A:I,9,)</f>
        <v>2140.95787706341</v>
      </c>
      <c r="G52" s="276">
        <f ca="1" t="shared" si="3"/>
        <v>57712.7738322173</v>
      </c>
      <c r="H52" s="280"/>
    </row>
    <row r="53" ht="44" customHeight="1" outlineLevel="1" spans="1:10">
      <c r="A53" s="199">
        <v>5</v>
      </c>
      <c r="B53" s="273" t="s">
        <v>107</v>
      </c>
      <c r="C53" s="280" t="s">
        <v>108</v>
      </c>
      <c r="D53" s="275">
        <f ca="1">SUMIF('工程量计算式 (11#楼)'!A:A,B53,'工程量计算式 (11#楼)'!E:E)</f>
        <v>104.16</v>
      </c>
      <c r="E53" s="72" t="s">
        <v>109</v>
      </c>
      <c r="F53" s="276">
        <f ca="1">VLOOKUP(B53,'综合单价分析表 (11#楼)'!A:I,9,)</f>
        <v>560.794086495575</v>
      </c>
      <c r="G53" s="276">
        <f ca="1" t="shared" si="3"/>
        <v>58412.3120493791</v>
      </c>
      <c r="H53" s="280"/>
    </row>
    <row r="54" ht="88" customHeight="1" outlineLevel="1" spans="1:10">
      <c r="A54" s="199">
        <v>6</v>
      </c>
      <c r="B54" s="273" t="s">
        <v>110</v>
      </c>
      <c r="C54" s="280" t="s">
        <v>111</v>
      </c>
      <c r="D54" s="275">
        <f ca="1">SUMIF('工程量计算式 (11#楼)'!A:A,B54,'工程量计算式 (11#楼)'!E:E)</f>
        <v>60.33889</v>
      </c>
      <c r="E54" s="72" t="s">
        <v>43</v>
      </c>
      <c r="F54" s="276">
        <f ca="1">VLOOKUP(B54,'综合单价分析表 (11#楼)'!A:I,9,)</f>
        <v>1186.33143276362</v>
      </c>
      <c r="G54" s="276">
        <f ca="1" t="shared" si="3"/>
        <v>71581.9218250665</v>
      </c>
      <c r="H54" s="280"/>
    </row>
    <row r="55" ht="48" customHeight="1" outlineLevel="1" spans="1:10">
      <c r="A55" s="199">
        <v>7</v>
      </c>
      <c r="B55" s="273" t="s">
        <v>112</v>
      </c>
      <c r="C55" s="280" t="s">
        <v>111</v>
      </c>
      <c r="D55" s="275">
        <f ca="1">D54*0.2</f>
        <v>12.067778</v>
      </c>
      <c r="E55" s="72" t="s">
        <v>43</v>
      </c>
      <c r="F55" s="276">
        <f ca="1">VLOOKUP(B55,'综合单价分析表 (11#楼)'!A:I,9,)</f>
        <v>2481.95813434968</v>
      </c>
      <c r="G55" s="276">
        <f ca="1" t="shared" si="3"/>
        <v>29951.7197706261</v>
      </c>
      <c r="H55" s="280"/>
    </row>
    <row r="56" ht="88" customHeight="1" outlineLevel="1" spans="1:10">
      <c r="A56" s="199">
        <v>8</v>
      </c>
      <c r="B56" s="273" t="s">
        <v>113</v>
      </c>
      <c r="C56" s="280" t="s">
        <v>114</v>
      </c>
      <c r="D56" s="275">
        <f ca="1">SUMIF('工程量计算式 (11#楼)'!A:A,B56,'工程量计算式 (11#楼)'!E:E)</f>
        <v>1.8606</v>
      </c>
      <c r="E56" s="72" t="s">
        <v>43</v>
      </c>
      <c r="F56" s="276">
        <f ca="1">VLOOKUP(B56,'综合单价分析表 (11#楼)'!A:I,9,)</f>
        <v>1348.93531421838</v>
      </c>
      <c r="G56" s="276">
        <f ca="1" t="shared" si="3"/>
        <v>2509.82904563472</v>
      </c>
      <c r="H56" s="280" t="str">
        <f>_xlfn.DISPIMG("ID_569B452557F7446297ACB2A33D2215F8",1)</f>
        <v>=DISPIMG("ID_569B452557F7446297ACB2A33D2215F8",1)</v>
      </c>
    </row>
    <row r="57" ht="30" customHeight="1" outlineLevel="1" spans="1:10">
      <c r="A57" s="199">
        <v>9</v>
      </c>
      <c r="B57" s="305" t="s">
        <v>115</v>
      </c>
      <c r="C57" s="280" t="s">
        <v>116</v>
      </c>
      <c r="D57" s="275">
        <f ca="1">SUMIF('工程量计算式 (11#楼)'!A:A,B57,'工程量计算式 (11#楼)'!E:E)</f>
        <v>90.38733</v>
      </c>
      <c r="E57" s="72" t="s">
        <v>43</v>
      </c>
      <c r="F57" s="276">
        <f ca="1">VLOOKUP(B57,'综合单价分析表 (11#楼)'!A:I,9,)</f>
        <v>1198.35707450329</v>
      </c>
      <c r="G57" s="276">
        <f ca="1" t="shared" si="3"/>
        <v>108316.296350963</v>
      </c>
      <c r="H57" s="280"/>
      <c r="J57" t="s">
        <v>117</v>
      </c>
    </row>
    <row r="58" ht="30" customHeight="1" spans="1:10">
      <c r="A58" s="293" t="s">
        <v>118</v>
      </c>
      <c r="B58" s="277" t="s">
        <v>119</v>
      </c>
      <c r="C58" s="280"/>
      <c r="D58" s="297">
        <f ca="1">SUM(D59:D85)</f>
        <v>2217.7897548</v>
      </c>
      <c r="E58" s="72"/>
      <c r="F58" s="306"/>
      <c r="G58" s="297">
        <f ca="1">SUM(G59:G85)</f>
        <v>1536058.52048372</v>
      </c>
      <c r="H58" s="280" t="s">
        <v>120</v>
      </c>
    </row>
    <row r="59" ht="72" customHeight="1" outlineLevel="1" spans="1:10">
      <c r="A59" s="199">
        <v>1</v>
      </c>
      <c r="B59" s="273" t="s">
        <v>121</v>
      </c>
      <c r="C59" s="280" t="s">
        <v>122</v>
      </c>
      <c r="D59" s="275">
        <f ca="1">SUMIF('工程量计算式 (11#楼)'!A:A,B59,'工程量计算式 (11#楼)'!E:E)*J59</f>
        <v>140.882568</v>
      </c>
      <c r="E59" s="72" t="s">
        <v>43</v>
      </c>
      <c r="F59" s="276">
        <f ca="1">VLOOKUP(B59,'综合单价分析表 (11#楼)'!A:I,9,)</f>
        <v>719.701731462241</v>
      </c>
      <c r="G59" s="276">
        <f ca="1" t="shared" ref="G58:G85" si="4">D59*F59</f>
        <v>101393.428122447</v>
      </c>
      <c r="H59" s="307" t="str">
        <f>_xlfn.DISPIMG("ID_D73F7EA642FF451C88734E9DFF731F7A",1)</f>
        <v>=DISPIMG("ID_D73F7EA642FF451C88734E9DFF731F7A",1)</v>
      </c>
      <c r="J59">
        <v>1.2</v>
      </c>
    </row>
    <row r="60" ht="63" customHeight="1" outlineLevel="1" spans="1:10">
      <c r="A60" s="199">
        <v>2</v>
      </c>
      <c r="B60" s="274" t="s">
        <v>123</v>
      </c>
      <c r="C60" s="280" t="s">
        <v>124</v>
      </c>
      <c r="D60" s="275">
        <f ca="1">SUMIF('工程量计算式 (11#楼)'!A:A,B60,'工程量计算式 (11#楼)'!E:E)*J59</f>
        <v>120.571704</v>
      </c>
      <c r="E60" s="72" t="s">
        <v>43</v>
      </c>
      <c r="F60" s="276">
        <f ca="1">VLOOKUP(B60,'综合单价分析表 (11#楼)'!A:I,9,)</f>
        <v>563.137212064078</v>
      </c>
      <c r="G60" s="276">
        <f ca="1" t="shared" si="4"/>
        <v>67898.4132443752</v>
      </c>
      <c r="H60" s="280"/>
    </row>
    <row r="61" ht="62" customHeight="1" outlineLevel="1" spans="1:10">
      <c r="A61" s="199">
        <v>3</v>
      </c>
      <c r="B61" s="273" t="s">
        <v>125</v>
      </c>
      <c r="C61" s="280" t="s">
        <v>126</v>
      </c>
      <c r="D61" s="275">
        <f ca="1">SUMIF('工程量计算式 (11#楼)'!A:A,B61,'工程量计算式 (11#楼)'!E:E)*J59</f>
        <v>192.940272</v>
      </c>
      <c r="E61" s="72" t="s">
        <v>43</v>
      </c>
      <c r="F61" s="276">
        <f ca="1">VLOOKUP(B61,'综合单价分析表 (11#楼)'!A:I,9,)</f>
        <v>596.294005988852</v>
      </c>
      <c r="G61" s="276">
        <f ca="1" t="shared" si="4"/>
        <v>115049.127707459</v>
      </c>
      <c r="H61" s="280" t="str">
        <f>_xlfn.DISPIMG("ID_2E381AB3AD474EA4B97F23891DFE8D95",1)</f>
        <v>=DISPIMG("ID_2E381AB3AD474EA4B97F23891DFE8D95",1)</v>
      </c>
    </row>
    <row r="62" ht="70" customHeight="1" outlineLevel="1" spans="1:10">
      <c r="A62" s="199">
        <v>4</v>
      </c>
      <c r="B62" s="273" t="s">
        <v>127</v>
      </c>
      <c r="C62" s="290" t="s">
        <v>128</v>
      </c>
      <c r="D62" s="275">
        <f ca="1">SUMIF('工程量计算式 (11#楼)'!A:A,B62,'工程量计算式 (11#楼)'!E:E)*J59</f>
        <v>392.160804</v>
      </c>
      <c r="E62" s="72" t="s">
        <v>43</v>
      </c>
      <c r="F62" s="276">
        <f ca="1">VLOOKUP(B62,'综合单价分析表 (11#楼)'!A:I,9,)</f>
        <v>636.920216665274</v>
      </c>
      <c r="G62" s="276">
        <f ca="1" t="shared" si="4"/>
        <v>249775.144251308</v>
      </c>
      <c r="H62" s="280"/>
    </row>
    <row r="63" ht="70" customHeight="1" outlineLevel="1" spans="1:10">
      <c r="A63" s="199">
        <v>5</v>
      </c>
      <c r="B63" s="273" t="s">
        <v>129</v>
      </c>
      <c r="C63" s="290" t="s">
        <v>130</v>
      </c>
      <c r="D63" s="275">
        <f ca="1">SUMIF('工程量计算式 (11#楼)'!A:A,B63,'工程量计算式 (11#楼)'!E:E)*J59</f>
        <v>44.403168</v>
      </c>
      <c r="E63" s="72" t="s">
        <v>43</v>
      </c>
      <c r="F63" s="276">
        <f ca="1">VLOOKUP(B63,'综合单价分析表 (11#楼)'!A:I,9,)</f>
        <v>1101.49563621477</v>
      </c>
      <c r="G63" s="276">
        <f ca="1" t="shared" si="4"/>
        <v>48909.8957861113</v>
      </c>
      <c r="H63" s="280"/>
    </row>
    <row r="64" ht="58" customHeight="1" outlineLevel="1" spans="1:10">
      <c r="A64" s="199">
        <v>6</v>
      </c>
      <c r="B64" s="273" t="s">
        <v>131</v>
      </c>
      <c r="C64" s="280" t="s">
        <v>132</v>
      </c>
      <c r="D64" s="275">
        <f ca="1">SUMIF('工程量计算式 (11#楼)'!A:A,B64,'工程量计算式 (11#楼)'!E:E)*J59</f>
        <v>7.392</v>
      </c>
      <c r="E64" s="72" t="s">
        <v>43</v>
      </c>
      <c r="F64" s="276">
        <f ca="1">VLOOKUP(B64,'综合单价分析表 (11#楼)'!A:I,9,)</f>
        <v>828.490133359217</v>
      </c>
      <c r="G64" s="276">
        <f ca="1" t="shared" si="4"/>
        <v>6124.19906579133</v>
      </c>
      <c r="H64" s="280"/>
    </row>
    <row r="65" ht="58" customHeight="1" outlineLevel="1" spans="1:8">
      <c r="A65" s="199">
        <v>7</v>
      </c>
      <c r="B65" s="273" t="s">
        <v>133</v>
      </c>
      <c r="C65" s="280" t="s">
        <v>132</v>
      </c>
      <c r="D65" s="275">
        <f ca="1">SUMIF('工程量计算式 (11#楼)'!A:A,B65,'工程量计算式 (11#楼)'!E:E)*J59</f>
        <v>1.4304</v>
      </c>
      <c r="E65" s="72" t="s">
        <v>43</v>
      </c>
      <c r="F65" s="276">
        <f ca="1">VLOOKUP(B65,'综合单价分析表 (11#楼)'!A:I,9,)</f>
        <v>873.401991766297</v>
      </c>
      <c r="G65" s="276">
        <f ca="1" t="shared" si="4"/>
        <v>1249.31420902251</v>
      </c>
      <c r="H65" s="280"/>
    </row>
    <row r="66" ht="43" customHeight="1" outlineLevel="1" spans="1:8">
      <c r="A66" s="199">
        <v>8</v>
      </c>
      <c r="B66" s="274" t="s">
        <v>134</v>
      </c>
      <c r="C66" s="290" t="s">
        <v>135</v>
      </c>
      <c r="D66" s="275">
        <f ca="1">SUMIF('工程量计算式 (11#楼)'!A:A,B66,'工程量计算式 (11#楼)'!E:E)*J59</f>
        <v>209.4558024</v>
      </c>
      <c r="E66" s="72" t="s">
        <v>43</v>
      </c>
      <c r="F66" s="276">
        <f ca="1">VLOOKUP(B66,'综合单价分析表 (11#楼)'!A:I,9,)</f>
        <v>961.340490881343</v>
      </c>
      <c r="G66" s="276">
        <f ca="1" t="shared" si="4"/>
        <v>201358.343897162</v>
      </c>
      <c r="H66" s="280" t="s">
        <v>136</v>
      </c>
    </row>
    <row r="67" ht="43" customHeight="1" outlineLevel="1" spans="1:8">
      <c r="A67" s="199">
        <v>9</v>
      </c>
      <c r="B67" s="274" t="s">
        <v>137</v>
      </c>
      <c r="C67" s="290" t="s">
        <v>138</v>
      </c>
      <c r="D67" s="275">
        <f ca="1">SUMIF('工程量计算式 (11#楼)'!A:A,B67,'工程量计算式 (11#楼)'!E:E)*J59</f>
        <v>9.537192</v>
      </c>
      <c r="E67" s="72" t="s">
        <v>43</v>
      </c>
      <c r="F67" s="276">
        <f ca="1">VLOOKUP(B67,'综合单价分析表 (11#楼)'!A:I,9,)</f>
        <v>1056.93252627957</v>
      </c>
      <c r="G67" s="276">
        <f ca="1" t="shared" si="4"/>
        <v>10080.1684341733</v>
      </c>
      <c r="H67" s="280"/>
    </row>
    <row r="68" ht="60" customHeight="1" outlineLevel="1" spans="1:8">
      <c r="A68" s="199">
        <v>10</v>
      </c>
      <c r="B68" s="295" t="s">
        <v>139</v>
      </c>
      <c r="C68" s="294" t="s">
        <v>140</v>
      </c>
      <c r="D68" s="275">
        <f ca="1">SUMIF('工程量计算式 (11#楼)'!A:A,B68,'工程量计算式 (11#楼)'!E:E)*J59</f>
        <v>42.141</v>
      </c>
      <c r="E68" s="72" t="s">
        <v>43</v>
      </c>
      <c r="F68" s="276">
        <f ca="1">VLOOKUP(B68,'综合单价分析表 (11#楼)'!A:I,9,)</f>
        <v>1006.65410646533</v>
      </c>
      <c r="G68" s="276">
        <f ca="1" t="shared" si="4"/>
        <v>42421.4107005555</v>
      </c>
      <c r="H68" s="280" t="str">
        <f>_xlfn.DISPIMG("ID_E142358DB9924EDFA0F9BD3F602E6265",1)</f>
        <v>=DISPIMG("ID_E142358DB9924EDFA0F9BD3F602E6265",1)</v>
      </c>
    </row>
    <row r="69" ht="66" customHeight="1" outlineLevel="1" spans="1:8">
      <c r="A69" s="199">
        <v>11</v>
      </c>
      <c r="B69" s="273" t="s">
        <v>141</v>
      </c>
      <c r="C69" s="290" t="s">
        <v>142</v>
      </c>
      <c r="D69" s="275">
        <f ca="1">SUMIF('工程量计算式 (11#楼)'!A:A,B69,'工程量计算式 (11#楼)'!E:E)*J59</f>
        <v>59.18964</v>
      </c>
      <c r="E69" s="72" t="s">
        <v>43</v>
      </c>
      <c r="F69" s="276">
        <f ca="1">VLOOKUP(B69,'综合单价分析表 (11#楼)'!A:I,9,)</f>
        <v>598.646706552125</v>
      </c>
      <c r="G69" s="276">
        <f ca="1" t="shared" si="4"/>
        <v>35433.6830480059</v>
      </c>
      <c r="H69" s="280"/>
    </row>
    <row r="70" ht="66" customHeight="1" outlineLevel="1" spans="1:8">
      <c r="A70" s="199">
        <v>12</v>
      </c>
      <c r="B70" s="273" t="s">
        <v>143</v>
      </c>
      <c r="C70" s="290" t="s">
        <v>142</v>
      </c>
      <c r="D70" s="275">
        <f ca="1">SUMIF('工程量计算式 (11#楼)'!A:A,B70,'工程量计算式 (11#楼)'!E:E)*J59</f>
        <v>3.459024</v>
      </c>
      <c r="E70" s="72" t="s">
        <v>43</v>
      </c>
      <c r="F70" s="276">
        <f ca="1">VLOOKUP(B70,'综合单价分析表 (11#楼)'!A:I,9,)</f>
        <v>663.762534137172</v>
      </c>
      <c r="G70" s="276">
        <f ca="1" t="shared" si="4"/>
        <v>2295.9705358813</v>
      </c>
      <c r="H70" s="280"/>
    </row>
    <row r="71" ht="66" customHeight="1" outlineLevel="1" spans="1:8">
      <c r="A71" s="199">
        <v>13</v>
      </c>
      <c r="B71" s="301" t="s">
        <v>144</v>
      </c>
      <c r="C71" s="280" t="s">
        <v>145</v>
      </c>
      <c r="D71" s="275">
        <f ca="1">SUMIF('工程量计算式 (11#楼)'!A:A,B71,'工程量计算式 (11#楼)'!E:E)*J59</f>
        <v>344.0910048</v>
      </c>
      <c r="E71" s="72" t="s">
        <v>43</v>
      </c>
      <c r="F71" s="276">
        <f ca="1">VLOOKUP(B71,'综合单价分析表 (11#楼)'!A:I,9,)</f>
        <v>599.362040610979</v>
      </c>
      <c r="G71" s="276">
        <f ca="1" t="shared" si="4"/>
        <v>206235.08679281</v>
      </c>
      <c r="H71" s="280"/>
    </row>
    <row r="72" ht="66" customHeight="1" outlineLevel="1" spans="1:8">
      <c r="A72" s="199">
        <v>14</v>
      </c>
      <c r="B72" s="273" t="s">
        <v>146</v>
      </c>
      <c r="C72" s="290" t="s">
        <v>147</v>
      </c>
      <c r="D72" s="275">
        <f ca="1">SUMIF('工程量计算式 (11#楼)'!A:A,B72,'工程量计算式 (11#楼)'!E:E)*J59</f>
        <v>145.19292</v>
      </c>
      <c r="E72" s="72" t="s">
        <v>43</v>
      </c>
      <c r="F72" s="276">
        <f ca="1">VLOOKUP(B72,'综合单价分析表 (11#楼)'!A:I,9,)</f>
        <v>616.383554145503</v>
      </c>
      <c r="G72" s="276">
        <f ca="1" t="shared" si="4"/>
        <v>89494.5280663637</v>
      </c>
      <c r="H72" s="280"/>
    </row>
    <row r="73" ht="66" customHeight="1" outlineLevel="1" spans="1:8">
      <c r="A73" s="199">
        <v>15</v>
      </c>
      <c r="B73" s="273" t="s">
        <v>148</v>
      </c>
      <c r="C73" s="280" t="s">
        <v>149</v>
      </c>
      <c r="D73" s="275">
        <f ca="1">SUMIF('工程量计算式 (11#楼)'!A:A,B73,'工程量计算式 (11#楼)'!E:E)*J59</f>
        <v>5.07936</v>
      </c>
      <c r="E73" s="72" t="s">
        <v>43</v>
      </c>
      <c r="F73" s="276">
        <f ca="1">VLOOKUP(B73,'综合单价分析表 (11#楼)'!A:I,9,)</f>
        <v>731.428300178862</v>
      </c>
      <c r="G73" s="276">
        <f ca="1" t="shared" si="4"/>
        <v>3715.1876507965</v>
      </c>
      <c r="H73" s="280"/>
    </row>
    <row r="74" ht="66" customHeight="1" outlineLevel="1" spans="1:8">
      <c r="A74" s="199">
        <v>16</v>
      </c>
      <c r="B74" s="273" t="s">
        <v>150</v>
      </c>
      <c r="C74" s="280" t="s">
        <v>151</v>
      </c>
      <c r="D74" s="275">
        <f ca="1">SUMIF('工程量计算式 (11#楼)'!A:A,B74,'工程量计算式 (11#楼)'!E:E)*J59</f>
        <v>103.6594236</v>
      </c>
      <c r="E74" s="72" t="s">
        <v>43</v>
      </c>
      <c r="F74" s="276">
        <f ca="1">VLOOKUP(B74,'综合单价分析表 (11#楼)'!A:I,9,)</f>
        <v>698.217054970516</v>
      </c>
      <c r="G74" s="276">
        <f ca="1" t="shared" si="4"/>
        <v>72376.7774659332</v>
      </c>
      <c r="H74" s="280"/>
    </row>
    <row r="75" ht="66" customHeight="1" outlineLevel="1" spans="1:8">
      <c r="A75" s="199">
        <v>17</v>
      </c>
      <c r="B75" s="274" t="s">
        <v>152</v>
      </c>
      <c r="C75" s="280"/>
      <c r="D75" s="275">
        <f ca="1">SUMIF('工程量计算式 (11#楼)'!A:A,B75,'工程量计算式 (11#楼)'!E:E)*J59</f>
        <v>5.029368</v>
      </c>
      <c r="E75" s="72" t="s">
        <v>43</v>
      </c>
      <c r="F75" s="276">
        <f ca="1">VLOOKUP(B75,'综合单价分析表 (11#楼)'!A:I,9,)</f>
        <v>708.872810522362</v>
      </c>
      <c r="G75" s="276">
        <f ca="1" t="shared" si="4"/>
        <v>3565.18222931123</v>
      </c>
      <c r="H75" s="280"/>
    </row>
    <row r="76" ht="74" customHeight="1" outlineLevel="1" spans="1:8">
      <c r="A76" s="199">
        <v>18</v>
      </c>
      <c r="B76" s="308" t="s">
        <v>153</v>
      </c>
      <c r="C76" s="290" t="s">
        <v>154</v>
      </c>
      <c r="D76" s="275">
        <f ca="1">SUMIF('工程量计算式 (11#楼)'!A:A,B76,'工程量计算式 (11#楼)'!E:E)*J59</f>
        <v>25.71036</v>
      </c>
      <c r="E76" s="72" t="s">
        <v>43</v>
      </c>
      <c r="F76" s="276">
        <f ca="1">VLOOKUP(B76,'综合单价分析表 (11#楼)'!A:I,9,)</f>
        <v>512.483279159292</v>
      </c>
      <c r="G76" s="276">
        <f ca="1" t="shared" si="4"/>
        <v>13176.1296011659</v>
      </c>
      <c r="H76" s="280"/>
    </row>
    <row r="77" ht="62" customHeight="1" outlineLevel="1" spans="1:8">
      <c r="A77" s="199">
        <v>19</v>
      </c>
      <c r="B77" s="273" t="s">
        <v>155</v>
      </c>
      <c r="C77" s="280" t="s">
        <v>156</v>
      </c>
      <c r="D77" s="275">
        <f ca="1">SUMIF('工程量计算式 (11#楼)'!A:A,B77,'工程量计算式 (11#楼)'!E:E)*J59</f>
        <v>49.2768</v>
      </c>
      <c r="E77" s="72" t="s">
        <v>43</v>
      </c>
      <c r="F77" s="276">
        <f ca="1">VLOOKUP(B77,'综合单价分析表 (11#楼)'!A:I,9,)</f>
        <v>800.223563153607</v>
      </c>
      <c r="G77" s="276">
        <f ca="1" t="shared" si="4"/>
        <v>39432.4564768077</v>
      </c>
      <c r="H77" s="280"/>
    </row>
    <row r="78" ht="62" customHeight="1" outlineLevel="1" spans="1:8">
      <c r="A78" s="199">
        <v>20</v>
      </c>
      <c r="B78" s="273" t="s">
        <v>157</v>
      </c>
      <c r="C78" s="280" t="s">
        <v>158</v>
      </c>
      <c r="D78" s="275">
        <f ca="1">SUMIF('工程量计算式 (11#楼)'!A:A,B78,'工程量计算式 (11#楼)'!E:E)*J59</f>
        <v>34.25784</v>
      </c>
      <c r="E78" s="72" t="s">
        <v>43</v>
      </c>
      <c r="F78" s="276">
        <f ca="1">VLOOKUP(B78,'综合单价分析表 (11#楼)'!A:I,9,)</f>
        <v>634.565408703157</v>
      </c>
      <c r="G78" s="276">
        <f ca="1" t="shared" si="4"/>
        <v>21738.8402408874</v>
      </c>
      <c r="H78" s="280" t="str">
        <f>_xlfn.DISPIMG("ID_8B9A1073B072495C8621B34233F2D9F3",1)</f>
        <v>=DISPIMG("ID_8B9A1073B072495C8621B34233F2D9F3",1)</v>
      </c>
    </row>
    <row r="79" ht="48" customHeight="1" outlineLevel="1" spans="1:8">
      <c r="A79" s="199">
        <v>21</v>
      </c>
      <c r="B79" s="273" t="s">
        <v>159</v>
      </c>
      <c r="C79" s="280" t="s">
        <v>160</v>
      </c>
      <c r="D79" s="275">
        <f ca="1">SUMIF('工程量计算式 (11#楼)'!A:A,B79,'工程量计算式 (11#楼)'!E:E)*J59</f>
        <v>142.086528</v>
      </c>
      <c r="E79" s="72" t="s">
        <v>43</v>
      </c>
      <c r="F79" s="276">
        <f ca="1">VLOOKUP(B79,'综合单价分析表 (11#楼)'!A:I,9,)</f>
        <v>739.318196429202</v>
      </c>
      <c r="G79" s="276">
        <f ca="1" t="shared" si="4"/>
        <v>105047.155617847</v>
      </c>
      <c r="H79" s="280"/>
    </row>
    <row r="80" ht="48" customHeight="1" outlineLevel="1" spans="1:8">
      <c r="A80" s="199">
        <v>22</v>
      </c>
      <c r="B80" s="273" t="s">
        <v>161</v>
      </c>
      <c r="C80" s="280"/>
      <c r="D80" s="275">
        <f ca="1">SUMIF('工程量计算式 (11#楼)'!A:A,B80,'工程量计算式 (11#楼)'!E:E)*J59</f>
        <v>12.425184</v>
      </c>
      <c r="E80" s="72" t="s">
        <v>43</v>
      </c>
      <c r="F80" s="276">
        <f ca="1">VLOOKUP(B80,'综合单价分析表 (11#楼)'!A:I,9,)</f>
        <v>831.640115388844</v>
      </c>
      <c r="G80" s="276">
        <f ca="1" t="shared" si="4"/>
        <v>10333.2814554876</v>
      </c>
      <c r="H80" s="280"/>
    </row>
    <row r="81" ht="48" customHeight="1" outlineLevel="1" spans="1:8">
      <c r="A81" s="199">
        <v>23</v>
      </c>
      <c r="B81" s="274" t="s">
        <v>162</v>
      </c>
      <c r="C81" s="280"/>
      <c r="D81" s="275">
        <f ca="1">SUMIF('工程量计算式 (11#楼)'!A:A,B81,'工程量计算式 (11#楼)'!E:E)*J59</f>
        <v>69.088704</v>
      </c>
      <c r="E81" s="72" t="s">
        <v>43</v>
      </c>
      <c r="F81" s="276">
        <f ca="1">F74</f>
        <v>698.217054970516</v>
      </c>
      <c r="G81" s="276">
        <f ca="1" t="shared" si="4"/>
        <v>48238.9114386097</v>
      </c>
      <c r="H81" s="280"/>
    </row>
    <row r="82" ht="48" customHeight="1" outlineLevel="1" spans="1:8">
      <c r="A82" s="199">
        <v>24</v>
      </c>
      <c r="B82" s="274" t="s">
        <v>163</v>
      </c>
      <c r="C82" s="280"/>
      <c r="D82" s="275">
        <f ca="1">SUMIF('工程量计算式 (11#楼)'!A:A,B82,'工程量计算式 (11#楼)'!E:E)*J59</f>
        <v>8.74176</v>
      </c>
      <c r="E82" s="72" t="s">
        <v>43</v>
      </c>
      <c r="F82" s="276">
        <f ca="1">F75</f>
        <v>708.872810522362</v>
      </c>
      <c r="G82" s="276">
        <f ca="1" t="shared" si="4"/>
        <v>6196.79598011196</v>
      </c>
      <c r="H82" s="280"/>
    </row>
    <row r="83" ht="48" customHeight="1" outlineLevel="1" spans="1:8">
      <c r="A83" s="199">
        <v>25</v>
      </c>
      <c r="B83" s="274" t="s">
        <v>164</v>
      </c>
      <c r="C83" s="280"/>
      <c r="D83" s="275">
        <f ca="1">SUMIF('工程量计算式 (11#楼)'!A:A,B83,'工程量计算式 (11#楼)'!E:E)*J59</f>
        <v>34.021008</v>
      </c>
      <c r="E83" s="72" t="s">
        <v>43</v>
      </c>
      <c r="F83" s="276">
        <f ca="1">VLOOKUP(B83,'综合单价分析表 (11#楼)'!A:I,9,)</f>
        <v>703.544932746439</v>
      </c>
      <c r="G83" s="276">
        <f ca="1" t="shared" si="4"/>
        <v>23935.3077853261</v>
      </c>
      <c r="H83" s="280"/>
    </row>
    <row r="84" ht="48" customHeight="1" outlineLevel="1" spans="1:8">
      <c r="A84" s="199">
        <v>26</v>
      </c>
      <c r="B84" s="274" t="s">
        <v>165</v>
      </c>
      <c r="C84" s="280"/>
      <c r="D84" s="275">
        <f ca="1">SUMIF('工程量计算式 (11#楼)'!A:A,B84,'工程量计算式 (11#楼)'!E:E)</f>
        <v>1.50192</v>
      </c>
      <c r="E84" s="72" t="s">
        <v>43</v>
      </c>
      <c r="F84" s="276">
        <f ca="1">VLOOKUP(B84,'综合单价分析表 (11#楼)'!A:I,9,)</f>
        <v>714.200688298284</v>
      </c>
      <c r="G84" s="276">
        <f ca="1" t="shared" si="4"/>
        <v>1072.67229776896</v>
      </c>
      <c r="H84" s="280"/>
    </row>
    <row r="85" ht="48" customHeight="1" outlineLevel="1" spans="1:8">
      <c r="A85" s="199">
        <v>27</v>
      </c>
      <c r="B85" s="274" t="s">
        <v>166</v>
      </c>
      <c r="C85" s="280" t="s">
        <v>116</v>
      </c>
      <c r="D85" s="275">
        <f ca="1">SUMIF('工程量计算式 (11#楼)'!A:A,B85,'工程量计算式 (11#楼)'!E:E)</f>
        <v>14.064</v>
      </c>
      <c r="E85" s="72" t="s">
        <v>43</v>
      </c>
      <c r="F85" s="276">
        <f ca="1">VLOOKUP(B85,'综合单价分析表 (11#楼)'!A:I,9,)</f>
        <v>676.273349132914</v>
      </c>
      <c r="G85" s="276">
        <f ca="1" t="shared" si="4"/>
        <v>9511.1083822053</v>
      </c>
      <c r="H85" s="280"/>
    </row>
    <row r="86" ht="48" customHeight="1" spans="1:8">
      <c r="A86" s="293" t="s">
        <v>167</v>
      </c>
      <c r="B86" s="277" t="s">
        <v>168</v>
      </c>
      <c r="C86" s="280"/>
      <c r="D86" s="297">
        <f ca="1">SUM(D87:D90)</f>
        <v>73.5481</v>
      </c>
      <c r="E86" s="72"/>
      <c r="F86" s="276"/>
      <c r="G86" s="297">
        <f ca="1">SUM(G87:G90)</f>
        <v>49734.8195110259</v>
      </c>
      <c r="H86" s="280"/>
    </row>
    <row r="87" ht="87" customHeight="1" outlineLevel="1" spans="1:8">
      <c r="A87" s="199">
        <v>1</v>
      </c>
      <c r="B87" s="273" t="s">
        <v>168</v>
      </c>
      <c r="C87" s="280" t="s">
        <v>169</v>
      </c>
      <c r="D87" s="275">
        <f ca="1">SUMIF('工程量计算式 (11#楼)'!A:A,B87,'工程量计算式 (11#楼)'!E:E)</f>
        <v>33.863</v>
      </c>
      <c r="E87" s="72" t="s">
        <v>43</v>
      </c>
      <c r="F87" s="276">
        <f ca="1">VLOOKUP(B87,'综合单价分析表 (11#楼)'!A:I,9,)</f>
        <v>675.485807888056</v>
      </c>
      <c r="G87" s="276">
        <f ca="1">D87*F87</f>
        <v>22873.9759125132</v>
      </c>
      <c r="H87" s="280"/>
    </row>
    <row r="88" ht="69" customHeight="1" outlineLevel="1" spans="1:8">
      <c r="A88" s="199">
        <v>2</v>
      </c>
      <c r="B88" s="273" t="s">
        <v>170</v>
      </c>
      <c r="C88" s="280" t="s">
        <v>171</v>
      </c>
      <c r="D88" s="275">
        <f ca="1">SUMIF('工程量计算式 (11#楼)'!A:A,B88,'工程量计算式 (11#楼)'!E:E)</f>
        <v>25.6221</v>
      </c>
      <c r="E88" s="72" t="s">
        <v>43</v>
      </c>
      <c r="F88" s="276">
        <f ca="1">VLOOKUP(B88,'综合单价分析表 (11#楼)'!A:I,9,)</f>
        <v>683.02260855101</v>
      </c>
      <c r="G88" s="276">
        <f ca="1">D88*F88</f>
        <v>17500.4735785548</v>
      </c>
      <c r="H88" s="280" t="str">
        <f>_xlfn.DISPIMG("ID_ED48176349D74ABFA520040B7216AE84",1)</f>
        <v>=DISPIMG("ID_ED48176349D74ABFA520040B7216AE84",1)</v>
      </c>
    </row>
    <row r="89" ht="47" customHeight="1" outlineLevel="1" spans="1:8">
      <c r="A89" s="199">
        <v>3</v>
      </c>
      <c r="B89" s="273" t="s">
        <v>172</v>
      </c>
      <c r="C89" s="280"/>
      <c r="D89" s="275">
        <f ca="1">SUMIF('工程量计算式 (11#楼)'!A:A,B89,'工程量计算式 (11#楼)'!E:E)</f>
        <v>9.955</v>
      </c>
      <c r="E89" s="72" t="s">
        <v>43</v>
      </c>
      <c r="F89" s="276">
        <f ca="1">F87</f>
        <v>675.485807888056</v>
      </c>
      <c r="G89" s="276">
        <f ca="1">D89*F89</f>
        <v>6724.4612175256</v>
      </c>
      <c r="H89" s="280"/>
    </row>
    <row r="90" ht="51" customHeight="1" outlineLevel="1" spans="1:8">
      <c r="A90" s="199">
        <v>4</v>
      </c>
      <c r="B90" s="273" t="s">
        <v>173</v>
      </c>
      <c r="C90" s="280" t="s">
        <v>174</v>
      </c>
      <c r="D90" s="275">
        <f ca="1">SUMIF('工程量计算式 (11#楼)'!A:A,B90,'工程量计算式 (11#楼)'!E:E)</f>
        <v>4.108</v>
      </c>
      <c r="E90" s="72" t="s">
        <v>43</v>
      </c>
      <c r="F90" s="276">
        <f ca="1">VLOOKUP(B90,'综合单价分析表 (11#楼)'!A:I,9,)</f>
        <v>641.652580923134</v>
      </c>
      <c r="G90" s="276">
        <f ca="1">D90*F90</f>
        <v>2635.90880243224</v>
      </c>
      <c r="H90" s="280" t="s">
        <v>175</v>
      </c>
    </row>
    <row r="91" ht="34" customHeight="1" spans="1:8">
      <c r="A91" s="293" t="s">
        <v>176</v>
      </c>
      <c r="B91" s="277" t="s">
        <v>177</v>
      </c>
      <c r="C91" s="280"/>
      <c r="D91" s="297">
        <f ca="1">SUM(D92:D102)</f>
        <v>867.926</v>
      </c>
      <c r="E91" s="72"/>
      <c r="F91" s="276"/>
      <c r="G91" s="297">
        <f ca="1">SUM(G92:G102)</f>
        <v>57575.4052563167</v>
      </c>
      <c r="H91" s="280"/>
    </row>
    <row r="92" ht="48" customHeight="1" outlineLevel="1" spans="1:8">
      <c r="A92" s="199">
        <v>1</v>
      </c>
      <c r="B92" s="274" t="s">
        <v>178</v>
      </c>
      <c r="C92" s="273" t="s">
        <v>179</v>
      </c>
      <c r="D92" s="275">
        <f ca="1">SUMIF('工程量计算式 (11#楼)'!A:A,B92,'工程量计算式 (11#楼)'!E:E)</f>
        <v>91.7</v>
      </c>
      <c r="E92" s="72" t="s">
        <v>109</v>
      </c>
      <c r="F92" s="276">
        <f ca="1">VLOOKUP(B92,'综合单价分析表 (11#楼)'!A:I,9,)</f>
        <v>46.2179951823009</v>
      </c>
      <c r="G92" s="276">
        <f ca="1" t="shared" ref="G91:G116" si="5">D92*F92</f>
        <v>4238.19015821699</v>
      </c>
      <c r="H92" s="280" t="str">
        <f>_xlfn.DISPIMG("ID_71A8B487DAA24C3A930445ACD3BEDE13",1)</f>
        <v>=DISPIMG("ID_71A8B487DAA24C3A930445ACD3BEDE13",1)</v>
      </c>
    </row>
    <row r="93" ht="48" customHeight="1" outlineLevel="1" spans="1:8">
      <c r="A93" s="199">
        <v>2</v>
      </c>
      <c r="B93" s="274" t="s">
        <v>180</v>
      </c>
      <c r="C93" s="273" t="s">
        <v>181</v>
      </c>
      <c r="D93" s="275">
        <f ca="1">SUMIF('工程量计算式 (11#楼)'!A:A,B93,'工程量计算式 (11#楼)'!E:E)</f>
        <v>28.49</v>
      </c>
      <c r="E93" s="72" t="s">
        <v>109</v>
      </c>
      <c r="F93" s="276">
        <f ca="1">VLOOKUP(B93,'综合单价分析表 (11#楼)'!A:I,9,)</f>
        <v>49.7116806251947</v>
      </c>
      <c r="G93" s="276">
        <f ca="1" t="shared" si="5"/>
        <v>1416.2857810118</v>
      </c>
      <c r="H93" s="280"/>
    </row>
    <row r="94" ht="48" customHeight="1" outlineLevel="1" spans="1:8">
      <c r="A94" s="199">
        <v>3</v>
      </c>
      <c r="B94" s="274" t="s">
        <v>182</v>
      </c>
      <c r="C94" s="273" t="s">
        <v>179</v>
      </c>
      <c r="D94" s="275">
        <f ca="1">SUMIF('工程量计算式 (11#楼)'!A:A,B94,'工程量计算式 (11#楼)'!E:E)</f>
        <v>10.65</v>
      </c>
      <c r="E94" s="72" t="s">
        <v>109</v>
      </c>
      <c r="F94" s="276">
        <f ca="1">VLOOKUP(B94,'综合单价分析表 (11#楼)'!A:I,9,)</f>
        <v>36.7994875836726</v>
      </c>
      <c r="G94" s="276">
        <f ca="1" t="shared" si="5"/>
        <v>391.914542766113</v>
      </c>
      <c r="H94" s="280" t="str">
        <f>_xlfn.DISPIMG("ID_6AFE38AF985F4ACFB0D387BDC0CA5874",1)</f>
        <v>=DISPIMG("ID_6AFE38AF985F4ACFB0D387BDC0CA5874",1)</v>
      </c>
    </row>
    <row r="95" ht="48" customHeight="1" outlineLevel="1" spans="1:8">
      <c r="A95" s="199">
        <v>4</v>
      </c>
      <c r="B95" s="274" t="s">
        <v>183</v>
      </c>
      <c r="C95" s="274" t="s">
        <v>184</v>
      </c>
      <c r="D95" s="275">
        <f ca="1">SUMIF('工程量计算式 (11#楼)'!A:A,B95,'工程量计算式 (11#楼)'!E:E)</f>
        <v>257.04</v>
      </c>
      <c r="E95" s="72" t="s">
        <v>109</v>
      </c>
      <c r="F95" s="276">
        <f ca="1">VLOOKUP(B95,'综合单价分析表 (11#楼)'!A:I,9,)</f>
        <v>39.3876376013717</v>
      </c>
      <c r="G95" s="276">
        <f ca="1" t="shared" si="5"/>
        <v>10124.1983690566</v>
      </c>
      <c r="H95" s="280" t="str">
        <f>_xlfn.DISPIMG("ID_A360F600B8BA457595AD314BCFE242DC",1)</f>
        <v>=DISPIMG("ID_A360F600B8BA457595AD314BCFE242DC",1)</v>
      </c>
    </row>
    <row r="96" ht="48" customHeight="1" outlineLevel="1" spans="1:8">
      <c r="A96" s="199">
        <v>5</v>
      </c>
      <c r="B96" s="274" t="s">
        <v>185</v>
      </c>
      <c r="C96" s="273" t="s">
        <v>186</v>
      </c>
      <c r="D96" s="275">
        <f ca="1">SUMIF('工程量计算式 (11#楼)'!A:A,B96,'工程量计算式 (11#楼)'!E:E)</f>
        <v>66.86</v>
      </c>
      <c r="E96" s="72" t="s">
        <v>109</v>
      </c>
      <c r="F96" s="276">
        <f ca="1">VLOOKUP(B96,'综合单价分析表 (11#楼)'!A:I,9,)</f>
        <v>52.6371112884956</v>
      </c>
      <c r="G96" s="276">
        <f ca="1" t="shared" si="5"/>
        <v>3519.31726074882</v>
      </c>
      <c r="H96" s="280" t="str">
        <f>_xlfn.DISPIMG("ID_C0160DC06BE349C08A1A0D359A28F6BB",1)</f>
        <v>=DISPIMG("ID_C0160DC06BE349C08A1A0D359A28F6BB",1)</v>
      </c>
    </row>
    <row r="97" ht="48" customHeight="1" outlineLevel="1" spans="1:8">
      <c r="A97" s="199">
        <v>6</v>
      </c>
      <c r="B97" s="274" t="s">
        <v>187</v>
      </c>
      <c r="C97" s="273" t="s">
        <v>188</v>
      </c>
      <c r="D97" s="275">
        <f ca="1">SUMIF('工程量计算式 (11#楼)'!A:A,B97,'工程量计算式 (11#楼)'!E:E)</f>
        <v>237.066</v>
      </c>
      <c r="E97" s="72" t="s">
        <v>109</v>
      </c>
      <c r="F97" s="276">
        <f ca="1">VLOOKUP(B97,'综合单价分析表 (11#楼)'!A:I,9,)</f>
        <v>111.205510919469</v>
      </c>
      <c r="G97" s="276">
        <f ca="1" t="shared" si="5"/>
        <v>26363.0456516348</v>
      </c>
      <c r="H97" s="280" t="str">
        <f>_xlfn.DISPIMG("ID_24210E999789430A94456F346736D14C",1)</f>
        <v>=DISPIMG("ID_24210E999789430A94456F346736D14C",1)</v>
      </c>
    </row>
    <row r="98" ht="48" customHeight="1" outlineLevel="1" spans="1:8">
      <c r="A98" s="199">
        <v>7</v>
      </c>
      <c r="B98" s="274" t="s">
        <v>189</v>
      </c>
      <c r="C98" s="273" t="s">
        <v>186</v>
      </c>
      <c r="D98" s="275">
        <f ca="1">SUMIF('工程量计算式 (11#楼)'!A:A,B98,'工程量计算式 (11#楼)'!E:E)</f>
        <v>5.656</v>
      </c>
      <c r="E98" s="72" t="s">
        <v>109</v>
      </c>
      <c r="F98" s="276">
        <f ca="1">VLOOKUP(B98,'综合单价分析表 (11#楼)'!A:I,9,)</f>
        <v>65.6405604920354</v>
      </c>
      <c r="G98" s="276">
        <f ca="1" t="shared" si="5"/>
        <v>371.263010142952</v>
      </c>
      <c r="H98" s="280"/>
    </row>
    <row r="99" ht="48" customHeight="1" outlineLevel="1" spans="1:8">
      <c r="A99" s="199">
        <v>8</v>
      </c>
      <c r="B99" s="274" t="s">
        <v>190</v>
      </c>
      <c r="C99" s="273" t="s">
        <v>188</v>
      </c>
      <c r="D99" s="275">
        <f ca="1">SUMIF('工程量计算式 (11#楼)'!A:A,B99,'工程量计算式 (11#楼)'!E:E)</f>
        <v>14.444</v>
      </c>
      <c r="E99" s="72" t="s">
        <v>109</v>
      </c>
      <c r="F99" s="276">
        <f ca="1">VLOOKUP(B99,'综合单价分析表 (11#楼)'!A:I,9,)</f>
        <v>155.668405078761</v>
      </c>
      <c r="G99" s="276">
        <f ca="1" t="shared" si="5"/>
        <v>2248.47444295762</v>
      </c>
      <c r="H99" s="280"/>
    </row>
    <row r="100" ht="48" customHeight="1" outlineLevel="1" spans="1:8">
      <c r="A100" s="199">
        <v>9</v>
      </c>
      <c r="B100" s="274" t="s">
        <v>191</v>
      </c>
      <c r="C100" s="273" t="s">
        <v>192</v>
      </c>
      <c r="D100" s="275">
        <f ca="1">SUMIF('工程量计算式 (11#楼)'!A:A,B100,'工程量计算式 (11#楼)'!E:E)</f>
        <v>117.796</v>
      </c>
      <c r="E100" s="72" t="s">
        <v>109</v>
      </c>
      <c r="F100" s="276">
        <f ca="1">VLOOKUP(B100,'综合单价分析表 (11#楼)'!A:I,9,)</f>
        <v>59.0800600237965</v>
      </c>
      <c r="G100" s="276">
        <f ca="1" t="shared" si="5"/>
        <v>6959.39475056313</v>
      </c>
      <c r="H100" s="280" t="str">
        <f>_xlfn.DISPIMG("ID_44FB857AADD14F3AB8D763643937D28F",1)</f>
        <v>=DISPIMG("ID_44FB857AADD14F3AB8D763643937D28F",1)</v>
      </c>
    </row>
    <row r="101" ht="48" customHeight="1" outlineLevel="1" spans="1:8">
      <c r="A101" s="199">
        <v>10</v>
      </c>
      <c r="B101" s="274" t="s">
        <v>193</v>
      </c>
      <c r="C101" s="273" t="s">
        <v>192</v>
      </c>
      <c r="D101" s="275">
        <f ca="1">SUMIF('工程量计算式 (11#楼)'!A:A,B101,'工程量计算式 (11#楼)'!E:E)</f>
        <v>5.524</v>
      </c>
      <c r="E101" s="72" t="s">
        <v>109</v>
      </c>
      <c r="F101" s="276">
        <f ca="1">VLOOKUP(B101,'综合单价分析表 (11#楼)'!A:I,9,)</f>
        <v>77.4751716556549</v>
      </c>
      <c r="G101" s="276">
        <f ca="1" t="shared" si="5"/>
        <v>427.972848225838</v>
      </c>
      <c r="H101" s="280"/>
    </row>
    <row r="102" ht="48" customHeight="1" outlineLevel="1" spans="1:8">
      <c r="A102" s="199">
        <v>11</v>
      </c>
      <c r="B102" s="274" t="s">
        <v>194</v>
      </c>
      <c r="C102" s="274" t="s">
        <v>195</v>
      </c>
      <c r="D102" s="275">
        <f ca="1">SUMIF('工程量计算式 (11#楼)'!A:A,B102,'工程量计算式 (11#楼)'!E:E)</f>
        <v>32.7</v>
      </c>
      <c r="E102" s="72" t="s">
        <v>109</v>
      </c>
      <c r="F102" s="276">
        <f ca="1">VLOOKUP(B102,'综合单价分析表 (11#楼)'!A:I,9,)</f>
        <v>46.3409309171859</v>
      </c>
      <c r="G102" s="276">
        <f ca="1" t="shared" si="5"/>
        <v>1515.34844099198</v>
      </c>
      <c r="H102" s="280" t="str">
        <f>_xlfn.DISPIMG("ID_FC5E8A4787F94B5287D581D73F7442FA",1)</f>
        <v>=DISPIMG("ID_FC5E8A4787F94B5287D581D73F7442FA",1)</v>
      </c>
    </row>
    <row r="103" ht="32" customHeight="1" spans="1:8">
      <c r="A103" s="199" t="s">
        <v>196</v>
      </c>
      <c r="B103" s="278" t="s">
        <v>197</v>
      </c>
      <c r="C103" s="280"/>
      <c r="D103" s="297">
        <f ca="1">SUM(D104:D105)</f>
        <v>99.04</v>
      </c>
      <c r="E103" s="72"/>
      <c r="F103" s="276"/>
      <c r="G103" s="297">
        <f ca="1">SUM(G104:G105)</f>
        <v>82457.315811778</v>
      </c>
      <c r="H103" s="280"/>
    </row>
    <row r="104" ht="98" customHeight="1" outlineLevel="1" spans="1:8">
      <c r="A104" s="199">
        <v>1</v>
      </c>
      <c r="B104" s="295" t="s">
        <v>198</v>
      </c>
      <c r="C104" s="280" t="s">
        <v>199</v>
      </c>
      <c r="D104" s="275">
        <f ca="1">SUMIF('工程量计算式 (11#楼)'!A:A,B104,'工程量计算式 (11#楼)'!E:E)</f>
        <v>55.95</v>
      </c>
      <c r="E104" s="72" t="s">
        <v>43</v>
      </c>
      <c r="F104" s="276">
        <f ca="1">VLOOKUP(B104,'综合单价分析表 (11#楼)'!A:I,9,)</f>
        <v>656.281267441461</v>
      </c>
      <c r="G104" s="276">
        <f ca="1" t="shared" si="5"/>
        <v>36718.9369133497</v>
      </c>
      <c r="H104" s="280"/>
    </row>
    <row r="105" ht="67" customHeight="1" outlineLevel="1" spans="1:8">
      <c r="A105" s="199">
        <v>2</v>
      </c>
      <c r="B105" s="274" t="s">
        <v>200</v>
      </c>
      <c r="C105" s="280" t="s">
        <v>201</v>
      </c>
      <c r="D105" s="275">
        <f ca="1">SUMIF('工程量计算式 (11#楼)'!A:A,B105,'工程量计算式 (11#楼)'!E:E)</f>
        <v>43.09</v>
      </c>
      <c r="E105" s="72" t="s">
        <v>43</v>
      </c>
      <c r="F105" s="276">
        <f ca="1">VLOOKUP(B105,'综合单价分析表 (11#楼)'!A:I,9,)</f>
        <v>1061.46156645227</v>
      </c>
      <c r="G105" s="276">
        <f ca="1" t="shared" si="5"/>
        <v>45738.3788984282</v>
      </c>
      <c r="H105" s="280"/>
    </row>
    <row r="106" ht="30" customHeight="1" spans="1:8">
      <c r="A106" s="293" t="s">
        <v>202</v>
      </c>
      <c r="B106" s="278" t="s">
        <v>203</v>
      </c>
      <c r="C106" s="280"/>
      <c r="D106" s="297">
        <f ca="1">SUM(D107:D109)</f>
        <v>120.941</v>
      </c>
      <c r="E106" s="72"/>
      <c r="F106" s="276"/>
      <c r="G106" s="297">
        <f ca="1">SUM(G107:G109)</f>
        <v>103078.317724916</v>
      </c>
      <c r="H106" s="280"/>
    </row>
    <row r="107" ht="30" customHeight="1" spans="1:8">
      <c r="A107" s="199">
        <v>1</v>
      </c>
      <c r="B107" s="295" t="s">
        <v>204</v>
      </c>
      <c r="C107" s="280" t="s">
        <v>205</v>
      </c>
      <c r="D107" s="275">
        <f ca="1">SUMIF('工程量计算式 (11#楼)'!A:A,B107,'工程量计算式 (11#楼)'!E:E)</f>
        <v>92.282</v>
      </c>
      <c r="E107" s="72" t="s">
        <v>109</v>
      </c>
      <c r="F107" s="276">
        <f ca="1">VLOOKUP(B107,'综合单价分析表 (11#楼)'!A:I,9,)</f>
        <v>869.513821735454</v>
      </c>
      <c r="G107" s="276">
        <f ca="1" t="shared" si="5"/>
        <v>80240.4744973912</v>
      </c>
      <c r="H107" s="280"/>
    </row>
    <row r="108" ht="30" customHeight="1" spans="1:8">
      <c r="A108" s="199">
        <v>2</v>
      </c>
      <c r="B108" s="295" t="s">
        <v>206</v>
      </c>
      <c r="C108" s="280"/>
      <c r="D108" s="275">
        <f ca="1">SUMIF('工程量计算式 (11#楼)'!A:A,B108,'工程量计算式 (11#楼)'!E:E)</f>
        <v>8.478</v>
      </c>
      <c r="E108" s="72" t="s">
        <v>109</v>
      </c>
      <c r="F108" s="276">
        <f ca="1">VLOOKUP(B108,'综合单价分析表 (11#楼)'!A:I,9,)</f>
        <v>921.892680062734</v>
      </c>
      <c r="G108" s="276">
        <f ca="1" t="shared" si="5"/>
        <v>7815.80614157186</v>
      </c>
      <c r="H108" s="280"/>
    </row>
    <row r="109" ht="30" customHeight="1" spans="1:8">
      <c r="A109" s="199">
        <v>3</v>
      </c>
      <c r="B109" s="295" t="s">
        <v>207</v>
      </c>
      <c r="C109" s="280" t="s">
        <v>208</v>
      </c>
      <c r="D109" s="275">
        <f ca="1">SUMIF('工程量计算式 (11#楼)'!A:A,B109,'工程量计算式 (11#楼)'!E:E)</f>
        <v>20.181</v>
      </c>
      <c r="E109" s="72" t="s">
        <v>109</v>
      </c>
      <c r="F109" s="276">
        <f ca="1">VLOOKUP(B109,'综合单价分析表 (11#楼)'!A:I,9,)</f>
        <v>744.365347899176</v>
      </c>
      <c r="G109" s="276">
        <f ca="1" t="shared" si="5"/>
        <v>15022.0370859533</v>
      </c>
      <c r="H109" s="280"/>
    </row>
    <row r="110" ht="30" customHeight="1" spans="1:8">
      <c r="A110" s="293" t="s">
        <v>209</v>
      </c>
      <c r="B110" s="278" t="s">
        <v>210</v>
      </c>
      <c r="C110" s="280"/>
      <c r="D110" s="297">
        <f ca="1">SUM(D111:D116)</f>
        <v>591.010344</v>
      </c>
      <c r="E110" s="72"/>
      <c r="F110" s="276"/>
      <c r="G110" s="297">
        <f ca="1">SUM(G111:G116)</f>
        <v>57930.383295092</v>
      </c>
      <c r="H110" s="280"/>
    </row>
    <row r="111" ht="30" customHeight="1" spans="1:8">
      <c r="A111" s="199">
        <v>1</v>
      </c>
      <c r="B111" s="274" t="s">
        <v>211</v>
      </c>
      <c r="C111" s="280"/>
      <c r="D111" s="275">
        <v>0</v>
      </c>
      <c r="E111" s="132" t="s">
        <v>212</v>
      </c>
      <c r="F111" s="276">
        <v>0</v>
      </c>
      <c r="G111" s="276">
        <f t="shared" si="5"/>
        <v>0</v>
      </c>
      <c r="H111" s="280"/>
    </row>
    <row r="112" ht="30" customHeight="1" spans="1:8">
      <c r="A112" s="199">
        <v>2</v>
      </c>
      <c r="B112" s="274" t="s">
        <v>213</v>
      </c>
      <c r="C112" s="280"/>
      <c r="D112" s="275">
        <f ca="1">SUMIF('工程量计算式 (11#楼)'!A:A,B112,'工程量计算式 (11#楼)'!E:E)</f>
        <v>480.4</v>
      </c>
      <c r="E112" s="72" t="s">
        <v>109</v>
      </c>
      <c r="F112" s="276">
        <f ca="1">VLOOKUP(B112,'综合单价分析表 (11#楼)'!A:I,9,)</f>
        <v>59.2796017699115</v>
      </c>
      <c r="G112" s="276">
        <f ca="1" t="shared" si="5"/>
        <v>28477.9206902655</v>
      </c>
      <c r="H112" s="280"/>
    </row>
    <row r="113" ht="30" customHeight="1" spans="1:10">
      <c r="A113" s="199">
        <v>3</v>
      </c>
      <c r="B113" s="295" t="s">
        <v>214</v>
      </c>
      <c r="C113" s="280" t="s">
        <v>215</v>
      </c>
      <c r="D113" s="275">
        <f ca="1">SUMIF('工程量计算式 (11#楼)'!A:A,B113,'工程量计算式 (11#楼)'!E:E)</f>
        <v>40.89758</v>
      </c>
      <c r="E113" s="72" t="s">
        <v>43</v>
      </c>
      <c r="F113" s="276">
        <f ca="1">VLOOKUP(B113,'综合单价分析表 (11#楼)'!A:I,9,)</f>
        <v>136.616548672566</v>
      </c>
      <c r="G113" s="276">
        <f ca="1" t="shared" si="5"/>
        <v>5587.28622866016</v>
      </c>
      <c r="H113" s="280"/>
    </row>
    <row r="114" ht="60" customHeight="1" spans="1:10">
      <c r="A114" s="199">
        <v>4</v>
      </c>
      <c r="B114" s="295" t="s">
        <v>216</v>
      </c>
      <c r="C114" s="280" t="s">
        <v>217</v>
      </c>
      <c r="D114" s="275">
        <f>0.371*(11.35*2)+(0.371*(0.6+0.3)+0.371*(1.3+0.5+1.108+3.8+0.6+0.5+1.3)+0.371*(1.3+0.5+1.108+6.5+1.108+0.5+1.3)+0.371*(1.3+0.6))+0.371*0.6*4</f>
        <v>18.299204</v>
      </c>
      <c r="E114" s="72" t="s">
        <v>43</v>
      </c>
      <c r="F114" s="276">
        <f ca="1">VLOOKUP(B114,'综合单价分析表 (11#楼)'!A:I,9,)</f>
        <v>91.9265486725664</v>
      </c>
      <c r="G114" s="276">
        <f ca="1" t="shared" si="5"/>
        <v>1682.18266717522</v>
      </c>
      <c r="H114" s="280"/>
    </row>
    <row r="115" ht="41" customHeight="1" spans="1:10">
      <c r="A115" s="199">
        <v>5</v>
      </c>
      <c r="B115" s="295" t="s">
        <v>218</v>
      </c>
      <c r="C115" s="280"/>
      <c r="D115" s="275">
        <f ca="1">SUMIF('工程量计算式 (11#楼)'!A:A,B115,'工程量计算式 (11#楼)'!E:E)</f>
        <v>45.9</v>
      </c>
      <c r="E115" s="72" t="s">
        <v>109</v>
      </c>
      <c r="F115" s="276">
        <f ca="1">VLOOKUP(B115,'综合单价分析表 (11#楼)'!A:I,9,)</f>
        <v>445.006486725664</v>
      </c>
      <c r="G115" s="276">
        <f ca="1" t="shared" si="5"/>
        <v>20425.797740708</v>
      </c>
      <c r="H115" s="280"/>
    </row>
    <row r="116" ht="46" customHeight="1" spans="1:10">
      <c r="A116" s="199">
        <v>6</v>
      </c>
      <c r="B116" s="295" t="s">
        <v>219</v>
      </c>
      <c r="C116" s="280" t="s">
        <v>220</v>
      </c>
      <c r="D116" s="275">
        <f ca="1">SUMIF('工程量计算式 (11#楼)'!A:A,B116,'工程量计算式 (11#楼)'!E:E)</f>
        <v>5.51356</v>
      </c>
      <c r="E116" s="72" t="s">
        <v>43</v>
      </c>
      <c r="F116" s="276">
        <f ca="1">VLOOKUP(B116,'综合单价分析表 (11#楼)'!A:I,9,)</f>
        <v>318.704424778761</v>
      </c>
      <c r="G116" s="276">
        <f ca="1" t="shared" si="5"/>
        <v>1757.19596828319</v>
      </c>
      <c r="H116" s="280"/>
    </row>
    <row r="117" ht="46" customHeight="1" spans="1:10">
      <c r="A117" s="293" t="s">
        <v>221</v>
      </c>
      <c r="B117" s="278" t="s">
        <v>222</v>
      </c>
      <c r="C117" s="280"/>
      <c r="D117" s="275"/>
      <c r="E117" s="72"/>
      <c r="F117" s="276"/>
      <c r="G117" s="297">
        <f>'11#楼措施费'!F12</f>
        <v>189878</v>
      </c>
      <c r="H117" s="280"/>
    </row>
    <row r="118" ht="35" customHeight="1" spans="1:10">
      <c r="A118" s="273"/>
      <c r="B118" s="299" t="s">
        <v>223</v>
      </c>
      <c r="C118" s="299"/>
      <c r="D118" s="300">
        <f ca="1">D3+D22+D48+D58+D86+D103+D106</f>
        <v>3653.5558628</v>
      </c>
      <c r="E118" s="300"/>
      <c r="F118" s="300">
        <f ca="1">+G118/D118</f>
        <v>937.610920236018</v>
      </c>
      <c r="G118" s="300">
        <f ca="1">G3+G22+G48+G58+G86+G91+G103+G106+G110+G117</f>
        <v>3425613.87465361</v>
      </c>
      <c r="H118" s="280"/>
      <c r="J118" s="236">
        <f ca="1">G118/D118</f>
        <v>937.610920236018</v>
      </c>
    </row>
    <row r="119" ht="31" customHeight="1" spans="1:10">
      <c r="D119" s="235"/>
    </row>
    <row r="120" ht="21" customHeight="1"/>
  </sheetData>
  <mergeCells count="2">
    <mergeCell ref="A1:H1"/>
    <mergeCell ref="B118:C118"/>
  </mergeCells>
  <pageMargins left="0.75" right="0.75" top="1" bottom="1" header="0.5" footer="0.5"/>
  <pageSetup paperSize="9" scale="60" orientation="landscape"/>
  <headerFooter/>
  <rowBreaks count="2" manualBreakCount="2">
    <brk id="21" max="7" man="1"/>
    <brk id="47" max="7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"/>
  <sheetViews>
    <sheetView view="pageBreakPreview" zoomScaleNormal="100" workbookViewId="0">
      <pane ySplit="2" topLeftCell="A22" activePane="bottomLeft" state="frozen"/>
      <selection/>
      <selection pane="bottomLeft" activeCell="D24" sqref="D24"/>
    </sheetView>
  </sheetViews>
  <sheetFormatPr defaultColWidth="9" defaultRowHeight="16.8"/>
  <cols>
    <col min="1" max="1" width="7.75" style="235" customWidth="1"/>
    <col min="2" max="2" width="48.6538461538462" style="270" customWidth="1"/>
    <col min="3" max="3" width="28.5" customWidth="1"/>
    <col min="4" max="4" width="11.5"/>
    <col min="5" max="5" width="7.375" customWidth="1"/>
    <col min="6" max="6" width="15" style="236" customWidth="1"/>
    <col min="7" max="7" width="17.875" style="236" customWidth="1"/>
    <col min="8" max="8" width="27.875" customWidth="1"/>
    <col min="9" max="9" width="10.375"/>
    <col min="10" max="10" width="12.625"/>
    <col min="11" max="11" width="10.375"/>
  </cols>
  <sheetData>
    <row r="1" ht="35" customHeight="1" spans="1:11">
      <c r="A1" s="271" t="s">
        <v>224</v>
      </c>
      <c r="B1" s="272"/>
      <c r="C1" s="271"/>
      <c r="D1" s="271"/>
      <c r="E1" s="271"/>
      <c r="F1" s="271"/>
      <c r="G1" s="271"/>
      <c r="H1" s="271"/>
    </row>
    <row r="2" ht="30" customHeight="1" spans="1:11">
      <c r="A2" s="273" t="s">
        <v>1</v>
      </c>
      <c r="B2" s="274" t="s">
        <v>2</v>
      </c>
      <c r="C2" s="273" t="s">
        <v>35</v>
      </c>
      <c r="D2" s="275" t="s">
        <v>36</v>
      </c>
      <c r="E2" s="275" t="s">
        <v>37</v>
      </c>
      <c r="F2" s="276" t="s">
        <v>38</v>
      </c>
      <c r="G2" s="276" t="s">
        <v>39</v>
      </c>
      <c r="H2" s="273" t="s">
        <v>6</v>
      </c>
    </row>
    <row r="3" ht="30" customHeight="1" spans="1:11">
      <c r="A3" s="277" t="s">
        <v>40</v>
      </c>
      <c r="B3" s="278" t="s">
        <v>225</v>
      </c>
      <c r="C3" s="273"/>
      <c r="D3" s="279">
        <f ca="1">SUM(D4:D43)</f>
        <v>1528.548795</v>
      </c>
      <c r="E3" s="275"/>
      <c r="F3" s="276"/>
      <c r="G3" s="279">
        <f ca="1">SUM(G4:G43)</f>
        <v>1931614.0067624</v>
      </c>
      <c r="H3" s="280"/>
      <c r="J3" s="281">
        <f ca="1">'工程量计算式（商业）'!E2</f>
        <v>1528.548795</v>
      </c>
      <c r="K3">
        <f ca="1">D3-J3</f>
        <v>0</v>
      </c>
    </row>
    <row r="4" ht="30" customHeight="1" outlineLevel="1" spans="1:11">
      <c r="A4" s="273">
        <v>1</v>
      </c>
      <c r="B4" s="282" t="s">
        <v>226</v>
      </c>
      <c r="C4" s="283" t="s">
        <v>227</v>
      </c>
      <c r="D4" s="275">
        <f ca="1">SUMIF('工程量计算式（商业）'!A:A,B4,'工程量计算式（商业）'!E:E)</f>
        <v>25.92</v>
      </c>
      <c r="E4" s="72" t="s">
        <v>43</v>
      </c>
      <c r="F4" s="276">
        <f>VLOOKUP(B4,'综合单价分析表（商业）'!A:I,9,)</f>
        <v>1800.82828115262</v>
      </c>
      <c r="G4" s="276">
        <f ca="1">+F4*D4</f>
        <v>46677.4690474759</v>
      </c>
      <c r="H4" s="280"/>
    </row>
    <row r="5" ht="30" customHeight="1" outlineLevel="1" spans="1:11">
      <c r="A5" s="199">
        <f>MAX($A$3:$A4)+1</f>
        <v>2</v>
      </c>
      <c r="B5" s="282" t="s">
        <v>228</v>
      </c>
      <c r="C5" s="283" t="s">
        <v>229</v>
      </c>
      <c r="D5" s="275">
        <f ca="1">SUMIF('工程量计算式（商业）'!A:A,B5,'工程量计算式（商业）'!E:E)</f>
        <v>10.98</v>
      </c>
      <c r="E5" s="72" t="s">
        <v>43</v>
      </c>
      <c r="F5" s="276">
        <f>VLOOKUP(B5,'综合单价分析表（商业）'!A:I,9,)</f>
        <v>617.414843129624</v>
      </c>
      <c r="G5" s="276">
        <f ca="1">+F5*D5</f>
        <v>6779.21497756327</v>
      </c>
      <c r="H5" s="280"/>
    </row>
    <row r="6" ht="40" customHeight="1" outlineLevel="1" spans="1:11">
      <c r="A6" s="199">
        <f>MAX($A$3:$A5)+1</f>
        <v>3</v>
      </c>
      <c r="B6" s="282" t="s">
        <v>230</v>
      </c>
      <c r="C6" s="283" t="s">
        <v>227</v>
      </c>
      <c r="D6" s="275">
        <f ca="1">SUMIF('工程量计算式（商业）'!A:A,B6,'工程量计算式（商业）'!E:E)</f>
        <v>8.9424</v>
      </c>
      <c r="E6" s="72" t="s">
        <v>43</v>
      </c>
      <c r="F6" s="276">
        <f>VLOOKUP(B6,'综合单价分析表（商业）'!A:I,9,)</f>
        <v>1662.21422303038</v>
      </c>
      <c r="G6" s="276">
        <f ca="1">+F6*D6</f>
        <v>14864.1844680269</v>
      </c>
      <c r="H6" s="280"/>
    </row>
    <row r="7" ht="30" customHeight="1" outlineLevel="1" spans="1:11">
      <c r="A7" s="199">
        <f>MAX($A$3:$A6)+1</f>
        <v>4</v>
      </c>
      <c r="B7" s="284" t="s">
        <v>231</v>
      </c>
      <c r="C7" s="283" t="s">
        <v>232</v>
      </c>
      <c r="D7" s="275">
        <f ca="1">SUMIF('工程量计算式（商业）'!A:A,B7,'工程量计算式（商业）'!E:E)</f>
        <v>258.624</v>
      </c>
      <c r="E7" s="72" t="s">
        <v>43</v>
      </c>
      <c r="F7" s="276">
        <f>VLOOKUP(B7,'综合单价分析表（商业）'!A:I,9,)</f>
        <v>887.51901549947</v>
      </c>
      <c r="G7" s="276">
        <f ca="1">+F7*D7</f>
        <v>229533.717864535</v>
      </c>
      <c r="H7" s="280"/>
    </row>
    <row r="8" ht="30" customHeight="1" outlineLevel="1" spans="1:11">
      <c r="A8" s="199">
        <f>MAX($A$3:$A7)+1</f>
        <v>5</v>
      </c>
      <c r="B8" s="282" t="s">
        <v>233</v>
      </c>
      <c r="C8" s="283" t="s">
        <v>232</v>
      </c>
      <c r="D8" s="275">
        <f ca="1">SUMIF('工程量计算式（商业）'!A:A,B8,'工程量计算式（商业）'!E:E)</f>
        <v>20.3616</v>
      </c>
      <c r="E8" s="72" t="s">
        <v>43</v>
      </c>
      <c r="F8" s="276">
        <f>VLOOKUP(B8,'综合单价分析表（商业）'!A:I,9,)</f>
        <v>1344.22497106199</v>
      </c>
      <c r="G8" s="276">
        <f ca="1">+F8*D8</f>
        <v>27370.5711707758</v>
      </c>
      <c r="H8" s="280"/>
    </row>
    <row r="9" ht="30" customHeight="1" outlineLevel="1" spans="1:11">
      <c r="A9" s="199">
        <f>MAX($A$3:$A8)+1</f>
        <v>6</v>
      </c>
      <c r="B9" s="282" t="s">
        <v>234</v>
      </c>
      <c r="C9" s="283" t="s">
        <v>235</v>
      </c>
      <c r="D9" s="275">
        <f ca="1">SUMIF('工程量计算式（商业）'!A:A,B9,'工程量计算式（商业）'!E:E)</f>
        <v>63.36</v>
      </c>
      <c r="E9" s="72" t="s">
        <v>43</v>
      </c>
      <c r="F9" s="276">
        <f>VLOOKUP(B9,'综合单价分析表（商业）'!A:I,9,)</f>
        <v>1138.01715879142</v>
      </c>
      <c r="G9" s="276">
        <f ca="1" t="shared" ref="G9:G23" si="0">+F9*D9</f>
        <v>72104.7671810244</v>
      </c>
      <c r="H9" s="280"/>
    </row>
    <row r="10" ht="44" customHeight="1" outlineLevel="1" spans="1:11">
      <c r="A10" s="199">
        <f>MAX($A$3:$A9)+1</f>
        <v>7</v>
      </c>
      <c r="B10" s="282" t="s">
        <v>236</v>
      </c>
      <c r="C10" s="283" t="s">
        <v>235</v>
      </c>
      <c r="D10" s="275">
        <f ca="1">SUMIF('工程量计算式（商业）'!A:A,B10,'工程量计算式（商业）'!E:E)</f>
        <v>10.1808</v>
      </c>
      <c r="E10" s="72" t="s">
        <v>43</v>
      </c>
      <c r="F10" s="276">
        <f>VLOOKUP(B10,'综合单价分析表（商业）'!A:I,9,)</f>
        <v>1879.71052504429</v>
      </c>
      <c r="G10" s="276">
        <f ca="1" t="shared" si="0"/>
        <v>19136.9569133709</v>
      </c>
      <c r="H10" s="280"/>
    </row>
    <row r="11" ht="30" customHeight="1" outlineLevel="1" spans="1:11">
      <c r="A11" s="199">
        <f>MAX($A$3:$A10)+1</f>
        <v>8</v>
      </c>
      <c r="B11" s="282" t="s">
        <v>237</v>
      </c>
      <c r="C11" s="283" t="s">
        <v>238</v>
      </c>
      <c r="D11" s="275">
        <f ca="1">SUMIF('工程量计算式（商业）'!A:A,B11,'工程量计算式（商业）'!E:E)</f>
        <v>9.4788</v>
      </c>
      <c r="E11" s="72" t="s">
        <v>43</v>
      </c>
      <c r="F11" s="276">
        <f>VLOOKUP(B11,'综合单价分析表（商业）'!A:I,9,)</f>
        <v>1337.85595306105</v>
      </c>
      <c r="G11" s="276">
        <f ca="1" t="shared" si="0"/>
        <v>12681.2690078751</v>
      </c>
      <c r="H11" s="280"/>
    </row>
    <row r="12" ht="30" customHeight="1" outlineLevel="1" spans="1:11">
      <c r="A12" s="199">
        <f>MAX($A$3:$A11)+1</f>
        <v>9</v>
      </c>
      <c r="B12" s="282" t="s">
        <v>239</v>
      </c>
      <c r="C12" s="283" t="s">
        <v>238</v>
      </c>
      <c r="D12" s="275">
        <f ca="1">SUMIF('工程量计算式（商业）'!A:A,B12,'工程量计算式（商业）'!E:E)</f>
        <v>7.11</v>
      </c>
      <c r="E12" s="72" t="s">
        <v>43</v>
      </c>
      <c r="F12" s="276">
        <f>VLOOKUP(B12,'综合单价分析表（商业）'!A:I,9,)</f>
        <v>1573.63416683847</v>
      </c>
      <c r="G12" s="276">
        <f ca="1" t="shared" si="0"/>
        <v>11188.5389262215</v>
      </c>
      <c r="H12" s="280"/>
    </row>
    <row r="13" ht="45" customHeight="1" outlineLevel="1" spans="1:11">
      <c r="A13" s="199">
        <f>MAX($A$3:$A12)+1</f>
        <v>10</v>
      </c>
      <c r="B13" s="282" t="s">
        <v>240</v>
      </c>
      <c r="C13" s="283" t="s">
        <v>238</v>
      </c>
      <c r="D13" s="275">
        <f ca="1">SUMIF('工程量计算式（商业）'!A:A,B13,'工程量计算式（商业）'!E:E)</f>
        <v>8.9568</v>
      </c>
      <c r="E13" s="72" t="s">
        <v>43</v>
      </c>
      <c r="F13" s="276">
        <f>VLOOKUP(B13,'综合单价分析表（商业）'!A:I,9,)</f>
        <v>1548.11168561948</v>
      </c>
      <c r="G13" s="276">
        <f ca="1" t="shared" si="0"/>
        <v>13866.1267457566</v>
      </c>
      <c r="H13" s="280"/>
    </row>
    <row r="14" ht="30" customHeight="1" outlineLevel="1" spans="1:11">
      <c r="A14" s="199">
        <f>MAX($A$3:$A13)+1</f>
        <v>11</v>
      </c>
      <c r="B14" s="282" t="s">
        <v>241</v>
      </c>
      <c r="C14" s="283" t="s">
        <v>242</v>
      </c>
      <c r="D14" s="275">
        <f ca="1">SUMIF('工程量计算式（商业）'!A:A,B14,'工程量计算式（商业）'!E:E)</f>
        <v>54.9</v>
      </c>
      <c r="E14" s="72" t="s">
        <v>43</v>
      </c>
      <c r="F14" s="276">
        <f>VLOOKUP(B14,'综合单价分析表（商业）'!A:I,9,)</f>
        <v>946.543051138401</v>
      </c>
      <c r="G14" s="276">
        <f ca="1" t="shared" si="0"/>
        <v>51965.2135074982</v>
      </c>
      <c r="H14" s="280"/>
    </row>
    <row r="15" ht="30" customHeight="1" outlineLevel="1" spans="1:11">
      <c r="A15" s="199">
        <f>MAX($A$3:$A14)+1</f>
        <v>12</v>
      </c>
      <c r="B15" s="282" t="s">
        <v>243</v>
      </c>
      <c r="C15" s="283" t="s">
        <v>242</v>
      </c>
      <c r="D15" s="275">
        <f ca="1">SUMIF('工程量计算式（商业）'!A:A,B15,'工程量计算式（商业）'!E:E)</f>
        <v>3.96</v>
      </c>
      <c r="E15" s="72" t="s">
        <v>43</v>
      </c>
      <c r="F15" s="276">
        <f>VLOOKUP(B15,'综合单价分析表（商业）'!A:I,9,)</f>
        <v>1645.20369890449</v>
      </c>
      <c r="G15" s="276">
        <f ca="1" t="shared" si="0"/>
        <v>6515.00664766178</v>
      </c>
      <c r="H15" s="280"/>
    </row>
    <row r="16" ht="41" customHeight="1" outlineLevel="1" spans="1:11">
      <c r="A16" s="199">
        <f>MAX($A$3:$A15)+1</f>
        <v>13</v>
      </c>
      <c r="B16" s="282" t="s">
        <v>244</v>
      </c>
      <c r="C16" s="283" t="s">
        <v>242</v>
      </c>
      <c r="D16" s="275">
        <f ca="1">SUMIF('工程量计算式（商业）'!A:A,B16,'工程量计算式（商业）'!E:E)</f>
        <v>6.12</v>
      </c>
      <c r="E16" s="72" t="s">
        <v>43</v>
      </c>
      <c r="F16" s="276">
        <f>VLOOKUP(B16,'综合单价分析表（商业）'!A:I,9,)</f>
        <v>2336.01469531231</v>
      </c>
      <c r="G16" s="276">
        <f ca="1" t="shared" si="0"/>
        <v>14296.4099353113</v>
      </c>
      <c r="H16" s="280"/>
    </row>
    <row r="17" ht="30" customHeight="1" outlineLevel="1" spans="1:8">
      <c r="A17" s="199">
        <f>MAX($A$3:$A16)+1</f>
        <v>14</v>
      </c>
      <c r="B17" s="285" t="s">
        <v>245</v>
      </c>
      <c r="C17" s="283" t="s">
        <v>246</v>
      </c>
      <c r="D17" s="275">
        <f ca="1">SUMIF('工程量计算式（商业）'!A:A,B17,'工程量计算式（商业）'!E:E)</f>
        <v>272.676975</v>
      </c>
      <c r="E17" s="72" t="s">
        <v>43</v>
      </c>
      <c r="F17" s="276">
        <f>VLOOKUP(B17,'综合单价分析表（商业）'!A:I,9,)</f>
        <v>1516.82372919816</v>
      </c>
      <c r="G17" s="276">
        <f ca="1" t="shared" si="0"/>
        <v>413602.906085973</v>
      </c>
      <c r="H17" s="280"/>
    </row>
    <row r="18" ht="30" customHeight="1" outlineLevel="1" spans="1:8">
      <c r="A18" s="199">
        <f>MAX($A$3:$A17)+1</f>
        <v>15</v>
      </c>
      <c r="B18" s="285" t="s">
        <v>247</v>
      </c>
      <c r="C18" s="283" t="s">
        <v>246</v>
      </c>
      <c r="D18" s="275">
        <f ca="1">SUMIF('工程量计算式（商业）'!A:A,B18,'工程量计算式（商业）'!E:E)</f>
        <v>7.53894</v>
      </c>
      <c r="E18" s="72" t="s">
        <v>43</v>
      </c>
      <c r="F18" s="276">
        <f>VLOOKUP(B18,'综合单价分析表（商业）'!A:I,9,)</f>
        <v>2606.17782637342</v>
      </c>
      <c r="G18" s="276">
        <f ca="1" t="shared" si="0"/>
        <v>19647.8182623596</v>
      </c>
      <c r="H18" s="280"/>
    </row>
    <row r="19" ht="30" customHeight="1" outlineLevel="1" spans="1:8">
      <c r="A19" s="199">
        <f>MAX($A$3:$A18)+1</f>
        <v>16</v>
      </c>
      <c r="B19" s="285" t="s">
        <v>248</v>
      </c>
      <c r="C19" s="283" t="s">
        <v>246</v>
      </c>
      <c r="D19" s="275">
        <f ca="1">SUMIF('工程量计算式（商业）'!A:A,B19,'工程量计算式（商业）'!E:E)</f>
        <v>42.323075</v>
      </c>
      <c r="E19" s="72" t="s">
        <v>43</v>
      </c>
      <c r="F19" s="276">
        <f>VLOOKUP(B19,'综合单价分析表（商业）'!A:I,9,)</f>
        <v>2139.05353850847</v>
      </c>
      <c r="G19" s="276">
        <f ca="1" t="shared" si="0"/>
        <v>90531.3233393094</v>
      </c>
      <c r="H19" s="280"/>
    </row>
    <row r="20" ht="30" customHeight="1" outlineLevel="1" spans="1:8">
      <c r="A20" s="199">
        <f>MAX($A$3:$A19)+1</f>
        <v>17</v>
      </c>
      <c r="B20" s="285" t="s">
        <v>249</v>
      </c>
      <c r="C20" s="283" t="s">
        <v>250</v>
      </c>
      <c r="D20" s="275">
        <f ca="1">SUMIF('工程量计算式（商业）'!A:A,B20,'工程量计算式（商业）'!E:E)</f>
        <v>106.37675</v>
      </c>
      <c r="E20" s="72" t="s">
        <v>43</v>
      </c>
      <c r="F20" s="276">
        <f>VLOOKUP(B20,'综合单价分析表（商业）'!A:I,9,)</f>
        <v>1484.43154527817</v>
      </c>
      <c r="G20" s="276">
        <f ca="1" t="shared" si="0"/>
        <v>157909.00338417</v>
      </c>
      <c r="H20" s="280"/>
    </row>
    <row r="21" ht="30" customHeight="1" outlineLevel="1" spans="1:8">
      <c r="A21" s="199">
        <f>MAX($A$3:$A20)+1</f>
        <v>18</v>
      </c>
      <c r="B21" s="285" t="s">
        <v>251</v>
      </c>
      <c r="C21" s="283" t="s">
        <v>250</v>
      </c>
      <c r="D21" s="275">
        <f ca="1">SUMIF('工程量计算式（商业）'!A:A,B21,'工程量计算式（商业）'!E:E)</f>
        <v>23.84296</v>
      </c>
      <c r="E21" s="72" t="s">
        <v>43</v>
      </c>
      <c r="F21" s="276">
        <f>VLOOKUP(B21,'综合单价分析表（商业）'!A:I,9,)</f>
        <v>2675.86406948192</v>
      </c>
      <c r="G21" s="276">
        <f ca="1" t="shared" si="0"/>
        <v>63800.5199740946</v>
      </c>
      <c r="H21" s="280"/>
    </row>
    <row r="22" ht="30" customHeight="1" outlineLevel="1" spans="1:8">
      <c r="A22" s="199">
        <f>MAX($A$3:$A21)+1</f>
        <v>19</v>
      </c>
      <c r="B22" s="285" t="s">
        <v>252</v>
      </c>
      <c r="C22" s="283" t="s">
        <v>238</v>
      </c>
      <c r="D22" s="275">
        <f ca="1">SUMIF('工程量计算式（商业）'!A:A,B22,'工程量计算式（商业）'!E:E)</f>
        <v>5.994125</v>
      </c>
      <c r="E22" s="72" t="s">
        <v>43</v>
      </c>
      <c r="F22" s="276">
        <f>VLOOKUP(B22,'综合单价分析表（商业）'!A:I,9,)</f>
        <v>2649.66036956466</v>
      </c>
      <c r="G22" s="276">
        <f ca="1" t="shared" si="0"/>
        <v>15882.3954627168</v>
      </c>
      <c r="H22" s="280"/>
    </row>
    <row r="23" ht="30" customHeight="1" outlineLevel="1" spans="1:8">
      <c r="A23" s="199">
        <f>MAX($A$3:$A22)+1</f>
        <v>20</v>
      </c>
      <c r="B23" s="285" t="s">
        <v>253</v>
      </c>
      <c r="C23" s="283" t="s">
        <v>238</v>
      </c>
      <c r="D23" s="275">
        <f ca="1">SUMIF('工程量计算式（商业）'!A:A,B23,'工程量计算式（商业）'!E:E)</f>
        <v>8.865235</v>
      </c>
      <c r="E23" s="72" t="s">
        <v>43</v>
      </c>
      <c r="F23" s="276">
        <f>VLOOKUP(B23,'综合单价分析表（商业）'!A:I,9,)</f>
        <v>2264.82330136439</v>
      </c>
      <c r="G23" s="276">
        <f ca="1" t="shared" si="0"/>
        <v>20078.1908000711</v>
      </c>
      <c r="H23" s="280"/>
    </row>
    <row r="24" ht="30" customHeight="1" outlineLevel="1" spans="1:8">
      <c r="A24" s="199">
        <f>MAX($A$3:$A23)+1</f>
        <v>21</v>
      </c>
      <c r="B24" s="152" t="s">
        <v>254</v>
      </c>
      <c r="C24" s="283" t="s">
        <v>255</v>
      </c>
      <c r="D24" s="275">
        <f ca="1">SUMIF('工程量计算式（商业）'!A:A,B24,'工程量计算式（商业）'!E:E)</f>
        <v>102.2</v>
      </c>
      <c r="E24" s="72" t="s">
        <v>43</v>
      </c>
      <c r="F24" s="276">
        <f>VLOOKUP(B24,'综合单价分析表（商业）'!A:I,9,)</f>
        <v>847.481045646656</v>
      </c>
      <c r="G24" s="276">
        <f ca="1" t="shared" ref="G24:G43" si="1">+F24*D24</f>
        <v>86612.5628650882</v>
      </c>
      <c r="H24" s="280"/>
    </row>
    <row r="25" ht="30" customHeight="1" outlineLevel="1" spans="1:8">
      <c r="A25" s="199">
        <f>MAX($A$3:$A24)+1</f>
        <v>22</v>
      </c>
      <c r="B25" s="152" t="s">
        <v>256</v>
      </c>
      <c r="C25" s="283" t="s">
        <v>257</v>
      </c>
      <c r="D25" s="275">
        <f ca="1">SUMIF('工程量计算式（商业）'!A:A,B25,'工程量计算式（商业）'!E:E)</f>
        <v>41.265</v>
      </c>
      <c r="E25" s="72" t="s">
        <v>43</v>
      </c>
      <c r="F25" s="276">
        <f>VLOOKUP(B25,'综合单价分析表（商业）'!A:I,9,)</f>
        <v>1455.53281962553</v>
      </c>
      <c r="G25" s="276">
        <f ca="1" t="shared" si="1"/>
        <v>60062.5618018475</v>
      </c>
      <c r="H25" s="280"/>
    </row>
    <row r="26" ht="30" customHeight="1" outlineLevel="1" spans="1:8">
      <c r="A26" s="199">
        <f>MAX($A$3:$A25)+1</f>
        <v>23</v>
      </c>
      <c r="B26" s="152" t="s">
        <v>258</v>
      </c>
      <c r="C26" s="283" t="s">
        <v>259</v>
      </c>
      <c r="D26" s="275">
        <f ca="1">SUMIF('工程量计算式（商业）'!A:A,B26,'工程量计算式（商业）'!E:E)</f>
        <v>15.515</v>
      </c>
      <c r="E26" s="72" t="s">
        <v>43</v>
      </c>
      <c r="F26" s="276">
        <f>VLOOKUP(B26,'综合单价分析表（商业）'!A:I,9,)</f>
        <v>722.941818959372</v>
      </c>
      <c r="G26" s="276">
        <f ca="1" t="shared" si="1"/>
        <v>11216.4423211547</v>
      </c>
      <c r="H26" s="280"/>
    </row>
    <row r="27" ht="30" customHeight="1" outlineLevel="1" spans="1:8">
      <c r="A27" s="199">
        <f>MAX($A$3:$A26)+1</f>
        <v>24</v>
      </c>
      <c r="B27" s="152" t="s">
        <v>260</v>
      </c>
      <c r="C27" s="283" t="s">
        <v>261</v>
      </c>
      <c r="D27" s="275">
        <f ca="1">SUMIF('工程量计算式（商业）'!A:A,B27,'工程量计算式（商业）'!E:E)</f>
        <v>14.79</v>
      </c>
      <c r="E27" s="72" t="s">
        <v>43</v>
      </c>
      <c r="F27" s="276">
        <f>VLOOKUP(B27,'综合单价分析表（商业）'!A:I,9,)</f>
        <v>2088.97794286443</v>
      </c>
      <c r="G27" s="276">
        <f ca="1" t="shared" si="1"/>
        <v>30895.9837749649</v>
      </c>
      <c r="H27" s="280"/>
    </row>
    <row r="28" ht="30" customHeight="1" outlineLevel="1" spans="1:8">
      <c r="A28" s="199">
        <f>MAX($A$3:$A27)+1</f>
        <v>25</v>
      </c>
      <c r="B28" s="152" t="s">
        <v>262</v>
      </c>
      <c r="C28" s="283" t="s">
        <v>263</v>
      </c>
      <c r="D28" s="275">
        <f ca="1">SUMIF('工程量计算式（商业）'!A:A,B28,'工程量计算式（商业）'!E:E)</f>
        <v>6.81</v>
      </c>
      <c r="E28" s="72" t="s">
        <v>43</v>
      </c>
      <c r="F28" s="276">
        <f>VLOOKUP(B28,'综合单价分析表（商业）'!A:I,9,)</f>
        <v>1647.96340444315</v>
      </c>
      <c r="G28" s="276">
        <f ca="1" t="shared" si="1"/>
        <v>11222.6307842579</v>
      </c>
      <c r="H28" s="280"/>
    </row>
    <row r="29" ht="30" customHeight="1" outlineLevel="1" spans="1:8">
      <c r="A29" s="199">
        <f>MAX($A$3:$A28)+1</f>
        <v>26</v>
      </c>
      <c r="B29" s="152" t="s">
        <v>264</v>
      </c>
      <c r="C29" s="283" t="s">
        <v>263</v>
      </c>
      <c r="D29" s="275">
        <f ca="1">SUMIF('工程量计算式（商业）'!A:A,B29,'工程量计算式（商业）'!E:E)</f>
        <v>41.95</v>
      </c>
      <c r="E29" s="72" t="s">
        <v>43</v>
      </c>
      <c r="F29" s="276">
        <f>VLOOKUP(B29,'综合单价分析表（商业）'!A:I,9,)</f>
        <v>672.728426034853</v>
      </c>
      <c r="G29" s="276">
        <f ca="1" t="shared" si="1"/>
        <v>28220.9574721621</v>
      </c>
      <c r="H29" s="280"/>
    </row>
    <row r="30" ht="30" customHeight="1" outlineLevel="1" spans="1:8">
      <c r="A30" s="199">
        <f>MAX($A$3:$A29)+1</f>
        <v>27</v>
      </c>
      <c r="B30" s="152" t="s">
        <v>265</v>
      </c>
      <c r="C30" s="283" t="s">
        <v>263</v>
      </c>
      <c r="D30" s="275">
        <f ca="1">SUMIF('工程量计算式（商业）'!A:A,B30,'工程量计算式（商业）'!E:E)</f>
        <v>3.375</v>
      </c>
      <c r="E30" s="72" t="s">
        <v>43</v>
      </c>
      <c r="F30" s="276">
        <f>VLOOKUP(B30,'综合单价分析表（商业）'!A:I,9,)</f>
        <v>1215.67271118189</v>
      </c>
      <c r="G30" s="276">
        <f ca="1" t="shared" si="1"/>
        <v>4102.89540023888</v>
      </c>
      <c r="H30" s="280"/>
    </row>
    <row r="31" ht="30" customHeight="1" outlineLevel="1" spans="1:8">
      <c r="A31" s="199">
        <f>MAX($A$3:$A30)+1</f>
        <v>28</v>
      </c>
      <c r="B31" s="286" t="s">
        <v>266</v>
      </c>
      <c r="C31" s="286" t="s">
        <v>267</v>
      </c>
      <c r="D31" s="275">
        <f ca="1">SUMIF('工程量计算式（商业）'!A:A,B31,'工程量计算式（商业）'!E:E)</f>
        <v>34.6766</v>
      </c>
      <c r="E31" s="72" t="s">
        <v>43</v>
      </c>
      <c r="F31" s="276">
        <f>VLOOKUP(B31,'综合单价分析表（商业）'!A:I,9,)</f>
        <v>1382.81445957062</v>
      </c>
      <c r="G31" s="276">
        <f ca="1" t="shared" si="1"/>
        <v>47951.3038887466</v>
      </c>
      <c r="H31" s="280"/>
    </row>
    <row r="32" ht="30" customHeight="1" outlineLevel="1" spans="1:8">
      <c r="A32" s="199">
        <f>MAX($A$3:$A31)+1</f>
        <v>29</v>
      </c>
      <c r="B32" s="286" t="s">
        <v>268</v>
      </c>
      <c r="C32" s="286" t="s">
        <v>267</v>
      </c>
      <c r="D32" s="275">
        <f ca="1">SUMIF('工程量计算式（商业）'!A:A,B32,'工程量计算式（商业）'!E:E)</f>
        <v>8.89886</v>
      </c>
      <c r="E32" s="72" t="s">
        <v>43</v>
      </c>
      <c r="F32" s="276">
        <f>VLOOKUP(B32,'综合单价分析表（商业）'!A:I,9,)</f>
        <v>2286.99357486146</v>
      </c>
      <c r="G32" s="276">
        <f ca="1" t="shared" si="1"/>
        <v>20351.6356435916</v>
      </c>
      <c r="H32" s="280"/>
    </row>
    <row r="33" ht="30" customHeight="1" outlineLevel="1" spans="1:8">
      <c r="A33" s="199">
        <f>MAX($A$3:$A32)+1</f>
        <v>30</v>
      </c>
      <c r="B33" s="286" t="s">
        <v>269</v>
      </c>
      <c r="C33" s="286" t="s">
        <v>267</v>
      </c>
      <c r="D33" s="275">
        <f ca="1">SUMIF('工程量计算式（商业）'!A:A,B33,'工程量计算式（商业）'!E:E)</f>
        <v>105.82985</v>
      </c>
      <c r="E33" s="72" t="s">
        <v>43</v>
      </c>
      <c r="F33" s="276">
        <f>VLOOKUP(B33,'综合单价分析表（商业）'!A:I,9,)</f>
        <v>743.45404845442</v>
      </c>
      <c r="G33" s="276">
        <f ca="1" t="shared" si="1"/>
        <v>78679.630429824</v>
      </c>
      <c r="H33" s="280"/>
    </row>
    <row r="34" ht="37" customHeight="1" outlineLevel="1" spans="1:8">
      <c r="A34" s="199">
        <f>MAX($A$3:$A33)+1</f>
        <v>31</v>
      </c>
      <c r="B34" s="286" t="s">
        <v>270</v>
      </c>
      <c r="C34" s="286" t="s">
        <v>271</v>
      </c>
      <c r="D34" s="275">
        <f ca="1">SUMIF('工程量计算式（商业）'!A:A,B34,'工程量计算式（商业）'!E:E)</f>
        <v>33.657785</v>
      </c>
      <c r="E34" s="72" t="s">
        <v>43</v>
      </c>
      <c r="F34" s="276">
        <f>VLOOKUP(B34,'综合单价分析表（商业）'!A:I,9,)</f>
        <v>1480.19066700076</v>
      </c>
      <c r="G34" s="276">
        <f ca="1" t="shared" si="1"/>
        <v>49819.9392289182</v>
      </c>
      <c r="H34" s="280"/>
    </row>
    <row r="35" ht="30" customHeight="1" outlineLevel="1" spans="1:8">
      <c r="A35" s="199">
        <f>MAX($A$3:$A34)+1</f>
        <v>32</v>
      </c>
      <c r="B35" s="286" t="s">
        <v>272</v>
      </c>
      <c r="C35" s="286" t="s">
        <v>273</v>
      </c>
      <c r="D35" s="275">
        <f ca="1">SUMIF('工程量计算式（商业）'!A:A,B35,'工程量计算式（商业）'!E:E)</f>
        <v>30.36055</v>
      </c>
      <c r="E35" s="72" t="s">
        <v>43</v>
      </c>
      <c r="F35" s="276">
        <f>VLOOKUP(B35,'综合单价分析表（商业）'!A:I,9,)</f>
        <v>1493.26210109012</v>
      </c>
      <c r="G35" s="276">
        <f ca="1" t="shared" si="1"/>
        <v>45336.2586832516</v>
      </c>
      <c r="H35" s="280"/>
    </row>
    <row r="36" ht="47" customHeight="1" outlineLevel="1" spans="1:8">
      <c r="A36" s="199">
        <f>MAX($A$3:$A35)+1</f>
        <v>33</v>
      </c>
      <c r="B36" s="286" t="s">
        <v>274</v>
      </c>
      <c r="C36" s="286" t="s">
        <v>273</v>
      </c>
      <c r="D36" s="275">
        <f ca="1">SUMIF('工程量计算式（商业）'!A:A,B36,'工程量计算式（商业）'!E:E)</f>
        <v>4.54832</v>
      </c>
      <c r="E36" s="72" t="s">
        <v>43</v>
      </c>
      <c r="F36" s="276">
        <f>VLOOKUP(B36,'综合单价分析表（商业）'!A:I,9,)</f>
        <v>2324.550913076</v>
      </c>
      <c r="G36" s="276">
        <f ca="1" t="shared" si="1"/>
        <v>10572.8014089618</v>
      </c>
      <c r="H36" s="280"/>
    </row>
    <row r="37" ht="30" customHeight="1" outlineLevel="1" spans="1:8">
      <c r="A37" s="199">
        <f>MAX($A$3:$A36)+1</f>
        <v>34</v>
      </c>
      <c r="B37" s="286" t="s">
        <v>275</v>
      </c>
      <c r="C37" s="286" t="s">
        <v>273</v>
      </c>
      <c r="D37" s="275">
        <f ca="1">SUMIF('工程量计算式（商业）'!A:A,B37,'工程量计算式（商业）'!E:E)</f>
        <v>42.95565</v>
      </c>
      <c r="E37" s="72" t="s">
        <v>43</v>
      </c>
      <c r="F37" s="276">
        <f>VLOOKUP(B37,'综合单价分析表（商业）'!A:I,9,)</f>
        <v>857.326355182553</v>
      </c>
      <c r="G37" s="276">
        <f ca="1" t="shared" si="1"/>
        <v>36827.0108489974</v>
      </c>
      <c r="H37" s="280"/>
    </row>
    <row r="38" ht="50" customHeight="1" outlineLevel="1" spans="1:8">
      <c r="A38" s="199">
        <f>MAX($A$3:$A37)+1</f>
        <v>35</v>
      </c>
      <c r="B38" s="286" t="s">
        <v>276</v>
      </c>
      <c r="C38" s="286" t="s">
        <v>273</v>
      </c>
      <c r="D38" s="275">
        <f ca="1">SUMIF('工程量计算式（商业）'!A:A,B38,'工程量计算式（商业）'!E:E)</f>
        <v>8.54644</v>
      </c>
      <c r="E38" s="72" t="s">
        <v>43</v>
      </c>
      <c r="F38" s="276">
        <f>VLOOKUP(B38,'综合单价分析表（商业）'!A:I,9,)</f>
        <v>1966.29200654888</v>
      </c>
      <c r="G38" s="276">
        <f ca="1" t="shared" si="1"/>
        <v>16804.7966564496</v>
      </c>
      <c r="H38" s="280"/>
    </row>
    <row r="39" ht="39" customHeight="1" outlineLevel="1" spans="1:8">
      <c r="A39" s="199">
        <f>MAX($A$3:$A38)+1</f>
        <v>36</v>
      </c>
      <c r="B39" s="286" t="s">
        <v>277</v>
      </c>
      <c r="C39" s="286" t="s">
        <v>273</v>
      </c>
      <c r="D39" s="275">
        <f ca="1">SUMIF('工程量计算式（商业）'!A:A,B39,'工程量计算式（商业）'!E:E)</f>
        <v>1.68888</v>
      </c>
      <c r="E39" s="72" t="s">
        <v>43</v>
      </c>
      <c r="F39" s="276">
        <f>VLOOKUP(B39,'综合单价分析表（商业）'!A:I,9,)</f>
        <v>2389.85632438515</v>
      </c>
      <c r="G39" s="276">
        <f ca="1" t="shared" si="1"/>
        <v>4036.18054912759</v>
      </c>
      <c r="H39" s="280"/>
    </row>
    <row r="40" ht="30" customHeight="1" outlineLevel="1" spans="1:8">
      <c r="A40" s="199">
        <f>MAX($A$3:$A39)+1</f>
        <v>37</v>
      </c>
      <c r="B40" s="286" t="s">
        <v>278</v>
      </c>
      <c r="C40" s="286" t="s">
        <v>279</v>
      </c>
      <c r="D40" s="275">
        <f ca="1">SUMIF('工程量计算式（商业）'!A:A,B40,'工程量计算式（商业）'!E:E)</f>
        <v>19.6137</v>
      </c>
      <c r="E40" s="72" t="s">
        <v>43</v>
      </c>
      <c r="F40" s="276">
        <f>VLOOKUP(B40,'综合单价分析表（商业）'!A:I,9,)</f>
        <v>734.90253654614</v>
      </c>
      <c r="G40" s="276">
        <f ca="1" t="shared" si="1"/>
        <v>14414.157881055</v>
      </c>
      <c r="H40" s="280"/>
    </row>
    <row r="41" ht="47" customHeight="1" outlineLevel="1" spans="1:8">
      <c r="A41" s="199">
        <f>MAX($A$3:$A40)+1</f>
        <v>38</v>
      </c>
      <c r="B41" s="286" t="s">
        <v>280</v>
      </c>
      <c r="C41" s="286" t="s">
        <v>279</v>
      </c>
      <c r="D41" s="275">
        <f ca="1">SUMIF('工程量计算式（商业）'!A:A,B41,'工程量计算式（商业）'!E:E)</f>
        <v>9.57486</v>
      </c>
      <c r="E41" s="72" t="s">
        <v>43</v>
      </c>
      <c r="F41" s="276">
        <f>VLOOKUP(B41,'综合单价分析表（商业）'!A:I,9,)</f>
        <v>1929.328855827</v>
      </c>
      <c r="G41" s="276">
        <f ca="1" t="shared" si="1"/>
        <v>18473.0536885037</v>
      </c>
      <c r="H41" s="280"/>
    </row>
    <row r="42" ht="30" customHeight="1" outlineLevel="1" spans="1:8">
      <c r="A42" s="199">
        <f>MAX($A$3:$A41)+1</f>
        <v>39</v>
      </c>
      <c r="B42" s="286" t="s">
        <v>281</v>
      </c>
      <c r="C42" s="286" t="s">
        <v>282</v>
      </c>
      <c r="D42" s="275">
        <f ca="1">SUMIF('工程量计算式（商业）'!A:A,B42,'工程量计算式（商业）'!E:E)</f>
        <v>37.2334</v>
      </c>
      <c r="E42" s="72" t="s">
        <v>43</v>
      </c>
      <c r="F42" s="276">
        <f>VLOOKUP(B42,'综合单价分析表（商业）'!A:I,9,)</f>
        <v>833.300036657366</v>
      </c>
      <c r="G42" s="276">
        <f ca="1" t="shared" si="1"/>
        <v>31026.5935848784</v>
      </c>
      <c r="H42" s="280"/>
    </row>
    <row r="43" ht="30" customHeight="1" outlineLevel="1" spans="1:8">
      <c r="A43" s="199">
        <f>MAX($A$3:$A42)+1</f>
        <v>40</v>
      </c>
      <c r="B43" s="286" t="s">
        <v>283</v>
      </c>
      <c r="C43" s="286" t="s">
        <v>282</v>
      </c>
      <c r="D43" s="275">
        <f ca="1">SUMIF('工程量计算式（商业）'!A:A,B43,'工程量计算式（商业）'!E:E)</f>
        <v>8.54644</v>
      </c>
      <c r="E43" s="72" t="s">
        <v>43</v>
      </c>
      <c r="F43" s="276">
        <f>VLOOKUP(B43,'综合单价分析表（商业）'!A:I,9,)</f>
        <v>1937.06457292057</v>
      </c>
      <c r="G43" s="276">
        <f ca="1" t="shared" si="1"/>
        <v>16555.0061485913</v>
      </c>
      <c r="H43" s="280"/>
    </row>
    <row r="44" ht="40" customHeight="1" spans="1:8">
      <c r="A44" s="273" t="s">
        <v>67</v>
      </c>
      <c r="B44" s="278" t="s">
        <v>284</v>
      </c>
      <c r="C44" s="287"/>
      <c r="D44" s="279">
        <f ca="1">SUM(D45)</f>
        <v>138.492</v>
      </c>
      <c r="E44" s="72"/>
      <c r="F44" s="276"/>
      <c r="G44" s="279">
        <f ca="1">SUM(G45)</f>
        <v>145653.295343028</v>
      </c>
      <c r="H44" s="280"/>
    </row>
    <row r="45" ht="40" customHeight="1" spans="1:8">
      <c r="A45" s="199">
        <v>1</v>
      </c>
      <c r="B45" s="152" t="s">
        <v>285</v>
      </c>
      <c r="C45" s="287"/>
      <c r="D45" s="288">
        <f ca="1">SUMIF('工程量计算式（商业）'!A:A,B45,'工程量计算式（商业）'!E:E)</f>
        <v>138.492</v>
      </c>
      <c r="E45" s="72" t="s">
        <v>43</v>
      </c>
      <c r="F45" s="276">
        <f>VLOOKUP(B45,'综合单价分析表（商业）'!A:I,9,)</f>
        <v>1051.70909036643</v>
      </c>
      <c r="G45" s="276">
        <f ca="1">D45*F45</f>
        <v>145653.295343028</v>
      </c>
      <c r="H45" s="280" t="s">
        <v>286</v>
      </c>
    </row>
    <row r="46" ht="30" customHeight="1" spans="1:8">
      <c r="A46" s="273" t="s">
        <v>98</v>
      </c>
      <c r="B46" s="278" t="s">
        <v>287</v>
      </c>
      <c r="C46" s="280"/>
      <c r="D46" s="279">
        <f ca="1">SUM(D47:D57)</f>
        <v>862.114372</v>
      </c>
      <c r="E46" s="72"/>
      <c r="F46" s="276"/>
      <c r="G46" s="279">
        <f ca="1">SUM(G47:G57)</f>
        <v>1414940.22107146</v>
      </c>
      <c r="H46" s="280"/>
    </row>
    <row r="47" ht="59" customHeight="1" outlineLevel="1" spans="1:8">
      <c r="A47" s="199">
        <v>1</v>
      </c>
      <c r="B47" s="289" t="s">
        <v>288</v>
      </c>
      <c r="C47" s="280"/>
      <c r="D47" s="275">
        <f ca="1">SUMIF('工程量计算式（商业）'!A:A,B47,'工程量计算式（商业）'!E:E)</f>
        <v>6.3</v>
      </c>
      <c r="E47" s="72" t="s">
        <v>43</v>
      </c>
      <c r="F47" s="276">
        <f>VLOOKUP(B47,'综合单价分析表（商业）'!A:I,9,)</f>
        <v>1078.86131375778</v>
      </c>
      <c r="G47" s="276">
        <f ca="1">D47*F47</f>
        <v>6796.82627667401</v>
      </c>
      <c r="H47" s="280"/>
    </row>
    <row r="48" ht="39" customHeight="1" outlineLevel="1" spans="1:8">
      <c r="A48" s="199">
        <v>2</v>
      </c>
      <c r="B48" s="289" t="s">
        <v>289</v>
      </c>
      <c r="C48" s="280"/>
      <c r="D48" s="275">
        <f ca="1">SUMIF('工程量计算式（商业）'!A:A,B48,'工程量计算式（商业）'!E:E)</f>
        <v>442.04052</v>
      </c>
      <c r="E48" s="72" t="s">
        <v>43</v>
      </c>
      <c r="F48" s="276">
        <f>VLOOKUP(B48,'综合单价分析表（商业）'!A:I,9,)</f>
        <v>1281.98627867027</v>
      </c>
      <c r="G48" s="276">
        <f ca="1" t="shared" ref="G48:G57" si="2">D48*F48</f>
        <v>566689.881256271</v>
      </c>
      <c r="H48" s="280"/>
    </row>
    <row r="49" ht="62" customHeight="1" outlineLevel="1" spans="1:10">
      <c r="A49" s="199">
        <v>3</v>
      </c>
      <c r="B49" s="289" t="s">
        <v>290</v>
      </c>
      <c r="C49" s="280"/>
      <c r="D49" s="275">
        <f ca="1">D48*0.1</f>
        <v>44.204052</v>
      </c>
      <c r="E49" s="72" t="s">
        <v>43</v>
      </c>
      <c r="F49" s="276">
        <f>VLOOKUP(B49,'综合单价分析表（商业）'!A:I,9,)</f>
        <v>4218.63733205308</v>
      </c>
      <c r="G49" s="276">
        <f ca="1" t="shared" si="2"/>
        <v>186480.863995216</v>
      </c>
      <c r="H49" s="280"/>
    </row>
    <row r="50" ht="65" customHeight="1" outlineLevel="1" spans="1:10">
      <c r="A50" s="199">
        <v>4</v>
      </c>
      <c r="B50" s="289" t="s">
        <v>291</v>
      </c>
      <c r="C50" s="290" t="s">
        <v>292</v>
      </c>
      <c r="D50" s="275">
        <f ca="1">SUMIF('工程量计算式（商业）'!A:A,B50,'工程量计算式（商业）'!E:E)</f>
        <v>13.6</v>
      </c>
      <c r="E50" s="72" t="s">
        <v>43</v>
      </c>
      <c r="F50" s="276">
        <f>VLOOKUP(B50,'综合单价分析表（商业）'!A:I,9,)</f>
        <v>1097.19909672732</v>
      </c>
      <c r="G50" s="276">
        <f ca="1" t="shared" si="2"/>
        <v>14921.9077154916</v>
      </c>
      <c r="H50" s="291" t="str">
        <f>_xlfn.DISPIMG("ID_401A07236E3C452F939057EB265C2CEF",1)</f>
        <v>=DISPIMG("ID_401A07236E3C452F939057EB265C2CEF",1)</v>
      </c>
    </row>
    <row r="51" ht="65" customHeight="1" outlineLevel="1" spans="1:10">
      <c r="A51" s="199">
        <v>5</v>
      </c>
      <c r="B51" s="289" t="s">
        <v>293</v>
      </c>
      <c r="C51" s="283" t="s">
        <v>294</v>
      </c>
      <c r="D51" s="275">
        <f ca="1">SUMIF('工程量计算式（商业）'!A:A,B51,'工程量计算式（商业）'!E:E)</f>
        <v>7.833</v>
      </c>
      <c r="E51" s="72" t="s">
        <v>43</v>
      </c>
      <c r="F51" s="276">
        <f>VLOOKUP(B51,'综合单价分析表（商业）'!A:I,9,)</f>
        <v>1216.39370907222</v>
      </c>
      <c r="G51" s="276">
        <f ca="1" t="shared" si="2"/>
        <v>9528.0119231627</v>
      </c>
      <c r="H51" s="292"/>
    </row>
    <row r="52" ht="66" customHeight="1" outlineLevel="1" spans="1:10">
      <c r="A52" s="199">
        <v>6</v>
      </c>
      <c r="B52" s="181" t="s">
        <v>295</v>
      </c>
      <c r="C52" s="283" t="s">
        <v>296</v>
      </c>
      <c r="D52" s="275">
        <f ca="1">SUMIF('工程量计算式（商业）'!A:A,B52,'工程量计算式（商业）'!E:E)</f>
        <v>23.3432</v>
      </c>
      <c r="E52" s="72" t="s">
        <v>43</v>
      </c>
      <c r="F52" s="276">
        <f>VLOOKUP(B52,'综合单价分析表（商业）'!A:I,9,)</f>
        <v>1600.89762459089</v>
      </c>
      <c r="G52" s="276">
        <f ca="1" t="shared" si="2"/>
        <v>37370.0734303501</v>
      </c>
      <c r="H52" s="280"/>
    </row>
    <row r="53" ht="66" customHeight="1" outlineLevel="1" spans="1:10">
      <c r="A53" s="199">
        <v>7</v>
      </c>
      <c r="B53" s="181" t="s">
        <v>297</v>
      </c>
      <c r="C53" s="283" t="s">
        <v>296</v>
      </c>
      <c r="D53" s="275">
        <f ca="1">SUMIF('工程量计算式（商业）'!A:A,B53,'工程量计算式（商业）'!E:E)</f>
        <v>176.0352</v>
      </c>
      <c r="E53" s="72" t="s">
        <v>43</v>
      </c>
      <c r="F53" s="276">
        <f>VLOOKUP(B53,'综合单价分析表（商业）'!A:I,9,)</f>
        <v>1846.87107591832</v>
      </c>
      <c r="G53" s="276">
        <f ca="1" t="shared" si="2"/>
        <v>325114.319223497</v>
      </c>
      <c r="H53" s="280"/>
    </row>
    <row r="54" ht="85" customHeight="1" outlineLevel="1" spans="1:10">
      <c r="A54" s="199">
        <v>8</v>
      </c>
      <c r="B54" s="233" t="s">
        <v>298</v>
      </c>
      <c r="C54" s="282" t="s">
        <v>299</v>
      </c>
      <c r="D54" s="275">
        <f ca="1">SUMIF('工程量计算式（商业）'!A:A,B54,'工程量计算式（商业）'!E:E)</f>
        <v>30.828</v>
      </c>
      <c r="E54" s="72" t="s">
        <v>43</v>
      </c>
      <c r="F54" s="276">
        <f>VLOOKUP(B54,'综合单价分析表（商业）'!A:I,9,)</f>
        <v>4132.5463630659</v>
      </c>
      <c r="G54" s="276">
        <f ca="1" t="shared" si="2"/>
        <v>127398.139280596</v>
      </c>
      <c r="H54" s="280"/>
    </row>
    <row r="55" ht="77" customHeight="1" outlineLevel="1" spans="1:10">
      <c r="A55" s="199">
        <v>9</v>
      </c>
      <c r="B55" s="233" t="s">
        <v>300</v>
      </c>
      <c r="C55" s="282" t="s">
        <v>299</v>
      </c>
      <c r="D55" s="275">
        <f ca="1">SUMIF('工程量计算式（商业）'!A:A,B55,'工程量计算式（商业）'!E:E)</f>
        <v>20.8104</v>
      </c>
      <c r="E55" s="72" t="s">
        <v>43</v>
      </c>
      <c r="F55" s="276">
        <f>VLOOKUP(B55,'综合单价分析表（商业）'!A:I,9,)</f>
        <v>3481.07723078256</v>
      </c>
      <c r="G55" s="276">
        <f ca="1" t="shared" si="2"/>
        <v>72442.6096034774</v>
      </c>
      <c r="H55" s="280"/>
    </row>
    <row r="56" ht="76" customHeight="1" outlineLevel="1" spans="1:10">
      <c r="A56" s="199">
        <v>10</v>
      </c>
      <c r="B56" s="233" t="s">
        <v>301</v>
      </c>
      <c r="C56" s="282" t="s">
        <v>302</v>
      </c>
      <c r="D56" s="275">
        <f ca="1">SUMIF('工程量计算式（商业）'!A:A,B56,'工程量计算式（商业）'!E:E)</f>
        <v>48.56</v>
      </c>
      <c r="E56" s="72" t="s">
        <v>109</v>
      </c>
      <c r="F56" s="276">
        <f>VLOOKUP(B56,'综合单价分析表（商业）'!A:I,9,)</f>
        <v>333.239044247787</v>
      </c>
      <c r="G56" s="276">
        <f ca="1" t="shared" si="2"/>
        <v>16182.0879886725</v>
      </c>
      <c r="H56" s="280"/>
    </row>
    <row r="57" ht="76" customHeight="1" outlineLevel="1" spans="1:10">
      <c r="A57" s="199">
        <v>11</v>
      </c>
      <c r="B57" s="233" t="s">
        <v>303</v>
      </c>
      <c r="C57" s="282" t="s">
        <v>304</v>
      </c>
      <c r="D57" s="275">
        <f ca="1">SUMIF('工程量计算式（商业）'!A:A,B57,'工程量计算式（商业）'!E:E)</f>
        <v>48.56</v>
      </c>
      <c r="E57" s="72" t="s">
        <v>109</v>
      </c>
      <c r="F57" s="276">
        <f>VLOOKUP(B57,'综合单价分析表（商业）'!A:I,9,)</f>
        <v>1071.15939823009</v>
      </c>
      <c r="G57" s="276">
        <f ca="1" t="shared" si="2"/>
        <v>52015.5003780532</v>
      </c>
      <c r="H57" s="280"/>
    </row>
    <row r="58" ht="30" customHeight="1" spans="1:10">
      <c r="A58" s="293" t="s">
        <v>118</v>
      </c>
      <c r="B58" s="278" t="s">
        <v>305</v>
      </c>
      <c r="C58" s="280"/>
      <c r="D58" s="279">
        <f ca="1">SUM(D59:D80)</f>
        <v>4634.4940278</v>
      </c>
      <c r="E58" s="72"/>
      <c r="F58" s="276"/>
      <c r="G58" s="279">
        <f ca="1">SUM(G59:G80)</f>
        <v>2867597.07635268</v>
      </c>
      <c r="H58" s="280"/>
      <c r="J58" t="s">
        <v>117</v>
      </c>
    </row>
    <row r="59" ht="77" customHeight="1" outlineLevel="1" spans="1:10">
      <c r="A59" s="199">
        <v>1</v>
      </c>
      <c r="B59" s="274" t="s">
        <v>306</v>
      </c>
      <c r="C59" s="280" t="s">
        <v>307</v>
      </c>
      <c r="D59" s="275">
        <f ca="1">SUMIF('工程量计算式（商业）'!A:A,B59,'工程量计算式（商业）'!E:E)</f>
        <v>48.707275</v>
      </c>
      <c r="E59" s="72" t="s">
        <v>43</v>
      </c>
      <c r="F59" s="276">
        <f>VLOOKUP(B59,'综合单价分析表（商业）'!A:I,9,)</f>
        <v>582.172041761307</v>
      </c>
      <c r="G59" s="276">
        <f ca="1" t="shared" ref="G59:G73" si="3">D59*F59</f>
        <v>28356.0137353795</v>
      </c>
      <c r="H59" s="280"/>
    </row>
    <row r="60" ht="61" customHeight="1" outlineLevel="1" spans="1:10">
      <c r="A60" s="199">
        <v>2</v>
      </c>
      <c r="B60" s="274" t="s">
        <v>308</v>
      </c>
      <c r="C60" s="280"/>
      <c r="D60" s="275">
        <f ca="1">SUMIF('工程量计算式（商业）'!A:A,B60,'工程量计算式（商业）'!E:E)</f>
        <v>8.33553</v>
      </c>
      <c r="E60" s="72" t="s">
        <v>43</v>
      </c>
      <c r="F60" s="276">
        <f>VLOOKUP(B60,'综合单价分析表（商业）'!A:I,9,)</f>
        <v>680.473258051109</v>
      </c>
      <c r="G60" s="276">
        <f ca="1" t="shared" si="3"/>
        <v>5672.10525668276</v>
      </c>
      <c r="H60" s="280"/>
    </row>
    <row r="61" ht="63" customHeight="1" outlineLevel="1" spans="1:10">
      <c r="A61" s="199">
        <v>3</v>
      </c>
      <c r="B61" s="274" t="s">
        <v>309</v>
      </c>
      <c r="C61" s="294" t="s">
        <v>310</v>
      </c>
      <c r="D61" s="275">
        <f ca="1">SUMIF('工程量计算式（商业）'!A:A,B61,'工程量计算式（商业）'!E:E)</f>
        <v>68.90185</v>
      </c>
      <c r="E61" s="72" t="s">
        <v>43</v>
      </c>
      <c r="F61" s="276">
        <f>VLOOKUP(B61,'综合单价分析表（商业）'!A:I,9,)</f>
        <v>608.915206382609</v>
      </c>
      <c r="G61" s="276">
        <f ca="1" t="shared" si="3"/>
        <v>41955.3842128936</v>
      </c>
      <c r="H61" s="280"/>
    </row>
    <row r="62" ht="36" customHeight="1" outlineLevel="1" spans="1:10">
      <c r="A62" s="199">
        <v>4</v>
      </c>
      <c r="B62" s="274" t="s">
        <v>311</v>
      </c>
      <c r="C62" s="280"/>
      <c r="D62" s="275">
        <f ca="1">SUMIF('工程量计算式（商业）'!A:A,B62,'工程量计算式（商业）'!E:E)</f>
        <v>7.56828</v>
      </c>
      <c r="E62" s="72" t="s">
        <v>43</v>
      </c>
      <c r="F62" s="276">
        <f>VLOOKUP(B62,'综合单价分析表（商业）'!A:I,9,)</f>
        <v>768.533974681526</v>
      </c>
      <c r="G62" s="276">
        <f ca="1" t="shared" si="3"/>
        <v>5816.4803099027</v>
      </c>
      <c r="H62" s="280"/>
    </row>
    <row r="63" ht="63" customHeight="1" outlineLevel="1" spans="1:10">
      <c r="A63" s="199">
        <v>5</v>
      </c>
      <c r="B63" s="274" t="s">
        <v>312</v>
      </c>
      <c r="C63" s="280" t="s">
        <v>313</v>
      </c>
      <c r="D63" s="275">
        <f ca="1">SUMIF('工程量计算式（商业）'!A:A,B63,'工程量计算式（商业）'!E:E)</f>
        <v>39.45325</v>
      </c>
      <c r="E63" s="72" t="s">
        <v>43</v>
      </c>
      <c r="F63" s="276">
        <f>VLOOKUP(B63,'综合单价分析表（商业）'!A:I,9,)</f>
        <v>976.313204254025</v>
      </c>
      <c r="G63" s="276">
        <f ca="1" t="shared" si="3"/>
        <v>38518.7289257351</v>
      </c>
      <c r="H63" s="280"/>
    </row>
    <row r="64" ht="44" customHeight="1" outlineLevel="1" spans="1:10">
      <c r="A64" s="199">
        <v>6</v>
      </c>
      <c r="B64" s="274" t="s">
        <v>314</v>
      </c>
      <c r="C64" s="280"/>
      <c r="D64" s="275">
        <f ca="1">SUMIF('工程量计算式（商业）'!A:A,B64,'工程量计算式（商业）'!E:E)</f>
        <v>6.183</v>
      </c>
      <c r="E64" s="72" t="s">
        <v>43</v>
      </c>
      <c r="F64" s="276">
        <f>VLOOKUP(B64,'综合单价分析表（商业）'!A:I,9,)</f>
        <v>1216.42809348588</v>
      </c>
      <c r="G64" s="276">
        <f ca="1" t="shared" si="3"/>
        <v>7521.1749020232</v>
      </c>
      <c r="H64" s="280"/>
    </row>
    <row r="65" ht="39" customHeight="1" outlineLevel="1" spans="1:8">
      <c r="A65" s="199">
        <v>7</v>
      </c>
      <c r="B65" s="274" t="s">
        <v>315</v>
      </c>
      <c r="C65" s="280"/>
      <c r="D65" s="275">
        <f ca="1">SUMIF('工程量计算式（商业）'!A:A,B65,'工程量计算式（商业）'!E:E)</f>
        <v>1.05</v>
      </c>
      <c r="E65" s="72" t="s">
        <v>43</v>
      </c>
      <c r="F65" s="276">
        <f>VLOOKUP(B65,'综合单价分析表（商业）'!A:I,9,)</f>
        <v>650.754042265595</v>
      </c>
      <c r="G65" s="276">
        <f ca="1" t="shared" si="3"/>
        <v>683.291744378875</v>
      </c>
      <c r="H65" s="280"/>
    </row>
    <row r="66" ht="36" customHeight="1" outlineLevel="1" spans="1:8">
      <c r="A66" s="199">
        <v>8</v>
      </c>
      <c r="B66" s="274" t="s">
        <v>316</v>
      </c>
      <c r="C66" s="280" t="s">
        <v>317</v>
      </c>
      <c r="D66" s="275">
        <f ca="1">SUMIF('工程量计算式（商业）'!A:A,B66,'工程量计算式（商业）'!E:E)</f>
        <v>171.446352</v>
      </c>
      <c r="E66" s="72" t="s">
        <v>43</v>
      </c>
      <c r="F66" s="276">
        <f>VLOOKUP(B66,'综合单价分析表（商业）'!A:I,9,)</f>
        <v>705.15207779678</v>
      </c>
      <c r="G66" s="276">
        <f ca="1" t="shared" si="3"/>
        <v>120895.751343478</v>
      </c>
      <c r="H66" s="280"/>
    </row>
    <row r="67" ht="37" customHeight="1" outlineLevel="1" spans="1:8">
      <c r="A67" s="199">
        <v>9</v>
      </c>
      <c r="B67" s="274" t="s">
        <v>318</v>
      </c>
      <c r="C67" s="280" t="s">
        <v>319</v>
      </c>
      <c r="D67" s="275">
        <f ca="1">D66*0.15</f>
        <v>25.7169528</v>
      </c>
      <c r="E67" s="72" t="s">
        <v>43</v>
      </c>
      <c r="F67" s="276">
        <f>VLOOKUP(B67,'综合单价分析表（商业）'!A:I,9,)</f>
        <v>784.29189830057</v>
      </c>
      <c r="G67" s="276">
        <f ca="1" t="shared" si="3"/>
        <v>20169.5977300182</v>
      </c>
      <c r="H67" s="280"/>
    </row>
    <row r="68" ht="63" customHeight="1" outlineLevel="1" spans="1:8">
      <c r="A68" s="199">
        <v>10</v>
      </c>
      <c r="B68" s="274" t="s">
        <v>320</v>
      </c>
      <c r="C68" s="280" t="s">
        <v>321</v>
      </c>
      <c r="D68" s="275">
        <f ca="1">SUMIF('工程量计算式（商业）'!A:A,B68,'工程量计算式（商业）'!E:E)</f>
        <v>118.668</v>
      </c>
      <c r="E68" s="72" t="s">
        <v>43</v>
      </c>
      <c r="F68" s="276">
        <f>VLOOKUP(B68,'综合单价分析表（商业）'!A:I,9,)</f>
        <v>571.200139331981</v>
      </c>
      <c r="G68" s="276">
        <f ca="1" t="shared" si="3"/>
        <v>67783.1781342475</v>
      </c>
      <c r="H68" s="280"/>
    </row>
    <row r="69" ht="63" customHeight="1" outlineLevel="1" spans="1:8">
      <c r="A69" s="199">
        <v>11</v>
      </c>
      <c r="B69" s="274" t="s">
        <v>322</v>
      </c>
      <c r="C69" s="280" t="s">
        <v>323</v>
      </c>
      <c r="D69" s="275">
        <f ca="1">SUMIF('工程量计算式（商业）'!A:A,B69,'工程量计算式（商业）'!E:E)</f>
        <v>110.79687</v>
      </c>
      <c r="E69" s="72" t="s">
        <v>43</v>
      </c>
      <c r="F69" s="276">
        <f>VLOOKUP(B69,'综合单价分析表（商业）'!A:I,9,)</f>
        <v>601.70307865797</v>
      </c>
      <c r="G69" s="276">
        <f ca="1" t="shared" si="3"/>
        <v>66666.8177846669</v>
      </c>
      <c r="H69" s="280"/>
    </row>
    <row r="70" ht="63" customHeight="1" outlineLevel="1" spans="1:8">
      <c r="A70" s="199">
        <v>12</v>
      </c>
      <c r="B70" s="274" t="s">
        <v>324</v>
      </c>
      <c r="C70" s="280" t="s">
        <v>325</v>
      </c>
      <c r="D70" s="275">
        <f ca="1">D71*0.2</f>
        <v>6.233175</v>
      </c>
      <c r="E70" s="72" t="s">
        <v>43</v>
      </c>
      <c r="F70" s="276">
        <f>VLOOKUP(B70,'综合单价分析表（商业）'!A:I,9,)</f>
        <v>784.085313321256</v>
      </c>
      <c r="G70" s="276">
        <f ca="1" t="shared" si="3"/>
        <v>4887.34097286122</v>
      </c>
      <c r="H70" s="280"/>
    </row>
    <row r="71" ht="63" customHeight="1" outlineLevel="1" spans="1:8">
      <c r="A71" s="199">
        <v>13</v>
      </c>
      <c r="B71" s="274" t="s">
        <v>326</v>
      </c>
      <c r="C71" s="280" t="s">
        <v>325</v>
      </c>
      <c r="D71" s="275">
        <f ca="1">SUMIF('工程量计算式（商业）'!A:A,B71,'工程量计算式（商业）'!E:E)</f>
        <v>31.165875</v>
      </c>
      <c r="E71" s="72" t="s">
        <v>43</v>
      </c>
      <c r="F71" s="276">
        <f>VLOOKUP(B71,'综合单价分析表（商业）'!A:I,9,)</f>
        <v>665.646114146839</v>
      </c>
      <c r="G71" s="276">
        <f ca="1" t="shared" si="3"/>
        <v>20745.4435877361</v>
      </c>
      <c r="H71" s="280"/>
    </row>
    <row r="72" ht="63" customHeight="1" outlineLevel="1" spans="1:8">
      <c r="A72" s="199">
        <v>14</v>
      </c>
      <c r="B72" s="274" t="s">
        <v>327</v>
      </c>
      <c r="C72" s="280" t="s">
        <v>328</v>
      </c>
      <c r="D72" s="275">
        <f ca="1">SUMIF('工程量计算式（商业）'!A:A,B72,'工程量计算式（商业）'!E:E)</f>
        <v>166.38622</v>
      </c>
      <c r="E72" s="72" t="s">
        <v>43</v>
      </c>
      <c r="F72" s="276">
        <f>VLOOKUP(B72,'综合单价分析表（商业）'!A:I,9,)</f>
        <v>655.237639884305</v>
      </c>
      <c r="G72" s="276">
        <f ca="1" t="shared" si="3"/>
        <v>109022.514102071</v>
      </c>
      <c r="H72" s="280"/>
    </row>
    <row r="73" ht="63" customHeight="1" outlineLevel="1" spans="1:8">
      <c r="A73" s="199">
        <v>15</v>
      </c>
      <c r="B73" s="274" t="s">
        <v>329</v>
      </c>
      <c r="C73" s="280" t="s">
        <v>328</v>
      </c>
      <c r="D73" s="275">
        <f ca="1">D72*0.1</f>
        <v>16.638622</v>
      </c>
      <c r="E73" s="72" t="s">
        <v>43</v>
      </c>
      <c r="F73" s="276">
        <f>VLOOKUP(B73,'综合单价分析表（商业）'!A:I,9,)</f>
        <v>801.656382127838</v>
      </c>
      <c r="G73" s="276">
        <f ca="1" t="shared" si="3"/>
        <v>13338.4575161127</v>
      </c>
      <c r="H73" s="280"/>
    </row>
    <row r="74" ht="58" customHeight="1" outlineLevel="1" spans="1:8">
      <c r="A74" s="199">
        <v>16</v>
      </c>
      <c r="B74" s="274" t="s">
        <v>330</v>
      </c>
      <c r="C74" s="280" t="s">
        <v>331</v>
      </c>
      <c r="D74" s="275">
        <f ca="1">SUMIF('工程量计算式（商业）'!A:A,B74,'工程量计算式（商业）'!E:E)</f>
        <v>682.1514</v>
      </c>
      <c r="E74" s="72" t="s">
        <v>43</v>
      </c>
      <c r="F74" s="276">
        <f>VLOOKUP(B74,'综合单价分析表（商业）'!A:I,9,)</f>
        <v>631.374323866164</v>
      </c>
      <c r="G74" s="276">
        <f ca="1" t="shared" ref="G74:G80" si="4">D74*F74</f>
        <v>430692.878949357</v>
      </c>
      <c r="H74" s="280"/>
    </row>
    <row r="75" ht="66" customHeight="1" outlineLevel="1" spans="1:8">
      <c r="A75" s="199">
        <v>17</v>
      </c>
      <c r="B75" s="295" t="s">
        <v>332</v>
      </c>
      <c r="C75" s="280" t="s">
        <v>333</v>
      </c>
      <c r="D75" s="275">
        <f ca="1">SUMIF('工程量计算式（商业）'!A:A,B75,'工程量计算式（商业）'!E:E)</f>
        <v>447.2187</v>
      </c>
      <c r="E75" s="72" t="s">
        <v>43</v>
      </c>
      <c r="F75" s="276">
        <f>VLOOKUP(B75,'综合单价分析表（商业）'!A:I,9,)</f>
        <v>658.736410591828</v>
      </c>
      <c r="G75" s="276">
        <f ca="1" t="shared" si="4"/>
        <v>294599.241187544</v>
      </c>
      <c r="H75" s="280"/>
    </row>
    <row r="76" ht="66" customHeight="1" outlineLevel="1" spans="1:8">
      <c r="A76" s="199">
        <v>18</v>
      </c>
      <c r="B76" s="274" t="s">
        <v>334</v>
      </c>
      <c r="C76" s="280"/>
      <c r="D76" s="275">
        <f ca="1">SUMIF('工程量计算式（商业）'!A:A,B76,'工程量计算式（商业）'!E:E)</f>
        <v>987.434064</v>
      </c>
      <c r="E76" s="72" t="s">
        <v>43</v>
      </c>
      <c r="F76" s="276">
        <f>VLOOKUP(B76,'综合单价分析表（商业）'!A:I,9,)</f>
        <v>657.164539475503</v>
      </c>
      <c r="G76" s="276">
        <f ca="1" t="shared" si="4"/>
        <v>648906.651930984</v>
      </c>
      <c r="H76" s="280"/>
    </row>
    <row r="77" ht="66" customHeight="1" outlineLevel="1" spans="1:8">
      <c r="A77" s="199">
        <v>19</v>
      </c>
      <c r="B77" s="274" t="s">
        <v>335</v>
      </c>
      <c r="C77" s="290"/>
      <c r="D77" s="275">
        <f ca="1">SUMIF('工程量计算式（商业）'!A:A,B77,'工程量计算式（商业）'!E:E)</f>
        <v>1318.3075</v>
      </c>
      <c r="E77" s="72" t="s">
        <v>43</v>
      </c>
      <c r="F77" s="276">
        <f>VLOOKUP(B77,'综合单价分析表（商业）'!A:I,9,)</f>
        <v>612.547970673433</v>
      </c>
      <c r="G77" s="276">
        <f ca="1" t="shared" si="4"/>
        <v>807526.583848567</v>
      </c>
      <c r="H77" s="280"/>
    </row>
    <row r="78" ht="66" customHeight="1" outlineLevel="1" spans="1:8">
      <c r="A78" s="199">
        <v>20</v>
      </c>
      <c r="B78" s="181" t="s">
        <v>336</v>
      </c>
      <c r="C78" s="283" t="s">
        <v>337</v>
      </c>
      <c r="D78" s="275">
        <f ca="1">SUMIF('工程量计算式（商业）'!A:A,B78,'工程量计算式（商业）'!E:E)</f>
        <v>204</v>
      </c>
      <c r="E78" s="72" t="s">
        <v>43</v>
      </c>
      <c r="F78" s="276">
        <f>VLOOKUP(B78,'综合单价分析表（商业）'!A:I,9,)</f>
        <v>373.624026548672</v>
      </c>
      <c r="G78" s="276">
        <f ca="1" t="shared" si="4"/>
        <v>76219.3014159291</v>
      </c>
      <c r="H78" s="280"/>
    </row>
    <row r="79" ht="66" customHeight="1" outlineLevel="1" spans="1:8">
      <c r="A79" s="199">
        <v>21</v>
      </c>
      <c r="B79" s="181" t="s">
        <v>338</v>
      </c>
      <c r="C79" s="283" t="s">
        <v>339</v>
      </c>
      <c r="D79" s="275">
        <f ca="1">SUMIF('工程量计算式（商业）'!A:A,B79,'工程量计算式（商业）'!E:E)</f>
        <v>14.44686</v>
      </c>
      <c r="E79" s="72" t="s">
        <v>43</v>
      </c>
      <c r="F79" s="276">
        <f>VLOOKUP(B79,'综合单价分析表（商业）'!A:I,9,)</f>
        <v>263.861991150442</v>
      </c>
      <c r="G79" s="276">
        <f ca="1" t="shared" si="4"/>
        <v>3811.97724547167</v>
      </c>
      <c r="H79" s="280"/>
    </row>
    <row r="80" ht="43" customHeight="1" outlineLevel="1" spans="1:8">
      <c r="A80" s="199">
        <v>22</v>
      </c>
      <c r="B80" s="181" t="s">
        <v>340</v>
      </c>
      <c r="C80" s="283" t="s">
        <v>341</v>
      </c>
      <c r="D80" s="275">
        <f ca="1">SUMIF('工程量计算式（商业）'!A:A,B80,'工程量计算式（商业）'!E:E)</f>
        <v>153.684252</v>
      </c>
      <c r="E80" s="72" t="s">
        <v>43</v>
      </c>
      <c r="F80" s="276">
        <f>VLOOKUP(B80,'综合单价分析表（商业）'!A:I,9,)</f>
        <v>350.121504424779</v>
      </c>
      <c r="G80" s="276">
        <f ca="1" t="shared" si="4"/>
        <v>53808.1615166369</v>
      </c>
      <c r="H80" s="280"/>
    </row>
    <row r="81" ht="66" customHeight="1" spans="1:8">
      <c r="A81" s="199" t="s">
        <v>167</v>
      </c>
      <c r="B81" s="278" t="s">
        <v>342</v>
      </c>
      <c r="C81" s="290"/>
      <c r="D81" s="279">
        <f ca="1">SUM(D82:D83)</f>
        <v>431.631292</v>
      </c>
      <c r="E81" s="72"/>
      <c r="F81" s="276"/>
      <c r="G81" s="279">
        <f ca="1">SUM(G82:G83)</f>
        <v>249586.32099264</v>
      </c>
      <c r="H81" s="280"/>
    </row>
    <row r="82" ht="74" customHeight="1" outlineLevel="1" spans="1:8">
      <c r="A82" s="199">
        <v>1</v>
      </c>
      <c r="B82" s="296" t="s">
        <v>343</v>
      </c>
      <c r="C82" s="290" t="s">
        <v>344</v>
      </c>
      <c r="D82" s="275">
        <f ca="1">SUMIF('工程量计算式（商业）'!A:A,B82,'工程量计算式（商业）'!E:E)</f>
        <v>371.924589</v>
      </c>
      <c r="E82" s="72" t="s">
        <v>43</v>
      </c>
      <c r="F82" s="276">
        <f>VLOOKUP(B82,'综合单价分析表（商业）'!A:I,9,)</f>
        <v>570.857800688248</v>
      </c>
      <c r="G82" s="276">
        <f ca="1">D82*F82</f>
        <v>212316.052898421</v>
      </c>
      <c r="H82" s="280"/>
    </row>
    <row r="83" ht="74" customHeight="1" outlineLevel="1" spans="1:8">
      <c r="A83" s="199">
        <v>2</v>
      </c>
      <c r="B83" s="296" t="s">
        <v>345</v>
      </c>
      <c r="C83" s="290"/>
      <c r="D83" s="275">
        <f ca="1">SUMIF('工程量计算式（商业）'!A:A,B83,'工程量计算式（商业）'!E:E)</f>
        <v>59.706703</v>
      </c>
      <c r="E83" s="72" t="s">
        <v>43</v>
      </c>
      <c r="F83" s="276">
        <f>VLOOKUP(B83,'综合单价分析表（商业）'!A:I,9,)</f>
        <v>624.222511402442</v>
      </c>
      <c r="G83" s="276">
        <f ca="1">D83*F83</f>
        <v>37270.2680942197</v>
      </c>
      <c r="H83" s="280"/>
    </row>
    <row r="84" ht="48" customHeight="1" spans="1:8">
      <c r="A84" s="293" t="s">
        <v>176</v>
      </c>
      <c r="B84" s="278" t="s">
        <v>346</v>
      </c>
      <c r="C84" s="280"/>
      <c r="D84" s="279">
        <f ca="1">SUM(D85:D86)</f>
        <v>140.296</v>
      </c>
      <c r="E84" s="72"/>
      <c r="F84" s="276"/>
      <c r="G84" s="279">
        <f ca="1">SUM(G85:G86)</f>
        <v>95581.0721797862</v>
      </c>
      <c r="H84" s="280"/>
    </row>
    <row r="85" ht="69" customHeight="1" spans="1:8">
      <c r="A85" s="199">
        <v>1</v>
      </c>
      <c r="B85" s="274" t="s">
        <v>168</v>
      </c>
      <c r="C85" s="280"/>
      <c r="D85" s="275">
        <f ca="1">SUMIF('工程量计算式（商业）'!A:A,B85,'工程量计算式（商业）'!E:E)</f>
        <v>32.41</v>
      </c>
      <c r="E85" s="72" t="s">
        <v>43</v>
      </c>
      <c r="F85" s="276">
        <f ca="1">排屋工程量清单!F87</f>
        <v>675.485807888056</v>
      </c>
      <c r="G85" s="276">
        <f ca="1">D85*F85</f>
        <v>21892.4950336519</v>
      </c>
      <c r="H85" s="280"/>
    </row>
    <row r="86" ht="59" customHeight="1" spans="1:8">
      <c r="A86" s="199">
        <v>2</v>
      </c>
      <c r="B86" s="274" t="s">
        <v>173</v>
      </c>
      <c r="C86" s="280" t="s">
        <v>347</v>
      </c>
      <c r="D86" s="275">
        <f ca="1">SUMIF('工程量计算式（商业）'!A:A,B86,'工程量计算式（商业）'!E:E)</f>
        <v>107.886</v>
      </c>
      <c r="E86" s="72" t="s">
        <v>43</v>
      </c>
      <c r="F86" s="276">
        <f ca="1">排屋工程量清单!F88</f>
        <v>683.02260855101</v>
      </c>
      <c r="G86" s="276">
        <f ca="1">D86*F86</f>
        <v>73688.5771461343</v>
      </c>
      <c r="H86" s="280"/>
    </row>
    <row r="87" ht="48" customHeight="1" spans="1:8">
      <c r="A87" s="293" t="s">
        <v>196</v>
      </c>
      <c r="B87" s="278" t="s">
        <v>177</v>
      </c>
      <c r="C87" s="280"/>
      <c r="D87" s="279">
        <f ca="1">SUM(D88:D91)</f>
        <v>6155.826</v>
      </c>
      <c r="E87" s="72"/>
      <c r="F87" s="276"/>
      <c r="G87" s="279">
        <f ca="1">SUM(G88:G92)</f>
        <v>385753.235067732</v>
      </c>
      <c r="H87" s="280"/>
    </row>
    <row r="88" ht="55" customHeight="1" outlineLevel="1" spans="1:8">
      <c r="A88" s="199">
        <v>1</v>
      </c>
      <c r="B88" s="274" t="s">
        <v>348</v>
      </c>
      <c r="C88" s="273"/>
      <c r="D88" s="275">
        <f ca="1">SUMIF('工程量计算式（商业）'!A:A,B88,'工程量计算式（商业）'!E:E)</f>
        <v>5432.62</v>
      </c>
      <c r="E88" s="72" t="s">
        <v>109</v>
      </c>
      <c r="F88" s="276">
        <f>VLOOKUP(B88,'综合单价分析表（商业）'!A:I,9,)</f>
        <v>49.1542520275221</v>
      </c>
      <c r="G88" s="276">
        <f ca="1">D88*F88</f>
        <v>267036.372649757</v>
      </c>
      <c r="H88" s="280"/>
    </row>
    <row r="89" ht="66" customHeight="1" outlineLevel="1" spans="1:8">
      <c r="A89" s="199">
        <v>2</v>
      </c>
      <c r="B89" s="274" t="s">
        <v>349</v>
      </c>
      <c r="C89" s="273" t="s">
        <v>350</v>
      </c>
      <c r="D89" s="275">
        <f ca="1">SUMIF('工程量计算式（商业）'!A:A,B89,'工程量计算式（商业）'!E:E)</f>
        <v>341.661</v>
      </c>
      <c r="E89" s="72" t="s">
        <v>109</v>
      </c>
      <c r="F89" s="276">
        <f>VLOOKUP(B89,'综合单价分析表（商业）'!A:I,9,)</f>
        <v>166.512658607814</v>
      </c>
      <c r="G89" s="276">
        <f ca="1">D89*F89</f>
        <v>56890.8814526043</v>
      </c>
      <c r="H89" s="280"/>
    </row>
    <row r="90" ht="66" customHeight="1" outlineLevel="1" spans="1:8">
      <c r="A90" s="199">
        <v>3</v>
      </c>
      <c r="B90" s="274" t="s">
        <v>351</v>
      </c>
      <c r="C90" s="273" t="s">
        <v>352</v>
      </c>
      <c r="D90" s="275">
        <f ca="1">SUMIF('工程量计算式（商业）'!A:A,B90,'工程量计算式（商业）'!E:E)</f>
        <v>27.6</v>
      </c>
      <c r="E90" s="72" t="s">
        <v>109</v>
      </c>
      <c r="F90" s="276">
        <f>VLOOKUP(B90,'综合单价分析表（商业）'!A:I,9,)</f>
        <v>157.154458658443</v>
      </c>
      <c r="G90" s="276">
        <f ca="1">D90*F90</f>
        <v>4337.46305897303</v>
      </c>
      <c r="H90" s="280"/>
    </row>
    <row r="91" ht="84" customHeight="1" outlineLevel="1" spans="1:8">
      <c r="A91" s="199">
        <v>4</v>
      </c>
      <c r="B91" s="274" t="s">
        <v>353</v>
      </c>
      <c r="C91" s="273" t="s">
        <v>354</v>
      </c>
      <c r="D91" s="275">
        <f ca="1">SUMIF('工程量计算式（商业）'!A:A,B91,'工程量计算式（商业）'!E:E)</f>
        <v>353.945</v>
      </c>
      <c r="E91" s="72" t="s">
        <v>109</v>
      </c>
      <c r="F91" s="276">
        <f>VLOOKUP(B91,'综合单价分析表（商业）'!A:I,9,)</f>
        <v>123.693729464124</v>
      </c>
      <c r="G91" s="276">
        <f ca="1">D91*F91</f>
        <v>43780.7770751794</v>
      </c>
      <c r="H91" s="280"/>
    </row>
    <row r="92" ht="84" customHeight="1" outlineLevel="1" spans="1:8">
      <c r="A92" s="199">
        <v>5</v>
      </c>
      <c r="B92" s="274" t="s">
        <v>355</v>
      </c>
      <c r="C92" s="274" t="s">
        <v>356</v>
      </c>
      <c r="D92" s="275">
        <f ca="1">SUMIF('工程量计算式（商业）'!A:A,B92,'工程量计算式（商业）'!E:E)</f>
        <v>106.125</v>
      </c>
      <c r="E92" s="72" t="s">
        <v>109</v>
      </c>
      <c r="F92" s="276">
        <f>VLOOKUP(B92,'综合单价分析表（商业）'!A:I,9,)</f>
        <v>129.16599134246</v>
      </c>
      <c r="G92" s="276">
        <f ca="1">D92*F92</f>
        <v>13707.7408312186</v>
      </c>
      <c r="H92" s="280"/>
    </row>
    <row r="93" ht="48" customHeight="1" spans="1:8">
      <c r="A93" s="293" t="s">
        <v>202</v>
      </c>
      <c r="B93" s="278" t="s">
        <v>357</v>
      </c>
      <c r="C93" s="280"/>
      <c r="D93" s="279">
        <f ca="1">SUM(D94)</f>
        <v>491.004</v>
      </c>
      <c r="E93" s="72"/>
      <c r="F93" s="276"/>
      <c r="G93" s="279">
        <f ca="1">SUM(G94)</f>
        <v>233424.783302336</v>
      </c>
      <c r="H93" s="280"/>
    </row>
    <row r="94" ht="48" customHeight="1" spans="1:8">
      <c r="A94" s="199">
        <v>1</v>
      </c>
      <c r="B94" s="274" t="s">
        <v>218</v>
      </c>
      <c r="C94" s="280"/>
      <c r="D94" s="275">
        <f ca="1">SUMIF('工程量计算式（商业）'!A:A,B94,'工程量计算式（商业）'!E:E)</f>
        <v>491.004</v>
      </c>
      <c r="E94" s="72" t="s">
        <v>109</v>
      </c>
      <c r="F94" s="276">
        <f>VLOOKUP(B94,'综合单价分析表（商业）'!A:I,9,)</f>
        <v>475.403017699115</v>
      </c>
      <c r="G94" s="276">
        <f ca="1">D94*F94</f>
        <v>233424.783302336</v>
      </c>
      <c r="H94" s="280"/>
    </row>
    <row r="95" ht="30" customHeight="1" spans="1:8">
      <c r="A95" s="293" t="s">
        <v>209</v>
      </c>
      <c r="B95" s="278" t="s">
        <v>203</v>
      </c>
      <c r="C95" s="280"/>
      <c r="D95" s="279">
        <f ca="1">SUM(D96:D97)</f>
        <v>92.83</v>
      </c>
      <c r="E95" s="72"/>
      <c r="F95" s="276"/>
      <c r="G95" s="279">
        <f ca="1">SUM(G96:G97)</f>
        <v>81172.7688968662</v>
      </c>
      <c r="H95" s="280"/>
    </row>
    <row r="96" ht="30" customHeight="1" spans="1:8">
      <c r="A96" s="199">
        <v>1</v>
      </c>
      <c r="B96" s="295" t="s">
        <v>204</v>
      </c>
      <c r="C96" s="280"/>
      <c r="D96" s="275">
        <f ca="1">SUMIF('工程量计算式（商业）'!A:A,B96,'工程量计算式（商业）'!E:E)</f>
        <v>84.128</v>
      </c>
      <c r="E96" s="72" t="s">
        <v>109</v>
      </c>
      <c r="F96" s="276">
        <f ca="1">排屋工程量清单!F107</f>
        <v>869.513821735454</v>
      </c>
      <c r="G96" s="276">
        <f ca="1" t="shared" ref="G96:G103" si="5">D96*F96</f>
        <v>73150.4587949603</v>
      </c>
      <c r="H96" s="280"/>
    </row>
    <row r="97" ht="30" customHeight="1" spans="1:8">
      <c r="A97" s="199">
        <v>2</v>
      </c>
      <c r="B97" s="295" t="s">
        <v>358</v>
      </c>
      <c r="C97" s="280"/>
      <c r="D97" s="275">
        <f ca="1">SUMIF('工程量计算式（商业）'!A:A,B97,'工程量计算式（商业）'!E:E)</f>
        <v>8.702</v>
      </c>
      <c r="E97" s="72" t="s">
        <v>109</v>
      </c>
      <c r="F97" s="276">
        <f ca="1">排屋工程量清单!F108</f>
        <v>921.892680062734</v>
      </c>
      <c r="G97" s="276">
        <f ca="1" t="shared" si="5"/>
        <v>8022.31010190591</v>
      </c>
      <c r="H97" s="280"/>
    </row>
    <row r="98" ht="30" customHeight="1" spans="1:8">
      <c r="A98" s="293" t="s">
        <v>221</v>
      </c>
      <c r="B98" s="278" t="s">
        <v>210</v>
      </c>
      <c r="C98" s="280"/>
      <c r="D98" s="275"/>
      <c r="E98" s="72"/>
      <c r="F98" s="276"/>
      <c r="G98" s="297">
        <f ca="1">SUM(G99:G102)</f>
        <v>193353.833982301</v>
      </c>
      <c r="H98" s="280"/>
    </row>
    <row r="99" ht="30" customHeight="1" spans="1:8">
      <c r="A99" s="199">
        <v>1</v>
      </c>
      <c r="B99" s="295" t="s">
        <v>359</v>
      </c>
      <c r="C99" s="280"/>
      <c r="D99" s="275">
        <v>1100</v>
      </c>
      <c r="E99" s="72" t="s">
        <v>43</v>
      </c>
      <c r="F99" s="276">
        <v>90</v>
      </c>
      <c r="G99" s="276">
        <f>D99*F99</f>
        <v>99000</v>
      </c>
      <c r="H99" s="280"/>
    </row>
    <row r="100" ht="30" customHeight="1" spans="1:8">
      <c r="A100" s="199">
        <v>2</v>
      </c>
      <c r="B100" s="274" t="s">
        <v>211</v>
      </c>
      <c r="C100" s="280"/>
      <c r="D100" s="275"/>
      <c r="E100" s="132" t="s">
        <v>212</v>
      </c>
      <c r="F100" s="276"/>
      <c r="G100" s="276">
        <f t="shared" si="5"/>
        <v>0</v>
      </c>
      <c r="H100" s="280"/>
    </row>
    <row r="101" ht="30" customHeight="1" spans="1:8">
      <c r="A101" s="199">
        <v>3</v>
      </c>
      <c r="B101" s="274" t="s">
        <v>213</v>
      </c>
      <c r="C101" s="280"/>
      <c r="D101" s="275">
        <f ca="1">SUMIF('工程量计算式（商业）'!A:A,B101,'工程量计算式（商业）'!E:E)</f>
        <v>1368</v>
      </c>
      <c r="E101" s="72" t="s">
        <v>109</v>
      </c>
      <c r="F101" s="276">
        <f>VLOOKUP(B101,'综合单价分析表（商业）'!A:I,9,)</f>
        <v>65.6122123893805</v>
      </c>
      <c r="G101" s="276">
        <f ca="1" t="shared" si="5"/>
        <v>89757.5065486725</v>
      </c>
      <c r="H101" s="280"/>
    </row>
    <row r="102" ht="33" customHeight="1" spans="1:8">
      <c r="A102" s="199">
        <v>4</v>
      </c>
      <c r="B102" s="295" t="s">
        <v>216</v>
      </c>
      <c r="C102" s="280"/>
      <c r="D102" s="275">
        <f ca="1">SUMIF('工程量计算式（商业）'!A:A,B102,'工程量计算式（商业）'!E:E)</f>
        <v>50</v>
      </c>
      <c r="E102" s="72" t="s">
        <v>43</v>
      </c>
      <c r="F102" s="276">
        <f>VLOOKUP(B102,'综合单价分析表（商业）'!A:I,9,)</f>
        <v>91.9265486725664</v>
      </c>
      <c r="G102" s="276">
        <f ca="1" t="shared" si="5"/>
        <v>4596.32743362832</v>
      </c>
      <c r="H102" s="280"/>
    </row>
    <row r="103" ht="30" customHeight="1" spans="1:8">
      <c r="A103" s="293" t="s">
        <v>221</v>
      </c>
      <c r="B103" s="278" t="s">
        <v>222</v>
      </c>
      <c r="C103" s="280"/>
      <c r="D103" s="275">
        <v>1</v>
      </c>
      <c r="E103" s="72" t="s">
        <v>360</v>
      </c>
      <c r="F103" s="276">
        <f ca="1">'措施费 (商业)'!F16</f>
        <v>335326.314861224</v>
      </c>
      <c r="G103" s="276">
        <f ca="1" t="shared" si="5"/>
        <v>335326.314861224</v>
      </c>
      <c r="H103" s="280"/>
    </row>
    <row r="104" ht="35" customHeight="1" spans="1:8">
      <c r="A104" s="273"/>
      <c r="B104" s="298" t="s">
        <v>223</v>
      </c>
      <c r="C104" s="299"/>
      <c r="D104" s="300">
        <f ca="1">D3+D44+D46+D58+D81+D84+D93+D95</f>
        <v>8319.4104868</v>
      </c>
      <c r="E104" s="300"/>
      <c r="F104" s="300">
        <f ca="1">+G104/D104</f>
        <v>953.673693755218</v>
      </c>
      <c r="G104" s="300">
        <f ca="1">G3+G44+G46+G58+G81+G84+G87+G93+G95+G98+G103</f>
        <v>7934002.92881245</v>
      </c>
      <c r="H104" s="280"/>
    </row>
    <row r="105" ht="31" customHeight="1" spans="1:8">
      <c r="D105" s="235"/>
    </row>
  </sheetData>
  <autoFilter xmlns:etc="http://www.wps.cn/officeDocument/2017/etCustomData" ref="A1:H104" etc:filterBottomFollowUsedRange="0">
    <extLst/>
  </autoFilter>
  <mergeCells count="2">
    <mergeCell ref="A1:H1"/>
    <mergeCell ref="B104:C104"/>
  </mergeCells>
  <pageMargins left="0.75" right="0.75" top="1" bottom="1" header="0.5" footer="0.5"/>
  <pageSetup paperSize="9" scale="6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F6" sqref="F6"/>
    </sheetView>
  </sheetViews>
  <sheetFormatPr defaultColWidth="9" defaultRowHeight="21" customHeight="1"/>
  <cols>
    <col min="1" max="1" width="7.20192307692308" style="248" customWidth="1"/>
    <col min="2" max="2" width="59.5" style="249" customWidth="1"/>
    <col min="3" max="3" width="11.6538461538462" style="249" customWidth="1"/>
    <col min="4" max="4" width="11.6538461538462" style="248" customWidth="1"/>
    <col min="5" max="6" width="11.6538461538462" style="250" customWidth="1"/>
    <col min="7" max="7" width="45" style="247" customWidth="1"/>
    <col min="8" max="8" width="9" style="248" customWidth="1"/>
    <col min="9" max="9" width="9.65384615384615" style="248"/>
    <col min="10" max="32" width="9" style="248" customWidth="1"/>
    <col min="33" max="255" width="8.875" style="248"/>
    <col min="256" max="16384" width="9" style="248"/>
  </cols>
  <sheetData>
    <row r="1" s="245" customFormat="1" ht="31.5" customHeight="1" spans="1:9">
      <c r="A1" s="251" t="s">
        <v>361</v>
      </c>
      <c r="B1" s="251"/>
      <c r="C1" s="251"/>
      <c r="D1" s="251"/>
      <c r="E1" s="251"/>
      <c r="F1" s="251"/>
      <c r="G1" s="251"/>
    </row>
    <row r="2" s="246" customFormat="1" ht="31.5" customHeight="1" spans="1:9">
      <c r="A2" s="252" t="s">
        <v>362</v>
      </c>
      <c r="B2" s="252"/>
      <c r="C2" s="252"/>
      <c r="D2" s="252"/>
      <c r="E2" s="253"/>
      <c r="F2" s="253"/>
      <c r="G2" s="252"/>
    </row>
    <row r="3" s="247" customFormat="1" ht="31.5" customHeight="1" spans="1:9">
      <c r="A3" s="254"/>
      <c r="B3" s="255"/>
      <c r="C3" s="254" t="s">
        <v>36</v>
      </c>
      <c r="D3" s="256" t="s">
        <v>37</v>
      </c>
      <c r="E3" s="257" t="s">
        <v>363</v>
      </c>
      <c r="F3" s="258" t="s">
        <v>364</v>
      </c>
      <c r="G3" s="257" t="s">
        <v>6</v>
      </c>
    </row>
    <row r="4" s="247" customFormat="1" ht="31.5" customHeight="1" spans="1:9">
      <c r="A4" s="254"/>
      <c r="B4" s="254" t="s">
        <v>365</v>
      </c>
      <c r="C4" s="259"/>
      <c r="D4" s="260"/>
      <c r="E4" s="257" t="s">
        <v>366</v>
      </c>
      <c r="F4" s="261" t="s">
        <v>367</v>
      </c>
      <c r="G4" s="262"/>
    </row>
    <row r="5" s="246" customFormat="1" ht="24" customHeight="1" spans="1:9">
      <c r="A5" s="262">
        <v>1</v>
      </c>
      <c r="B5" s="263" t="s">
        <v>368</v>
      </c>
      <c r="C5" s="264">
        <v>1</v>
      </c>
      <c r="D5" s="262" t="s">
        <v>360</v>
      </c>
      <c r="E5" s="262">
        <v>20000</v>
      </c>
      <c r="F5" s="265">
        <f t="shared" ref="F5:F11" si="0">E5*C5*$H$5</f>
        <v>21800</v>
      </c>
      <c r="G5" s="266"/>
      <c r="H5" s="246">
        <v>1.09</v>
      </c>
    </row>
    <row r="6" s="246" customFormat="1" ht="24" customHeight="1" spans="1:9">
      <c r="A6" s="262">
        <v>2</v>
      </c>
      <c r="B6" s="263" t="s">
        <v>369</v>
      </c>
      <c r="C6" s="264">
        <f t="shared" ref="C6:C9" si="1">C5</f>
        <v>1</v>
      </c>
      <c r="D6" s="262" t="s">
        <v>360</v>
      </c>
      <c r="E6" s="262">
        <f>3688*25</f>
        <v>92200</v>
      </c>
      <c r="F6" s="265">
        <f t="shared" si="0"/>
        <v>100498</v>
      </c>
      <c r="G6" s="263" t="s">
        <v>370</v>
      </c>
    </row>
    <row r="7" s="246" customFormat="1" ht="39" customHeight="1" spans="1:9">
      <c r="A7" s="262">
        <v>3</v>
      </c>
      <c r="B7" s="263" t="s">
        <v>371</v>
      </c>
      <c r="C7" s="264">
        <f t="shared" si="1"/>
        <v>1</v>
      </c>
      <c r="D7" s="262" t="s">
        <v>360</v>
      </c>
      <c r="E7" s="262">
        <v>10000</v>
      </c>
      <c r="F7" s="265">
        <f t="shared" si="0"/>
        <v>10900</v>
      </c>
      <c r="G7" s="263" t="s">
        <v>372</v>
      </c>
    </row>
    <row r="8" s="246" customFormat="1" ht="24" customHeight="1" spans="1:9">
      <c r="A8" s="262">
        <v>4</v>
      </c>
      <c r="B8" s="263" t="s">
        <v>373</v>
      </c>
      <c r="C8" s="264">
        <v>1</v>
      </c>
      <c r="D8" s="262" t="s">
        <v>360</v>
      </c>
      <c r="E8" s="262">
        <v>10000</v>
      </c>
      <c r="F8" s="265">
        <f t="shared" si="0"/>
        <v>10900</v>
      </c>
      <c r="G8" s="263" t="s">
        <v>374</v>
      </c>
    </row>
    <row r="9" s="246" customFormat="1" ht="24" customHeight="1" spans="1:9">
      <c r="A9" s="262">
        <v>5</v>
      </c>
      <c r="B9" s="263" t="s">
        <v>375</v>
      </c>
      <c r="C9" s="264">
        <f t="shared" si="1"/>
        <v>1</v>
      </c>
      <c r="D9" s="262" t="s">
        <v>360</v>
      </c>
      <c r="E9" s="262">
        <v>20000</v>
      </c>
      <c r="F9" s="265">
        <f t="shared" si="0"/>
        <v>21800</v>
      </c>
      <c r="G9" s="266" t="s">
        <v>376</v>
      </c>
    </row>
    <row r="10" s="246" customFormat="1" ht="27" customHeight="1" spans="1:9">
      <c r="A10" s="262">
        <v>7</v>
      </c>
      <c r="B10" s="263" t="s">
        <v>377</v>
      </c>
      <c r="C10" s="264">
        <v>1</v>
      </c>
      <c r="D10" s="262" t="s">
        <v>360</v>
      </c>
      <c r="E10" s="262">
        <v>12000</v>
      </c>
      <c r="F10" s="265">
        <f t="shared" si="0"/>
        <v>13080</v>
      </c>
      <c r="G10" s="266"/>
    </row>
    <row r="11" s="246" customFormat="1" ht="27" customHeight="1" spans="1:9">
      <c r="A11" s="262">
        <v>8</v>
      </c>
      <c r="B11" s="263" t="s">
        <v>378</v>
      </c>
      <c r="C11" s="264">
        <v>1</v>
      </c>
      <c r="D11" s="262" t="s">
        <v>360</v>
      </c>
      <c r="E11" s="262">
        <v>10000</v>
      </c>
      <c r="F11" s="265">
        <f t="shared" si="0"/>
        <v>10900</v>
      </c>
      <c r="G11" s="266"/>
    </row>
    <row r="12" s="246" customFormat="1" ht="27" customHeight="1" spans="1:9">
      <c r="A12" s="262" t="s">
        <v>32</v>
      </c>
      <c r="B12" s="262"/>
      <c r="C12" s="262"/>
      <c r="D12" s="262"/>
      <c r="E12" s="262"/>
      <c r="F12" s="269">
        <f>SUM(F5:F11)</f>
        <v>189878</v>
      </c>
      <c r="G12" s="266"/>
    </row>
    <row r="13" s="246" customFormat="1" customHeight="1" spans="1:9">
      <c r="A13" s="248"/>
      <c r="B13" s="249"/>
      <c r="C13" s="249"/>
      <c r="D13" s="248"/>
      <c r="E13" s="250"/>
      <c r="F13" s="250"/>
      <c r="G13" s="247"/>
      <c r="H13" s="248"/>
      <c r="I13" s="248"/>
    </row>
    <row r="14" s="246" customFormat="1" customHeight="1" spans="1:9">
      <c r="A14" s="248"/>
      <c r="B14" s="249"/>
      <c r="C14" s="249"/>
      <c r="D14" s="248"/>
      <c r="E14" s="250"/>
      <c r="F14" s="250"/>
      <c r="G14" s="247"/>
      <c r="H14" s="248"/>
      <c r="I14" s="248"/>
    </row>
    <row r="15" s="246" customFormat="1" customHeight="1" spans="1:9">
      <c r="A15" s="248"/>
      <c r="B15" s="249"/>
      <c r="C15" s="249"/>
      <c r="D15" s="248"/>
      <c r="E15" s="250"/>
      <c r="F15" s="250"/>
      <c r="G15" s="247"/>
      <c r="H15" s="248"/>
      <c r="I15" s="248"/>
    </row>
    <row r="16" s="246" customFormat="1" customHeight="1" spans="1:9">
      <c r="A16" s="248"/>
      <c r="B16" s="249"/>
      <c r="C16" s="249"/>
      <c r="D16" s="248"/>
      <c r="E16" s="250"/>
      <c r="F16" s="250"/>
      <c r="G16" s="247"/>
      <c r="H16" s="248"/>
      <c r="I16" s="248"/>
    </row>
    <row r="17" s="246" customFormat="1" customHeight="1" spans="1:9">
      <c r="A17" s="248"/>
      <c r="B17" s="249"/>
      <c r="C17" s="249"/>
      <c r="D17" s="248"/>
      <c r="E17" s="250"/>
      <c r="F17" s="250"/>
      <c r="G17" s="247"/>
      <c r="H17" s="248"/>
      <c r="I17" s="248"/>
    </row>
    <row r="18" s="246" customFormat="1" customHeight="1" spans="1:9">
      <c r="A18" s="248"/>
      <c r="B18" s="249"/>
      <c r="C18" s="249"/>
      <c r="D18" s="248"/>
      <c r="E18" s="250"/>
      <c r="F18" s="250"/>
      <c r="G18" s="247"/>
      <c r="H18" s="248"/>
      <c r="I18" s="248"/>
    </row>
    <row r="19" s="246" customFormat="1" customHeight="1" spans="1:9">
      <c r="A19" s="248"/>
      <c r="B19" s="249"/>
      <c r="C19" s="249"/>
      <c r="D19" s="248"/>
      <c r="E19" s="250"/>
      <c r="F19" s="250"/>
      <c r="G19" s="247"/>
      <c r="H19" s="248"/>
      <c r="I19" s="248"/>
    </row>
    <row r="20" s="246" customFormat="1" customHeight="1" spans="1:9">
      <c r="A20" s="248"/>
      <c r="B20" s="249"/>
      <c r="C20" s="249"/>
      <c r="D20" s="248"/>
      <c r="E20" s="250"/>
      <c r="F20" s="250"/>
      <c r="G20" s="247"/>
      <c r="H20" s="248"/>
      <c r="I20" s="248"/>
    </row>
    <row r="21" s="246" customFormat="1" customHeight="1" spans="1:9">
      <c r="A21" s="248"/>
      <c r="B21" s="249"/>
      <c r="C21" s="249"/>
      <c r="D21" s="248"/>
      <c r="E21" s="250"/>
      <c r="F21" s="250"/>
      <c r="G21" s="247"/>
      <c r="H21" s="248"/>
      <c r="I21" s="248"/>
    </row>
    <row r="22" s="246" customFormat="1" customHeight="1" spans="1:9">
      <c r="A22" s="248"/>
      <c r="B22" s="249"/>
      <c r="C22" s="249"/>
      <c r="D22" s="248"/>
      <c r="E22" s="250"/>
      <c r="F22" s="250"/>
      <c r="G22" s="247"/>
      <c r="H22" s="248"/>
      <c r="I22" s="248"/>
    </row>
    <row r="23" s="246" customFormat="1" customHeight="1" spans="1:9">
      <c r="A23" s="248"/>
      <c r="B23" s="249"/>
      <c r="C23" s="249"/>
      <c r="D23" s="248"/>
      <c r="E23" s="250"/>
      <c r="F23" s="250"/>
      <c r="G23" s="247"/>
      <c r="H23" s="248"/>
      <c r="I23" s="248"/>
    </row>
    <row r="24" s="246" customFormat="1" customHeight="1" spans="1:9">
      <c r="A24" s="248"/>
      <c r="B24" s="249"/>
      <c r="C24" s="249"/>
      <c r="D24" s="248"/>
      <c r="E24" s="250"/>
      <c r="F24" s="250"/>
      <c r="G24" s="247"/>
      <c r="H24" s="248"/>
      <c r="I24" s="248"/>
    </row>
    <row r="25" s="246" customFormat="1" customHeight="1" spans="1:9">
      <c r="A25" s="248"/>
      <c r="B25" s="249"/>
      <c r="C25" s="249"/>
      <c r="D25" s="248"/>
      <c r="E25" s="250"/>
      <c r="F25" s="250"/>
      <c r="G25" s="247"/>
      <c r="H25" s="248"/>
      <c r="I25" s="248"/>
    </row>
    <row r="26" s="246" customFormat="1" customHeight="1" spans="1:9">
      <c r="A26" s="248"/>
      <c r="B26" s="249"/>
      <c r="C26" s="249"/>
      <c r="D26" s="248"/>
      <c r="E26" s="250"/>
      <c r="F26" s="250"/>
      <c r="G26" s="247"/>
      <c r="H26" s="248"/>
      <c r="I26" s="248"/>
    </row>
    <row r="27" s="246" customFormat="1" customHeight="1" spans="1:9">
      <c r="A27" s="248"/>
      <c r="B27" s="249"/>
      <c r="C27" s="249"/>
      <c r="D27" s="248"/>
      <c r="E27" s="250"/>
      <c r="F27" s="250"/>
      <c r="G27" s="247"/>
      <c r="H27" s="248"/>
      <c r="I27" s="248"/>
    </row>
    <row r="28" s="246" customFormat="1" customHeight="1" spans="1:9">
      <c r="A28" s="248"/>
      <c r="B28" s="249"/>
      <c r="C28" s="249"/>
      <c r="D28" s="248"/>
      <c r="E28" s="250"/>
      <c r="F28" s="250"/>
      <c r="G28" s="247"/>
      <c r="H28" s="248"/>
      <c r="I28" s="248"/>
    </row>
    <row r="29" s="246" customFormat="1" customHeight="1" spans="1:9">
      <c r="A29" s="248"/>
      <c r="B29" s="249"/>
      <c r="C29" s="249"/>
      <c r="D29" s="248"/>
      <c r="E29" s="250"/>
      <c r="F29" s="250"/>
      <c r="G29" s="247"/>
      <c r="H29" s="248"/>
      <c r="I29" s="248"/>
    </row>
    <row r="30" s="246" customFormat="1" customHeight="1" spans="1:9">
      <c r="A30" s="248"/>
      <c r="B30" s="249"/>
      <c r="C30" s="249"/>
      <c r="D30" s="248"/>
      <c r="E30" s="250"/>
      <c r="F30" s="250"/>
      <c r="G30" s="247"/>
      <c r="H30" s="248"/>
      <c r="I30" s="248"/>
    </row>
    <row r="31" s="246" customFormat="1" customHeight="1" spans="1:9">
      <c r="A31" s="248"/>
      <c r="B31" s="249"/>
      <c r="C31" s="249"/>
      <c r="D31" s="248"/>
      <c r="E31" s="250"/>
      <c r="F31" s="250"/>
      <c r="G31" s="247"/>
      <c r="H31" s="248"/>
      <c r="I31" s="248"/>
    </row>
    <row r="32" s="246" customFormat="1" customHeight="1" spans="1:9">
      <c r="A32" s="248"/>
      <c r="B32" s="249"/>
      <c r="C32" s="249"/>
      <c r="D32" s="248"/>
      <c r="E32" s="250"/>
      <c r="F32" s="250"/>
      <c r="G32" s="247"/>
      <c r="H32" s="248"/>
      <c r="I32" s="248"/>
    </row>
    <row r="33" s="246" customFormat="1" customHeight="1" spans="1:9">
      <c r="A33" s="248"/>
      <c r="B33" s="249"/>
      <c r="C33" s="249"/>
      <c r="D33" s="248"/>
      <c r="E33" s="250"/>
      <c r="F33" s="250"/>
      <c r="G33" s="247"/>
      <c r="H33" s="248"/>
      <c r="I33" s="248"/>
    </row>
    <row r="34" s="246" customFormat="1" customHeight="1" spans="1:9">
      <c r="A34" s="248"/>
      <c r="B34" s="249"/>
      <c r="C34" s="249"/>
      <c r="D34" s="248"/>
      <c r="E34" s="250"/>
      <c r="F34" s="250"/>
      <c r="G34" s="247"/>
      <c r="H34" s="248"/>
      <c r="I34" s="248"/>
    </row>
    <row r="35" s="246" customFormat="1" customHeight="1" spans="1:9">
      <c r="A35" s="248"/>
      <c r="B35" s="249"/>
      <c r="C35" s="249"/>
      <c r="D35" s="248"/>
      <c r="E35" s="250"/>
      <c r="F35" s="250"/>
      <c r="G35" s="247"/>
      <c r="H35" s="248"/>
      <c r="I35" s="248"/>
    </row>
    <row r="36" s="246" customFormat="1" customHeight="1" spans="1:9">
      <c r="A36" s="248"/>
      <c r="B36" s="249"/>
      <c r="C36" s="249"/>
      <c r="D36" s="248"/>
      <c r="E36" s="250"/>
      <c r="F36" s="250"/>
      <c r="G36" s="247"/>
      <c r="H36" s="248"/>
      <c r="I36" s="248"/>
    </row>
    <row r="37" s="246" customFormat="1" customHeight="1" spans="1:9">
      <c r="A37" s="248"/>
      <c r="B37" s="249"/>
      <c r="C37" s="249"/>
      <c r="D37" s="248"/>
      <c r="E37" s="250"/>
      <c r="F37" s="250"/>
      <c r="G37" s="247"/>
      <c r="H37" s="248"/>
      <c r="I37" s="248"/>
    </row>
  </sheetData>
  <mergeCells count="3">
    <mergeCell ref="A1:G1"/>
    <mergeCell ref="A2:G2"/>
    <mergeCell ref="A3:A4"/>
  </mergeCells>
  <conditionalFormatting sqref="F4">
    <cfRule type="duplicateValues" dxfId="0" priority="1" stopIfTrue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E13" sqref="E13"/>
    </sheetView>
  </sheetViews>
  <sheetFormatPr defaultColWidth="9" defaultRowHeight="21" customHeight="1"/>
  <cols>
    <col min="1" max="1" width="7.20192307692308" style="248" customWidth="1"/>
    <col min="2" max="2" width="59.5" style="249" customWidth="1"/>
    <col min="3" max="3" width="7.90384615384615" style="249" customWidth="1"/>
    <col min="4" max="4" width="10.1634615384615" style="248" customWidth="1"/>
    <col min="5" max="6" width="11.6538461538462" style="250" customWidth="1"/>
    <col min="7" max="7" width="45" style="247" customWidth="1"/>
    <col min="8" max="8" width="9" style="248" customWidth="1"/>
    <col min="9" max="9" width="9.65384615384615" style="248"/>
    <col min="10" max="32" width="9" style="248" customWidth="1"/>
    <col min="33" max="255" width="8.875" style="248"/>
    <col min="256" max="16384" width="9" style="248"/>
  </cols>
  <sheetData>
    <row r="1" s="245" customFormat="1" ht="31.5" customHeight="1" spans="1:11">
      <c r="A1" s="251" t="s">
        <v>361</v>
      </c>
      <c r="B1" s="251"/>
      <c r="C1" s="251"/>
      <c r="D1" s="251"/>
      <c r="E1" s="251"/>
      <c r="F1" s="251"/>
      <c r="G1" s="251"/>
    </row>
    <row r="2" s="246" customFormat="1" ht="31.5" customHeight="1" spans="1:11">
      <c r="A2" s="252" t="s">
        <v>362</v>
      </c>
      <c r="B2" s="252"/>
      <c r="C2" s="252"/>
      <c r="D2" s="252"/>
      <c r="E2" s="253"/>
      <c r="F2" s="253"/>
      <c r="G2" s="252"/>
    </row>
    <row r="3" s="247" customFormat="1" ht="31.5" customHeight="1" spans="1:11">
      <c r="A3" s="254"/>
      <c r="B3" s="255"/>
      <c r="C3" s="254" t="s">
        <v>36</v>
      </c>
      <c r="D3" s="256" t="s">
        <v>37</v>
      </c>
      <c r="E3" s="257" t="s">
        <v>363</v>
      </c>
      <c r="F3" s="258" t="s">
        <v>364</v>
      </c>
      <c r="G3" s="257" t="s">
        <v>6</v>
      </c>
    </row>
    <row r="4" s="247" customFormat="1" ht="31.5" customHeight="1" spans="1:11">
      <c r="A4" s="254"/>
      <c r="B4" s="254" t="s">
        <v>379</v>
      </c>
      <c r="C4" s="259"/>
      <c r="D4" s="260"/>
      <c r="E4" s="257" t="s">
        <v>366</v>
      </c>
      <c r="F4" s="261" t="s">
        <v>367</v>
      </c>
      <c r="G4" s="262"/>
    </row>
    <row r="5" s="246" customFormat="1" ht="24" customHeight="1" spans="1:11">
      <c r="A5" s="262">
        <v>1</v>
      </c>
      <c r="B5" s="263" t="s">
        <v>380</v>
      </c>
      <c r="C5" s="264">
        <v>1</v>
      </c>
      <c r="D5" s="262" t="s">
        <v>360</v>
      </c>
      <c r="E5" s="262">
        <v>5000</v>
      </c>
      <c r="F5" s="265">
        <f t="shared" ref="F5:F15" si="0">E5*C5*$H$5</f>
        <v>5450</v>
      </c>
      <c r="G5" s="266"/>
      <c r="H5" s="246">
        <v>1.09</v>
      </c>
    </row>
    <row r="6" s="246" customFormat="1" ht="24" customHeight="1" spans="1:11">
      <c r="A6" s="262">
        <v>2</v>
      </c>
      <c r="B6" s="263" t="s">
        <v>381</v>
      </c>
      <c r="C6" s="264">
        <v>1</v>
      </c>
      <c r="D6" s="262" t="s">
        <v>360</v>
      </c>
      <c r="E6" s="262">
        <v>0</v>
      </c>
      <c r="F6" s="265">
        <f t="shared" si="0"/>
        <v>0</v>
      </c>
      <c r="G6" s="266"/>
    </row>
    <row r="7" s="246" customFormat="1" ht="32" customHeight="1" spans="1:11">
      <c r="A7" s="262">
        <v>3</v>
      </c>
      <c r="B7" s="263" t="s">
        <v>371</v>
      </c>
      <c r="C7" s="264">
        <v>1</v>
      </c>
      <c r="D7" s="262" t="s">
        <v>360</v>
      </c>
      <c r="E7" s="262">
        <v>30000</v>
      </c>
      <c r="F7" s="265">
        <f t="shared" si="0"/>
        <v>32700</v>
      </c>
      <c r="G7" s="266"/>
    </row>
    <row r="8" s="246" customFormat="1" ht="24" customHeight="1" spans="1:11">
      <c r="A8" s="262">
        <v>4</v>
      </c>
      <c r="B8" s="263" t="s">
        <v>382</v>
      </c>
      <c r="C8" s="264">
        <v>1</v>
      </c>
      <c r="D8" s="262" t="s">
        <v>360</v>
      </c>
      <c r="E8" s="262">
        <v>0</v>
      </c>
      <c r="F8" s="265">
        <f t="shared" si="0"/>
        <v>0</v>
      </c>
      <c r="G8" s="266"/>
    </row>
    <row r="9" s="246" customFormat="1" ht="24" customHeight="1" spans="1:11">
      <c r="A9" s="262">
        <v>5</v>
      </c>
      <c r="B9" s="263" t="s">
        <v>373</v>
      </c>
      <c r="C9" s="264">
        <v>1</v>
      </c>
      <c r="D9" s="262" t="s">
        <v>360</v>
      </c>
      <c r="E9" s="262">
        <v>10000</v>
      </c>
      <c r="F9" s="265">
        <f t="shared" si="0"/>
        <v>10900</v>
      </c>
      <c r="G9" s="266"/>
    </row>
    <row r="10" s="246" customFormat="1" ht="24" customHeight="1" spans="1:11">
      <c r="A10" s="262">
        <v>6</v>
      </c>
      <c r="B10" s="263" t="s">
        <v>375</v>
      </c>
      <c r="C10" s="264">
        <v>1</v>
      </c>
      <c r="D10" s="262" t="s">
        <v>360</v>
      </c>
      <c r="E10" s="262">
        <v>20000</v>
      </c>
      <c r="F10" s="265">
        <f t="shared" si="0"/>
        <v>21800</v>
      </c>
      <c r="G10" s="266"/>
    </row>
    <row r="11" s="246" customFormat="1" ht="24" customHeight="1" spans="1:11">
      <c r="A11" s="262">
        <v>7</v>
      </c>
      <c r="B11" s="263" t="s">
        <v>383</v>
      </c>
      <c r="C11" s="264">
        <v>1</v>
      </c>
      <c r="D11" s="262" t="s">
        <v>360</v>
      </c>
      <c r="E11" s="262">
        <f>K12</f>
        <v>96000</v>
      </c>
      <c r="F11" s="265">
        <f t="shared" si="0"/>
        <v>104640</v>
      </c>
      <c r="G11" s="267"/>
      <c r="I11" s="268"/>
      <c r="K11" s="246">
        <f>3000*32</f>
        <v>96000</v>
      </c>
    </row>
    <row r="12" s="246" customFormat="1" ht="27" customHeight="1" spans="1:11">
      <c r="A12" s="262">
        <v>8</v>
      </c>
      <c r="B12" s="263" t="s">
        <v>384</v>
      </c>
      <c r="C12" s="264">
        <v>1</v>
      </c>
      <c r="D12" s="262" t="s">
        <v>360</v>
      </c>
      <c r="E12" s="262">
        <v>0</v>
      </c>
      <c r="F12" s="265">
        <f t="shared" si="0"/>
        <v>0</v>
      </c>
      <c r="G12" s="266"/>
      <c r="K12" s="246">
        <f>SUM(K11:K11)</f>
        <v>96000</v>
      </c>
    </row>
    <row r="13" s="246" customFormat="1" ht="27" customHeight="1" spans="1:11">
      <c r="A13" s="262">
        <v>9</v>
      </c>
      <c r="B13" s="263" t="s">
        <v>385</v>
      </c>
      <c r="C13" s="264">
        <v>1</v>
      </c>
      <c r="D13" s="262" t="s">
        <v>360</v>
      </c>
      <c r="E13" s="262">
        <v>80000</v>
      </c>
      <c r="F13" s="265">
        <f t="shared" si="0"/>
        <v>87200</v>
      </c>
      <c r="G13" s="266"/>
    </row>
    <row r="14" s="246" customFormat="1" ht="27" customHeight="1" spans="1:11">
      <c r="A14" s="262">
        <v>12</v>
      </c>
      <c r="B14" s="263" t="s">
        <v>377</v>
      </c>
      <c r="C14" s="264">
        <v>1</v>
      </c>
      <c r="D14" s="262" t="s">
        <v>360</v>
      </c>
      <c r="E14" s="265">
        <f ca="1">'商业工程量清单 '!D104*2</f>
        <v>16638.8209736</v>
      </c>
      <c r="F14" s="265">
        <f ca="1" t="shared" si="0"/>
        <v>18136.314861224</v>
      </c>
      <c r="G14" s="266"/>
    </row>
    <row r="15" s="246" customFormat="1" ht="27" customHeight="1" spans="1:11">
      <c r="A15" s="262">
        <v>13</v>
      </c>
      <c r="B15" s="263" t="s">
        <v>378</v>
      </c>
      <c r="C15" s="264">
        <v>1</v>
      </c>
      <c r="D15" s="262" t="s">
        <v>360</v>
      </c>
      <c r="E15" s="262">
        <v>50000</v>
      </c>
      <c r="F15" s="265">
        <f t="shared" si="0"/>
        <v>54500</v>
      </c>
      <c r="G15" s="266"/>
    </row>
    <row r="16" s="246" customFormat="1" ht="27" customHeight="1" spans="1:11">
      <c r="A16" s="262" t="s">
        <v>32</v>
      </c>
      <c r="B16" s="262"/>
      <c r="C16" s="262"/>
      <c r="D16" s="262"/>
      <c r="E16" s="262"/>
      <c r="F16" s="269">
        <f ca="1">SUM(F5:F15)</f>
        <v>335326.314861224</v>
      </c>
      <c r="G16" s="266"/>
    </row>
    <row r="17" s="246" customFormat="1" customHeight="1" spans="1:9">
      <c r="A17" s="248"/>
      <c r="B17" s="249"/>
      <c r="C17" s="249"/>
      <c r="D17" s="248"/>
      <c r="E17" s="250"/>
      <c r="F17" s="250"/>
      <c r="G17" s="247"/>
      <c r="H17" s="248"/>
      <c r="I17" s="248"/>
    </row>
    <row r="18" s="246" customFormat="1" customHeight="1" spans="1:9">
      <c r="A18" s="248"/>
      <c r="B18" s="249"/>
      <c r="C18" s="249"/>
      <c r="D18" s="248"/>
      <c r="E18" s="250"/>
      <c r="F18" s="250"/>
      <c r="G18" s="247"/>
      <c r="H18" s="248"/>
      <c r="I18" s="248"/>
    </row>
    <row r="19" s="246" customFormat="1" customHeight="1" spans="1:9">
      <c r="A19" s="248"/>
      <c r="B19" s="249"/>
      <c r="C19" s="249"/>
      <c r="D19" s="248"/>
      <c r="E19" s="250"/>
      <c r="F19" s="250"/>
      <c r="G19" s="247"/>
      <c r="H19" s="248"/>
      <c r="I19" s="248"/>
    </row>
    <row r="20" s="246" customFormat="1" customHeight="1" spans="1:9">
      <c r="A20" s="248"/>
      <c r="B20" s="249"/>
      <c r="C20" s="249"/>
      <c r="D20" s="248"/>
      <c r="E20" s="250"/>
      <c r="F20" s="250"/>
      <c r="G20" s="247"/>
      <c r="H20" s="248"/>
      <c r="I20" s="248"/>
    </row>
    <row r="21" s="246" customFormat="1" customHeight="1" spans="1:9">
      <c r="A21" s="248"/>
      <c r="B21" s="249"/>
      <c r="C21" s="249"/>
      <c r="D21" s="248"/>
      <c r="E21" s="250"/>
      <c r="F21" s="250"/>
      <c r="G21" s="247"/>
      <c r="H21" s="248"/>
      <c r="I21" s="248"/>
    </row>
    <row r="22" s="246" customFormat="1" customHeight="1" spans="1:9">
      <c r="A22" s="248"/>
      <c r="B22" s="249"/>
      <c r="C22" s="249"/>
      <c r="D22" s="248"/>
      <c r="E22" s="250"/>
      <c r="F22" s="250"/>
      <c r="G22" s="247"/>
      <c r="H22" s="248"/>
      <c r="I22" s="248"/>
    </row>
    <row r="23" s="246" customFormat="1" customHeight="1" spans="1:9">
      <c r="A23" s="248"/>
      <c r="B23" s="249"/>
      <c r="C23" s="249"/>
      <c r="D23" s="248"/>
      <c r="E23" s="250"/>
      <c r="F23" s="250"/>
      <c r="G23" s="247"/>
      <c r="H23" s="248"/>
      <c r="I23" s="248"/>
    </row>
    <row r="24" s="246" customFormat="1" customHeight="1" spans="1:9">
      <c r="A24" s="248"/>
      <c r="B24" s="249"/>
      <c r="C24" s="249"/>
      <c r="D24" s="248"/>
      <c r="E24" s="250"/>
      <c r="F24" s="250"/>
      <c r="G24" s="247"/>
      <c r="H24" s="248"/>
      <c r="I24" s="248"/>
    </row>
    <row r="25" s="246" customFormat="1" customHeight="1" spans="1:9">
      <c r="A25" s="248"/>
      <c r="B25" s="249"/>
      <c r="C25" s="249"/>
      <c r="D25" s="248"/>
      <c r="E25" s="250"/>
      <c r="F25" s="250"/>
      <c r="G25" s="247"/>
      <c r="H25" s="248"/>
      <c r="I25" s="248"/>
    </row>
    <row r="26" s="246" customFormat="1" customHeight="1" spans="1:9">
      <c r="A26" s="248"/>
      <c r="B26" s="249"/>
      <c r="C26" s="249"/>
      <c r="D26" s="248"/>
      <c r="E26" s="250"/>
      <c r="F26" s="250"/>
      <c r="G26" s="247"/>
      <c r="H26" s="248"/>
      <c r="I26" s="248"/>
    </row>
    <row r="27" s="246" customFormat="1" customHeight="1" spans="1:9">
      <c r="A27" s="248"/>
      <c r="B27" s="249"/>
      <c r="C27" s="249"/>
      <c r="D27" s="248"/>
      <c r="E27" s="250"/>
      <c r="F27" s="250"/>
      <c r="G27" s="247"/>
      <c r="H27" s="248"/>
      <c r="I27" s="248"/>
    </row>
    <row r="28" s="246" customFormat="1" customHeight="1" spans="1:9">
      <c r="A28" s="248"/>
      <c r="B28" s="249"/>
      <c r="C28" s="249"/>
      <c r="D28" s="248"/>
      <c r="E28" s="250"/>
      <c r="F28" s="250"/>
      <c r="G28" s="247"/>
      <c r="H28" s="248"/>
      <c r="I28" s="248"/>
    </row>
    <row r="29" s="246" customFormat="1" customHeight="1" spans="1:9">
      <c r="A29" s="248"/>
      <c r="B29" s="249"/>
      <c r="C29" s="249"/>
      <c r="D29" s="248"/>
      <c r="E29" s="250"/>
      <c r="F29" s="250"/>
      <c r="G29" s="247"/>
      <c r="H29" s="248"/>
      <c r="I29" s="248"/>
    </row>
    <row r="30" s="246" customFormat="1" customHeight="1" spans="1:9">
      <c r="A30" s="248"/>
      <c r="B30" s="249"/>
      <c r="C30" s="249"/>
      <c r="D30" s="248"/>
      <c r="E30" s="250"/>
      <c r="F30" s="250"/>
      <c r="G30" s="247"/>
      <c r="H30" s="248"/>
      <c r="I30" s="248"/>
    </row>
    <row r="31" s="246" customFormat="1" customHeight="1" spans="1:9">
      <c r="A31" s="248"/>
      <c r="B31" s="249"/>
      <c r="C31" s="249"/>
      <c r="D31" s="248"/>
      <c r="E31" s="250"/>
      <c r="F31" s="250"/>
      <c r="G31" s="247"/>
      <c r="H31" s="248"/>
      <c r="I31" s="248"/>
    </row>
    <row r="32" s="246" customFormat="1" customHeight="1" spans="1:9">
      <c r="A32" s="248"/>
      <c r="B32" s="249"/>
      <c r="C32" s="249"/>
      <c r="D32" s="248"/>
      <c r="E32" s="250"/>
      <c r="F32" s="250"/>
      <c r="G32" s="247"/>
      <c r="H32" s="248"/>
      <c r="I32" s="248"/>
    </row>
    <row r="33" s="246" customFormat="1" customHeight="1" spans="1:9">
      <c r="A33" s="248"/>
      <c r="B33" s="249"/>
      <c r="C33" s="249"/>
      <c r="D33" s="248"/>
      <c r="E33" s="250"/>
      <c r="F33" s="250"/>
      <c r="G33" s="247"/>
      <c r="H33" s="248"/>
      <c r="I33" s="248"/>
    </row>
    <row r="34" s="246" customFormat="1" customHeight="1" spans="1:9">
      <c r="A34" s="248"/>
      <c r="B34" s="249"/>
      <c r="C34" s="249"/>
      <c r="D34" s="248"/>
      <c r="E34" s="250"/>
      <c r="F34" s="250"/>
      <c r="G34" s="247"/>
      <c r="H34" s="248"/>
      <c r="I34" s="248"/>
    </row>
    <row r="35" s="246" customFormat="1" customHeight="1" spans="1:9">
      <c r="A35" s="248"/>
      <c r="B35" s="249"/>
      <c r="C35" s="249"/>
      <c r="D35" s="248"/>
      <c r="E35" s="250"/>
      <c r="F35" s="250"/>
      <c r="G35" s="247"/>
      <c r="H35" s="248"/>
      <c r="I35" s="248"/>
    </row>
    <row r="36" s="246" customFormat="1" customHeight="1" spans="1:9">
      <c r="A36" s="248"/>
      <c r="B36" s="249"/>
      <c r="C36" s="249"/>
      <c r="D36" s="248"/>
      <c r="E36" s="250"/>
      <c r="F36" s="250"/>
      <c r="G36" s="247"/>
      <c r="H36" s="248"/>
      <c r="I36" s="248"/>
    </row>
    <row r="37" s="246" customFormat="1" customHeight="1" spans="1:9">
      <c r="A37" s="248"/>
      <c r="B37" s="249"/>
      <c r="C37" s="249"/>
      <c r="D37" s="248"/>
      <c r="E37" s="250"/>
      <c r="F37" s="250"/>
      <c r="G37" s="247"/>
      <c r="H37" s="248"/>
      <c r="I37" s="248"/>
    </row>
    <row r="38" s="246" customFormat="1" customHeight="1" spans="1:9">
      <c r="A38" s="248"/>
      <c r="B38" s="249"/>
      <c r="C38" s="249"/>
      <c r="D38" s="248"/>
      <c r="E38" s="250"/>
      <c r="F38" s="250"/>
      <c r="G38" s="247"/>
      <c r="H38" s="248"/>
      <c r="I38" s="248"/>
    </row>
    <row r="39" s="246" customFormat="1" customHeight="1" spans="1:9">
      <c r="A39" s="248"/>
      <c r="B39" s="249"/>
      <c r="C39" s="249"/>
      <c r="D39" s="248"/>
      <c r="E39" s="250"/>
      <c r="F39" s="250"/>
      <c r="G39" s="247"/>
      <c r="H39" s="248"/>
      <c r="I39" s="248"/>
    </row>
    <row r="40" s="246" customFormat="1" customHeight="1" spans="1:9">
      <c r="A40" s="248"/>
      <c r="B40" s="249"/>
      <c r="C40" s="249"/>
      <c r="D40" s="248"/>
      <c r="E40" s="250"/>
      <c r="F40" s="250"/>
      <c r="G40" s="247"/>
      <c r="H40" s="248"/>
      <c r="I40" s="248"/>
    </row>
    <row r="41" s="246" customFormat="1" customHeight="1" spans="1:9">
      <c r="A41" s="248"/>
      <c r="B41" s="249"/>
      <c r="C41" s="249"/>
      <c r="D41" s="248"/>
      <c r="E41" s="250"/>
      <c r="F41" s="250"/>
      <c r="G41" s="247"/>
      <c r="H41" s="248"/>
      <c r="I41" s="248"/>
    </row>
  </sheetData>
  <mergeCells count="3">
    <mergeCell ref="A1:G1"/>
    <mergeCell ref="A2:G2"/>
    <mergeCell ref="A3:A4"/>
  </mergeCells>
  <conditionalFormatting sqref="F4">
    <cfRule type="duplicateValues" dxfId="0" priority="1" stopIfTrue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51"/>
  <sheetViews>
    <sheetView view="pageBreakPreview" zoomScaleNormal="100" topLeftCell="A94" workbookViewId="0">
      <selection activeCell="I10" sqref="I10"/>
    </sheetView>
  </sheetViews>
  <sheetFormatPr defaultColWidth="9" defaultRowHeight="16.8"/>
  <cols>
    <col min="1" max="1" width="9.625" style="235" customWidth="1"/>
    <col min="2" max="2" width="5.5" customWidth="1"/>
    <col min="3" max="3" width="14" customWidth="1"/>
    <col min="4" max="4" width="24.5" customWidth="1"/>
    <col min="5" max="5" width="6.875" customWidth="1"/>
    <col min="6" max="6" width="10" customWidth="1"/>
    <col min="7" max="7" width="6.80769230769231" customWidth="1"/>
    <col min="8" max="8" width="9.38461538461539" customWidth="1"/>
    <col min="9" max="9" width="12.3557692307692" customWidth="1"/>
    <col min="10" max="10" width="12.2019230769231" customWidth="1"/>
    <col min="11" max="11" width="6.72115384615385" customWidth="1"/>
    <col min="12" max="12" width="22.5673076923077" customWidth="1"/>
    <col min="13" max="13" width="16.3461538461538" customWidth="1"/>
    <col min="14" max="14" width="8.21153846153846" style="235" customWidth="1"/>
    <col min="15" max="15" width="11.125" style="235" customWidth="1"/>
    <col min="16" max="16" width="8.05769230769231" style="235" customWidth="1"/>
    <col min="17" max="17" width="11.125" style="235"/>
    <col min="18" max="18" width="11.125"/>
    <col min="19" max="20" width="11.125" style="236"/>
    <col min="21" max="21" width="11.125"/>
  </cols>
  <sheetData>
    <row r="1" s="26" customFormat="1" ht="30" customHeight="1" spans="1:20">
      <c r="A1" s="28"/>
      <c r="B1" s="29" t="s">
        <v>386</v>
      </c>
      <c r="C1" s="29"/>
      <c r="D1" s="29"/>
      <c r="E1" s="29"/>
      <c r="F1" s="29"/>
      <c r="G1" s="29"/>
      <c r="H1" s="29"/>
      <c r="I1" s="29"/>
      <c r="J1" s="29"/>
      <c r="K1" s="29"/>
      <c r="L1" s="30"/>
      <c r="M1" s="31"/>
      <c r="N1" s="31"/>
      <c r="O1" s="31"/>
      <c r="P1" s="31"/>
      <c r="Q1" s="31"/>
      <c r="R1" s="32"/>
      <c r="S1" s="33"/>
      <c r="T1" s="33"/>
    </row>
    <row r="2" s="27" customFormat="1" ht="33.75" customHeight="1" spans="1:20">
      <c r="A2" s="34">
        <v>1</v>
      </c>
      <c r="B2" s="35" t="s">
        <v>1</v>
      </c>
      <c r="C2" s="35" t="s">
        <v>387</v>
      </c>
      <c r="D2" s="36" t="str">
        <f>+A10</f>
        <v>LMC6117G</v>
      </c>
      <c r="E2" s="37"/>
      <c r="F2" s="38" t="s">
        <v>41</v>
      </c>
      <c r="G2" s="39"/>
      <c r="H2" s="35" t="s">
        <v>388</v>
      </c>
      <c r="I2" s="40" t="s">
        <v>389</v>
      </c>
      <c r="J2" s="41" t="s">
        <v>37</v>
      </c>
      <c r="K2" s="42">
        <f ca="1">VLOOKUP(A2,排屋工程量清单!A:D,4,)</f>
        <v>14.175</v>
      </c>
      <c r="L2" s="43"/>
      <c r="M2" s="44"/>
      <c r="N2" s="44"/>
      <c r="O2" s="44"/>
      <c r="P2" s="45"/>
      <c r="Q2" s="44"/>
      <c r="R2" s="46"/>
      <c r="S2" s="47"/>
      <c r="T2" s="47"/>
    </row>
    <row r="3" s="27" customFormat="1" ht="25" customHeight="1" spans="1:20">
      <c r="A3" s="34"/>
      <c r="B3" s="48">
        <v>1</v>
      </c>
      <c r="C3" s="49" t="s">
        <v>390</v>
      </c>
      <c r="D3" s="48" t="s">
        <v>391</v>
      </c>
      <c r="E3" s="48"/>
      <c r="F3" s="50"/>
      <c r="G3" s="48"/>
      <c r="H3" s="51"/>
      <c r="I3" s="52">
        <f>J15</f>
        <v>80</v>
      </c>
      <c r="J3" s="53" t="s">
        <v>392</v>
      </c>
      <c r="K3" s="54"/>
      <c r="L3" s="55" t="s">
        <v>393</v>
      </c>
      <c r="M3" s="56"/>
      <c r="N3" s="57"/>
      <c r="O3" s="57">
        <v>4.05</v>
      </c>
      <c r="P3" s="57">
        <v>1.75</v>
      </c>
      <c r="Q3" s="57">
        <v>1</v>
      </c>
      <c r="R3" s="58">
        <f>+Q3*P3*O3</f>
        <v>7.0875</v>
      </c>
      <c r="S3" s="47"/>
      <c r="T3" s="47"/>
    </row>
    <row r="4" s="27" customFormat="1" ht="18" customHeight="1" spans="1:20">
      <c r="A4" s="34"/>
      <c r="B4" s="48">
        <v>2</v>
      </c>
      <c r="C4" s="59"/>
      <c r="D4" s="48" t="s">
        <v>394</v>
      </c>
      <c r="E4" s="48"/>
      <c r="F4" s="50"/>
      <c r="G4" s="48"/>
      <c r="H4" s="51"/>
      <c r="I4" s="52">
        <f>J40</f>
        <v>651.847419918528</v>
      </c>
      <c r="J4" s="53" t="s">
        <v>392</v>
      </c>
      <c r="K4" s="60"/>
      <c r="L4" s="61"/>
      <c r="M4" s="44"/>
      <c r="N4" s="44"/>
      <c r="O4" s="44"/>
      <c r="P4" s="44"/>
      <c r="Q4" s="44"/>
      <c r="R4" s="62"/>
      <c r="S4" s="47"/>
      <c r="T4" s="47"/>
    </row>
    <row r="5" s="27" customFormat="1" ht="18" customHeight="1" spans="1:20">
      <c r="A5" s="34"/>
      <c r="B5" s="48">
        <v>3</v>
      </c>
      <c r="C5" s="63"/>
      <c r="D5" s="48" t="s">
        <v>395</v>
      </c>
      <c r="E5" s="48"/>
      <c r="F5" s="50"/>
      <c r="G5" s="48"/>
      <c r="H5" s="51"/>
      <c r="I5" s="52">
        <f>J41</f>
        <v>10</v>
      </c>
      <c r="J5" s="53" t="s">
        <v>392</v>
      </c>
      <c r="K5" s="60"/>
      <c r="L5" s="60"/>
      <c r="M5" s="64" t="s">
        <v>396</v>
      </c>
      <c r="N5" s="65" t="s">
        <v>397</v>
      </c>
      <c r="O5" s="65" t="s">
        <v>398</v>
      </c>
      <c r="P5" s="65" t="s">
        <v>399</v>
      </c>
      <c r="Q5" s="65" t="s">
        <v>400</v>
      </c>
      <c r="R5" s="66" t="s">
        <v>401</v>
      </c>
      <c r="S5" s="47"/>
      <c r="T5" s="47"/>
    </row>
    <row r="6" s="27" customFormat="1" ht="18" customHeight="1" spans="1:20">
      <c r="A6" s="34"/>
      <c r="B6" s="48">
        <v>4</v>
      </c>
      <c r="C6" s="48" t="s">
        <v>402</v>
      </c>
      <c r="D6" s="67" t="s">
        <v>403</v>
      </c>
      <c r="E6" s="67"/>
      <c r="F6" s="50"/>
      <c r="G6" s="67"/>
      <c r="H6" s="68"/>
      <c r="I6" s="52">
        <f>SUM(I3:I5)</f>
        <v>741.847419918528</v>
      </c>
      <c r="J6" s="53" t="s">
        <v>392</v>
      </c>
      <c r="K6" s="60"/>
      <c r="L6" s="69" t="s">
        <v>404</v>
      </c>
      <c r="M6" s="70" t="s">
        <v>405</v>
      </c>
      <c r="N6" s="34"/>
      <c r="O6" s="34">
        <f>P3</f>
        <v>1.75</v>
      </c>
      <c r="P6" s="34">
        <v>2</v>
      </c>
      <c r="Q6" s="44">
        <f>+P6*O6*N6</f>
        <v>0</v>
      </c>
      <c r="R6" s="71">
        <f>+Q6/R3</f>
        <v>0</v>
      </c>
      <c r="S6" s="47"/>
      <c r="T6" s="47"/>
    </row>
    <row r="7" s="27" customFormat="1" ht="28" customHeight="1" spans="1:20">
      <c r="A7" s="34"/>
      <c r="B7" s="48">
        <v>5</v>
      </c>
      <c r="C7" s="72" t="s">
        <v>406</v>
      </c>
      <c r="D7" s="48" t="s">
        <v>407</v>
      </c>
      <c r="E7" s="48"/>
      <c r="F7" s="50"/>
      <c r="G7" s="48"/>
      <c r="H7" s="73">
        <f>+'材料表 '!$E$178</f>
        <v>0</v>
      </c>
      <c r="I7" s="52">
        <f>H7*I6</f>
        <v>0</v>
      </c>
      <c r="J7" s="53" t="s">
        <v>392</v>
      </c>
      <c r="K7" s="60"/>
      <c r="L7" s="69" t="s">
        <v>404</v>
      </c>
      <c r="M7" s="70" t="s">
        <v>408</v>
      </c>
      <c r="N7" s="34"/>
      <c r="O7" s="34">
        <f>O3</f>
        <v>4.05</v>
      </c>
      <c r="P7" s="34">
        <v>2</v>
      </c>
      <c r="Q7" s="44">
        <f>+P7*O7*N7</f>
        <v>0</v>
      </c>
      <c r="R7" s="71">
        <f>+Q7/R3</f>
        <v>0</v>
      </c>
      <c r="S7" s="47"/>
      <c r="T7" s="47"/>
    </row>
    <row r="8" s="27" customFormat="1" ht="18" customHeight="1" spans="1:20">
      <c r="A8" s="34"/>
      <c r="B8" s="48">
        <v>6</v>
      </c>
      <c r="C8" s="48" t="s">
        <v>409</v>
      </c>
      <c r="D8" s="48" t="s">
        <v>410</v>
      </c>
      <c r="E8" s="48"/>
      <c r="F8" s="50"/>
      <c r="G8" s="48"/>
      <c r="H8" s="73">
        <f>+'材料表 '!$E$179</f>
        <v>0</v>
      </c>
      <c r="I8" s="52">
        <f>H8*I6</f>
        <v>0</v>
      </c>
      <c r="J8" s="53" t="s">
        <v>392</v>
      </c>
      <c r="K8" s="60"/>
      <c r="L8" s="69" t="s">
        <v>404</v>
      </c>
      <c r="M8" s="70" t="s">
        <v>411</v>
      </c>
      <c r="N8" s="34"/>
      <c r="O8" s="34">
        <f>P3*2</f>
        <v>3.5</v>
      </c>
      <c r="P8" s="34">
        <v>1</v>
      </c>
      <c r="Q8" s="44">
        <f>+P8*O8*N8</f>
        <v>0</v>
      </c>
      <c r="R8" s="71">
        <f>+Q8/R3</f>
        <v>0</v>
      </c>
      <c r="S8" s="47"/>
      <c r="T8" s="47"/>
    </row>
    <row r="9" s="27" customFormat="1" ht="18" customHeight="1" spans="1:20">
      <c r="A9" s="34"/>
      <c r="B9" s="48">
        <v>7</v>
      </c>
      <c r="C9" s="48" t="s">
        <v>412</v>
      </c>
      <c r="D9" s="72" t="s">
        <v>413</v>
      </c>
      <c r="E9" s="72"/>
      <c r="F9" s="77"/>
      <c r="G9" s="72"/>
      <c r="H9" s="73">
        <f>+'材料表 '!$E$180</f>
        <v>0.09</v>
      </c>
      <c r="I9" s="52">
        <f>(I6+I7+I8)*H9</f>
        <v>66.7662677926675</v>
      </c>
      <c r="J9" s="53" t="s">
        <v>392</v>
      </c>
      <c r="K9" s="60"/>
      <c r="L9" s="69" t="s">
        <v>404</v>
      </c>
      <c r="M9" s="70" t="s">
        <v>414</v>
      </c>
      <c r="N9" s="83"/>
      <c r="O9" s="83">
        <v>0</v>
      </c>
      <c r="P9" s="34">
        <v>1</v>
      </c>
      <c r="Q9" s="44">
        <f t="shared" ref="Q9:Q14" si="0">+P9*O9*N9</f>
        <v>0</v>
      </c>
      <c r="R9" s="71">
        <f>+Q9/R3</f>
        <v>0</v>
      </c>
      <c r="S9" s="47"/>
      <c r="T9" s="47"/>
    </row>
    <row r="10" s="27" customFormat="1" ht="18" customHeight="1" spans="1:20">
      <c r="A10" s="34" t="s">
        <v>42</v>
      </c>
      <c r="B10" s="48">
        <v>8</v>
      </c>
      <c r="C10" s="48" t="s">
        <v>363</v>
      </c>
      <c r="D10" s="106" t="s">
        <v>415</v>
      </c>
      <c r="E10" s="107"/>
      <c r="F10" s="108"/>
      <c r="G10" s="107"/>
      <c r="H10" s="51"/>
      <c r="I10" s="74">
        <f>SUM(I6:I9)</f>
        <v>808.613687711195</v>
      </c>
      <c r="J10" s="53" t="s">
        <v>416</v>
      </c>
      <c r="K10" s="60"/>
      <c r="L10" s="69" t="s">
        <v>404</v>
      </c>
      <c r="M10" s="70" t="s">
        <v>417</v>
      </c>
      <c r="N10" s="34"/>
      <c r="O10" s="34">
        <v>0</v>
      </c>
      <c r="P10" s="34">
        <v>1</v>
      </c>
      <c r="Q10" s="44">
        <f t="shared" si="0"/>
        <v>0</v>
      </c>
      <c r="R10" s="71">
        <f>+Q10/R3</f>
        <v>0</v>
      </c>
      <c r="S10" s="79"/>
      <c r="T10" s="47"/>
    </row>
    <row r="11" s="27" customFormat="1" ht="18" customHeight="1" spans="1:20">
      <c r="A11" s="34"/>
      <c r="B11" s="109" t="s">
        <v>418</v>
      </c>
      <c r="C11" s="110"/>
      <c r="D11" s="110"/>
      <c r="E11" s="110"/>
      <c r="F11" s="110"/>
      <c r="G11" s="110"/>
      <c r="H11" s="110"/>
      <c r="I11" s="110"/>
      <c r="J11" s="110"/>
      <c r="K11" s="80"/>
      <c r="L11" s="69" t="s">
        <v>404</v>
      </c>
      <c r="M11" s="70" t="s">
        <v>419</v>
      </c>
      <c r="N11" s="101"/>
      <c r="O11" s="34">
        <f>(P3*2+0.65*2)*2</f>
        <v>9.6</v>
      </c>
      <c r="P11" s="34">
        <v>1</v>
      </c>
      <c r="Q11" s="44">
        <f t="shared" si="0"/>
        <v>0</v>
      </c>
      <c r="R11" s="71">
        <f>+Q11/R3</f>
        <v>0</v>
      </c>
      <c r="S11" s="47"/>
      <c r="T11" s="47"/>
    </row>
    <row r="12" s="27" customFormat="1" ht="18" customHeight="1" spans="1:20">
      <c r="A12" s="34"/>
      <c r="B12" s="48">
        <v>1</v>
      </c>
      <c r="C12" s="48" t="s">
        <v>391</v>
      </c>
      <c r="D12" s="48" t="s">
        <v>396</v>
      </c>
      <c r="E12" s="48" t="s">
        <v>37</v>
      </c>
      <c r="F12" s="50"/>
      <c r="G12" s="48"/>
      <c r="H12" s="51" t="s">
        <v>399</v>
      </c>
      <c r="I12" s="51" t="s">
        <v>420</v>
      </c>
      <c r="J12" s="95" t="s">
        <v>421</v>
      </c>
      <c r="K12" s="92"/>
      <c r="L12" s="69" t="s">
        <v>404</v>
      </c>
      <c r="M12" s="70" t="s">
        <v>422</v>
      </c>
      <c r="N12" s="82"/>
      <c r="O12" s="44">
        <f>O11</f>
        <v>9.6</v>
      </c>
      <c r="P12" s="34">
        <v>1</v>
      </c>
      <c r="Q12" s="44">
        <f t="shared" si="0"/>
        <v>0</v>
      </c>
      <c r="R12" s="71">
        <f>+Q12/R3</f>
        <v>0</v>
      </c>
      <c r="S12" s="47"/>
      <c r="T12" s="47"/>
    </row>
    <row r="13" s="27" customFormat="1" ht="18" customHeight="1" spans="1:20">
      <c r="A13" s="34"/>
      <c r="B13" s="48">
        <v>2</v>
      </c>
      <c r="C13" s="48"/>
      <c r="D13" s="111" t="s">
        <v>41</v>
      </c>
      <c r="E13" s="49" t="s">
        <v>423</v>
      </c>
      <c r="F13" s="112"/>
      <c r="G13" s="111"/>
      <c r="H13" s="113">
        <v>1</v>
      </c>
      <c r="I13" s="113">
        <f>+辅材及安装费!$G$10</f>
        <v>80</v>
      </c>
      <c r="J13" s="114">
        <f t="shared" ref="J13:J29" si="1">H13*I13</f>
        <v>80</v>
      </c>
      <c r="K13" s="92"/>
      <c r="L13" s="69" t="s">
        <v>404</v>
      </c>
      <c r="M13" s="27" t="s">
        <v>424</v>
      </c>
      <c r="N13" s="83"/>
      <c r="O13" s="83">
        <f>O12</f>
        <v>9.6</v>
      </c>
      <c r="P13" s="34">
        <v>1</v>
      </c>
      <c r="Q13" s="44">
        <f t="shared" si="0"/>
        <v>0</v>
      </c>
      <c r="R13" s="71">
        <f>+Q13/R3</f>
        <v>0</v>
      </c>
      <c r="S13" s="47"/>
      <c r="T13" s="47"/>
    </row>
    <row r="14" s="27" customFormat="1" ht="18" customHeight="1" spans="1:20">
      <c r="A14" s="34"/>
      <c r="B14" s="48">
        <v>3</v>
      </c>
      <c r="C14" s="48"/>
      <c r="D14" s="115"/>
      <c r="E14" s="63"/>
      <c r="F14" s="116"/>
      <c r="G14" s="115"/>
      <c r="H14" s="117"/>
      <c r="I14" s="117"/>
      <c r="J14" s="118"/>
      <c r="K14" s="92"/>
      <c r="L14" s="69" t="s">
        <v>404</v>
      </c>
      <c r="M14" s="27" t="s">
        <v>425</v>
      </c>
      <c r="N14" s="83"/>
      <c r="O14" s="83">
        <f>2.75*2+P3*2</f>
        <v>9</v>
      </c>
      <c r="P14" s="34">
        <v>1</v>
      </c>
      <c r="Q14" s="44">
        <f t="shared" si="0"/>
        <v>0</v>
      </c>
      <c r="R14" s="71">
        <f>+Q14/R3</f>
        <v>0</v>
      </c>
      <c r="S14" s="47"/>
      <c r="T14" s="47"/>
    </row>
    <row r="15" s="27" customFormat="1" ht="18" customHeight="1" spans="1:20">
      <c r="A15" s="34"/>
      <c r="B15" s="48">
        <v>4</v>
      </c>
      <c r="C15" s="48"/>
      <c r="D15" s="85" t="s">
        <v>426</v>
      </c>
      <c r="E15" s="48" t="s">
        <v>392</v>
      </c>
      <c r="F15" s="50"/>
      <c r="G15" s="48"/>
      <c r="H15" s="86"/>
      <c r="I15" s="86"/>
      <c r="J15" s="95">
        <f>SUM(J13:J13)</f>
        <v>80</v>
      </c>
      <c r="K15" s="60"/>
      <c r="N15" s="83"/>
      <c r="O15" s="83"/>
      <c r="P15" s="83"/>
      <c r="Q15" s="83"/>
      <c r="S15" s="47"/>
      <c r="T15" s="47"/>
    </row>
    <row r="16" s="27" customFormat="1" ht="23" customHeight="1" spans="1:20">
      <c r="A16" s="34"/>
      <c r="B16" s="48">
        <v>1</v>
      </c>
      <c r="C16" s="48" t="s">
        <v>394</v>
      </c>
      <c r="D16" s="88" t="s">
        <v>427</v>
      </c>
      <c r="E16" s="72" t="str">
        <f>+VLOOKUP(D16,'材料表 '!C:F,2,0)</f>
        <v>kg</v>
      </c>
      <c r="F16" s="77">
        <f>+SUMIF($L$3:$L$41,D16,$R$3:$R$41)</f>
        <v>0</v>
      </c>
      <c r="G16" s="89">
        <f>+VLOOKUP(D16,'材料表 '!C:F,4,0)</f>
        <v>0.03</v>
      </c>
      <c r="H16" s="74">
        <f t="shared" ref="H16:H29" si="2">F16*(G16+1)</f>
        <v>0</v>
      </c>
      <c r="I16" s="74">
        <f>+VLOOKUP(D16,'材料表 '!C:F,3,0)</f>
        <v>25.8495575221239</v>
      </c>
      <c r="J16" s="95">
        <f t="shared" si="1"/>
        <v>0</v>
      </c>
      <c r="K16" s="60">
        <f ca="1">H16*K2</f>
        <v>0</v>
      </c>
      <c r="N16" s="83"/>
      <c r="O16" s="83"/>
      <c r="P16" s="83"/>
      <c r="Q16" s="83"/>
      <c r="S16" s="47"/>
      <c r="T16" s="47"/>
    </row>
    <row r="17" s="27" customFormat="1" ht="18" customHeight="1" spans="1:20">
      <c r="A17" s="34"/>
      <c r="B17" s="48">
        <v>2</v>
      </c>
      <c r="C17" s="48"/>
      <c r="D17" s="88" t="s">
        <v>404</v>
      </c>
      <c r="E17" s="72" t="str">
        <f>+VLOOKUP(D17,'材料表 '!C:F,2,0)</f>
        <v>kg</v>
      </c>
      <c r="F17" s="77">
        <v>12</v>
      </c>
      <c r="G17" s="89">
        <f>+VLOOKUP(D17,'材料表 '!C:F,4,0)</f>
        <v>0.03</v>
      </c>
      <c r="H17" s="74">
        <f t="shared" si="2"/>
        <v>12.36</v>
      </c>
      <c r="I17" s="74">
        <f>+VLOOKUP(D17,'材料表 '!C:F,3,0)</f>
        <v>25.6725663716814</v>
      </c>
      <c r="J17" s="95">
        <f t="shared" si="1"/>
        <v>317.312920353982</v>
      </c>
      <c r="K17" s="60">
        <f ca="1">H17*K2</f>
        <v>175.203</v>
      </c>
      <c r="L17" s="90" t="s">
        <v>428</v>
      </c>
      <c r="M17" s="44"/>
      <c r="N17" s="82"/>
      <c r="O17" s="44">
        <f>(O6*P6+O7*P7+O8*P8+O9*P9+O10*P10+O11*P11+O12*P12)</f>
        <v>34.3</v>
      </c>
      <c r="P17" s="44">
        <f>+P6</f>
        <v>2</v>
      </c>
      <c r="Q17" s="44">
        <f>+P17*O17</f>
        <v>68.6</v>
      </c>
      <c r="R17" s="84">
        <f>+Q17/R3</f>
        <v>9.67901234567901</v>
      </c>
      <c r="S17" s="47"/>
      <c r="T17" s="47"/>
    </row>
    <row r="18" s="27" customFormat="1" ht="18" customHeight="1" spans="1:20">
      <c r="A18" s="34"/>
      <c r="B18" s="48">
        <v>3</v>
      </c>
      <c r="C18" s="48"/>
      <c r="D18" s="88" t="s">
        <v>429</v>
      </c>
      <c r="E18" s="72" t="str">
        <f>+VLOOKUP(D18,'材料表 '!C:F,2,0)</f>
        <v>kg</v>
      </c>
      <c r="F18" s="77">
        <f t="shared" ref="F17:F24" si="3">+SUMIF($L$3:$L$41,D18,$R$3:$R$41)</f>
        <v>0</v>
      </c>
      <c r="G18" s="89">
        <f>+VLOOKUP(D18,'材料表 '!C:F,4,0)</f>
        <v>0.03</v>
      </c>
      <c r="H18" s="74">
        <f t="shared" si="2"/>
        <v>0</v>
      </c>
      <c r="I18" s="74">
        <f>+VLOOKUP(D18,'材料表 '!C:F,3,0)</f>
        <v>26.1150442477876</v>
      </c>
      <c r="J18" s="95">
        <f t="shared" si="1"/>
        <v>0</v>
      </c>
      <c r="K18" s="60">
        <f ca="1">H18*K2</f>
        <v>0</v>
      </c>
      <c r="L18" s="90"/>
      <c r="M18" s="44"/>
      <c r="N18" s="82"/>
      <c r="O18" s="44"/>
      <c r="P18" s="44"/>
      <c r="Q18" s="44"/>
      <c r="R18" s="84"/>
      <c r="S18" s="47"/>
      <c r="T18" s="47"/>
    </row>
    <row r="19" s="27" customFormat="1" ht="18" customHeight="1" spans="1:20">
      <c r="A19" s="34"/>
      <c r="B19" s="48">
        <v>4</v>
      </c>
      <c r="C19" s="48"/>
      <c r="D19" s="88" t="s">
        <v>430</v>
      </c>
      <c r="E19" s="72" t="str">
        <f>+VLOOKUP(D19,'材料表 '!C:F,2,0)</f>
        <v>kg</v>
      </c>
      <c r="F19" s="77">
        <f t="shared" si="3"/>
        <v>0</v>
      </c>
      <c r="G19" s="89">
        <f>+VLOOKUP(D19,'材料表 '!C:F,4,0)</f>
        <v>0.03</v>
      </c>
      <c r="H19" s="74">
        <f t="shared" si="2"/>
        <v>0</v>
      </c>
      <c r="I19" s="74">
        <f>+VLOOKUP(D19,'材料表 '!C:F,3,0)</f>
        <v>24.6106194690265</v>
      </c>
      <c r="J19" s="95">
        <f t="shared" si="1"/>
        <v>0</v>
      </c>
      <c r="K19" s="60">
        <f ca="1">H19*K2</f>
        <v>0</v>
      </c>
      <c r="L19" s="90" t="s">
        <v>431</v>
      </c>
      <c r="M19" s="91" t="s">
        <v>432</v>
      </c>
      <c r="N19" s="82">
        <v>4.898</v>
      </c>
      <c r="O19" s="44">
        <f>+O3*2+P3*2</f>
        <v>11.6</v>
      </c>
      <c r="P19" s="44">
        <v>1</v>
      </c>
      <c r="Q19" s="44">
        <f>+P19*O19*N19</f>
        <v>56.8168</v>
      </c>
      <c r="R19" s="84">
        <f>+Q19/R3</f>
        <v>8.01647971781305</v>
      </c>
      <c r="S19" s="47"/>
      <c r="T19" s="47"/>
    </row>
    <row r="20" s="27" customFormat="1" ht="18" customHeight="1" spans="1:20">
      <c r="A20" s="34"/>
      <c r="B20" s="48">
        <v>5</v>
      </c>
      <c r="C20" s="48"/>
      <c r="D20" s="88" t="s">
        <v>433</v>
      </c>
      <c r="E20" s="72" t="str">
        <f>+VLOOKUP(D20,'材料表 '!C:F,2,0)</f>
        <v>kg</v>
      </c>
      <c r="F20" s="77">
        <f t="shared" si="3"/>
        <v>0</v>
      </c>
      <c r="G20" s="89">
        <f>+VLOOKUP(D20,'材料表 '!C:F,4,0)</f>
        <v>0.03</v>
      </c>
      <c r="H20" s="74">
        <f t="shared" si="2"/>
        <v>0</v>
      </c>
      <c r="I20" s="74">
        <f>+VLOOKUP(D20,'材料表 '!C:F,3,0)</f>
        <v>26.1150442477876</v>
      </c>
      <c r="J20" s="95">
        <f t="shared" si="1"/>
        <v>0</v>
      </c>
      <c r="K20" s="92">
        <f ca="1">H20*K2</f>
        <v>0</v>
      </c>
      <c r="L20" s="90"/>
      <c r="M20" s="91"/>
      <c r="N20" s="82"/>
      <c r="O20" s="44"/>
      <c r="P20" s="44"/>
      <c r="Q20" s="44"/>
      <c r="R20" s="84">
        <f>+Q20/R3</f>
        <v>0</v>
      </c>
      <c r="S20" s="47"/>
      <c r="T20" s="47"/>
    </row>
    <row r="21" s="27" customFormat="1" ht="18" customHeight="1" spans="1:20">
      <c r="A21" s="34"/>
      <c r="B21" s="48">
        <v>6</v>
      </c>
      <c r="C21" s="48"/>
      <c r="D21" s="88" t="s">
        <v>434</v>
      </c>
      <c r="E21" s="72" t="str">
        <f>+VLOOKUP(D21,'材料表 '!C:F,2,0)</f>
        <v>m2</v>
      </c>
      <c r="F21" s="77">
        <f t="shared" si="3"/>
        <v>0</v>
      </c>
      <c r="G21" s="89">
        <f>+VLOOKUP(D21,'材料表 '!C:F,4,0)</f>
        <v>0</v>
      </c>
      <c r="H21" s="74">
        <f t="shared" si="2"/>
        <v>0</v>
      </c>
      <c r="I21" s="74">
        <f>+VLOOKUP(D21,'材料表 '!C:F,3,0)</f>
        <v>49.5575221238938</v>
      </c>
      <c r="J21" s="95">
        <f t="shared" si="1"/>
        <v>0</v>
      </c>
      <c r="K21" s="92">
        <f ca="1">H21*K2</f>
        <v>0</v>
      </c>
      <c r="L21" s="34"/>
      <c r="N21" s="34"/>
      <c r="O21" s="34"/>
      <c r="P21" s="34"/>
      <c r="Q21" s="34"/>
      <c r="R21" s="84">
        <f>+Q28/R3</f>
        <v>0.237798941798942</v>
      </c>
      <c r="S21" s="47"/>
      <c r="T21" s="47"/>
    </row>
    <row r="22" s="27" customFormat="1" ht="18" customHeight="1" spans="1:20">
      <c r="A22" s="34"/>
      <c r="B22" s="48">
        <v>7</v>
      </c>
      <c r="C22" s="48"/>
      <c r="D22" s="88" t="s">
        <v>428</v>
      </c>
      <c r="E22" s="72" t="str">
        <f>+VLOOKUP(D22,'材料表 '!C:F,2,0)</f>
        <v>m</v>
      </c>
      <c r="F22" s="77">
        <f t="shared" si="3"/>
        <v>9.67901234567901</v>
      </c>
      <c r="G22" s="89">
        <f>+VLOOKUP(D22,'材料表 '!C:F,4,0)</f>
        <v>0</v>
      </c>
      <c r="H22" s="74">
        <f t="shared" si="2"/>
        <v>9.67901234567901</v>
      </c>
      <c r="I22" s="74">
        <f>+VLOOKUP(D22,'材料表 '!C:F,3,0)</f>
        <v>5.30973451327434</v>
      </c>
      <c r="J22" s="95">
        <f t="shared" si="1"/>
        <v>51.3929859062603</v>
      </c>
      <c r="K22" s="92">
        <f ca="1">H22*K2</f>
        <v>137.2</v>
      </c>
      <c r="N22" s="83"/>
      <c r="O22" s="83"/>
      <c r="P22" s="83"/>
      <c r="Q22" s="83"/>
      <c r="R22" s="84">
        <f>+Q29/R3</f>
        <v>0.598984126984127</v>
      </c>
      <c r="S22" s="47"/>
      <c r="T22" s="47"/>
    </row>
    <row r="23" s="27" customFormat="1" ht="18" customHeight="1" spans="1:20">
      <c r="A23" s="34"/>
      <c r="B23" s="48">
        <v>8</v>
      </c>
      <c r="C23" s="48"/>
      <c r="D23" s="88" t="s">
        <v>431</v>
      </c>
      <c r="E23" s="72" t="str">
        <f>+VLOOKUP(D23,'材料表 '!C:F,2,0)</f>
        <v>kg</v>
      </c>
      <c r="F23" s="77">
        <f t="shared" si="3"/>
        <v>8.01647971781305</v>
      </c>
      <c r="G23" s="89">
        <f>+VLOOKUP(D23,'材料表 '!C:F,4,0)</f>
        <v>0.03</v>
      </c>
      <c r="H23" s="74">
        <f t="shared" si="2"/>
        <v>8.25697410934744</v>
      </c>
      <c r="I23" s="74">
        <f>+VLOOKUP(D23,'材料表 '!C:F,3,0)</f>
        <v>3.80530973451327</v>
      </c>
      <c r="J23" s="95">
        <f t="shared" si="1"/>
        <v>31.4203439559239</v>
      </c>
      <c r="K23" s="92">
        <f ca="1">H23*K2</f>
        <v>117.042608</v>
      </c>
      <c r="L23" s="90"/>
      <c r="M23" s="44"/>
      <c r="N23" s="82"/>
      <c r="O23" s="44"/>
      <c r="P23" s="44"/>
      <c r="Q23" s="44"/>
      <c r="R23" s="84">
        <f>+Q23/R3</f>
        <v>0</v>
      </c>
      <c r="S23" s="47"/>
      <c r="T23" s="47"/>
    </row>
    <row r="24" s="27" customFormat="1" ht="18" customHeight="1" spans="1:20">
      <c r="A24" s="34"/>
      <c r="B24" s="48">
        <v>9</v>
      </c>
      <c r="C24" s="48"/>
      <c r="D24" s="88" t="s">
        <v>435</v>
      </c>
      <c r="E24" s="72" t="str">
        <f>+VLOOKUP(D24,'材料表 '!C:F,2,0)</f>
        <v>kg</v>
      </c>
      <c r="F24" s="77">
        <f>0.065*1.3*(O12)*2/R3</f>
        <v>0.228910052910053</v>
      </c>
      <c r="G24" s="89">
        <f>+VLOOKUP(D24,'材料表 '!C:F,4,0)</f>
        <v>0.03</v>
      </c>
      <c r="H24" s="74">
        <f t="shared" si="2"/>
        <v>0.235777354497355</v>
      </c>
      <c r="I24" s="74">
        <f>+VLOOKUP(D24,'材料表 '!C:F,3,0)</f>
        <v>19.4690265486726</v>
      </c>
      <c r="J24" s="95">
        <f t="shared" si="1"/>
        <v>4.59035557428479</v>
      </c>
      <c r="K24" s="92">
        <f ca="1">H24*K2</f>
        <v>3.34214400000001</v>
      </c>
      <c r="L24" s="90"/>
      <c r="M24" s="44"/>
      <c r="N24" s="82"/>
      <c r="O24" s="44"/>
      <c r="P24" s="44"/>
      <c r="Q24" s="44"/>
      <c r="R24" s="84">
        <f>+Q24/R3</f>
        <v>0</v>
      </c>
      <c r="S24" s="47"/>
      <c r="T24" s="47"/>
    </row>
    <row r="25" s="27" customFormat="1" ht="18" customHeight="1" spans="1:20">
      <c r="A25" s="34"/>
      <c r="B25" s="48">
        <v>10</v>
      </c>
      <c r="C25" s="48"/>
      <c r="D25" s="88" t="s">
        <v>436</v>
      </c>
      <c r="E25" s="72" t="str">
        <f>+VLOOKUP(D25,'材料表 '!C:F,2,0)</f>
        <v>支</v>
      </c>
      <c r="F25" s="77">
        <f>0.8</f>
        <v>0.8</v>
      </c>
      <c r="G25" s="89">
        <f>+VLOOKUP(D25,'材料表 '!C:F,4,0)</f>
        <v>0.15</v>
      </c>
      <c r="H25" s="74">
        <f t="shared" si="2"/>
        <v>0.92</v>
      </c>
      <c r="I25" s="74">
        <f>+VLOOKUP(D25,'材料表 '!C:F,3,0)</f>
        <v>11.5044247787611</v>
      </c>
      <c r="J25" s="95">
        <f t="shared" si="1"/>
        <v>10.5840707964602</v>
      </c>
      <c r="K25" s="92">
        <f ca="1">H25*K2</f>
        <v>13.041</v>
      </c>
      <c r="L25" s="92"/>
      <c r="M25" s="44"/>
      <c r="N25" s="82"/>
      <c r="O25" s="44"/>
      <c r="P25" s="44"/>
      <c r="Q25" s="44"/>
      <c r="R25" s="84">
        <f>+Q25/R3</f>
        <v>0</v>
      </c>
      <c r="S25" s="47"/>
      <c r="T25" s="47"/>
    </row>
    <row r="26" s="27" customFormat="1" ht="18" customHeight="1" spans="1:20">
      <c r="A26" s="34"/>
      <c r="B26" s="48">
        <v>11</v>
      </c>
      <c r="C26" s="48"/>
      <c r="D26" s="88" t="s">
        <v>437</v>
      </c>
      <c r="E26" s="72" t="str">
        <f>+VLOOKUP(D26,'材料表 '!C:F,2,0)</f>
        <v>m</v>
      </c>
      <c r="F26" s="77">
        <f>(O3*2+P3*2)/R3</f>
        <v>1.63668430335097</v>
      </c>
      <c r="G26" s="89">
        <f>+VLOOKUP(D26,'材料表 '!C:F,4,0)</f>
        <v>0</v>
      </c>
      <c r="H26" s="74">
        <f t="shared" si="2"/>
        <v>1.63668430335097</v>
      </c>
      <c r="I26" s="74">
        <f>+VLOOKUP(D26,'材料表 '!C:F,3,0)</f>
        <v>0</v>
      </c>
      <c r="J26" s="95">
        <f t="shared" si="1"/>
        <v>0</v>
      </c>
      <c r="K26" s="92">
        <f ca="1">H26*K2</f>
        <v>23.2</v>
      </c>
      <c r="L26" s="92"/>
      <c r="M26" s="44"/>
      <c r="N26" s="82"/>
      <c r="O26" s="44"/>
      <c r="P26" s="44"/>
      <c r="Q26" s="44"/>
      <c r="R26" s="84">
        <f>+Q26/R3</f>
        <v>0</v>
      </c>
      <c r="S26" s="47"/>
      <c r="T26" s="47"/>
    </row>
    <row r="27" s="27" customFormat="1" ht="18" customHeight="1" spans="1:20">
      <c r="A27" s="34"/>
      <c r="B27" s="48">
        <v>12</v>
      </c>
      <c r="C27" s="48"/>
      <c r="D27" s="88" t="s">
        <v>438</v>
      </c>
      <c r="E27" s="72" t="str">
        <f>+VLOOKUP(D27,'材料表 '!C:F,2,0)</f>
        <v>套</v>
      </c>
      <c r="F27" s="77">
        <f>2/R3</f>
        <v>0.282186948853616</v>
      </c>
      <c r="G27" s="89">
        <f>+VLOOKUP(D27,'材料表 '!C:F,4,0)</f>
        <v>0</v>
      </c>
      <c r="H27" s="74">
        <f t="shared" si="2"/>
        <v>0.282186948853616</v>
      </c>
      <c r="I27" s="74">
        <f>+VLOOKUP(D27,'材料表 '!C:F,3,0)</f>
        <v>247.787610619469</v>
      </c>
      <c r="J27" s="95">
        <f t="shared" si="1"/>
        <v>69.9224298044358</v>
      </c>
      <c r="K27" s="92">
        <f ca="1">H27*K2</f>
        <v>4.00000000000001</v>
      </c>
      <c r="L27" s="92"/>
      <c r="M27" s="44"/>
      <c r="N27" s="82"/>
      <c r="O27" s="44"/>
      <c r="P27" s="44"/>
      <c r="Q27" s="44"/>
      <c r="R27" s="84"/>
      <c r="S27" s="47"/>
      <c r="T27" s="47"/>
    </row>
    <row r="28" s="27" customFormat="1" ht="32" customHeight="1" spans="1:20">
      <c r="A28" s="34"/>
      <c r="B28" s="48">
        <v>13</v>
      </c>
      <c r="C28" s="48"/>
      <c r="D28" s="88" t="s">
        <v>439</v>
      </c>
      <c r="E28" s="72" t="str">
        <f>+VLOOKUP(D28,'材料表 '!C:F,2,0)</f>
        <v>m2</v>
      </c>
      <c r="F28" s="77">
        <f>+SUMIF($L$3:$L$41,D28,$R$3:$R$41)</f>
        <v>0.237798941798942</v>
      </c>
      <c r="G28" s="89">
        <f>+VLOOKUP(D28,'材料表 '!C:F,4,0)</f>
        <v>0.01</v>
      </c>
      <c r="H28" s="74">
        <f t="shared" si="2"/>
        <v>0.240176931216931</v>
      </c>
      <c r="I28" s="74">
        <f>+VLOOKUP(D28,'材料表 '!C:F,3,0)</f>
        <v>132.743362831858</v>
      </c>
      <c r="J28" s="95">
        <f t="shared" si="1"/>
        <v>31.8818935243713</v>
      </c>
      <c r="K28" s="92">
        <f ca="1">H28*K2</f>
        <v>3.404508</v>
      </c>
      <c r="L28" s="90" t="s">
        <v>439</v>
      </c>
      <c r="M28" s="44"/>
      <c r="N28" s="82">
        <f>(0.65-0.08-0.04)*(1.75-0.08*2)</f>
        <v>0.8427</v>
      </c>
      <c r="O28" s="44"/>
      <c r="P28" s="44">
        <v>2</v>
      </c>
      <c r="Q28" s="44">
        <f>N28*P28</f>
        <v>1.6854</v>
      </c>
      <c r="R28" s="84">
        <f>Q28/R3</f>
        <v>0.237798941798942</v>
      </c>
      <c r="S28" s="47"/>
      <c r="T28" s="47"/>
    </row>
    <row r="29" s="27" customFormat="1" ht="43" customHeight="1" spans="1:20">
      <c r="A29" s="34"/>
      <c r="B29" s="48">
        <v>14</v>
      </c>
      <c r="C29" s="48"/>
      <c r="D29" s="88" t="s">
        <v>440</v>
      </c>
      <c r="E29" s="72" t="str">
        <f>+VLOOKUP(D29,'材料表 '!C:F,2,0)</f>
        <v>m2</v>
      </c>
      <c r="F29" s="77">
        <f>+SUMIF($L$3:$L$41,D29,$R$3:$R$41)</f>
        <v>0.598984126984127</v>
      </c>
      <c r="G29" s="89">
        <f>+VLOOKUP(D29,'材料表 '!C:F,4,0)</f>
        <v>0.01</v>
      </c>
      <c r="H29" s="74">
        <f t="shared" si="2"/>
        <v>0.604973968253968</v>
      </c>
      <c r="I29" s="74">
        <f>+VLOOKUP(D29,'材料表 '!C:F,3,0)</f>
        <v>206.194690265487</v>
      </c>
      <c r="J29" s="95">
        <f t="shared" si="1"/>
        <v>124.74242000281</v>
      </c>
      <c r="K29" s="92">
        <f ca="1">H29*K2</f>
        <v>8.575506</v>
      </c>
      <c r="L29" s="90" t="s">
        <v>440</v>
      </c>
      <c r="M29" s="44"/>
      <c r="N29" s="82">
        <f>(2.75-0.04-0.04)*(1.75-0.08*2)</f>
        <v>4.2453</v>
      </c>
      <c r="O29" s="44"/>
      <c r="P29" s="44">
        <v>1</v>
      </c>
      <c r="Q29" s="44">
        <f>N29*P29</f>
        <v>4.2453</v>
      </c>
      <c r="R29" s="84">
        <f>Q29/R3</f>
        <v>0.598984126984127</v>
      </c>
      <c r="S29" s="47"/>
      <c r="T29" s="47"/>
    </row>
    <row r="30" s="27" customFormat="1" ht="18" customHeight="1" spans="1:20">
      <c r="A30" s="34"/>
      <c r="B30" s="48">
        <v>15</v>
      </c>
      <c r="C30" s="48"/>
      <c r="D30" s="88"/>
      <c r="E30" s="72"/>
      <c r="F30" s="77"/>
      <c r="G30" s="89"/>
      <c r="H30" s="74"/>
      <c r="I30" s="74"/>
      <c r="J30" s="95"/>
      <c r="K30" s="92"/>
      <c r="L30" s="92"/>
      <c r="M30" s="44"/>
      <c r="N30" s="82"/>
      <c r="O30" s="44"/>
      <c r="P30" s="44"/>
      <c r="Q30" s="44"/>
      <c r="R30" s="84"/>
      <c r="S30" s="47"/>
      <c r="T30" s="47"/>
    </row>
    <row r="31" s="27" customFormat="1" ht="18" customHeight="1" spans="1:20">
      <c r="A31" s="34"/>
      <c r="B31" s="48">
        <v>16</v>
      </c>
      <c r="C31" s="48"/>
      <c r="D31" s="88"/>
      <c r="E31" s="72"/>
      <c r="F31" s="77"/>
      <c r="G31" s="89"/>
      <c r="H31" s="74"/>
      <c r="I31" s="74"/>
      <c r="J31" s="95"/>
      <c r="K31" s="92"/>
      <c r="L31" s="92"/>
      <c r="M31" s="44"/>
      <c r="N31" s="44"/>
      <c r="O31" s="44"/>
      <c r="P31" s="44"/>
      <c r="Q31" s="44"/>
      <c r="R31" s="84"/>
      <c r="S31" s="47"/>
      <c r="T31" s="47"/>
    </row>
    <row r="32" s="27" customFormat="1" ht="18" customHeight="1" spans="1:20">
      <c r="A32" s="34"/>
      <c r="B32" s="48">
        <v>17</v>
      </c>
      <c r="C32" s="48"/>
      <c r="D32" s="88"/>
      <c r="E32" s="72"/>
      <c r="F32" s="77"/>
      <c r="G32" s="89"/>
      <c r="H32" s="74"/>
      <c r="I32" s="74"/>
      <c r="J32" s="95"/>
      <c r="K32" s="60"/>
      <c r="L32" s="92"/>
      <c r="M32" s="44"/>
      <c r="N32" s="44"/>
      <c r="O32" s="44"/>
      <c r="P32" s="44"/>
      <c r="Q32" s="44"/>
      <c r="R32" s="84"/>
      <c r="S32" s="47"/>
      <c r="T32" s="47"/>
    </row>
    <row r="33" s="27" customFormat="1" ht="24" customHeight="1" spans="1:20">
      <c r="A33" s="34"/>
      <c r="B33" s="48">
        <v>18</v>
      </c>
      <c r="C33" s="48"/>
      <c r="D33" s="88"/>
      <c r="E33" s="72"/>
      <c r="F33" s="77"/>
      <c r="G33" s="89"/>
      <c r="H33" s="74"/>
      <c r="I33" s="74"/>
      <c r="J33" s="95"/>
      <c r="K33" s="60"/>
      <c r="L33" s="92"/>
      <c r="M33" s="44"/>
      <c r="N33" s="44"/>
      <c r="O33" s="44"/>
      <c r="P33" s="44"/>
      <c r="Q33" s="44"/>
      <c r="R33" s="84"/>
      <c r="S33" s="47"/>
      <c r="T33" s="47"/>
    </row>
    <row r="34" s="27" customFormat="1" ht="18" customHeight="1" spans="1:20">
      <c r="A34" s="34"/>
      <c r="B34" s="48">
        <v>19</v>
      </c>
      <c r="C34" s="48"/>
      <c r="D34" s="88"/>
      <c r="E34" s="72"/>
      <c r="F34" s="77"/>
      <c r="G34" s="89"/>
      <c r="H34" s="74"/>
      <c r="I34" s="74"/>
      <c r="J34" s="95"/>
      <c r="K34" s="60"/>
      <c r="L34" s="92"/>
      <c r="M34" s="44"/>
      <c r="N34" s="44"/>
      <c r="O34" s="44"/>
      <c r="P34" s="44"/>
      <c r="Q34" s="44"/>
      <c r="R34" s="84"/>
      <c r="S34" s="47"/>
      <c r="T34" s="47"/>
    </row>
    <row r="35" s="27" customFormat="1" ht="18" customHeight="1" spans="1:20">
      <c r="A35" s="34"/>
      <c r="B35" s="48">
        <v>20</v>
      </c>
      <c r="C35" s="48"/>
      <c r="D35" s="88"/>
      <c r="E35" s="72"/>
      <c r="F35" s="77"/>
      <c r="G35" s="89"/>
      <c r="H35" s="74"/>
      <c r="I35" s="74"/>
      <c r="J35" s="95"/>
      <c r="K35" s="60"/>
      <c r="L35" s="92"/>
      <c r="M35" s="44"/>
      <c r="N35" s="44"/>
      <c r="O35" s="44"/>
      <c r="P35" s="44"/>
      <c r="Q35" s="44"/>
      <c r="R35" s="84"/>
      <c r="S35" s="47"/>
      <c r="T35" s="47"/>
    </row>
    <row r="36" s="27" customFormat="1" ht="18" customHeight="1" spans="1:20">
      <c r="A36" s="34"/>
      <c r="B36" s="48">
        <v>21</v>
      </c>
      <c r="C36" s="48"/>
      <c r="D36" s="121"/>
      <c r="E36" s="72"/>
      <c r="F36" s="77"/>
      <c r="G36" s="89"/>
      <c r="H36" s="74"/>
      <c r="I36" s="74"/>
      <c r="J36" s="95"/>
      <c r="K36" s="80"/>
      <c r="L36" s="92"/>
      <c r="M36" s="44"/>
      <c r="N36" s="44"/>
      <c r="O36" s="44"/>
      <c r="P36" s="44"/>
      <c r="Q36" s="101"/>
      <c r="R36" s="84"/>
      <c r="S36" s="47"/>
      <c r="T36" s="47"/>
    </row>
    <row r="37" s="27" customFormat="1" ht="18" customHeight="1" spans="1:20">
      <c r="A37" s="34"/>
      <c r="B37" s="48">
        <v>22</v>
      </c>
      <c r="C37" s="48"/>
      <c r="D37" s="88"/>
      <c r="E37" s="72"/>
      <c r="F37" s="77"/>
      <c r="G37" s="89"/>
      <c r="H37" s="74"/>
      <c r="I37" s="74"/>
      <c r="J37" s="95"/>
      <c r="K37" s="92"/>
      <c r="L37" s="92"/>
      <c r="M37" s="44"/>
      <c r="N37" s="44"/>
      <c r="O37" s="44"/>
      <c r="P37" s="44"/>
      <c r="Q37" s="44"/>
      <c r="R37" s="84"/>
      <c r="S37" s="47"/>
      <c r="T37" s="47"/>
    </row>
    <row r="38" s="27" customFormat="1" ht="18" customHeight="1" spans="1:20">
      <c r="A38" s="34"/>
      <c r="B38" s="48">
        <v>23</v>
      </c>
      <c r="C38" s="48"/>
      <c r="D38" s="88"/>
      <c r="E38" s="72"/>
      <c r="F38" s="77"/>
      <c r="G38" s="89"/>
      <c r="H38" s="74"/>
      <c r="I38" s="74"/>
      <c r="J38" s="95"/>
      <c r="K38" s="92"/>
      <c r="L38" s="92"/>
      <c r="M38" s="44"/>
      <c r="N38" s="44"/>
      <c r="O38" s="44"/>
      <c r="P38" s="44"/>
      <c r="Q38" s="44"/>
      <c r="R38" s="62"/>
      <c r="S38" s="47"/>
      <c r="T38" s="47"/>
    </row>
    <row r="39" s="27" customFormat="1" ht="18" customHeight="1" spans="1:20">
      <c r="A39" s="34"/>
      <c r="B39" s="48">
        <v>24</v>
      </c>
      <c r="C39" s="48"/>
      <c r="D39" s="88" t="s">
        <v>441</v>
      </c>
      <c r="E39" s="72" t="s">
        <v>43</v>
      </c>
      <c r="F39" s="77"/>
      <c r="G39" s="72">
        <v>1</v>
      </c>
      <c r="H39" s="74">
        <v>1</v>
      </c>
      <c r="I39" s="74">
        <f>+辅材及安装费!$E$10</f>
        <v>10</v>
      </c>
      <c r="J39" s="95">
        <f t="shared" ref="J38:J41" si="4">H39*I39</f>
        <v>10</v>
      </c>
      <c r="K39" s="60"/>
      <c r="L39" s="92"/>
      <c r="M39" s="44"/>
      <c r="N39" s="44"/>
      <c r="O39" s="44"/>
      <c r="P39" s="44"/>
      <c r="Q39" s="44"/>
      <c r="R39" s="62"/>
      <c r="S39" s="47"/>
      <c r="T39" s="47"/>
    </row>
    <row r="40" s="27" customFormat="1" ht="18" customHeight="1" spans="1:20">
      <c r="A40" s="34"/>
      <c r="B40" s="48">
        <v>25</v>
      </c>
      <c r="C40" s="48"/>
      <c r="D40" s="93" t="s">
        <v>442</v>
      </c>
      <c r="E40" s="72"/>
      <c r="F40" s="77"/>
      <c r="G40" s="72"/>
      <c r="H40" s="74"/>
      <c r="I40" s="74"/>
      <c r="J40" s="95">
        <f>SUM(J16:J39)</f>
        <v>651.847419918528</v>
      </c>
      <c r="K40" s="60"/>
      <c r="L40" s="94"/>
      <c r="N40" s="83"/>
      <c r="O40" s="83"/>
      <c r="P40" s="83"/>
      <c r="Q40" s="83"/>
      <c r="R40" s="87"/>
      <c r="S40" s="47"/>
      <c r="T40" s="47"/>
    </row>
    <row r="41" s="27" customFormat="1" ht="18" customHeight="1" spans="1:20">
      <c r="A41" s="34"/>
      <c r="B41" s="48">
        <v>1</v>
      </c>
      <c r="C41" s="48" t="s">
        <v>443</v>
      </c>
      <c r="D41" s="48" t="s">
        <v>444</v>
      </c>
      <c r="E41" s="72" t="s">
        <v>43</v>
      </c>
      <c r="F41" s="50"/>
      <c r="G41" s="48"/>
      <c r="H41" s="51">
        <v>1</v>
      </c>
      <c r="I41" s="74">
        <f>+辅材及安装费!$F$10</f>
        <v>10</v>
      </c>
      <c r="J41" s="95">
        <f t="shared" si="4"/>
        <v>10</v>
      </c>
      <c r="K41" s="60"/>
      <c r="L41" s="96"/>
      <c r="M41" s="97"/>
      <c r="N41" s="98"/>
      <c r="O41" s="98"/>
      <c r="P41" s="98"/>
      <c r="Q41" s="98"/>
      <c r="R41" s="99"/>
      <c r="S41" s="47"/>
      <c r="T41" s="47"/>
    </row>
    <row r="42" s="26" customFormat="1" ht="30" customHeight="1" spans="1:20">
      <c r="A42" s="28"/>
      <c r="B42" s="29" t="s">
        <v>386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  <c r="M42" s="31"/>
      <c r="N42" s="31"/>
      <c r="O42" s="31"/>
      <c r="P42" s="31"/>
      <c r="Q42" s="31"/>
      <c r="R42" s="32"/>
      <c r="S42" s="33"/>
      <c r="T42" s="33"/>
    </row>
    <row r="43" s="27" customFormat="1" ht="33.75" customHeight="1" spans="1:20">
      <c r="A43" s="34">
        <v>18</v>
      </c>
      <c r="B43" s="35" t="s">
        <v>1</v>
      </c>
      <c r="C43" s="35" t="s">
        <v>387</v>
      </c>
      <c r="D43" s="36" t="str">
        <f>+A51</f>
        <v>LMC10425C</v>
      </c>
      <c r="E43" s="37"/>
      <c r="F43" s="38" t="s">
        <v>68</v>
      </c>
      <c r="G43" s="39"/>
      <c r="H43" s="35" t="s">
        <v>388</v>
      </c>
      <c r="I43" s="40" t="s">
        <v>389</v>
      </c>
      <c r="J43" s="41" t="s">
        <v>37</v>
      </c>
      <c r="K43" s="42">
        <f ca="1">VLOOKUP(A43,排屋工程量清单!A:D,4,)</f>
        <v>26.677</v>
      </c>
      <c r="L43" s="43"/>
      <c r="M43" s="44"/>
      <c r="N43" s="44"/>
      <c r="O43" s="44"/>
      <c r="P43" s="45"/>
      <c r="Q43" s="44"/>
      <c r="R43" s="46"/>
      <c r="S43" s="47"/>
      <c r="T43" s="47"/>
    </row>
    <row r="44" s="27" customFormat="1" ht="25" customHeight="1" spans="1:20">
      <c r="A44" s="34"/>
      <c r="B44" s="48">
        <v>1</v>
      </c>
      <c r="C44" s="49" t="s">
        <v>390</v>
      </c>
      <c r="D44" s="48" t="s">
        <v>391</v>
      </c>
      <c r="E44" s="48"/>
      <c r="F44" s="50"/>
      <c r="G44" s="48"/>
      <c r="H44" s="51"/>
      <c r="I44" s="52">
        <f>J56</f>
        <v>175</v>
      </c>
      <c r="J44" s="53" t="s">
        <v>392</v>
      </c>
      <c r="K44" s="54"/>
      <c r="L44" s="55"/>
      <c r="M44" s="56"/>
      <c r="N44" s="57"/>
      <c r="O44" s="57">
        <v>10.3</v>
      </c>
      <c r="P44" s="57">
        <v>2.59</v>
      </c>
      <c r="Q44" s="57">
        <v>1</v>
      </c>
      <c r="R44" s="58">
        <f>+Q44*P44*O44</f>
        <v>26.677</v>
      </c>
      <c r="S44" s="47"/>
      <c r="T44" s="47"/>
    </row>
    <row r="45" s="27" customFormat="1" ht="18" customHeight="1" spans="1:20">
      <c r="A45" s="34"/>
      <c r="B45" s="48">
        <v>2</v>
      </c>
      <c r="C45" s="59"/>
      <c r="D45" s="48" t="s">
        <v>394</v>
      </c>
      <c r="E45" s="48"/>
      <c r="F45" s="50"/>
      <c r="G45" s="48"/>
      <c r="H45" s="51"/>
      <c r="I45" s="52">
        <f>J81</f>
        <v>974.970204781633</v>
      </c>
      <c r="J45" s="53" t="s">
        <v>392</v>
      </c>
      <c r="K45" s="60"/>
      <c r="L45" s="61"/>
      <c r="M45" s="44"/>
      <c r="N45" s="44"/>
      <c r="O45" s="44"/>
      <c r="P45" s="44"/>
      <c r="Q45" s="44"/>
      <c r="R45" s="62"/>
      <c r="S45" s="47"/>
      <c r="T45" s="47"/>
    </row>
    <row r="46" s="27" customFormat="1" ht="18" customHeight="1" spans="1:20">
      <c r="A46" s="34"/>
      <c r="B46" s="48">
        <v>3</v>
      </c>
      <c r="C46" s="63"/>
      <c r="D46" s="48" t="s">
        <v>395</v>
      </c>
      <c r="E46" s="48"/>
      <c r="F46" s="50"/>
      <c r="G46" s="48"/>
      <c r="H46" s="51"/>
      <c r="I46" s="52">
        <f>J82</f>
        <v>5</v>
      </c>
      <c r="J46" s="53" t="s">
        <v>392</v>
      </c>
      <c r="K46" s="60"/>
      <c r="L46" s="60"/>
      <c r="M46" s="64" t="s">
        <v>396</v>
      </c>
      <c r="N46" s="65" t="s">
        <v>397</v>
      </c>
      <c r="O46" s="65" t="s">
        <v>398</v>
      </c>
      <c r="P46" s="65" t="s">
        <v>399</v>
      </c>
      <c r="Q46" s="65" t="s">
        <v>400</v>
      </c>
      <c r="R46" s="66" t="s">
        <v>401</v>
      </c>
      <c r="S46" s="47"/>
      <c r="T46" s="47"/>
    </row>
    <row r="47" s="27" customFormat="1" ht="18" customHeight="1" spans="1:20">
      <c r="A47" s="34"/>
      <c r="B47" s="48">
        <v>4</v>
      </c>
      <c r="C47" s="48" t="s">
        <v>402</v>
      </c>
      <c r="D47" s="67" t="s">
        <v>403</v>
      </c>
      <c r="E47" s="67"/>
      <c r="F47" s="50"/>
      <c r="G47" s="67"/>
      <c r="H47" s="68"/>
      <c r="I47" s="52">
        <f>SUM(I44:I46)</f>
        <v>1154.97020478163</v>
      </c>
      <c r="J47" s="53" t="s">
        <v>392</v>
      </c>
      <c r="K47" s="60"/>
      <c r="L47" s="69" t="s">
        <v>404</v>
      </c>
      <c r="M47" s="70" t="s">
        <v>445</v>
      </c>
      <c r="N47" s="34">
        <v>2.513</v>
      </c>
      <c r="O47" s="34">
        <f>O44*2+P44*2</f>
        <v>25.78</v>
      </c>
      <c r="P47" s="34">
        <v>1</v>
      </c>
      <c r="Q47" s="44">
        <f t="shared" ref="Q47:Q52" si="5">+P47*O47*N47</f>
        <v>64.78514</v>
      </c>
      <c r="R47" s="71">
        <f>+Q47/R44</f>
        <v>2.42850170558908</v>
      </c>
      <c r="S47" s="47"/>
      <c r="T47" s="47"/>
    </row>
    <row r="48" s="27" customFormat="1" ht="28" customHeight="1" spans="1:20">
      <c r="A48" s="34"/>
      <c r="B48" s="48">
        <v>5</v>
      </c>
      <c r="C48" s="72" t="s">
        <v>406</v>
      </c>
      <c r="D48" s="48" t="s">
        <v>407</v>
      </c>
      <c r="E48" s="48"/>
      <c r="F48" s="50"/>
      <c r="G48" s="48"/>
      <c r="H48" s="73">
        <f>+'材料表 '!$E$178</f>
        <v>0</v>
      </c>
      <c r="I48" s="52">
        <f>H48*I47</f>
        <v>0</v>
      </c>
      <c r="J48" s="53" t="s">
        <v>392</v>
      </c>
      <c r="K48" s="60"/>
      <c r="L48" s="69" t="s">
        <v>429</v>
      </c>
      <c r="M48" s="70" t="s">
        <v>446</v>
      </c>
      <c r="N48" s="34">
        <v>0.424</v>
      </c>
      <c r="O48" s="34">
        <f>O47</f>
        <v>25.78</v>
      </c>
      <c r="P48" s="34">
        <v>1</v>
      </c>
      <c r="Q48" s="44">
        <f t="shared" si="5"/>
        <v>10.93072</v>
      </c>
      <c r="R48" s="71">
        <f>+Q48/R44</f>
        <v>0.409743224500506</v>
      </c>
      <c r="S48" s="47"/>
      <c r="T48" s="47"/>
    </row>
    <row r="49" s="27" customFormat="1" ht="18" customHeight="1" spans="1:21">
      <c r="A49" s="34"/>
      <c r="B49" s="48">
        <v>6</v>
      </c>
      <c r="C49" s="48" t="s">
        <v>409</v>
      </c>
      <c r="D49" s="48" t="s">
        <v>410</v>
      </c>
      <c r="E49" s="48"/>
      <c r="F49" s="50"/>
      <c r="G49" s="48"/>
      <c r="H49" s="73">
        <f>+'材料表 '!$E$179</f>
        <v>0</v>
      </c>
      <c r="I49" s="52">
        <f>H49*I47</f>
        <v>0</v>
      </c>
      <c r="J49" s="53" t="s">
        <v>392</v>
      </c>
      <c r="K49" s="60"/>
      <c r="L49" s="34" t="s">
        <v>447</v>
      </c>
      <c r="M49" s="70" t="s">
        <v>448</v>
      </c>
      <c r="N49" s="34">
        <v>0.484</v>
      </c>
      <c r="O49" s="34">
        <f>O47</f>
        <v>25.78</v>
      </c>
      <c r="P49" s="34">
        <v>1</v>
      </c>
      <c r="Q49" s="44">
        <f t="shared" si="5"/>
        <v>12.47752</v>
      </c>
      <c r="R49" s="71">
        <f>+Q49/R44</f>
        <v>0.467725756269446</v>
      </c>
      <c r="S49" s="47">
        <f>(0.05+0.046+0.015)*2</f>
        <v>0.222</v>
      </c>
      <c r="T49" s="47">
        <f>O49*S49</f>
        <v>5.72316</v>
      </c>
      <c r="U49" s="76">
        <f>T49/R44</f>
        <v>0.214535367545076</v>
      </c>
    </row>
    <row r="50" s="27" customFormat="1" ht="18" customHeight="1" spans="1:21">
      <c r="A50" s="34"/>
      <c r="B50" s="48">
        <v>7</v>
      </c>
      <c r="C50" s="48" t="s">
        <v>412</v>
      </c>
      <c r="D50" s="72" t="s">
        <v>413</v>
      </c>
      <c r="E50" s="72"/>
      <c r="F50" s="77"/>
      <c r="G50" s="72"/>
      <c r="H50" s="73">
        <f>+'材料表 '!$E$180</f>
        <v>0.09</v>
      </c>
      <c r="I50" s="52">
        <f>(I47+I48+I49)*H50</f>
        <v>103.947318430347</v>
      </c>
      <c r="J50" s="53" t="s">
        <v>392</v>
      </c>
      <c r="K50" s="60"/>
      <c r="L50" s="69" t="s">
        <v>427</v>
      </c>
      <c r="M50" s="70" t="s">
        <v>449</v>
      </c>
      <c r="N50" s="34">
        <v>2.816</v>
      </c>
      <c r="O50" s="34">
        <f>P44*3</f>
        <v>7.77</v>
      </c>
      <c r="P50" s="34">
        <v>1</v>
      </c>
      <c r="Q50" s="44">
        <f t="shared" si="5"/>
        <v>21.88032</v>
      </c>
      <c r="R50" s="71">
        <f>+Q50/R44</f>
        <v>0.820194174757282</v>
      </c>
      <c r="S50" s="47"/>
      <c r="T50" s="47"/>
    </row>
    <row r="51" s="27" customFormat="1" ht="18" customHeight="1" spans="1:21">
      <c r="A51" s="237" t="s">
        <v>69</v>
      </c>
      <c r="B51" s="238">
        <v>8</v>
      </c>
      <c r="C51" s="48" t="s">
        <v>363</v>
      </c>
      <c r="D51" s="106" t="s">
        <v>415</v>
      </c>
      <c r="E51" s="107"/>
      <c r="F51" s="108"/>
      <c r="G51" s="107"/>
      <c r="H51" s="51"/>
      <c r="I51" s="74">
        <f>SUM(I47:I50)</f>
        <v>1258.91752321198</v>
      </c>
      <c r="J51" s="53" t="s">
        <v>416</v>
      </c>
      <c r="K51" s="60"/>
      <c r="L51" s="69" t="s">
        <v>429</v>
      </c>
      <c r="M51" s="70" t="s">
        <v>450</v>
      </c>
      <c r="N51" s="34">
        <v>0.656</v>
      </c>
      <c r="O51" s="34">
        <f>O50</f>
        <v>7.77</v>
      </c>
      <c r="P51" s="34">
        <v>1</v>
      </c>
      <c r="Q51" s="44">
        <f t="shared" si="5"/>
        <v>5.09712</v>
      </c>
      <c r="R51" s="71">
        <f>+Q51/R44</f>
        <v>0.191067961165049</v>
      </c>
      <c r="S51" s="79"/>
      <c r="T51" s="47"/>
    </row>
    <row r="52" s="27" customFormat="1" ht="18" customHeight="1" spans="1:21">
      <c r="A52" s="34"/>
      <c r="B52" s="109" t="s">
        <v>418</v>
      </c>
      <c r="C52" s="110"/>
      <c r="D52" s="110"/>
      <c r="E52" s="110"/>
      <c r="F52" s="110"/>
      <c r="G52" s="110"/>
      <c r="H52" s="110"/>
      <c r="I52" s="110"/>
      <c r="J52" s="110"/>
      <c r="K52" s="80"/>
      <c r="L52" s="34" t="s">
        <v>447</v>
      </c>
      <c r="M52" s="70" t="s">
        <v>451</v>
      </c>
      <c r="N52" s="34">
        <v>0.443</v>
      </c>
      <c r="O52" s="34">
        <f>O50</f>
        <v>7.77</v>
      </c>
      <c r="P52" s="34">
        <v>1</v>
      </c>
      <c r="Q52" s="44">
        <f t="shared" si="5"/>
        <v>3.44211</v>
      </c>
      <c r="R52" s="71">
        <f>+Q52/R44</f>
        <v>0.129029126213592</v>
      </c>
      <c r="S52" s="47">
        <f>0.105*2</f>
        <v>0.21</v>
      </c>
      <c r="T52" s="47">
        <f>O52*S52</f>
        <v>1.6317</v>
      </c>
      <c r="U52" s="76">
        <f>T52/R44</f>
        <v>0.0611650485436893</v>
      </c>
    </row>
    <row r="53" s="27" customFormat="1" ht="18" customHeight="1" spans="1:21">
      <c r="A53" s="34"/>
      <c r="B53" s="48">
        <v>1</v>
      </c>
      <c r="C53" s="48" t="s">
        <v>391</v>
      </c>
      <c r="D53" s="48" t="s">
        <v>396</v>
      </c>
      <c r="E53" s="48" t="s">
        <v>37</v>
      </c>
      <c r="F53" s="50"/>
      <c r="G53" s="48"/>
      <c r="H53" s="51" t="s">
        <v>399</v>
      </c>
      <c r="I53" s="51" t="s">
        <v>420</v>
      </c>
      <c r="J53" s="95" t="s">
        <v>421</v>
      </c>
      <c r="K53" s="92"/>
      <c r="L53" s="69" t="s">
        <v>404</v>
      </c>
      <c r="M53" s="81" t="s">
        <v>452</v>
      </c>
      <c r="N53" s="82">
        <v>0.324</v>
      </c>
      <c r="O53" s="34">
        <f>7.05*2+P44*4</f>
        <v>24.46</v>
      </c>
      <c r="P53" s="34">
        <v>1</v>
      </c>
      <c r="Q53" s="44">
        <f t="shared" ref="Q53:Q55" si="6">+P53*O53*N53</f>
        <v>7.92504</v>
      </c>
      <c r="R53" s="71">
        <f>+Q53/R44</f>
        <v>0.29707388387</v>
      </c>
      <c r="S53" s="47"/>
      <c r="T53" s="47"/>
    </row>
    <row r="54" s="27" customFormat="1" ht="18" customHeight="1" spans="1:21">
      <c r="A54" s="34"/>
      <c r="B54" s="48">
        <v>2</v>
      </c>
      <c r="C54" s="48"/>
      <c r="D54" s="111" t="s">
        <v>453</v>
      </c>
      <c r="E54" s="49" t="s">
        <v>423</v>
      </c>
      <c r="F54" s="112"/>
      <c r="G54" s="111"/>
      <c r="H54" s="113">
        <v>1</v>
      </c>
      <c r="I54" s="113">
        <f>+辅材及安装费!$G$5</f>
        <v>175</v>
      </c>
      <c r="J54" s="114">
        <f t="shared" ref="J54:J70" si="7">H54*I54</f>
        <v>175</v>
      </c>
      <c r="K54" s="92"/>
      <c r="L54" s="69" t="s">
        <v>427</v>
      </c>
      <c r="M54" s="70" t="s">
        <v>454</v>
      </c>
      <c r="N54" s="83">
        <v>1.837</v>
      </c>
      <c r="O54" s="34">
        <v>2</v>
      </c>
      <c r="P54" s="34">
        <v>1</v>
      </c>
      <c r="Q54" s="44">
        <f t="shared" si="6"/>
        <v>3.674</v>
      </c>
      <c r="R54" s="84">
        <f>+Q54/R44</f>
        <v>0.137721632867264</v>
      </c>
      <c r="S54" s="47"/>
      <c r="T54" s="47"/>
    </row>
    <row r="55" s="27" customFormat="1" ht="18" customHeight="1" spans="1:21">
      <c r="A55" s="34"/>
      <c r="B55" s="48">
        <v>3</v>
      </c>
      <c r="C55" s="48"/>
      <c r="D55" s="115"/>
      <c r="E55" s="63"/>
      <c r="F55" s="116"/>
      <c r="G55" s="115"/>
      <c r="H55" s="117"/>
      <c r="I55" s="117"/>
      <c r="J55" s="118"/>
      <c r="K55" s="92"/>
      <c r="L55" s="69"/>
      <c r="M55" s="27" t="s">
        <v>455</v>
      </c>
      <c r="N55" s="82">
        <v>3.8</v>
      </c>
      <c r="O55" s="44">
        <f>(1.625+P44)*2</f>
        <v>8.43</v>
      </c>
      <c r="P55" s="34">
        <v>1</v>
      </c>
      <c r="Q55" s="44">
        <f t="shared" si="6"/>
        <v>32.034</v>
      </c>
      <c r="R55" s="84">
        <f>+Q55/R44</f>
        <v>1.20080968624658</v>
      </c>
      <c r="S55" s="47"/>
      <c r="T55" s="47"/>
    </row>
    <row r="56" s="27" customFormat="1" ht="18" customHeight="1" spans="1:21">
      <c r="A56" s="34"/>
      <c r="B56" s="48">
        <v>4</v>
      </c>
      <c r="C56" s="48"/>
      <c r="D56" s="85" t="s">
        <v>426</v>
      </c>
      <c r="E56" s="48" t="s">
        <v>392</v>
      </c>
      <c r="F56" s="50"/>
      <c r="G56" s="48"/>
      <c r="H56" s="86"/>
      <c r="I56" s="86"/>
      <c r="J56" s="95">
        <f>SUM(J54:J54)</f>
        <v>175</v>
      </c>
      <c r="K56" s="60"/>
      <c r="L56" s="69"/>
      <c r="M56" s="70"/>
      <c r="N56" s="83"/>
      <c r="O56" s="83"/>
      <c r="P56" s="34">
        <v>1</v>
      </c>
      <c r="Q56" s="83"/>
      <c r="R56" s="27"/>
      <c r="S56" s="47"/>
      <c r="T56" s="47"/>
    </row>
    <row r="57" s="27" customFormat="1" ht="23" customHeight="1" spans="1:21">
      <c r="A57" s="34"/>
      <c r="B57" s="48">
        <v>1</v>
      </c>
      <c r="C57" s="48" t="s">
        <v>394</v>
      </c>
      <c r="D57" s="88" t="s">
        <v>427</v>
      </c>
      <c r="E57" s="72" t="str">
        <f>+VLOOKUP(D57,'材料表 '!C:F,2,0)</f>
        <v>kg</v>
      </c>
      <c r="F57" s="77">
        <f>+SUMIF($L$44:$L$82,D57,$R$44:$R$82)</f>
        <v>0.957915807624546</v>
      </c>
      <c r="G57" s="89">
        <f>+VLOOKUP(D57,'材料表 '!C:F,4,0)</f>
        <v>0.03</v>
      </c>
      <c r="H57" s="74">
        <f t="shared" ref="H57:H70" si="8">F57*(G57+1)</f>
        <v>0.986653281853282</v>
      </c>
      <c r="I57" s="74">
        <f>+VLOOKUP(D57,'材料表 '!C:F,3,0)</f>
        <v>25.8495575221239</v>
      </c>
      <c r="J57" s="95">
        <f t="shared" si="7"/>
        <v>25.5045507636587</v>
      </c>
      <c r="K57" s="60">
        <f ca="1">H57*K43</f>
        <v>26.3209496</v>
      </c>
      <c r="L57" s="69"/>
      <c r="M57" s="70"/>
      <c r="N57" s="83"/>
      <c r="O57" s="83"/>
      <c r="P57" s="34">
        <v>1</v>
      </c>
      <c r="Q57" s="83"/>
      <c r="R57" s="27"/>
      <c r="S57" s="47"/>
      <c r="T57" s="47"/>
    </row>
    <row r="58" s="27" customFormat="1" ht="18" customHeight="1" spans="1:21">
      <c r="A58" s="34"/>
      <c r="B58" s="48">
        <v>2</v>
      </c>
      <c r="C58" s="48"/>
      <c r="D58" s="88" t="s">
        <v>404</v>
      </c>
      <c r="E58" s="72" t="str">
        <f>+VLOOKUP(D58,'材料表 '!C:F,2,0)</f>
        <v>kg</v>
      </c>
      <c r="F58" s="77">
        <f t="shared" ref="F58:F64" si="9">+SUMIF($L$44:$L$82,D58,$R$44:$R$82)</f>
        <v>2.72557558945908</v>
      </c>
      <c r="G58" s="89">
        <f>+VLOOKUP(D58,'材料表 '!C:F,4,0)</f>
        <v>0.03</v>
      </c>
      <c r="H58" s="74">
        <f t="shared" si="8"/>
        <v>2.80734285714285</v>
      </c>
      <c r="I58" s="74">
        <f>+VLOOKUP(D58,'材料表 '!C:F,3,0)</f>
        <v>25.6725663716814</v>
      </c>
      <c r="J58" s="95">
        <f t="shared" si="7"/>
        <v>72.0716958280656</v>
      </c>
      <c r="K58" s="60">
        <f ca="1">H58*K43</f>
        <v>74.8914853999998</v>
      </c>
      <c r="L58" s="69"/>
      <c r="M58" s="70"/>
      <c r="N58" s="83"/>
      <c r="O58" s="83"/>
      <c r="P58" s="83"/>
      <c r="Q58" s="83"/>
      <c r="R58" s="27"/>
      <c r="S58" s="47"/>
      <c r="T58" s="47"/>
    </row>
    <row r="59" s="27" customFormat="1" ht="18" customHeight="1" spans="1:21">
      <c r="A59" s="34"/>
      <c r="B59" s="48">
        <v>3</v>
      </c>
      <c r="C59" s="48"/>
      <c r="D59" s="88" t="s">
        <v>429</v>
      </c>
      <c r="E59" s="72" t="str">
        <f>+VLOOKUP(D59,'材料表 '!C:F,2,0)</f>
        <v>kg</v>
      </c>
      <c r="F59" s="77">
        <f t="shared" si="9"/>
        <v>0.600811185665555</v>
      </c>
      <c r="G59" s="89">
        <f>+VLOOKUP(D59,'材料表 '!C:F,4,0)</f>
        <v>0.03</v>
      </c>
      <c r="H59" s="74">
        <f t="shared" si="8"/>
        <v>0.618835521235522</v>
      </c>
      <c r="I59" s="74">
        <f>+VLOOKUP(D59,'材料表 '!C:F,3,0)</f>
        <v>26.1150442477876</v>
      </c>
      <c r="J59" s="95">
        <f t="shared" si="7"/>
        <v>16.1609170191684</v>
      </c>
      <c r="K59" s="60">
        <f ca="1">H59*K43</f>
        <v>16.5086752</v>
      </c>
      <c r="L59" s="69"/>
      <c r="M59" s="27"/>
      <c r="N59" s="83"/>
      <c r="O59" s="83"/>
      <c r="P59" s="83"/>
      <c r="Q59" s="83"/>
      <c r="R59" s="27"/>
      <c r="S59" s="47"/>
      <c r="T59" s="47"/>
    </row>
    <row r="60" s="27" customFormat="1" ht="18" customHeight="1" spans="1:21">
      <c r="A60" s="34"/>
      <c r="B60" s="48">
        <v>4</v>
      </c>
      <c r="C60" s="48"/>
      <c r="D60" s="88" t="s">
        <v>447</v>
      </c>
      <c r="E60" s="72" t="str">
        <f>+VLOOKUP(D60,'材料表 '!C:F,2,0)</f>
        <v>kg</v>
      </c>
      <c r="F60" s="77">
        <f t="shared" si="9"/>
        <v>0.596754882483038</v>
      </c>
      <c r="G60" s="89">
        <f>+VLOOKUP(D60,'材料表 '!C:F,4,0)</f>
        <v>0.03</v>
      </c>
      <c r="H60" s="74">
        <f t="shared" si="8"/>
        <v>0.614657528957529</v>
      </c>
      <c r="I60" s="74">
        <f>+VLOOKUP(D60,'材料表 '!C:F,3,0)</f>
        <v>24.4336283185841</v>
      </c>
      <c r="J60" s="95">
        <f t="shared" si="7"/>
        <v>15.0183136057676</v>
      </c>
      <c r="K60" s="60">
        <f ca="1">H60*K43</f>
        <v>16.3972189</v>
      </c>
      <c r="L60" s="90" t="s">
        <v>428</v>
      </c>
      <c r="M60" s="44"/>
      <c r="N60" s="82"/>
      <c r="O60" s="44">
        <f>(O47+O50+O54+O55)</f>
        <v>43.98</v>
      </c>
      <c r="P60" s="44">
        <f>+P47</f>
        <v>1</v>
      </c>
      <c r="Q60" s="44">
        <f>+P60*O60</f>
        <v>43.98</v>
      </c>
      <c r="R60" s="84">
        <f>+Q60/R44</f>
        <v>1.64861116317427</v>
      </c>
      <c r="S60" s="47"/>
      <c r="T60" s="47"/>
    </row>
    <row r="61" s="27" customFormat="1" ht="18" customHeight="1" spans="1:21">
      <c r="A61" s="34"/>
      <c r="B61" s="48">
        <v>5</v>
      </c>
      <c r="C61" s="48"/>
      <c r="D61" s="88" t="s">
        <v>433</v>
      </c>
      <c r="E61" s="72" t="str">
        <f>+VLOOKUP(D61,'材料表 '!C:F,2,0)</f>
        <v>kg</v>
      </c>
      <c r="F61" s="77">
        <f t="shared" si="9"/>
        <v>0</v>
      </c>
      <c r="G61" s="89">
        <f>+VLOOKUP(D61,'材料表 '!C:F,4,0)</f>
        <v>0.03</v>
      </c>
      <c r="H61" s="74">
        <f t="shared" si="8"/>
        <v>0</v>
      </c>
      <c r="I61" s="74">
        <f>+VLOOKUP(D61,'材料表 '!C:F,3,0)</f>
        <v>26.1150442477876</v>
      </c>
      <c r="J61" s="95">
        <f t="shared" si="7"/>
        <v>0</v>
      </c>
      <c r="K61" s="92">
        <f ca="1">H61*K43</f>
        <v>0</v>
      </c>
      <c r="L61" s="90"/>
      <c r="M61" s="44"/>
      <c r="N61" s="82"/>
      <c r="O61" s="44"/>
      <c r="P61" s="44"/>
      <c r="Q61" s="44"/>
      <c r="R61" s="84"/>
      <c r="S61" s="47"/>
      <c r="T61" s="47"/>
    </row>
    <row r="62" s="27" customFormat="1" ht="18" customHeight="1" spans="1:21">
      <c r="A62" s="34"/>
      <c r="B62" s="48">
        <v>6</v>
      </c>
      <c r="C62" s="48"/>
      <c r="D62" s="88" t="s">
        <v>434</v>
      </c>
      <c r="E62" s="72" t="str">
        <f>+VLOOKUP(D62,'材料表 '!C:F,2,0)</f>
        <v>m2</v>
      </c>
      <c r="F62" s="77">
        <f>U49+U52</f>
        <v>0.275700416088766</v>
      </c>
      <c r="G62" s="89">
        <f>+VLOOKUP(D62,'材料表 '!C:F,4,0)</f>
        <v>0</v>
      </c>
      <c r="H62" s="74">
        <f t="shared" si="8"/>
        <v>0.275700416088766</v>
      </c>
      <c r="I62" s="74">
        <f>+VLOOKUP(D62,'材料表 '!C:F,3,0)</f>
        <v>49.5575221238938</v>
      </c>
      <c r="J62" s="95">
        <f t="shared" si="7"/>
        <v>13.6630294698857</v>
      </c>
      <c r="K62" s="92">
        <f ca="1">H62*K43</f>
        <v>7.35486000000001</v>
      </c>
      <c r="L62" s="90" t="s">
        <v>431</v>
      </c>
      <c r="M62" s="91" t="s">
        <v>432</v>
      </c>
      <c r="N62" s="82">
        <v>4.898</v>
      </c>
      <c r="O62" s="44">
        <f>+O44*2+P44*2</f>
        <v>25.78</v>
      </c>
      <c r="P62" s="44">
        <v>1</v>
      </c>
      <c r="Q62" s="44">
        <f>+P62*O62*N62</f>
        <v>126.27044</v>
      </c>
      <c r="R62" s="84">
        <f>+Q62/R44</f>
        <v>4.73330734340443</v>
      </c>
      <c r="S62" s="47"/>
      <c r="T62" s="47"/>
    </row>
    <row r="63" s="27" customFormat="1" ht="18" customHeight="1" spans="1:21">
      <c r="A63" s="34"/>
      <c r="B63" s="48">
        <v>7</v>
      </c>
      <c r="C63" s="48"/>
      <c r="D63" s="88" t="s">
        <v>428</v>
      </c>
      <c r="E63" s="72" t="str">
        <f>+VLOOKUP(D63,'材料表 '!C:F,2,0)</f>
        <v>m</v>
      </c>
      <c r="F63" s="77">
        <f t="shared" si="9"/>
        <v>1.64861116317427</v>
      </c>
      <c r="G63" s="89">
        <f>+VLOOKUP(D63,'材料表 '!C:F,4,0)</f>
        <v>0</v>
      </c>
      <c r="H63" s="74">
        <f t="shared" si="8"/>
        <v>1.64861116317427</v>
      </c>
      <c r="I63" s="74">
        <f>+VLOOKUP(D63,'材料表 '!C:F,3,0)</f>
        <v>5.30973451327434</v>
      </c>
      <c r="J63" s="95">
        <f t="shared" si="7"/>
        <v>8.75368759207578</v>
      </c>
      <c r="K63" s="92">
        <f ca="1">H63*K43</f>
        <v>43.98</v>
      </c>
      <c r="N63" s="83"/>
      <c r="O63" s="83"/>
      <c r="P63" s="83"/>
      <c r="Q63" s="83"/>
      <c r="R63" s="84"/>
      <c r="S63" s="47"/>
      <c r="T63" s="47"/>
    </row>
    <row r="64" s="27" customFormat="1" ht="18" customHeight="1" spans="1:21">
      <c r="A64" s="34"/>
      <c r="B64" s="48">
        <v>8</v>
      </c>
      <c r="C64" s="48"/>
      <c r="D64" s="88" t="s">
        <v>431</v>
      </c>
      <c r="E64" s="72" t="str">
        <f>+VLOOKUP(D64,'材料表 '!C:F,2,0)</f>
        <v>kg</v>
      </c>
      <c r="F64" s="77">
        <f t="shared" si="9"/>
        <v>4.73330734340443</v>
      </c>
      <c r="G64" s="89">
        <f>+VLOOKUP(D64,'材料表 '!C:F,4,0)</f>
        <v>0.03</v>
      </c>
      <c r="H64" s="74">
        <f t="shared" si="8"/>
        <v>4.87530656370656</v>
      </c>
      <c r="I64" s="74">
        <f>+VLOOKUP(D64,'材料表 '!C:F,3,0)</f>
        <v>3.80530973451327</v>
      </c>
      <c r="J64" s="95">
        <f t="shared" si="7"/>
        <v>18.552051525609</v>
      </c>
      <c r="K64" s="92">
        <f ca="1">H64*K43</f>
        <v>130.0585532</v>
      </c>
      <c r="L64" s="90"/>
      <c r="M64" s="44"/>
      <c r="N64" s="82"/>
      <c r="O64" s="44"/>
      <c r="P64" s="44"/>
      <c r="Q64" s="44"/>
      <c r="R64" s="84"/>
      <c r="S64" s="47"/>
      <c r="T64" s="47"/>
    </row>
    <row r="65" s="27" customFormat="1" ht="18" customHeight="1" spans="1:20">
      <c r="A65" s="34"/>
      <c r="B65" s="48">
        <v>9</v>
      </c>
      <c r="C65" s="48"/>
      <c r="D65" s="88" t="s">
        <v>435</v>
      </c>
      <c r="E65" s="72" t="str">
        <f>+VLOOKUP(D65,'材料表 '!C:F,2,0)</f>
        <v>kg</v>
      </c>
      <c r="F65" s="77">
        <v>2</v>
      </c>
      <c r="G65" s="89">
        <f>+VLOOKUP(D65,'材料表 '!C:F,4,0)</f>
        <v>0.03</v>
      </c>
      <c r="H65" s="74">
        <f t="shared" si="8"/>
        <v>2.06</v>
      </c>
      <c r="I65" s="74">
        <f>+VLOOKUP(D65,'材料表 '!C:F,3,0)</f>
        <v>19.4690265486726</v>
      </c>
      <c r="J65" s="95">
        <f t="shared" si="7"/>
        <v>40.1061946902656</v>
      </c>
      <c r="K65" s="92">
        <f ca="1">H65*K43</f>
        <v>54.95462</v>
      </c>
      <c r="L65" s="90"/>
      <c r="M65" s="44"/>
      <c r="N65" s="82"/>
      <c r="O65" s="44"/>
      <c r="P65" s="44"/>
      <c r="Q65" s="44"/>
      <c r="R65" s="84"/>
      <c r="S65" s="47"/>
      <c r="T65" s="47"/>
    </row>
    <row r="66" s="27" customFormat="1" ht="18" customHeight="1" spans="1:20">
      <c r="A66" s="34"/>
      <c r="B66" s="48">
        <v>10</v>
      </c>
      <c r="C66" s="48"/>
      <c r="D66" s="88" t="s">
        <v>436</v>
      </c>
      <c r="E66" s="72" t="str">
        <f>+VLOOKUP(D66,'材料表 '!C:F,2,0)</f>
        <v>支</v>
      </c>
      <c r="F66" s="77">
        <f>8*8*(O47+O53+O55)*2/300/R44</f>
        <v>0.938356386900076</v>
      </c>
      <c r="G66" s="89">
        <f>+VLOOKUP(D66,'材料表 '!C:F,4,0)</f>
        <v>0.15</v>
      </c>
      <c r="H66" s="74">
        <f t="shared" si="8"/>
        <v>1.07910984493509</v>
      </c>
      <c r="I66" s="74">
        <f>+VLOOKUP(D66,'材料表 '!C:F,3,0)</f>
        <v>11.5044247787611</v>
      </c>
      <c r="J66" s="95">
        <f t="shared" si="7"/>
        <v>12.4145380390763</v>
      </c>
      <c r="K66" s="92">
        <f ca="1">H66*K43</f>
        <v>28.7874133333334</v>
      </c>
      <c r="L66" s="92"/>
      <c r="M66" s="44"/>
      <c r="N66" s="82"/>
      <c r="O66" s="44"/>
      <c r="P66" s="44"/>
      <c r="Q66" s="44"/>
      <c r="R66" s="84"/>
      <c r="S66" s="47"/>
      <c r="T66" s="47"/>
    </row>
    <row r="67" s="27" customFormat="1" ht="18" customHeight="1" spans="1:20">
      <c r="A67" s="34"/>
      <c r="B67" s="48">
        <v>11</v>
      </c>
      <c r="C67" s="48"/>
      <c r="D67" s="88" t="s">
        <v>437</v>
      </c>
      <c r="E67" s="72" t="str">
        <f>+VLOOKUP(D67,'材料表 '!C:F,2,0)</f>
        <v>m</v>
      </c>
      <c r="F67" s="77">
        <f>(O44*2+P44*2)/R44</f>
        <v>0.966375529482326</v>
      </c>
      <c r="G67" s="89">
        <f>+VLOOKUP(D67,'材料表 '!C:F,4,0)</f>
        <v>0</v>
      </c>
      <c r="H67" s="74">
        <f t="shared" si="8"/>
        <v>0.966375529482326</v>
      </c>
      <c r="I67" s="74">
        <f>+VLOOKUP(D67,'材料表 '!C:F,3,0)</f>
        <v>0</v>
      </c>
      <c r="J67" s="95">
        <f t="shared" si="7"/>
        <v>0</v>
      </c>
      <c r="K67" s="92">
        <f ca="1">H67*K43</f>
        <v>25.78</v>
      </c>
      <c r="L67" s="92"/>
      <c r="M67" s="44"/>
      <c r="N67" s="82"/>
      <c r="O67" s="44"/>
      <c r="P67" s="44"/>
      <c r="Q67" s="44"/>
      <c r="R67" s="84"/>
      <c r="S67" s="47"/>
      <c r="T67" s="47"/>
    </row>
    <row r="68" s="27" customFormat="1" ht="18" customHeight="1" spans="1:20">
      <c r="A68" s="34"/>
      <c r="B68" s="48">
        <v>12</v>
      </c>
      <c r="C68" s="48"/>
      <c r="D68" s="88" t="s">
        <v>456</v>
      </c>
      <c r="E68" s="72" t="str">
        <f>+VLOOKUP(D68,'材料表 '!C:F,2,0)</f>
        <v>套</v>
      </c>
      <c r="F68" s="77">
        <f>2/R44</f>
        <v>0.0749709487573565</v>
      </c>
      <c r="G68" s="89">
        <f>+VLOOKUP(D68,'材料表 '!C:F,4,0)</f>
        <v>0</v>
      </c>
      <c r="H68" s="74">
        <f t="shared" si="8"/>
        <v>0.0749709487573565</v>
      </c>
      <c r="I68" s="74">
        <f>+VLOOKUP(D68,'材料表 '!C:F,3,0)</f>
        <v>1327.43362831858</v>
      </c>
      <c r="J68" s="95">
        <f t="shared" si="7"/>
        <v>99.5189585274641</v>
      </c>
      <c r="K68" s="92">
        <f ca="1">H68*K43</f>
        <v>2</v>
      </c>
      <c r="L68" s="92"/>
      <c r="M68" s="44"/>
      <c r="N68" s="82"/>
      <c r="O68" s="44"/>
      <c r="P68" s="44"/>
      <c r="Q68" s="44"/>
      <c r="R68" s="84"/>
      <c r="S68" s="47"/>
      <c r="T68" s="47"/>
    </row>
    <row r="69" s="27" customFormat="1" ht="32" customHeight="1" spans="1:20">
      <c r="A69" s="34"/>
      <c r="B69" s="48">
        <v>13</v>
      </c>
      <c r="C69" s="48"/>
      <c r="D69" s="88" t="s">
        <v>457</v>
      </c>
      <c r="E69" s="72" t="str">
        <f>+VLOOKUP(D69,'材料表 '!C:F,2,0)</f>
        <v>m2</v>
      </c>
      <c r="F69" s="77">
        <f>+SUMIF($L$44:$L$82,D69,$R$44:$R$82)</f>
        <v>0.463592233009709</v>
      </c>
      <c r="G69" s="89">
        <f>+VLOOKUP(D69,'材料表 '!C:F,4,0)</f>
        <v>0.01</v>
      </c>
      <c r="H69" s="74">
        <f t="shared" si="8"/>
        <v>0.468228155339806</v>
      </c>
      <c r="I69" s="74">
        <f>+VLOOKUP(D69,'材料表 '!C:F,3,0)</f>
        <v>177.87610619469</v>
      </c>
      <c r="J69" s="95">
        <f t="shared" si="7"/>
        <v>83.2866010825671</v>
      </c>
      <c r="K69" s="92">
        <f ca="1">H69*K43</f>
        <v>12.4909225</v>
      </c>
      <c r="L69" s="90" t="s">
        <v>457</v>
      </c>
      <c r="M69" s="44"/>
      <c r="N69" s="82">
        <f>(4.85-0.025*3)*(P44-0.025*0)</f>
        <v>12.36725</v>
      </c>
      <c r="O69" s="44"/>
      <c r="P69" s="44">
        <v>1</v>
      </c>
      <c r="Q69" s="44">
        <f>N69*P69</f>
        <v>12.36725</v>
      </c>
      <c r="R69" s="84">
        <f>Q69/R44</f>
        <v>0.463592233009709</v>
      </c>
      <c r="S69" s="47"/>
      <c r="T69" s="47"/>
    </row>
    <row r="70" s="27" customFormat="1" ht="43" customHeight="1" spans="1:20">
      <c r="A70" s="34"/>
      <c r="B70" s="48">
        <v>14</v>
      </c>
      <c r="C70" s="48"/>
      <c r="D70" s="88" t="s">
        <v>458</v>
      </c>
      <c r="E70" s="72" t="str">
        <f>+VLOOKUP(D70,'材料表 '!C:F,2,0)</f>
        <v>m2</v>
      </c>
      <c r="F70" s="77">
        <f>+SUMIF($L$44:$L$82,D70,$R$44:$R$82)</f>
        <v>0.526699029126214</v>
      </c>
      <c r="G70" s="89">
        <f>+VLOOKUP(D70,'材料表 '!C:F,4,0)</f>
        <v>0.01</v>
      </c>
      <c r="H70" s="74">
        <f t="shared" si="8"/>
        <v>0.531966019417476</v>
      </c>
      <c r="I70" s="74">
        <f>+VLOOKUP(D70,'材料表 '!C:F,3,0)</f>
        <v>1061.94690265487</v>
      </c>
      <c r="J70" s="95">
        <f t="shared" si="7"/>
        <v>564.919666638029</v>
      </c>
      <c r="K70" s="92">
        <f ca="1">H70*K43</f>
        <v>14.1912575</v>
      </c>
      <c r="L70" s="90" t="s">
        <v>458</v>
      </c>
      <c r="M70" s="44"/>
      <c r="N70" s="82">
        <f>(5.45-0.025*1)*(P44-0.025*0)</f>
        <v>14.05075</v>
      </c>
      <c r="O70" s="44"/>
      <c r="P70" s="44">
        <v>1</v>
      </c>
      <c r="Q70" s="44">
        <f>N70*P70</f>
        <v>14.05075</v>
      </c>
      <c r="R70" s="84">
        <f>Q70/R44</f>
        <v>0.526699029126214</v>
      </c>
      <c r="S70" s="47"/>
      <c r="T70" s="47"/>
    </row>
    <row r="71" s="27" customFormat="1" ht="18" customHeight="1" spans="1:20">
      <c r="A71" s="34"/>
      <c r="B71" s="48">
        <v>15</v>
      </c>
      <c r="C71" s="48"/>
      <c r="D71" s="88"/>
      <c r="E71" s="72"/>
      <c r="F71" s="77"/>
      <c r="G71" s="89"/>
      <c r="H71" s="74"/>
      <c r="I71" s="74"/>
      <c r="J71" s="95"/>
      <c r="K71" s="92"/>
      <c r="L71" s="92"/>
      <c r="M71" s="44"/>
      <c r="N71" s="82"/>
      <c r="O71" s="44"/>
      <c r="P71" s="44"/>
      <c r="Q71" s="44"/>
      <c r="R71" s="84"/>
      <c r="S71" s="47"/>
      <c r="T71" s="47"/>
    </row>
    <row r="72" s="27" customFormat="1" ht="18" customHeight="1" spans="1:20">
      <c r="A72" s="34"/>
      <c r="B72" s="48">
        <v>16</v>
      </c>
      <c r="C72" s="48"/>
      <c r="D72" s="88"/>
      <c r="E72" s="72"/>
      <c r="F72" s="77"/>
      <c r="G72" s="89"/>
      <c r="H72" s="74"/>
      <c r="I72" s="74"/>
      <c r="J72" s="95"/>
      <c r="K72" s="92"/>
      <c r="L72" s="92"/>
      <c r="M72" s="44"/>
      <c r="N72" s="44"/>
      <c r="O72" s="44"/>
      <c r="P72" s="44"/>
      <c r="Q72" s="44"/>
      <c r="R72" s="84"/>
      <c r="S72" s="47"/>
      <c r="T72" s="47"/>
    </row>
    <row r="73" s="27" customFormat="1" ht="18" customHeight="1" spans="1:20">
      <c r="A73" s="34"/>
      <c r="B73" s="48">
        <v>17</v>
      </c>
      <c r="C73" s="48"/>
      <c r="D73" s="88"/>
      <c r="E73" s="72"/>
      <c r="F73" s="77"/>
      <c r="G73" s="89"/>
      <c r="H73" s="74"/>
      <c r="I73" s="74"/>
      <c r="J73" s="95"/>
      <c r="K73" s="60"/>
      <c r="L73" s="92"/>
      <c r="M73" s="44"/>
      <c r="N73" s="44"/>
      <c r="O73" s="44"/>
      <c r="P73" s="44"/>
      <c r="Q73" s="44"/>
      <c r="R73" s="84"/>
      <c r="S73" s="47"/>
      <c r="T73" s="47"/>
    </row>
    <row r="74" s="27" customFormat="1" ht="24" customHeight="1" spans="1:20">
      <c r="A74" s="34"/>
      <c r="B74" s="48">
        <v>18</v>
      </c>
      <c r="C74" s="48"/>
      <c r="D74" s="88"/>
      <c r="E74" s="72"/>
      <c r="F74" s="77"/>
      <c r="G74" s="89"/>
      <c r="H74" s="74"/>
      <c r="I74" s="74"/>
      <c r="J74" s="95"/>
      <c r="K74" s="60"/>
      <c r="L74" s="92"/>
      <c r="M74" s="44"/>
      <c r="N74" s="44"/>
      <c r="O74" s="44"/>
      <c r="P74" s="44"/>
      <c r="Q74" s="44"/>
      <c r="R74" s="84"/>
      <c r="S74" s="47"/>
      <c r="T74" s="47"/>
    </row>
    <row r="75" s="27" customFormat="1" ht="18" customHeight="1" spans="1:20">
      <c r="A75" s="34"/>
      <c r="B75" s="48">
        <v>19</v>
      </c>
      <c r="C75" s="48"/>
      <c r="D75" s="88"/>
      <c r="E75" s="72"/>
      <c r="F75" s="77"/>
      <c r="G75" s="89"/>
      <c r="H75" s="74"/>
      <c r="I75" s="74"/>
      <c r="J75" s="95"/>
      <c r="K75" s="60"/>
      <c r="L75" s="92"/>
      <c r="M75" s="44"/>
      <c r="N75" s="44"/>
      <c r="O75" s="44"/>
      <c r="P75" s="44"/>
      <c r="Q75" s="44"/>
      <c r="R75" s="84"/>
      <c r="S75" s="47"/>
      <c r="T75" s="47"/>
    </row>
    <row r="76" s="27" customFormat="1" ht="18" customHeight="1" spans="1:20">
      <c r="A76" s="34"/>
      <c r="B76" s="48">
        <v>20</v>
      </c>
      <c r="C76" s="48"/>
      <c r="D76" s="88"/>
      <c r="E76" s="72"/>
      <c r="F76" s="77"/>
      <c r="G76" s="89"/>
      <c r="H76" s="74"/>
      <c r="I76" s="74"/>
      <c r="J76" s="95"/>
      <c r="K76" s="60"/>
      <c r="L76" s="92"/>
      <c r="M76" s="44"/>
      <c r="N76" s="44"/>
      <c r="O76" s="44"/>
      <c r="P76" s="44"/>
      <c r="Q76" s="44"/>
      <c r="R76" s="84"/>
      <c r="S76" s="47"/>
      <c r="T76" s="47"/>
    </row>
    <row r="77" s="27" customFormat="1" ht="18" customHeight="1" spans="1:20">
      <c r="A77" s="34"/>
      <c r="B77" s="48">
        <v>21</v>
      </c>
      <c r="C77" s="48"/>
      <c r="D77" s="121"/>
      <c r="E77" s="72"/>
      <c r="F77" s="77"/>
      <c r="G77" s="89"/>
      <c r="H77" s="74"/>
      <c r="I77" s="74"/>
      <c r="J77" s="95"/>
      <c r="K77" s="80"/>
      <c r="L77" s="92"/>
      <c r="M77" s="44"/>
      <c r="N77" s="44"/>
      <c r="O77" s="44"/>
      <c r="P77" s="44"/>
      <c r="Q77" s="101"/>
      <c r="R77" s="84"/>
      <c r="S77" s="47"/>
      <c r="T77" s="47"/>
    </row>
    <row r="78" s="27" customFormat="1" ht="18" customHeight="1" spans="1:20">
      <c r="A78" s="34"/>
      <c r="B78" s="48">
        <v>22</v>
      </c>
      <c r="C78" s="48"/>
      <c r="D78" s="88"/>
      <c r="E78" s="72"/>
      <c r="F78" s="77"/>
      <c r="G78" s="89"/>
      <c r="H78" s="74"/>
      <c r="I78" s="74"/>
      <c r="J78" s="95"/>
      <c r="K78" s="92"/>
      <c r="L78" s="92"/>
      <c r="M78" s="44"/>
      <c r="N78" s="44"/>
      <c r="O78" s="44"/>
      <c r="P78" s="44"/>
      <c r="Q78" s="44"/>
      <c r="R78" s="84"/>
      <c r="S78" s="47"/>
      <c r="T78" s="47"/>
    </row>
    <row r="79" s="27" customFormat="1" ht="18" customHeight="1" spans="1:20">
      <c r="A79" s="34"/>
      <c r="B79" s="48">
        <v>23</v>
      </c>
      <c r="C79" s="48"/>
      <c r="D79" s="88"/>
      <c r="E79" s="72"/>
      <c r="F79" s="77"/>
      <c r="G79" s="89"/>
      <c r="H79" s="74"/>
      <c r="I79" s="74"/>
      <c r="J79" s="95"/>
      <c r="K79" s="92"/>
      <c r="L79" s="92"/>
      <c r="M79" s="44"/>
      <c r="N79" s="44"/>
      <c r="O79" s="44"/>
      <c r="P79" s="44"/>
      <c r="Q79" s="44"/>
      <c r="R79" s="62"/>
      <c r="S79" s="47"/>
      <c r="T79" s="47"/>
    </row>
    <row r="80" s="27" customFormat="1" ht="18" customHeight="1" spans="1:20">
      <c r="A80" s="34"/>
      <c r="B80" s="48">
        <v>24</v>
      </c>
      <c r="C80" s="48"/>
      <c r="D80" s="88" t="s">
        <v>441</v>
      </c>
      <c r="E80" s="72" t="s">
        <v>43</v>
      </c>
      <c r="F80" s="77"/>
      <c r="G80" s="72">
        <v>1</v>
      </c>
      <c r="H80" s="74">
        <v>1</v>
      </c>
      <c r="I80" s="74">
        <f>+辅材及安装费!$E$5</f>
        <v>5</v>
      </c>
      <c r="J80" s="95">
        <f t="shared" ref="J79:J82" si="10">H80*I80</f>
        <v>5</v>
      </c>
      <c r="K80" s="60"/>
      <c r="L80" s="92"/>
      <c r="M80" s="44"/>
      <c r="N80" s="44"/>
      <c r="O80" s="44"/>
      <c r="P80" s="44"/>
      <c r="Q80" s="44"/>
      <c r="R80" s="62"/>
      <c r="S80" s="47"/>
      <c r="T80" s="47"/>
    </row>
    <row r="81" s="27" customFormat="1" ht="18" customHeight="1" spans="1:20">
      <c r="A81" s="34"/>
      <c r="B81" s="48">
        <v>25</v>
      </c>
      <c r="C81" s="48"/>
      <c r="D81" s="93" t="s">
        <v>442</v>
      </c>
      <c r="E81" s="72"/>
      <c r="F81" s="77"/>
      <c r="G81" s="72"/>
      <c r="H81" s="74"/>
      <c r="I81" s="74"/>
      <c r="J81" s="95">
        <f>SUM(J57:J80)</f>
        <v>974.970204781633</v>
      </c>
      <c r="K81" s="60"/>
      <c r="L81" s="94"/>
      <c r="M81" s="27"/>
      <c r="N81" s="83"/>
      <c r="O81" s="83"/>
      <c r="P81" s="83"/>
      <c r="Q81" s="83"/>
      <c r="R81" s="87"/>
      <c r="S81" s="47"/>
      <c r="T81" s="47"/>
    </row>
    <row r="82" s="27" customFormat="1" ht="18" customHeight="1" spans="1:20">
      <c r="A82" s="34"/>
      <c r="B82" s="48">
        <v>1</v>
      </c>
      <c r="C82" s="48" t="s">
        <v>443</v>
      </c>
      <c r="D82" s="48" t="s">
        <v>444</v>
      </c>
      <c r="E82" s="72" t="s">
        <v>43</v>
      </c>
      <c r="F82" s="50"/>
      <c r="G82" s="48"/>
      <c r="H82" s="51">
        <v>1</v>
      </c>
      <c r="I82" s="74">
        <f>+辅材及安装费!$F$5</f>
        <v>5</v>
      </c>
      <c r="J82" s="95">
        <f t="shared" si="10"/>
        <v>5</v>
      </c>
      <c r="K82" s="60"/>
      <c r="L82" s="96"/>
      <c r="M82" s="97"/>
      <c r="N82" s="98"/>
      <c r="O82" s="98"/>
      <c r="P82" s="98"/>
      <c r="Q82" s="98"/>
      <c r="R82" s="99"/>
      <c r="S82" s="47"/>
      <c r="T82" s="47"/>
    </row>
    <row r="83" s="26" customFormat="1" ht="30" customHeight="1" spans="1:20">
      <c r="A83" s="28"/>
      <c r="B83" s="29" t="s">
        <v>386</v>
      </c>
      <c r="C83" s="29"/>
      <c r="D83" s="29"/>
      <c r="E83" s="29"/>
      <c r="F83" s="29"/>
      <c r="G83" s="29"/>
      <c r="H83" s="29"/>
      <c r="I83" s="29"/>
      <c r="J83" s="29"/>
      <c r="K83" s="29"/>
      <c r="L83" s="30"/>
      <c r="M83" s="31"/>
      <c r="N83" s="31"/>
      <c r="O83" s="31"/>
      <c r="P83" s="31"/>
      <c r="Q83" s="31"/>
      <c r="R83" s="32"/>
      <c r="S83" s="33"/>
      <c r="T83" s="33"/>
    </row>
    <row r="84" s="27" customFormat="1" ht="33.75" customHeight="1" spans="1:20">
      <c r="A84" s="34">
        <v>1</v>
      </c>
      <c r="B84" s="35" t="s">
        <v>1</v>
      </c>
      <c r="C84" s="35" t="s">
        <v>387</v>
      </c>
      <c r="D84" s="36" t="str">
        <f>+A92</f>
        <v>25㎜葡萄牙灰石材</v>
      </c>
      <c r="E84" s="37"/>
      <c r="F84" s="38" t="s">
        <v>99</v>
      </c>
      <c r="G84" s="39"/>
      <c r="H84" s="35" t="s">
        <v>388</v>
      </c>
      <c r="I84" s="40" t="s">
        <v>389</v>
      </c>
      <c r="J84" s="41" t="s">
        <v>37</v>
      </c>
      <c r="K84" s="42">
        <f ca="1">VLOOKUP(A84,排屋工程量清单!$A$49:$D$57,4,)</f>
        <v>67.8042</v>
      </c>
      <c r="L84" s="43"/>
      <c r="M84" s="44"/>
      <c r="N84" s="44"/>
      <c r="O84" s="44"/>
      <c r="P84" s="45"/>
      <c r="Q84" s="44"/>
      <c r="R84" s="46"/>
      <c r="S84" s="47"/>
      <c r="T84" s="47"/>
    </row>
    <row r="85" s="27" customFormat="1" ht="18" customHeight="1" spans="1:20">
      <c r="A85" s="34"/>
      <c r="B85" s="48">
        <v>1</v>
      </c>
      <c r="C85" s="49" t="s">
        <v>390</v>
      </c>
      <c r="D85" s="48" t="s">
        <v>391</v>
      </c>
      <c r="E85" s="48"/>
      <c r="F85" s="50"/>
      <c r="G85" s="48"/>
      <c r="H85" s="51"/>
      <c r="I85" s="52">
        <f>J97</f>
        <v>210</v>
      </c>
      <c r="J85" s="53" t="s">
        <v>392</v>
      </c>
      <c r="K85" s="54"/>
      <c r="L85" s="55" t="s">
        <v>174</v>
      </c>
      <c r="M85" s="56" t="s">
        <v>459</v>
      </c>
      <c r="N85" s="57"/>
      <c r="O85" s="57">
        <v>11.35</v>
      </c>
      <c r="P85" s="57">
        <v>0.55</v>
      </c>
      <c r="Q85" s="57">
        <v>1</v>
      </c>
      <c r="R85" s="58">
        <f>+Q85*P85*O85</f>
        <v>6.2425</v>
      </c>
      <c r="S85" s="47"/>
      <c r="T85" s="47"/>
    </row>
    <row r="86" s="27" customFormat="1" ht="18" customHeight="1" spans="1:20">
      <c r="A86" s="34"/>
      <c r="B86" s="48">
        <v>2</v>
      </c>
      <c r="C86" s="59"/>
      <c r="D86" s="48" t="s">
        <v>394</v>
      </c>
      <c r="E86" s="48"/>
      <c r="F86" s="50"/>
      <c r="G86" s="48"/>
      <c r="H86" s="51"/>
      <c r="I86" s="52">
        <f>J121</f>
        <v>899.261776787012</v>
      </c>
      <c r="J86" s="53" t="s">
        <v>392</v>
      </c>
      <c r="K86" s="60"/>
      <c r="L86" s="61" t="s">
        <v>99</v>
      </c>
      <c r="M86" s="44"/>
      <c r="N86" s="44"/>
      <c r="O86" s="44"/>
      <c r="P86" s="44"/>
      <c r="Q86" s="44"/>
      <c r="R86" s="62"/>
      <c r="S86" s="47"/>
      <c r="T86" s="47"/>
    </row>
    <row r="87" s="27" customFormat="1" ht="18" customHeight="1" spans="1:20">
      <c r="A87" s="34"/>
      <c r="B87" s="48">
        <v>3</v>
      </c>
      <c r="C87" s="63"/>
      <c r="D87" s="48" t="s">
        <v>395</v>
      </c>
      <c r="E87" s="48"/>
      <c r="F87" s="50"/>
      <c r="G87" s="48"/>
      <c r="H87" s="51"/>
      <c r="I87" s="52">
        <f>J122</f>
        <v>5</v>
      </c>
      <c r="J87" s="53" t="s">
        <v>392</v>
      </c>
      <c r="K87" s="60"/>
      <c r="L87" s="60"/>
      <c r="M87" s="64" t="s">
        <v>396</v>
      </c>
      <c r="N87" s="65" t="s">
        <v>397</v>
      </c>
      <c r="O87" s="65" t="s">
        <v>398</v>
      </c>
      <c r="P87" s="65" t="s">
        <v>399</v>
      </c>
      <c r="Q87" s="65" t="s">
        <v>400</v>
      </c>
      <c r="R87" s="66" t="s">
        <v>401</v>
      </c>
      <c r="S87" s="47"/>
      <c r="T87" s="47"/>
    </row>
    <row r="88" s="27" customFormat="1" ht="18" customHeight="1" spans="1:20">
      <c r="A88" s="34"/>
      <c r="B88" s="48">
        <v>4</v>
      </c>
      <c r="C88" s="48" t="s">
        <v>402</v>
      </c>
      <c r="D88" s="67" t="s">
        <v>403</v>
      </c>
      <c r="E88" s="67"/>
      <c r="F88" s="50"/>
      <c r="G88" s="67"/>
      <c r="H88" s="68"/>
      <c r="I88" s="52">
        <f>SUM(I85:I87)</f>
        <v>1114.26177678701</v>
      </c>
      <c r="J88" s="53" t="s">
        <v>392</v>
      </c>
      <c r="K88" s="60"/>
      <c r="L88" s="69" t="s">
        <v>431</v>
      </c>
      <c r="M88" s="34" t="s">
        <v>460</v>
      </c>
      <c r="N88" s="102">
        <v>10.21</v>
      </c>
      <c r="O88" s="34">
        <f>+P85</f>
        <v>0.55</v>
      </c>
      <c r="P88" s="34">
        <v>10</v>
      </c>
      <c r="Q88" s="44">
        <f t="shared" ref="Q88:Q92" si="11">+P88*O88*N88</f>
        <v>56.155</v>
      </c>
      <c r="R88" s="71">
        <f>+Q88/R85</f>
        <v>8.99559471365639</v>
      </c>
      <c r="S88" s="47"/>
      <c r="T88" s="47"/>
    </row>
    <row r="89" s="27" customFormat="1" ht="28" customHeight="1" spans="1:20">
      <c r="A89" s="34"/>
      <c r="B89" s="48">
        <v>5</v>
      </c>
      <c r="C89" s="72" t="s">
        <v>406</v>
      </c>
      <c r="D89" s="48" t="s">
        <v>407</v>
      </c>
      <c r="E89" s="48"/>
      <c r="F89" s="50"/>
      <c r="G89" s="48"/>
      <c r="H89" s="73">
        <f>+'材料表 '!$E$178</f>
        <v>0</v>
      </c>
      <c r="I89" s="52">
        <f>H89*I88</f>
        <v>0</v>
      </c>
      <c r="J89" s="53" t="s">
        <v>392</v>
      </c>
      <c r="K89" s="60"/>
      <c r="L89" s="69" t="s">
        <v>461</v>
      </c>
      <c r="M89" s="34" t="s">
        <v>462</v>
      </c>
      <c r="N89" s="34">
        <v>3.77</v>
      </c>
      <c r="O89" s="34">
        <f>+O85</f>
        <v>11.35</v>
      </c>
      <c r="P89" s="34">
        <v>2</v>
      </c>
      <c r="Q89" s="44">
        <f t="shared" si="11"/>
        <v>85.579</v>
      </c>
      <c r="R89" s="71">
        <f>+Q89/R85</f>
        <v>13.7090909090909</v>
      </c>
      <c r="S89" s="47"/>
      <c r="T89" s="47"/>
    </row>
    <row r="90" s="27" customFormat="1" ht="18" customHeight="1" spans="1:20">
      <c r="A90" s="34"/>
      <c r="B90" s="48">
        <v>6</v>
      </c>
      <c r="C90" s="48" t="s">
        <v>409</v>
      </c>
      <c r="D90" s="48" t="s">
        <v>410</v>
      </c>
      <c r="E90" s="48"/>
      <c r="F90" s="50"/>
      <c r="G90" s="48"/>
      <c r="H90" s="73">
        <f>+'材料表 '!$E$179</f>
        <v>0</v>
      </c>
      <c r="I90" s="52">
        <f>H90*I88</f>
        <v>0</v>
      </c>
      <c r="J90" s="53" t="s">
        <v>392</v>
      </c>
      <c r="K90" s="60"/>
      <c r="L90" s="69" t="s">
        <v>463</v>
      </c>
      <c r="M90" s="34" t="s">
        <v>464</v>
      </c>
      <c r="N90" s="34">
        <f>0.15*0.2*7.85*10</f>
        <v>2.355</v>
      </c>
      <c r="O90" s="34">
        <v>2</v>
      </c>
      <c r="P90" s="34">
        <f>+P88</f>
        <v>10</v>
      </c>
      <c r="Q90" s="44">
        <f t="shared" si="11"/>
        <v>47.1</v>
      </c>
      <c r="R90" s="71">
        <f>+Q90/R85</f>
        <v>7.54505406487785</v>
      </c>
      <c r="S90" s="47"/>
      <c r="T90" s="47"/>
    </row>
    <row r="91" s="27" customFormat="1" ht="18" customHeight="1" spans="1:20">
      <c r="A91" s="34"/>
      <c r="B91" s="48">
        <v>7</v>
      </c>
      <c r="C91" s="48" t="s">
        <v>412</v>
      </c>
      <c r="D91" s="72" t="s">
        <v>413</v>
      </c>
      <c r="E91" s="72"/>
      <c r="F91" s="77"/>
      <c r="G91" s="72"/>
      <c r="H91" s="73">
        <f>+'材料表 '!$E$180</f>
        <v>0.09</v>
      </c>
      <c r="I91" s="52">
        <f>(I88+I89+I90)*H91</f>
        <v>100.283559910831</v>
      </c>
      <c r="J91" s="53" t="s">
        <v>392</v>
      </c>
      <c r="K91" s="60"/>
      <c r="L91" s="69" t="s">
        <v>465</v>
      </c>
      <c r="M91" s="34" t="s">
        <v>466</v>
      </c>
      <c r="N91" s="100">
        <f>3.77</f>
        <v>3.77</v>
      </c>
      <c r="O91" s="34">
        <v>0.155</v>
      </c>
      <c r="P91" s="34">
        <v>0</v>
      </c>
      <c r="Q91" s="44">
        <f t="shared" si="11"/>
        <v>0</v>
      </c>
      <c r="R91" s="71">
        <f>+Q91/R85</f>
        <v>0</v>
      </c>
      <c r="S91" s="47"/>
      <c r="T91" s="47"/>
    </row>
    <row r="92" s="27" customFormat="1" ht="18" customHeight="1" spans="1:20">
      <c r="A92" s="105" t="s">
        <v>467</v>
      </c>
      <c r="B92" s="48">
        <v>8</v>
      </c>
      <c r="C92" s="48" t="s">
        <v>363</v>
      </c>
      <c r="D92" s="106" t="s">
        <v>415</v>
      </c>
      <c r="E92" s="107"/>
      <c r="F92" s="108"/>
      <c r="G92" s="107"/>
      <c r="H92" s="51"/>
      <c r="I92" s="74">
        <f>SUM(I88:I91)</f>
        <v>1214.54533669784</v>
      </c>
      <c r="J92" s="53" t="s">
        <v>416</v>
      </c>
      <c r="K92" s="60"/>
      <c r="L92" s="69" t="s">
        <v>465</v>
      </c>
      <c r="M92" s="44" t="s">
        <v>468</v>
      </c>
      <c r="N92" s="82">
        <v>5.778</v>
      </c>
      <c r="O92" s="44">
        <v>0.125</v>
      </c>
      <c r="P92" s="44">
        <f>+P88*2</f>
        <v>20</v>
      </c>
      <c r="Q92" s="44">
        <f t="shared" si="11"/>
        <v>14.445</v>
      </c>
      <c r="R92" s="84">
        <f>+Q92/R85</f>
        <v>2.31397677212655</v>
      </c>
      <c r="S92" s="79"/>
      <c r="T92" s="47"/>
    </row>
    <row r="93" s="27" customFormat="1" ht="18" customHeight="1" spans="1:20">
      <c r="A93" s="34"/>
      <c r="B93" s="109" t="s">
        <v>418</v>
      </c>
      <c r="C93" s="110"/>
      <c r="D93" s="110"/>
      <c r="E93" s="110"/>
      <c r="F93" s="110"/>
      <c r="G93" s="110"/>
      <c r="H93" s="110"/>
      <c r="I93" s="110"/>
      <c r="J93" s="110"/>
      <c r="K93" s="80"/>
      <c r="L93" s="90" t="s">
        <v>469</v>
      </c>
      <c r="M93" s="44"/>
      <c r="N93" s="82"/>
      <c r="O93" s="44">
        <f>15*4</f>
        <v>60</v>
      </c>
      <c r="P93" s="44">
        <v>1</v>
      </c>
      <c r="Q93" s="44">
        <f>+P93*O93</f>
        <v>60</v>
      </c>
      <c r="R93" s="84">
        <f>+Q93/R85</f>
        <v>9.61153384060873</v>
      </c>
      <c r="S93" s="47"/>
      <c r="T93" s="47"/>
    </row>
    <row r="94" s="27" customFormat="1" ht="18" customHeight="1" spans="1:20">
      <c r="A94" s="34"/>
      <c r="B94" s="48">
        <v>1</v>
      </c>
      <c r="C94" s="48" t="s">
        <v>391</v>
      </c>
      <c r="D94" s="48" t="s">
        <v>396</v>
      </c>
      <c r="E94" s="48" t="s">
        <v>37</v>
      </c>
      <c r="F94" s="50"/>
      <c r="G94" s="48"/>
      <c r="H94" s="51" t="s">
        <v>399</v>
      </c>
      <c r="I94" s="51" t="s">
        <v>420</v>
      </c>
      <c r="J94" s="95" t="s">
        <v>421</v>
      </c>
      <c r="K94" s="92"/>
      <c r="L94" s="90"/>
      <c r="M94" s="44"/>
      <c r="N94" s="82"/>
      <c r="O94" s="44"/>
      <c r="P94" s="44"/>
      <c r="Q94" s="44"/>
      <c r="R94" s="84"/>
      <c r="S94" s="47"/>
      <c r="T94" s="47"/>
    </row>
    <row r="95" s="27" customFormat="1" ht="18" customHeight="1" spans="1:20">
      <c r="A95" s="34"/>
      <c r="B95" s="48">
        <v>2</v>
      </c>
      <c r="C95" s="48"/>
      <c r="D95" s="111" t="s">
        <v>470</v>
      </c>
      <c r="E95" s="49" t="s">
        <v>423</v>
      </c>
      <c r="F95" s="112"/>
      <c r="G95" s="111"/>
      <c r="H95" s="113">
        <v>1</v>
      </c>
      <c r="I95" s="113">
        <f>+辅材及安装费!$G$8</f>
        <v>210</v>
      </c>
      <c r="J95" s="114">
        <f t="shared" ref="J95:J111" si="12">H95*I95</f>
        <v>210</v>
      </c>
      <c r="K95" s="92"/>
      <c r="L95" s="90" t="s">
        <v>471</v>
      </c>
      <c r="M95" s="44"/>
      <c r="N95" s="82"/>
      <c r="O95" s="44"/>
      <c r="P95" s="44"/>
      <c r="Q95" s="44">
        <f>+Q93</f>
        <v>60</v>
      </c>
      <c r="R95" s="84">
        <f>+Q95/R85</f>
        <v>9.61153384060873</v>
      </c>
      <c r="S95" s="47"/>
      <c r="T95" s="47"/>
    </row>
    <row r="96" s="27" customFormat="1" ht="18" customHeight="1" spans="1:20">
      <c r="A96" s="34"/>
      <c r="B96" s="48">
        <v>3</v>
      </c>
      <c r="C96" s="48"/>
      <c r="D96" s="115"/>
      <c r="E96" s="63"/>
      <c r="F96" s="116"/>
      <c r="G96" s="115"/>
      <c r="H96" s="117"/>
      <c r="I96" s="117"/>
      <c r="J96" s="118"/>
      <c r="K96" s="92"/>
      <c r="L96" s="90" t="s">
        <v>472</v>
      </c>
      <c r="M96" s="44"/>
      <c r="N96" s="82"/>
      <c r="O96" s="44"/>
      <c r="P96" s="44">
        <f>+P91</f>
        <v>0</v>
      </c>
      <c r="Q96" s="44">
        <f>+P96</f>
        <v>0</v>
      </c>
      <c r="R96" s="84">
        <f>+Q96/R85</f>
        <v>0</v>
      </c>
      <c r="S96" s="47"/>
      <c r="T96" s="47"/>
    </row>
    <row r="97" s="27" customFormat="1" ht="18" customHeight="1" spans="1:20">
      <c r="A97" s="34"/>
      <c r="B97" s="48">
        <v>4</v>
      </c>
      <c r="C97" s="48"/>
      <c r="D97" s="85" t="s">
        <v>426</v>
      </c>
      <c r="E97" s="48" t="s">
        <v>392</v>
      </c>
      <c r="F97" s="50"/>
      <c r="G97" s="48"/>
      <c r="H97" s="86"/>
      <c r="I97" s="86"/>
      <c r="J97" s="95">
        <f>SUM(J95:J95)</f>
        <v>210</v>
      </c>
      <c r="K97" s="92"/>
      <c r="L97" s="90" t="s">
        <v>473</v>
      </c>
      <c r="M97" s="44"/>
      <c r="N97" s="82"/>
      <c r="O97" s="44"/>
      <c r="P97" s="44"/>
      <c r="Q97" s="44">
        <f>+(Q93)*3</f>
        <v>180</v>
      </c>
      <c r="R97" s="84">
        <f>+Q97/R85</f>
        <v>28.8346015218262</v>
      </c>
      <c r="S97" s="47"/>
      <c r="T97" s="47"/>
    </row>
    <row r="98" s="27" customFormat="1" ht="30" customHeight="1" spans="1:20">
      <c r="A98" s="34"/>
      <c r="B98" s="48">
        <v>1</v>
      </c>
      <c r="C98" s="48" t="s">
        <v>394</v>
      </c>
      <c r="D98" s="88" t="s">
        <v>431</v>
      </c>
      <c r="E98" s="72" t="str">
        <f>+VLOOKUP(D98,'材料表 '!C:F,2,0)</f>
        <v>kg</v>
      </c>
      <c r="F98" s="77">
        <f t="shared" ref="F98:F106" si="13">+SUMIF($L$86:$L$122,D98,$R$86:$R$122)</f>
        <v>8.99559471365639</v>
      </c>
      <c r="G98" s="89">
        <f>+VLOOKUP(D98,'材料表 '!C:F,4,0)</f>
        <v>0.03</v>
      </c>
      <c r="H98" s="74">
        <f>F98*(G98+1)</f>
        <v>9.26546255506608</v>
      </c>
      <c r="I98" s="74">
        <f>+VLOOKUP(D98,'材料表 '!C:F,3,0)</f>
        <v>3.80530973451327</v>
      </c>
      <c r="J98" s="95">
        <f t="shared" si="12"/>
        <v>35.2579548555612</v>
      </c>
      <c r="K98" s="60">
        <f ca="1">H98*K84</f>
        <v>628.237276176212</v>
      </c>
      <c r="L98" s="90"/>
      <c r="M98" s="44"/>
      <c r="N98" s="82"/>
      <c r="O98" s="44"/>
      <c r="P98" s="44"/>
      <c r="Q98" s="44"/>
      <c r="R98" s="84"/>
      <c r="S98" s="47"/>
      <c r="T98" s="47"/>
    </row>
    <row r="99" s="27" customFormat="1" ht="18" customHeight="1" spans="1:20">
      <c r="A99" s="34"/>
      <c r="B99" s="48">
        <v>2</v>
      </c>
      <c r="C99" s="48"/>
      <c r="D99" s="88" t="s">
        <v>461</v>
      </c>
      <c r="E99" s="72" t="str">
        <f>+VLOOKUP(D99,'材料表 '!C:F,2,0)</f>
        <v>kg</v>
      </c>
      <c r="F99" s="77">
        <f t="shared" si="13"/>
        <v>13.7090909090909</v>
      </c>
      <c r="G99" s="89">
        <f>+VLOOKUP(D99,'材料表 '!C:F,4,0)</f>
        <v>0.03</v>
      </c>
      <c r="H99" s="74">
        <f>F99*(G99+1)</f>
        <v>14.1203636363636</v>
      </c>
      <c r="I99" s="74">
        <f>+VLOOKUP(D99,'材料表 '!C:F,3,0)</f>
        <v>3.53982300884956</v>
      </c>
      <c r="J99" s="95">
        <f t="shared" si="12"/>
        <v>49.9835880933226</v>
      </c>
      <c r="K99" s="60">
        <f ca="1">H99*K84</f>
        <v>957.419960072725</v>
      </c>
      <c r="L99" s="90"/>
      <c r="M99" s="44"/>
      <c r="N99" s="82"/>
      <c r="O99" s="44"/>
      <c r="P99" s="44"/>
      <c r="Q99" s="44"/>
      <c r="R99" s="84"/>
      <c r="S99" s="47"/>
      <c r="T99" s="47"/>
    </row>
    <row r="100" s="27" customFormat="1" ht="18" customHeight="1" spans="1:20">
      <c r="A100" s="34"/>
      <c r="B100" s="48">
        <v>3</v>
      </c>
      <c r="C100" s="48"/>
      <c r="D100" s="88" t="s">
        <v>465</v>
      </c>
      <c r="E100" s="72" t="str">
        <f>+VLOOKUP(D100,'材料表 '!C:F,2,0)</f>
        <v>kg</v>
      </c>
      <c r="F100" s="77">
        <f t="shared" si="13"/>
        <v>2.31397677212655</v>
      </c>
      <c r="G100" s="89">
        <f>+VLOOKUP(D100,'材料表 '!C:F,4,0)</f>
        <v>0.03</v>
      </c>
      <c r="H100" s="74">
        <f>F100*(G100+1)</f>
        <v>2.38339607529035</v>
      </c>
      <c r="I100" s="74">
        <f>+VLOOKUP(D100,'材料表 '!C:F,3,0)</f>
        <v>6.01769911504425</v>
      </c>
      <c r="J100" s="95">
        <f t="shared" si="12"/>
        <v>14.3425604530747</v>
      </c>
      <c r="K100" s="60">
        <f ca="1">H100*K84</f>
        <v>161.604264168202</v>
      </c>
      <c r="L100" s="90" t="s">
        <v>474</v>
      </c>
      <c r="M100" s="44"/>
      <c r="N100" s="82"/>
      <c r="O100" s="44"/>
      <c r="P100" s="44"/>
      <c r="Q100" s="44">
        <f>+O90*P90*4</f>
        <v>80</v>
      </c>
      <c r="R100" s="84">
        <f>+Q100/R85</f>
        <v>12.815378454145</v>
      </c>
      <c r="S100" s="47"/>
      <c r="T100" s="47"/>
    </row>
    <row r="101" s="27" customFormat="1" ht="18" customHeight="1" spans="1:20">
      <c r="A101" s="34"/>
      <c r="B101" s="48">
        <v>4</v>
      </c>
      <c r="C101" s="48"/>
      <c r="D101" s="88" t="s">
        <v>463</v>
      </c>
      <c r="E101" s="72" t="str">
        <f>+VLOOKUP(D101,'材料表 '!C:F,2,0)</f>
        <v>kg</v>
      </c>
      <c r="F101" s="77">
        <f t="shared" si="13"/>
        <v>7.54505406487785</v>
      </c>
      <c r="G101" s="89">
        <f>+VLOOKUP(D101,'材料表 '!C:F,4,0)</f>
        <v>0.03</v>
      </c>
      <c r="H101" s="74">
        <f>F101*(G101+1)</f>
        <v>7.77140568682419</v>
      </c>
      <c r="I101" s="74">
        <f>+VLOOKUP(D101,'材料表 '!C:F,3,0)</f>
        <v>6.01769911504425</v>
      </c>
      <c r="J101" s="95">
        <f t="shared" si="12"/>
        <v>46.7659811242518</v>
      </c>
      <c r="K101" s="60">
        <f ca="1">H101*K84</f>
        <v>526.933945470565</v>
      </c>
      <c r="L101" s="90" t="s">
        <v>475</v>
      </c>
      <c r="M101" s="44"/>
      <c r="N101" s="83"/>
      <c r="O101" s="82">
        <f>O85</f>
        <v>11.35</v>
      </c>
      <c r="P101" s="44">
        <f>0.371</f>
        <v>0.371</v>
      </c>
      <c r="Q101" s="44">
        <f>+P101*O101</f>
        <v>4.21085</v>
      </c>
      <c r="R101" s="84">
        <f>+Q101/R85</f>
        <v>0.674545454545454</v>
      </c>
      <c r="S101" s="47"/>
      <c r="T101" s="47"/>
    </row>
    <row r="102" s="27" customFormat="1" ht="18" customHeight="1" spans="1:20">
      <c r="A102" s="34"/>
      <c r="B102" s="48">
        <v>5</v>
      </c>
      <c r="C102" s="48"/>
      <c r="D102" s="88" t="s">
        <v>469</v>
      </c>
      <c r="E102" s="72" t="str">
        <f>+VLOOKUP(D102,'材料表 '!C:F,2,0)</f>
        <v>套</v>
      </c>
      <c r="F102" s="77">
        <f t="shared" si="13"/>
        <v>9.61153384060873</v>
      </c>
      <c r="G102" s="89">
        <f>+VLOOKUP(D102,'材料表 '!C:F,4,0)</f>
        <v>0</v>
      </c>
      <c r="H102" s="74">
        <f>F102*(G102+1)</f>
        <v>9.61153384060873</v>
      </c>
      <c r="I102" s="74">
        <f>+VLOOKUP(D102,'材料表 '!C:F,3,0)</f>
        <v>5.30973451327434</v>
      </c>
      <c r="J102" s="95">
        <f t="shared" si="12"/>
        <v>51.0346929589845</v>
      </c>
      <c r="K102" s="60">
        <f ca="1">H102*K84</f>
        <v>651.702362835403</v>
      </c>
      <c r="L102" s="92" t="s">
        <v>476</v>
      </c>
      <c r="M102" s="44"/>
      <c r="N102" s="82"/>
      <c r="O102" s="44"/>
      <c r="P102" s="44"/>
      <c r="Q102" s="44">
        <f>6*6*(O85*2+P85*16)/500</f>
        <v>2.268</v>
      </c>
      <c r="R102" s="84">
        <f>+Q102/R85</f>
        <v>0.36331597917501</v>
      </c>
      <c r="S102" s="47"/>
      <c r="T102" s="47"/>
    </row>
    <row r="103" s="27" customFormat="1" ht="18" customHeight="1" spans="1:20">
      <c r="A103" s="34"/>
      <c r="B103" s="48">
        <v>7</v>
      </c>
      <c r="C103" s="48"/>
      <c r="D103" s="88" t="s">
        <v>471</v>
      </c>
      <c r="E103" s="72" t="str">
        <f>+VLOOKUP(D103,'材料表 '!C:F,2,0)</f>
        <v>套</v>
      </c>
      <c r="F103" s="77">
        <f t="shared" si="13"/>
        <v>9.61153384060873</v>
      </c>
      <c r="G103" s="89">
        <f>+VLOOKUP(D103,'材料表 '!C:F,4,0)</f>
        <v>0</v>
      </c>
      <c r="H103" s="74">
        <f t="shared" ref="H103:H110" si="14">F103*(G103+1)</f>
        <v>9.61153384060873</v>
      </c>
      <c r="I103" s="74">
        <f>+VLOOKUP(D103,'材料表 '!C:F,3,0)</f>
        <v>1.32743362831858</v>
      </c>
      <c r="J103" s="95">
        <f t="shared" si="12"/>
        <v>12.7586732397461</v>
      </c>
      <c r="K103" s="60">
        <f ca="1">H103*K84</f>
        <v>651.702362835403</v>
      </c>
      <c r="L103" s="92"/>
      <c r="M103" s="44"/>
      <c r="N103" s="82"/>
      <c r="O103" s="44"/>
      <c r="P103" s="44"/>
      <c r="Q103" s="44"/>
      <c r="R103" s="84">
        <f>+Q103/R85</f>
        <v>0</v>
      </c>
      <c r="S103" s="47"/>
      <c r="T103" s="47"/>
    </row>
    <row r="104" s="27" customFormat="1" ht="18" customHeight="1" spans="1:20">
      <c r="A104" s="34"/>
      <c r="B104" s="48">
        <v>8</v>
      </c>
      <c r="C104" s="48"/>
      <c r="D104" s="88" t="s">
        <v>472</v>
      </c>
      <c r="E104" s="72" t="str">
        <f>+VLOOKUP(D104,'材料表 '!C:F,2,0)</f>
        <v>套</v>
      </c>
      <c r="F104" s="77">
        <f t="shared" si="13"/>
        <v>0</v>
      </c>
      <c r="G104" s="89">
        <f>+VLOOKUP(D104,'材料表 '!C:F,4,0)</f>
        <v>0</v>
      </c>
      <c r="H104" s="74">
        <f t="shared" si="14"/>
        <v>0</v>
      </c>
      <c r="I104" s="74">
        <f>+VLOOKUP(D104,'材料表 '!C:F,3,0)</f>
        <v>2.47787610619469</v>
      </c>
      <c r="J104" s="95">
        <f t="shared" si="12"/>
        <v>0</v>
      </c>
      <c r="K104" s="60">
        <f ca="1">H104*K84</f>
        <v>0</v>
      </c>
      <c r="L104" s="92"/>
      <c r="M104" s="44"/>
      <c r="N104" s="82"/>
      <c r="O104" s="44"/>
      <c r="P104" s="44"/>
      <c r="Q104" s="44"/>
      <c r="R104" s="84"/>
      <c r="S104" s="47"/>
      <c r="T104" s="47"/>
    </row>
    <row r="105" s="27" customFormat="1" ht="18" customHeight="1" spans="1:20">
      <c r="A105" s="34"/>
      <c r="B105" s="48">
        <v>9</v>
      </c>
      <c r="C105" s="48"/>
      <c r="D105" s="88" t="s">
        <v>473</v>
      </c>
      <c r="E105" s="72" t="str">
        <f>+VLOOKUP(D105,'材料表 '!C:F,2,0)</f>
        <v>套</v>
      </c>
      <c r="F105" s="77">
        <f t="shared" si="13"/>
        <v>28.8346015218262</v>
      </c>
      <c r="G105" s="89">
        <f>+VLOOKUP(D105,'材料表 '!C:F,4,0)</f>
        <v>0</v>
      </c>
      <c r="H105" s="74">
        <f t="shared" si="14"/>
        <v>28.8346015218262</v>
      </c>
      <c r="I105" s="74">
        <f>+VLOOKUP(D105,'材料表 '!C:F,3,0)</f>
        <v>0.247787610619469</v>
      </c>
      <c r="J105" s="95">
        <f t="shared" si="12"/>
        <v>7.14485701425782</v>
      </c>
      <c r="K105" s="60">
        <f ca="1">H105*K84</f>
        <v>1955.10708850621</v>
      </c>
      <c r="L105" s="90"/>
      <c r="M105" s="44"/>
      <c r="N105" s="82"/>
      <c r="O105" s="34"/>
      <c r="P105" s="44"/>
      <c r="Q105" s="44"/>
      <c r="R105" s="119"/>
      <c r="S105" s="47"/>
      <c r="T105" s="47"/>
    </row>
    <row r="106" s="27" customFormat="1" ht="18" customHeight="1" spans="1:20">
      <c r="A106" s="34"/>
      <c r="B106" s="48">
        <v>10</v>
      </c>
      <c r="C106" s="48"/>
      <c r="D106" s="88" t="s">
        <v>474</v>
      </c>
      <c r="E106" s="72" t="str">
        <f>+VLOOKUP(D106,'材料表 '!C:F,2,0)</f>
        <v>套</v>
      </c>
      <c r="F106" s="77">
        <f t="shared" si="13"/>
        <v>12.815378454145</v>
      </c>
      <c r="G106" s="89">
        <f>+VLOOKUP(D106,'材料表 '!C:F,4,0)</f>
        <v>0</v>
      </c>
      <c r="H106" s="74">
        <f t="shared" si="14"/>
        <v>12.815378454145</v>
      </c>
      <c r="I106" s="74">
        <f>+VLOOKUP(D106,'材料表 '!C:F,3,0)</f>
        <v>2.21238938053097</v>
      </c>
      <c r="J106" s="95">
        <f t="shared" si="12"/>
        <v>28.3526071994358</v>
      </c>
      <c r="K106" s="60">
        <f ca="1">H106*K84</f>
        <v>868.936483780539</v>
      </c>
      <c r="L106" s="92"/>
      <c r="M106" s="120"/>
      <c r="N106" s="82"/>
      <c r="O106" s="44"/>
      <c r="P106" s="44"/>
      <c r="Q106" s="44"/>
      <c r="R106" s="84"/>
      <c r="S106" s="47"/>
      <c r="T106" s="47"/>
    </row>
    <row r="107" s="27" customFormat="1" ht="18" customHeight="1" spans="1:20">
      <c r="A107" s="34"/>
      <c r="B107" s="48">
        <v>11</v>
      </c>
      <c r="C107" s="48"/>
      <c r="D107" s="88" t="s">
        <v>477</v>
      </c>
      <c r="E107" s="72" t="str">
        <f>+VLOOKUP(D107,'材料表 '!C:F,2,0)</f>
        <v>kg</v>
      </c>
      <c r="F107" s="77">
        <v>0.2</v>
      </c>
      <c r="G107" s="89">
        <f>+VLOOKUP(D107,'材料表 '!C:F,4,0)</f>
        <v>0.15</v>
      </c>
      <c r="H107" s="74">
        <f t="shared" si="14"/>
        <v>0.23</v>
      </c>
      <c r="I107" s="74">
        <f>+VLOOKUP(D107,'材料表 '!C:F,3,0)</f>
        <v>10.6194690265487</v>
      </c>
      <c r="J107" s="95">
        <f t="shared" si="12"/>
        <v>2.4424778761062</v>
      </c>
      <c r="K107" s="60">
        <f ca="1">H107*K84</f>
        <v>15.594966</v>
      </c>
      <c r="L107" s="92"/>
      <c r="M107" s="44"/>
      <c r="N107" s="82"/>
      <c r="O107" s="44"/>
      <c r="P107" s="44"/>
      <c r="Q107" s="44"/>
      <c r="R107" s="84"/>
      <c r="S107" s="47"/>
      <c r="T107" s="47"/>
    </row>
    <row r="108" s="27" customFormat="1" ht="18" customHeight="1" spans="1:20">
      <c r="A108" s="34"/>
      <c r="B108" s="48">
        <v>12</v>
      </c>
      <c r="C108" s="48"/>
      <c r="D108" s="88" t="s">
        <v>476</v>
      </c>
      <c r="E108" s="72" t="str">
        <f>+VLOOKUP(D108,'材料表 '!C:F,2,0)</f>
        <v>支</v>
      </c>
      <c r="F108" s="77">
        <f>+SUMIF($L$86:$L$122,D108,$R$86:$R$122)</f>
        <v>0.36331597917501</v>
      </c>
      <c r="G108" s="89">
        <f>+VLOOKUP(D108,'材料表 '!C:F,4,0)</f>
        <v>0.15</v>
      </c>
      <c r="H108" s="74">
        <f t="shared" si="14"/>
        <v>0.417813376051262</v>
      </c>
      <c r="I108" s="74">
        <f>+VLOOKUP(D108,'材料表 '!C:F,3,0)</f>
        <v>11.5044247787611</v>
      </c>
      <c r="J108" s="95">
        <f t="shared" si="12"/>
        <v>4.80670255634196</v>
      </c>
      <c r="K108" s="60">
        <f ca="1">H108*K84</f>
        <v>28.329501712455</v>
      </c>
      <c r="L108" s="92"/>
      <c r="M108" s="44"/>
      <c r="N108" s="44"/>
      <c r="O108" s="44"/>
      <c r="P108" s="44"/>
      <c r="Q108" s="44"/>
      <c r="R108" s="84"/>
      <c r="S108" s="47"/>
      <c r="T108" s="47"/>
    </row>
    <row r="109" s="27" customFormat="1" ht="18" customHeight="1" spans="1:20">
      <c r="A109" s="34"/>
      <c r="B109" s="48">
        <v>13</v>
      </c>
      <c r="C109" s="48"/>
      <c r="D109" s="88"/>
      <c r="E109" s="72"/>
      <c r="F109" s="77"/>
      <c r="G109" s="89"/>
      <c r="H109" s="74"/>
      <c r="I109" s="74"/>
      <c r="J109" s="95"/>
      <c r="K109" s="60">
        <f ca="1">H109*K84</f>
        <v>0</v>
      </c>
      <c r="L109" s="92"/>
      <c r="M109" s="44"/>
      <c r="N109" s="44"/>
      <c r="O109" s="44"/>
      <c r="P109" s="44"/>
      <c r="Q109" s="44"/>
      <c r="R109" s="84"/>
      <c r="S109" s="47"/>
      <c r="T109" s="47"/>
    </row>
    <row r="110" s="27" customFormat="1" ht="18" customHeight="1" spans="1:20">
      <c r="A110" s="34"/>
      <c r="B110" s="48">
        <v>14</v>
      </c>
      <c r="C110" s="48"/>
      <c r="D110" s="88" t="s">
        <v>467</v>
      </c>
      <c r="E110" s="72" t="str">
        <f>+VLOOKUP(D110,'材料表 '!C:F,2,0)</f>
        <v>m2</v>
      </c>
      <c r="F110" s="77">
        <v>1</v>
      </c>
      <c r="G110" s="89">
        <f>+VLOOKUP(D110,'材料表 '!C:F,4,0)</f>
        <v>0.02</v>
      </c>
      <c r="H110" s="74">
        <f t="shared" si="14"/>
        <v>1.02</v>
      </c>
      <c r="I110" s="74">
        <f>+VLOOKUP(D110,'材料表 '!C:F,3,0)</f>
        <v>623.893805309735</v>
      </c>
      <c r="J110" s="95">
        <f>H110*I110</f>
        <v>636.37168141593</v>
      </c>
      <c r="K110" s="60">
        <f ca="1">H110*K84</f>
        <v>69.160284</v>
      </c>
      <c r="L110" s="92"/>
      <c r="M110" s="44"/>
      <c r="N110" s="44"/>
      <c r="O110" s="44"/>
      <c r="P110" s="44"/>
      <c r="Q110" s="44"/>
      <c r="R110" s="84"/>
      <c r="S110" s="47"/>
      <c r="T110" s="47"/>
    </row>
    <row r="111" s="27" customFormat="1" ht="18" customHeight="1" spans="1:20">
      <c r="A111" s="34"/>
      <c r="B111" s="48">
        <v>15</v>
      </c>
      <c r="C111" s="48"/>
      <c r="D111" s="88"/>
      <c r="E111" s="72"/>
      <c r="F111" s="77"/>
      <c r="G111" s="89"/>
      <c r="H111" s="74"/>
      <c r="I111" s="74"/>
      <c r="J111" s="95"/>
      <c r="K111" s="92"/>
      <c r="L111" s="92"/>
      <c r="M111" s="44"/>
      <c r="N111" s="44"/>
      <c r="O111" s="44"/>
      <c r="P111" s="44"/>
      <c r="Q111" s="44"/>
      <c r="R111" s="84"/>
      <c r="S111" s="47"/>
      <c r="T111" s="47"/>
    </row>
    <row r="112" s="27" customFormat="1" ht="18" customHeight="1" spans="1:20">
      <c r="A112" s="34"/>
      <c r="B112" s="48">
        <v>16</v>
      </c>
      <c r="C112" s="48"/>
      <c r="D112" s="88"/>
      <c r="E112" s="72"/>
      <c r="F112" s="77"/>
      <c r="G112" s="89"/>
      <c r="H112" s="74"/>
      <c r="I112" s="74"/>
      <c r="J112" s="95"/>
      <c r="K112" s="92"/>
      <c r="L112" s="92"/>
      <c r="M112" s="44"/>
      <c r="N112" s="44"/>
      <c r="O112" s="44"/>
      <c r="P112" s="44"/>
      <c r="Q112" s="44"/>
      <c r="R112" s="84"/>
      <c r="S112" s="47"/>
      <c r="T112" s="47"/>
    </row>
    <row r="113" s="27" customFormat="1" ht="18" customHeight="1" spans="1:20">
      <c r="A113" s="34"/>
      <c r="B113" s="48">
        <v>17</v>
      </c>
      <c r="C113" s="48"/>
      <c r="D113" s="121"/>
      <c r="E113" s="72"/>
      <c r="F113" s="77"/>
      <c r="G113" s="89"/>
      <c r="H113" s="74"/>
      <c r="I113" s="74"/>
      <c r="J113" s="95"/>
      <c r="K113" s="92"/>
      <c r="L113" s="92"/>
      <c r="M113" s="44"/>
      <c r="N113" s="44"/>
      <c r="O113" s="44"/>
      <c r="P113" s="44"/>
      <c r="Q113" s="101"/>
      <c r="R113" s="84"/>
      <c r="S113" s="47"/>
      <c r="T113" s="47"/>
    </row>
    <row r="114" s="27" customFormat="1" ht="18" customHeight="1" spans="1:20">
      <c r="A114" s="34"/>
      <c r="B114" s="48">
        <v>18</v>
      </c>
      <c r="C114" s="48"/>
      <c r="D114" s="88"/>
      <c r="E114" s="72"/>
      <c r="F114" s="77"/>
      <c r="G114" s="89"/>
      <c r="H114" s="74"/>
      <c r="I114" s="74"/>
      <c r="J114" s="95"/>
      <c r="K114" s="92"/>
      <c r="L114" s="92"/>
      <c r="M114" s="44"/>
      <c r="N114" s="44"/>
      <c r="O114" s="44"/>
      <c r="P114" s="44"/>
      <c r="Q114" s="44"/>
      <c r="R114" s="84"/>
      <c r="S114" s="47"/>
      <c r="T114" s="47"/>
    </row>
    <row r="115" s="27" customFormat="1" ht="18" customHeight="1" spans="1:20">
      <c r="A115" s="34"/>
      <c r="B115" s="48">
        <v>19</v>
      </c>
      <c r="C115" s="48"/>
      <c r="D115" s="27"/>
      <c r="E115" s="72"/>
      <c r="F115" s="77"/>
      <c r="G115" s="89"/>
      <c r="H115" s="74"/>
      <c r="I115" s="74"/>
      <c r="J115" s="95"/>
      <c r="K115" s="92"/>
      <c r="L115" s="92"/>
      <c r="M115" s="44"/>
      <c r="N115" s="44"/>
      <c r="O115" s="44"/>
      <c r="P115" s="44"/>
      <c r="Q115" s="44"/>
      <c r="R115" s="84"/>
      <c r="S115" s="47"/>
      <c r="T115" s="47"/>
    </row>
    <row r="116" s="27" customFormat="1" ht="18" customHeight="1" spans="1:20">
      <c r="A116" s="34"/>
      <c r="B116" s="48">
        <v>20</v>
      </c>
      <c r="C116" s="48"/>
      <c r="D116" s="88"/>
      <c r="E116" s="72"/>
      <c r="F116" s="77"/>
      <c r="G116" s="89"/>
      <c r="H116" s="74"/>
      <c r="I116" s="74"/>
      <c r="J116" s="95"/>
      <c r="K116" s="92"/>
      <c r="L116" s="92"/>
      <c r="M116" s="44"/>
      <c r="N116" s="44"/>
      <c r="O116" s="44"/>
      <c r="P116" s="44"/>
      <c r="Q116" s="44"/>
      <c r="R116" s="84"/>
      <c r="S116" s="47"/>
      <c r="T116" s="47"/>
    </row>
    <row r="117" s="27" customFormat="1" ht="18" customHeight="1" spans="1:20">
      <c r="A117" s="34"/>
      <c r="B117" s="48">
        <v>21</v>
      </c>
      <c r="C117" s="48"/>
      <c r="D117" s="88"/>
      <c r="E117" s="72"/>
      <c r="F117" s="77"/>
      <c r="G117" s="89"/>
      <c r="H117" s="74"/>
      <c r="I117" s="74"/>
      <c r="J117" s="95"/>
      <c r="K117" s="92"/>
      <c r="L117" s="92"/>
      <c r="M117" s="44"/>
      <c r="N117" s="44"/>
      <c r="O117" s="44"/>
      <c r="P117" s="44"/>
      <c r="Q117" s="44"/>
      <c r="R117" s="84"/>
      <c r="S117" s="47"/>
      <c r="T117" s="47"/>
    </row>
    <row r="118" s="27" customFormat="1" ht="18" customHeight="1" spans="1:20">
      <c r="A118" s="34"/>
      <c r="B118" s="48">
        <v>22</v>
      </c>
      <c r="C118" s="48"/>
      <c r="D118" s="27"/>
      <c r="E118" s="72"/>
      <c r="F118" s="77"/>
      <c r="G118" s="72"/>
      <c r="H118" s="74"/>
      <c r="I118" s="74"/>
      <c r="J118" s="95"/>
      <c r="K118" s="92"/>
      <c r="L118" s="92"/>
      <c r="M118" s="44"/>
      <c r="N118" s="44"/>
      <c r="O118" s="44"/>
      <c r="P118" s="44"/>
      <c r="Q118" s="44"/>
      <c r="R118" s="62"/>
      <c r="S118" s="47"/>
      <c r="T118" s="47"/>
    </row>
    <row r="119" s="27" customFormat="1" ht="18" customHeight="1" spans="1:20">
      <c r="A119" s="34"/>
      <c r="B119" s="48">
        <v>23</v>
      </c>
      <c r="C119" s="48"/>
      <c r="D119" s="88"/>
      <c r="E119" s="72"/>
      <c r="F119" s="77"/>
      <c r="G119" s="89"/>
      <c r="H119" s="74"/>
      <c r="I119" s="74"/>
      <c r="J119" s="95"/>
      <c r="K119" s="92"/>
      <c r="L119" s="92"/>
      <c r="M119" s="44"/>
      <c r="N119" s="44"/>
      <c r="O119" s="44"/>
      <c r="P119" s="44"/>
      <c r="Q119" s="44"/>
      <c r="R119" s="62"/>
      <c r="S119" s="47"/>
      <c r="T119" s="47"/>
    </row>
    <row r="120" s="27" customFormat="1" ht="18" customHeight="1" spans="1:20">
      <c r="A120" s="34"/>
      <c r="B120" s="48">
        <v>24</v>
      </c>
      <c r="C120" s="48"/>
      <c r="D120" s="88" t="s">
        <v>478</v>
      </c>
      <c r="E120" s="72" t="s">
        <v>43</v>
      </c>
      <c r="F120" s="77"/>
      <c r="G120" s="72">
        <v>1</v>
      </c>
      <c r="H120" s="74">
        <v>1</v>
      </c>
      <c r="I120" s="74">
        <f>+辅材及安装费!$E$8</f>
        <v>10</v>
      </c>
      <c r="J120" s="95">
        <f t="shared" ref="J119:J122" si="15">H120*I120</f>
        <v>10</v>
      </c>
      <c r="K120" s="92"/>
      <c r="L120" s="92"/>
      <c r="M120" s="44"/>
      <c r="N120" s="44"/>
      <c r="O120" s="44"/>
      <c r="P120" s="44"/>
      <c r="Q120" s="44"/>
      <c r="R120" s="62"/>
      <c r="S120" s="47"/>
      <c r="T120" s="47"/>
    </row>
    <row r="121" s="27" customFormat="1" ht="18" customHeight="1" spans="1:20">
      <c r="A121" s="34"/>
      <c r="B121" s="48">
        <v>25</v>
      </c>
      <c r="C121" s="48"/>
      <c r="D121" s="93" t="s">
        <v>442</v>
      </c>
      <c r="E121" s="72"/>
      <c r="F121" s="77"/>
      <c r="G121" s="72"/>
      <c r="H121" s="74"/>
      <c r="I121" s="74"/>
      <c r="J121" s="95">
        <f>SUM(J98:J120)</f>
        <v>899.261776787012</v>
      </c>
      <c r="K121" s="92"/>
      <c r="L121" s="94"/>
      <c r="M121" s="27"/>
      <c r="N121" s="83"/>
      <c r="O121" s="83"/>
      <c r="P121" s="83"/>
      <c r="Q121" s="83"/>
      <c r="R121" s="87"/>
      <c r="S121" s="47"/>
      <c r="T121" s="47"/>
    </row>
    <row r="122" s="27" customFormat="1" ht="18" customHeight="1" spans="1:20">
      <c r="A122" s="34"/>
      <c r="B122" s="48">
        <v>1</v>
      </c>
      <c r="C122" s="48" t="s">
        <v>443</v>
      </c>
      <c r="D122" s="48" t="s">
        <v>444</v>
      </c>
      <c r="E122" s="72" t="s">
        <v>43</v>
      </c>
      <c r="F122" s="50"/>
      <c r="G122" s="48"/>
      <c r="H122" s="51">
        <v>1</v>
      </c>
      <c r="I122" s="74">
        <f>+辅材及安装费!$F$8</f>
        <v>5</v>
      </c>
      <c r="J122" s="95">
        <f t="shared" si="15"/>
        <v>5</v>
      </c>
      <c r="K122" s="118"/>
      <c r="L122" s="96"/>
      <c r="M122" s="97"/>
      <c r="N122" s="98"/>
      <c r="O122" s="98"/>
      <c r="P122" s="98"/>
      <c r="Q122" s="98"/>
      <c r="R122" s="99"/>
      <c r="S122" s="47"/>
      <c r="T122" s="47"/>
    </row>
    <row r="123" s="26" customFormat="1" ht="30" customHeight="1" spans="1:20">
      <c r="A123" s="28"/>
      <c r="B123" s="29" t="s">
        <v>386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30"/>
      <c r="M123" s="31"/>
      <c r="N123" s="31"/>
      <c r="O123" s="31"/>
      <c r="P123" s="31"/>
      <c r="Q123" s="31"/>
      <c r="R123" s="32"/>
      <c r="S123" s="33"/>
      <c r="T123" s="33"/>
    </row>
    <row r="124" s="27" customFormat="1" ht="33.75" customHeight="1" spans="1:20">
      <c r="A124" s="34">
        <v>2</v>
      </c>
      <c r="B124" s="35" t="s">
        <v>1</v>
      </c>
      <c r="C124" s="35" t="s">
        <v>387</v>
      </c>
      <c r="D124" s="36" t="str">
        <f>+A132</f>
        <v>25㎜葡萄牙灰石材（圆弧）</v>
      </c>
      <c r="E124" s="37"/>
      <c r="F124" s="38" t="s">
        <v>99</v>
      </c>
      <c r="G124" s="39"/>
      <c r="H124" s="35" t="s">
        <v>388</v>
      </c>
      <c r="I124" s="40" t="s">
        <v>389</v>
      </c>
      <c r="J124" s="41" t="s">
        <v>37</v>
      </c>
      <c r="K124" s="42">
        <f ca="1">VLOOKUP(A124,排屋工程量清单!$A$49:$D$57,4,)</f>
        <v>13.56084</v>
      </c>
      <c r="L124" s="43"/>
      <c r="M124" s="44"/>
      <c r="N124" s="44"/>
      <c r="O124" s="44"/>
      <c r="P124" s="45"/>
      <c r="Q124" s="44"/>
      <c r="R124" s="46"/>
      <c r="S124" s="47"/>
      <c r="T124" s="47"/>
    </row>
    <row r="125" s="27" customFormat="1" ht="18" customHeight="1" spans="1:20">
      <c r="A125" s="34"/>
      <c r="B125" s="48">
        <v>1</v>
      </c>
      <c r="C125" s="49" t="s">
        <v>390</v>
      </c>
      <c r="D125" s="48" t="s">
        <v>391</v>
      </c>
      <c r="E125" s="48"/>
      <c r="F125" s="50"/>
      <c r="G125" s="48"/>
      <c r="H125" s="51"/>
      <c r="I125" s="52">
        <f>J137</f>
        <v>210</v>
      </c>
      <c r="J125" s="53" t="s">
        <v>392</v>
      </c>
      <c r="K125" s="54"/>
      <c r="L125" s="55" t="s">
        <v>114</v>
      </c>
      <c r="M125" s="56" t="s">
        <v>459</v>
      </c>
      <c r="N125" s="57"/>
      <c r="O125" s="57">
        <v>1.108</v>
      </c>
      <c r="P125" s="57">
        <v>0.55</v>
      </c>
      <c r="Q125" s="57">
        <v>1</v>
      </c>
      <c r="R125" s="58">
        <f>+Q125*P125*O125</f>
        <v>0.6094</v>
      </c>
      <c r="S125" s="47"/>
      <c r="T125" s="47"/>
    </row>
    <row r="126" s="27" customFormat="1" ht="18" customHeight="1" spans="1:20">
      <c r="A126" s="34"/>
      <c r="B126" s="48">
        <v>2</v>
      </c>
      <c r="C126" s="59"/>
      <c r="D126" s="48" t="s">
        <v>394</v>
      </c>
      <c r="E126" s="48"/>
      <c r="F126" s="50"/>
      <c r="G126" s="48"/>
      <c r="H126" s="51"/>
      <c r="I126" s="52">
        <f>J161</f>
        <v>1874.45455692673</v>
      </c>
      <c r="J126" s="53" t="s">
        <v>392</v>
      </c>
      <c r="K126" s="60"/>
      <c r="L126" s="61" t="s">
        <v>99</v>
      </c>
      <c r="M126" s="44"/>
      <c r="N126" s="44"/>
      <c r="O126" s="44"/>
      <c r="P126" s="44"/>
      <c r="Q126" s="44"/>
      <c r="R126" s="62"/>
      <c r="S126" s="47"/>
      <c r="T126" s="47"/>
    </row>
    <row r="127" s="27" customFormat="1" ht="18" customHeight="1" spans="1:20">
      <c r="A127" s="34"/>
      <c r="B127" s="48">
        <v>3</v>
      </c>
      <c r="C127" s="63"/>
      <c r="D127" s="48" t="s">
        <v>395</v>
      </c>
      <c r="E127" s="48"/>
      <c r="F127" s="50"/>
      <c r="G127" s="48"/>
      <c r="H127" s="51"/>
      <c r="I127" s="52">
        <f>J162</f>
        <v>5</v>
      </c>
      <c r="J127" s="53" t="s">
        <v>392</v>
      </c>
      <c r="K127" s="60"/>
      <c r="L127" s="60"/>
      <c r="M127" s="64" t="s">
        <v>396</v>
      </c>
      <c r="N127" s="65" t="s">
        <v>397</v>
      </c>
      <c r="O127" s="65" t="s">
        <v>398</v>
      </c>
      <c r="P127" s="65" t="s">
        <v>399</v>
      </c>
      <c r="Q127" s="65" t="s">
        <v>400</v>
      </c>
      <c r="R127" s="66" t="s">
        <v>401</v>
      </c>
      <c r="S127" s="47"/>
      <c r="T127" s="47"/>
    </row>
    <row r="128" s="27" customFormat="1" ht="18" customHeight="1" spans="1:20">
      <c r="A128" s="34"/>
      <c r="B128" s="48">
        <v>4</v>
      </c>
      <c r="C128" s="48" t="s">
        <v>402</v>
      </c>
      <c r="D128" s="67" t="s">
        <v>403</v>
      </c>
      <c r="E128" s="67"/>
      <c r="F128" s="50"/>
      <c r="G128" s="67"/>
      <c r="H128" s="68"/>
      <c r="I128" s="52">
        <f>SUM(I125:I127)</f>
        <v>2089.45455692673</v>
      </c>
      <c r="J128" s="53" t="s">
        <v>392</v>
      </c>
      <c r="K128" s="60"/>
      <c r="L128" s="69" t="s">
        <v>431</v>
      </c>
      <c r="M128" s="34" t="s">
        <v>460</v>
      </c>
      <c r="N128" s="102">
        <v>10.21</v>
      </c>
      <c r="O128" s="34">
        <f>+P125</f>
        <v>0.55</v>
      </c>
      <c r="P128" s="34">
        <v>1</v>
      </c>
      <c r="Q128" s="44">
        <f t="shared" ref="Q128:Q132" si="16">+P128*O128*N128</f>
        <v>5.6155</v>
      </c>
      <c r="R128" s="71">
        <f>+Q128/R125</f>
        <v>9.21480144404332</v>
      </c>
      <c r="S128" s="47"/>
      <c r="T128" s="47"/>
    </row>
    <row r="129" s="27" customFormat="1" ht="28" customHeight="1" spans="1:20">
      <c r="A129" s="34"/>
      <c r="B129" s="48">
        <v>5</v>
      </c>
      <c r="C129" s="72" t="s">
        <v>406</v>
      </c>
      <c r="D129" s="48" t="s">
        <v>407</v>
      </c>
      <c r="E129" s="48"/>
      <c r="F129" s="50"/>
      <c r="G129" s="48"/>
      <c r="H129" s="73">
        <f>+'材料表 '!$E$178</f>
        <v>0</v>
      </c>
      <c r="I129" s="52">
        <f>H129*I128</f>
        <v>0</v>
      </c>
      <c r="J129" s="53" t="s">
        <v>392</v>
      </c>
      <c r="K129" s="60"/>
      <c r="L129" s="69" t="s">
        <v>461</v>
      </c>
      <c r="M129" s="34" t="s">
        <v>462</v>
      </c>
      <c r="N129" s="34">
        <v>3.77</v>
      </c>
      <c r="O129" s="34">
        <f>+O125</f>
        <v>1.108</v>
      </c>
      <c r="P129" s="34">
        <v>2</v>
      </c>
      <c r="Q129" s="44">
        <f t="shared" si="16"/>
        <v>8.35432</v>
      </c>
      <c r="R129" s="71">
        <f>+Q129/R125</f>
        <v>13.7090909090909</v>
      </c>
      <c r="S129" s="47"/>
      <c r="T129" s="47"/>
    </row>
    <row r="130" s="27" customFormat="1" ht="18" customHeight="1" spans="1:20">
      <c r="A130" s="34"/>
      <c r="B130" s="48">
        <v>6</v>
      </c>
      <c r="C130" s="48" t="s">
        <v>409</v>
      </c>
      <c r="D130" s="48" t="s">
        <v>410</v>
      </c>
      <c r="E130" s="48"/>
      <c r="F130" s="50"/>
      <c r="G130" s="48"/>
      <c r="H130" s="73">
        <f>+'材料表 '!$E$179</f>
        <v>0</v>
      </c>
      <c r="I130" s="52">
        <f>H130*I128</f>
        <v>0</v>
      </c>
      <c r="J130" s="53" t="s">
        <v>392</v>
      </c>
      <c r="K130" s="60"/>
      <c r="L130" s="69" t="s">
        <v>463</v>
      </c>
      <c r="M130" s="34" t="s">
        <v>464</v>
      </c>
      <c r="N130" s="34">
        <f>0.15*0.2*7.85*10</f>
        <v>2.355</v>
      </c>
      <c r="O130" s="34">
        <v>2</v>
      </c>
      <c r="P130" s="34">
        <f>+P128</f>
        <v>1</v>
      </c>
      <c r="Q130" s="44">
        <f t="shared" si="16"/>
        <v>4.71</v>
      </c>
      <c r="R130" s="71">
        <f>+Q130/R125</f>
        <v>7.72891368559239</v>
      </c>
      <c r="S130" s="47"/>
      <c r="T130" s="47"/>
    </row>
    <row r="131" s="27" customFormat="1" ht="18" customHeight="1" spans="1:20">
      <c r="A131" s="34"/>
      <c r="B131" s="48">
        <v>7</v>
      </c>
      <c r="C131" s="48" t="s">
        <v>412</v>
      </c>
      <c r="D131" s="72" t="s">
        <v>413</v>
      </c>
      <c r="E131" s="72"/>
      <c r="F131" s="77"/>
      <c r="G131" s="72"/>
      <c r="H131" s="73">
        <f>+'材料表 '!$E$180</f>
        <v>0.09</v>
      </c>
      <c r="I131" s="52">
        <f>(I128+I129+I130)*H131</f>
        <v>188.050910123406</v>
      </c>
      <c r="J131" s="53" t="s">
        <v>392</v>
      </c>
      <c r="K131" s="60"/>
      <c r="L131" s="69" t="s">
        <v>465</v>
      </c>
      <c r="M131" s="34" t="s">
        <v>466</v>
      </c>
      <c r="N131" s="100">
        <f>3.77</f>
        <v>3.77</v>
      </c>
      <c r="O131" s="34">
        <v>0.155</v>
      </c>
      <c r="P131" s="34">
        <v>0</v>
      </c>
      <c r="Q131" s="44">
        <f t="shared" si="16"/>
        <v>0</v>
      </c>
      <c r="R131" s="71">
        <f>+Q131/R125</f>
        <v>0</v>
      </c>
      <c r="S131" s="47"/>
      <c r="T131" s="47"/>
    </row>
    <row r="132" s="27" customFormat="1" ht="18" customHeight="1" spans="1:20">
      <c r="A132" s="105" t="s">
        <v>102</v>
      </c>
      <c r="B132" s="48">
        <v>8</v>
      </c>
      <c r="C132" s="48" t="s">
        <v>363</v>
      </c>
      <c r="D132" s="106" t="s">
        <v>415</v>
      </c>
      <c r="E132" s="107"/>
      <c r="F132" s="108"/>
      <c r="G132" s="107"/>
      <c r="H132" s="51"/>
      <c r="I132" s="74">
        <f>SUM(I128:I131)</f>
        <v>2277.50546705014</v>
      </c>
      <c r="J132" s="53" t="s">
        <v>416</v>
      </c>
      <c r="K132" s="60"/>
      <c r="L132" s="69" t="s">
        <v>465</v>
      </c>
      <c r="M132" s="44" t="s">
        <v>468</v>
      </c>
      <c r="N132" s="82">
        <v>5.778</v>
      </c>
      <c r="O132" s="44">
        <v>0.125</v>
      </c>
      <c r="P132" s="44">
        <f>+P128*2</f>
        <v>2</v>
      </c>
      <c r="Q132" s="44">
        <f t="shared" si="16"/>
        <v>1.4445</v>
      </c>
      <c r="R132" s="84">
        <f>+Q132/R125</f>
        <v>2.37036429274696</v>
      </c>
      <c r="S132" s="79"/>
      <c r="T132" s="47"/>
    </row>
    <row r="133" s="27" customFormat="1" ht="18" customHeight="1" spans="1:20">
      <c r="A133" s="34"/>
      <c r="B133" s="109" t="s">
        <v>418</v>
      </c>
      <c r="C133" s="110"/>
      <c r="D133" s="110"/>
      <c r="E133" s="110"/>
      <c r="F133" s="110"/>
      <c r="G133" s="110"/>
      <c r="H133" s="110"/>
      <c r="I133" s="110"/>
      <c r="J133" s="110"/>
      <c r="K133" s="80"/>
      <c r="L133" s="90" t="s">
        <v>469</v>
      </c>
      <c r="M133" s="44"/>
      <c r="N133" s="82"/>
      <c r="O133" s="44">
        <f>1*4</f>
        <v>4</v>
      </c>
      <c r="P133" s="44">
        <v>1</v>
      </c>
      <c r="Q133" s="44">
        <f>+P133*O133</f>
        <v>4</v>
      </c>
      <c r="R133" s="84">
        <f>+Q133/R125</f>
        <v>6.56383327863472</v>
      </c>
      <c r="S133" s="47"/>
      <c r="T133" s="47"/>
    </row>
    <row r="134" s="27" customFormat="1" ht="18" customHeight="1" spans="1:20">
      <c r="A134" s="34"/>
      <c r="B134" s="48">
        <v>1</v>
      </c>
      <c r="C134" s="48" t="s">
        <v>391</v>
      </c>
      <c r="D134" s="48" t="s">
        <v>396</v>
      </c>
      <c r="E134" s="48" t="s">
        <v>37</v>
      </c>
      <c r="F134" s="50"/>
      <c r="G134" s="48"/>
      <c r="H134" s="51" t="s">
        <v>399</v>
      </c>
      <c r="I134" s="51" t="s">
        <v>420</v>
      </c>
      <c r="J134" s="95" t="s">
        <v>421</v>
      </c>
      <c r="K134" s="92"/>
      <c r="L134" s="90"/>
      <c r="M134" s="44"/>
      <c r="N134" s="82"/>
      <c r="O134" s="44"/>
      <c r="P134" s="44"/>
      <c r="Q134" s="44"/>
      <c r="R134" s="84"/>
      <c r="S134" s="47"/>
      <c r="T134" s="47"/>
    </row>
    <row r="135" s="27" customFormat="1" ht="18" customHeight="1" spans="1:20">
      <c r="A135" s="34"/>
      <c r="B135" s="48">
        <v>2</v>
      </c>
      <c r="C135" s="48"/>
      <c r="D135" s="111" t="s">
        <v>470</v>
      </c>
      <c r="E135" s="49" t="s">
        <v>423</v>
      </c>
      <c r="F135" s="112"/>
      <c r="G135" s="111"/>
      <c r="H135" s="113">
        <v>1</v>
      </c>
      <c r="I135" s="113">
        <f>+辅材及安装费!$G$8</f>
        <v>210</v>
      </c>
      <c r="J135" s="114">
        <f t="shared" ref="J135:J150" si="17">H135*I135</f>
        <v>210</v>
      </c>
      <c r="K135" s="92"/>
      <c r="L135" s="90" t="s">
        <v>471</v>
      </c>
      <c r="M135" s="44"/>
      <c r="N135" s="82"/>
      <c r="O135" s="44"/>
      <c r="P135" s="44"/>
      <c r="Q135" s="44">
        <f>+Q133</f>
        <v>4</v>
      </c>
      <c r="R135" s="84">
        <f>+Q135/R125</f>
        <v>6.56383327863472</v>
      </c>
      <c r="S135" s="47"/>
      <c r="T135" s="47"/>
    </row>
    <row r="136" s="27" customFormat="1" ht="18" customHeight="1" spans="1:20">
      <c r="A136" s="34"/>
      <c r="B136" s="48">
        <v>3</v>
      </c>
      <c r="C136" s="48"/>
      <c r="D136" s="115"/>
      <c r="E136" s="63"/>
      <c r="F136" s="116"/>
      <c r="G136" s="115"/>
      <c r="H136" s="117"/>
      <c r="I136" s="117"/>
      <c r="J136" s="118"/>
      <c r="K136" s="92"/>
      <c r="L136" s="90" t="s">
        <v>472</v>
      </c>
      <c r="M136" s="44"/>
      <c r="N136" s="82"/>
      <c r="O136" s="44"/>
      <c r="P136" s="44">
        <f>+P131</f>
        <v>0</v>
      </c>
      <c r="Q136" s="44">
        <f>+P136</f>
        <v>0</v>
      </c>
      <c r="R136" s="84">
        <f>+Q136/R125</f>
        <v>0</v>
      </c>
      <c r="S136" s="47"/>
      <c r="T136" s="47"/>
    </row>
    <row r="137" s="27" customFormat="1" ht="18" customHeight="1" spans="1:20">
      <c r="A137" s="34"/>
      <c r="B137" s="48">
        <v>4</v>
      </c>
      <c r="C137" s="48"/>
      <c r="D137" s="85" t="s">
        <v>426</v>
      </c>
      <c r="E137" s="48" t="s">
        <v>392</v>
      </c>
      <c r="F137" s="50"/>
      <c r="G137" s="48"/>
      <c r="H137" s="86"/>
      <c r="I137" s="86"/>
      <c r="J137" s="95">
        <f>SUM(J135:J135)</f>
        <v>210</v>
      </c>
      <c r="K137" s="92"/>
      <c r="L137" s="90" t="s">
        <v>473</v>
      </c>
      <c r="M137" s="44"/>
      <c r="N137" s="82"/>
      <c r="O137" s="44"/>
      <c r="P137" s="44"/>
      <c r="Q137" s="44">
        <f>+(Q133)*3</f>
        <v>12</v>
      </c>
      <c r="R137" s="84">
        <f>+Q137/R125</f>
        <v>19.6914998359042</v>
      </c>
      <c r="S137" s="47"/>
      <c r="T137" s="47"/>
    </row>
    <row r="138" s="27" customFormat="1" ht="23" customHeight="1" spans="1:20">
      <c r="A138" s="34"/>
      <c r="B138" s="48">
        <v>1</v>
      </c>
      <c r="C138" s="48" t="s">
        <v>394</v>
      </c>
      <c r="D138" s="88" t="s">
        <v>431</v>
      </c>
      <c r="E138" s="72" t="str">
        <f>+VLOOKUP(D138,'材料表 '!C:F,2,0)</f>
        <v>kg</v>
      </c>
      <c r="F138" s="77">
        <f>+SUMIF($L$125:$L$162,D138,$R$125:$R$162)</f>
        <v>9.21480144404332</v>
      </c>
      <c r="G138" s="89">
        <f>+VLOOKUP(D138,'材料表 '!C:F,4,0)</f>
        <v>0.03</v>
      </c>
      <c r="H138" s="74">
        <f t="shared" ref="H138:H150" si="18">F138*(G138+1)</f>
        <v>9.49124548736462</v>
      </c>
      <c r="I138" s="74">
        <f>+VLOOKUP(D138,'材料表 '!C:F,3,0)</f>
        <v>3.80530973451327</v>
      </c>
      <c r="J138" s="95">
        <f t="shared" si="17"/>
        <v>36.1171288457237</v>
      </c>
      <c r="K138" s="60">
        <f ca="1">H138*K124</f>
        <v>128.709261454874</v>
      </c>
      <c r="L138" s="90"/>
      <c r="M138" s="44"/>
      <c r="N138" s="82"/>
      <c r="O138" s="44"/>
      <c r="P138" s="44"/>
      <c r="Q138" s="44"/>
      <c r="R138" s="84"/>
      <c r="S138" s="47"/>
      <c r="T138" s="47"/>
    </row>
    <row r="139" s="27" customFormat="1" ht="18" customHeight="1" spans="1:20">
      <c r="A139" s="34"/>
      <c r="B139" s="48">
        <v>2</v>
      </c>
      <c r="C139" s="48"/>
      <c r="D139" s="88" t="s">
        <v>461</v>
      </c>
      <c r="E139" s="72" t="str">
        <f>+VLOOKUP(D139,'材料表 '!C:F,2,0)</f>
        <v>kg</v>
      </c>
      <c r="F139" s="77">
        <f t="shared" ref="F139:F148" si="19">+SUMIF($L$125:$L$162,D139,$R$125:$R$162)</f>
        <v>13.7090909090909</v>
      </c>
      <c r="G139" s="89">
        <f>+VLOOKUP(D139,'材料表 '!C:F,4,0)</f>
        <v>0.03</v>
      </c>
      <c r="H139" s="74">
        <f t="shared" si="18"/>
        <v>14.1203636363636</v>
      </c>
      <c r="I139" s="74">
        <f>+VLOOKUP(D139,'材料表 '!C:F,3,0)</f>
        <v>3.53982300884956</v>
      </c>
      <c r="J139" s="95">
        <f t="shared" si="17"/>
        <v>49.9835880933226</v>
      </c>
      <c r="K139" s="60">
        <f ca="1">H139*K124</f>
        <v>191.483992014545</v>
      </c>
      <c r="L139" s="90"/>
      <c r="M139" s="44"/>
      <c r="N139" s="82"/>
      <c r="O139" s="44"/>
      <c r="P139" s="44"/>
      <c r="Q139" s="44"/>
      <c r="R139" s="84"/>
      <c r="S139" s="47"/>
      <c r="T139" s="47"/>
    </row>
    <row r="140" s="27" customFormat="1" ht="18" customHeight="1" spans="1:20">
      <c r="A140" s="34"/>
      <c r="B140" s="48">
        <v>3</v>
      </c>
      <c r="C140" s="48"/>
      <c r="D140" s="88" t="s">
        <v>465</v>
      </c>
      <c r="E140" s="72" t="str">
        <f>+VLOOKUP(D140,'材料表 '!C:F,2,0)</f>
        <v>kg</v>
      </c>
      <c r="F140" s="77">
        <f t="shared" si="19"/>
        <v>2.37036429274696</v>
      </c>
      <c r="G140" s="89">
        <f>+VLOOKUP(D140,'材料表 '!C:F,4,0)</f>
        <v>0.03</v>
      </c>
      <c r="H140" s="74">
        <f t="shared" si="18"/>
        <v>2.44147522152937</v>
      </c>
      <c r="I140" s="74">
        <f>+VLOOKUP(D140,'材料表 '!C:F,3,0)</f>
        <v>6.01769911504425</v>
      </c>
      <c r="J140" s="95">
        <f t="shared" si="17"/>
        <v>14.6920632799997</v>
      </c>
      <c r="K140" s="60">
        <f ca="1">H140*K124</f>
        <v>33.1084548431243</v>
      </c>
      <c r="L140" s="90" t="s">
        <v>474</v>
      </c>
      <c r="M140" s="44"/>
      <c r="N140" s="82"/>
      <c r="O140" s="44"/>
      <c r="P140" s="44"/>
      <c r="Q140" s="44">
        <f>+O130*P130*4</f>
        <v>8</v>
      </c>
      <c r="R140" s="84">
        <f>+Q140/R125</f>
        <v>13.1276665572694</v>
      </c>
      <c r="S140" s="47"/>
      <c r="T140" s="47"/>
    </row>
    <row r="141" s="27" customFormat="1" ht="18" customHeight="1" spans="1:20">
      <c r="A141" s="34"/>
      <c r="B141" s="48">
        <v>4</v>
      </c>
      <c r="C141" s="48"/>
      <c r="D141" s="88" t="s">
        <v>463</v>
      </c>
      <c r="E141" s="72" t="str">
        <f>+VLOOKUP(D141,'材料表 '!C:F,2,0)</f>
        <v>kg</v>
      </c>
      <c r="F141" s="77">
        <f t="shared" si="19"/>
        <v>7.72891368559239</v>
      </c>
      <c r="G141" s="89">
        <f>+VLOOKUP(D141,'材料表 '!C:F,4,0)</f>
        <v>0.03</v>
      </c>
      <c r="H141" s="74">
        <f t="shared" si="18"/>
        <v>7.96078109616016</v>
      </c>
      <c r="I141" s="74">
        <f>+VLOOKUP(D141,'材料表 '!C:F,3,0)</f>
        <v>6.01769911504425</v>
      </c>
      <c r="J141" s="95">
        <f t="shared" si="17"/>
        <v>47.905585357424</v>
      </c>
      <c r="K141" s="60">
        <f ca="1">H141*K124</f>
        <v>107.954878720053</v>
      </c>
      <c r="L141" s="90" t="s">
        <v>475</v>
      </c>
      <c r="M141" s="44"/>
      <c r="N141" s="83"/>
      <c r="O141" s="82"/>
      <c r="P141" s="44"/>
      <c r="Q141" s="44"/>
      <c r="R141" s="84"/>
      <c r="S141" s="47"/>
      <c r="T141" s="47"/>
    </row>
    <row r="142" s="27" customFormat="1" ht="18" customHeight="1" spans="1:20">
      <c r="A142" s="34"/>
      <c r="B142" s="48">
        <v>5</v>
      </c>
      <c r="C142" s="48"/>
      <c r="D142" s="88" t="s">
        <v>469</v>
      </c>
      <c r="E142" s="72" t="str">
        <f>+VLOOKUP(D142,'材料表 '!C:F,2,0)</f>
        <v>套</v>
      </c>
      <c r="F142" s="77">
        <f t="shared" si="19"/>
        <v>6.56383327863472</v>
      </c>
      <c r="G142" s="89">
        <f>+VLOOKUP(D142,'材料表 '!C:F,4,0)</f>
        <v>0</v>
      </c>
      <c r="H142" s="74">
        <f t="shared" si="18"/>
        <v>6.56383327863472</v>
      </c>
      <c r="I142" s="74">
        <f>+VLOOKUP(D142,'材料表 '!C:F,3,0)</f>
        <v>5.30973451327434</v>
      </c>
      <c r="J142" s="95">
        <f t="shared" si="17"/>
        <v>34.8522120989454</v>
      </c>
      <c r="K142" s="60">
        <f ca="1">H142*K124</f>
        <v>89.0110928782409</v>
      </c>
      <c r="L142" s="92" t="s">
        <v>476</v>
      </c>
      <c r="M142" s="44"/>
      <c r="N142" s="82"/>
      <c r="O142" s="44"/>
      <c r="P142" s="44"/>
      <c r="Q142" s="44">
        <f>6*6*(O125*2+P125*2)/500</f>
        <v>0.238752</v>
      </c>
      <c r="R142" s="84">
        <f>+Q142/R125</f>
        <v>0.391782080735149</v>
      </c>
      <c r="S142" s="47"/>
      <c r="T142" s="47"/>
    </row>
    <row r="143" s="27" customFormat="1" ht="18" customHeight="1" spans="1:20">
      <c r="A143" s="34"/>
      <c r="B143" s="48">
        <v>7</v>
      </c>
      <c r="C143" s="48"/>
      <c r="D143" s="88" t="s">
        <v>471</v>
      </c>
      <c r="E143" s="72" t="str">
        <f>+VLOOKUP(D143,'材料表 '!C:F,2,0)</f>
        <v>套</v>
      </c>
      <c r="F143" s="77">
        <f t="shared" si="19"/>
        <v>6.56383327863472</v>
      </c>
      <c r="G143" s="89">
        <f>+VLOOKUP(D143,'材料表 '!C:F,4,0)</f>
        <v>0</v>
      </c>
      <c r="H143" s="74">
        <f t="shared" si="18"/>
        <v>6.56383327863472</v>
      </c>
      <c r="I143" s="74">
        <f>+VLOOKUP(D143,'材料表 '!C:F,3,0)</f>
        <v>1.32743362831858</v>
      </c>
      <c r="J143" s="95">
        <f t="shared" si="17"/>
        <v>8.71305302473633</v>
      </c>
      <c r="K143" s="60">
        <f ca="1">H143*K124</f>
        <v>89.0110928782409</v>
      </c>
      <c r="L143" s="92"/>
      <c r="M143" s="44"/>
      <c r="N143" s="82"/>
      <c r="O143" s="44"/>
      <c r="P143" s="44"/>
      <c r="Q143" s="44"/>
      <c r="R143" s="84">
        <f>+Q143/R125</f>
        <v>0</v>
      </c>
      <c r="S143" s="47"/>
      <c r="T143" s="47"/>
    </row>
    <row r="144" s="27" customFormat="1" ht="18" customHeight="1" spans="1:20">
      <c r="A144" s="34"/>
      <c r="B144" s="48">
        <v>8</v>
      </c>
      <c r="C144" s="48"/>
      <c r="D144" s="88" t="s">
        <v>472</v>
      </c>
      <c r="E144" s="72" t="str">
        <f>+VLOOKUP(D144,'材料表 '!C:F,2,0)</f>
        <v>套</v>
      </c>
      <c r="F144" s="77">
        <f t="shared" si="19"/>
        <v>0</v>
      </c>
      <c r="G144" s="89">
        <f>+VLOOKUP(D144,'材料表 '!C:F,4,0)</f>
        <v>0</v>
      </c>
      <c r="H144" s="74">
        <f t="shared" si="18"/>
        <v>0</v>
      </c>
      <c r="I144" s="74">
        <f>+VLOOKUP(D144,'材料表 '!C:F,3,0)</f>
        <v>2.47787610619469</v>
      </c>
      <c r="J144" s="95">
        <f t="shared" si="17"/>
        <v>0</v>
      </c>
      <c r="K144" s="60">
        <f ca="1">H144*K124</f>
        <v>0</v>
      </c>
      <c r="L144" s="92"/>
      <c r="M144" s="44"/>
      <c r="N144" s="82"/>
      <c r="O144" s="44"/>
      <c r="P144" s="44"/>
      <c r="Q144" s="44"/>
      <c r="R144" s="84"/>
      <c r="S144" s="47"/>
      <c r="T144" s="47"/>
    </row>
    <row r="145" s="27" customFormat="1" ht="18" customHeight="1" spans="1:20">
      <c r="A145" s="34"/>
      <c r="B145" s="48">
        <v>9</v>
      </c>
      <c r="C145" s="48"/>
      <c r="D145" s="88" t="s">
        <v>473</v>
      </c>
      <c r="E145" s="72" t="str">
        <f>+VLOOKUP(D145,'材料表 '!C:F,2,0)</f>
        <v>套</v>
      </c>
      <c r="F145" s="77">
        <f t="shared" si="19"/>
        <v>19.6914998359042</v>
      </c>
      <c r="G145" s="89">
        <f>+VLOOKUP(D145,'材料表 '!C:F,4,0)</f>
        <v>0</v>
      </c>
      <c r="H145" s="74">
        <f t="shared" si="18"/>
        <v>19.6914998359042</v>
      </c>
      <c r="I145" s="74">
        <f>+VLOOKUP(D145,'材料表 '!C:F,3,0)</f>
        <v>0.247787610619469</v>
      </c>
      <c r="J145" s="95">
        <f t="shared" si="17"/>
        <v>4.87930969385237</v>
      </c>
      <c r="K145" s="60">
        <f ca="1">H145*K124</f>
        <v>267.033278634723</v>
      </c>
      <c r="L145" s="90"/>
      <c r="M145" s="44"/>
      <c r="N145" s="82"/>
      <c r="O145" s="34"/>
      <c r="P145" s="44"/>
      <c r="Q145" s="44"/>
      <c r="R145" s="119"/>
      <c r="S145" s="47"/>
      <c r="T145" s="47"/>
    </row>
    <row r="146" s="27" customFormat="1" ht="18" customHeight="1" spans="1:20">
      <c r="A146" s="34"/>
      <c r="B146" s="48">
        <v>10</v>
      </c>
      <c r="C146" s="48"/>
      <c r="D146" s="88" t="s">
        <v>474</v>
      </c>
      <c r="E146" s="72" t="str">
        <f>+VLOOKUP(D146,'材料表 '!C:F,2,0)</f>
        <v>套</v>
      </c>
      <c r="F146" s="77">
        <f t="shared" si="19"/>
        <v>13.1276665572694</v>
      </c>
      <c r="G146" s="89">
        <f>+VLOOKUP(D146,'材料表 '!C:F,4,0)</f>
        <v>0</v>
      </c>
      <c r="H146" s="74">
        <f t="shared" si="18"/>
        <v>13.1276665572694</v>
      </c>
      <c r="I146" s="74">
        <f>+VLOOKUP(D146,'材料表 '!C:F,3,0)</f>
        <v>2.21238938053097</v>
      </c>
      <c r="J146" s="95">
        <f t="shared" si="17"/>
        <v>29.0435100824544</v>
      </c>
      <c r="K146" s="60">
        <f ca="1">H146*K124</f>
        <v>178.022185756481</v>
      </c>
      <c r="L146" s="92"/>
      <c r="M146" s="120"/>
      <c r="N146" s="82"/>
      <c r="O146" s="44"/>
      <c r="P146" s="44"/>
      <c r="Q146" s="44"/>
      <c r="R146" s="84"/>
      <c r="S146" s="47"/>
      <c r="T146" s="47"/>
    </row>
    <row r="147" s="27" customFormat="1" ht="18" customHeight="1" spans="1:20">
      <c r="A147" s="34"/>
      <c r="B147" s="48">
        <v>11</v>
      </c>
      <c r="C147" s="48"/>
      <c r="D147" s="88" t="s">
        <v>477</v>
      </c>
      <c r="E147" s="72" t="str">
        <f>+VLOOKUP(D147,'材料表 '!C:F,2,0)</f>
        <v>kg</v>
      </c>
      <c r="F147" s="77">
        <v>0.2</v>
      </c>
      <c r="G147" s="89">
        <f>+VLOOKUP(D147,'材料表 '!C:F,4,0)</f>
        <v>0.15</v>
      </c>
      <c r="H147" s="74">
        <f t="shared" si="18"/>
        <v>0.23</v>
      </c>
      <c r="I147" s="74">
        <f>+VLOOKUP(D147,'材料表 '!C:F,3,0)</f>
        <v>10.6194690265487</v>
      </c>
      <c r="J147" s="95">
        <f t="shared" si="17"/>
        <v>2.4424778761062</v>
      </c>
      <c r="K147" s="60">
        <f ca="1">H147*K124</f>
        <v>3.1189932</v>
      </c>
      <c r="L147" s="92"/>
      <c r="M147" s="44"/>
      <c r="N147" s="82"/>
      <c r="O147" s="44"/>
      <c r="P147" s="44"/>
      <c r="Q147" s="44"/>
      <c r="R147" s="84"/>
      <c r="S147" s="47"/>
      <c r="T147" s="47"/>
    </row>
    <row r="148" s="27" customFormat="1" ht="18" customHeight="1" spans="1:20">
      <c r="A148" s="34"/>
      <c r="B148" s="48">
        <v>12</v>
      </c>
      <c r="C148" s="48"/>
      <c r="D148" s="88" t="s">
        <v>476</v>
      </c>
      <c r="E148" s="72" t="str">
        <f>+VLOOKUP(D148,'材料表 '!C:F,2,0)</f>
        <v>支</v>
      </c>
      <c r="F148" s="77">
        <f t="shared" si="19"/>
        <v>0.391782080735149</v>
      </c>
      <c r="G148" s="89">
        <f>+VLOOKUP(D148,'材料表 '!C:F,4,0)</f>
        <v>0.15</v>
      </c>
      <c r="H148" s="74">
        <f t="shared" si="18"/>
        <v>0.450549392845421</v>
      </c>
      <c r="I148" s="74">
        <f>+VLOOKUP(D148,'材料表 '!C:F,3,0)</f>
        <v>11.5044247787611</v>
      </c>
      <c r="J148" s="95">
        <f t="shared" si="17"/>
        <v>5.18331159910663</v>
      </c>
      <c r="K148" s="60">
        <f ca="1">H148*K124</f>
        <v>6.1098282284739</v>
      </c>
      <c r="L148" s="92"/>
      <c r="M148" s="44"/>
      <c r="N148" s="44"/>
      <c r="O148" s="44"/>
      <c r="P148" s="44"/>
      <c r="Q148" s="44"/>
      <c r="R148" s="84"/>
      <c r="S148" s="47"/>
      <c r="T148" s="47"/>
    </row>
    <row r="149" s="27" customFormat="1" ht="18" customHeight="1" spans="1:20">
      <c r="A149" s="34"/>
      <c r="B149" s="48">
        <v>13</v>
      </c>
      <c r="C149" s="48"/>
      <c r="D149" s="88" t="s">
        <v>479</v>
      </c>
      <c r="E149" s="72" t="str">
        <f>+VLOOKUP(D149,'材料表 '!C:F,2,0)</f>
        <v>kg</v>
      </c>
      <c r="F149" s="77">
        <f>R129</f>
        <v>13.7090909090909</v>
      </c>
      <c r="G149" s="89">
        <f>+VLOOKUP(D149,'材料表 '!C:F,4,0)</f>
        <v>0.03</v>
      </c>
      <c r="H149" s="74">
        <f t="shared" si="18"/>
        <v>14.1203636363636</v>
      </c>
      <c r="I149" s="74">
        <f>+VLOOKUP(D149,'材料表 '!C:F,3,0)</f>
        <v>14.1592920353982</v>
      </c>
      <c r="J149" s="95">
        <f t="shared" si="17"/>
        <v>199.93435237329</v>
      </c>
      <c r="K149" s="60">
        <f ca="1">H149*K124</f>
        <v>191.483992014545</v>
      </c>
      <c r="L149" s="92"/>
      <c r="M149" s="44"/>
      <c r="N149" s="44"/>
      <c r="O149" s="44"/>
      <c r="P149" s="44"/>
      <c r="Q149" s="44"/>
      <c r="R149" s="84"/>
      <c r="S149" s="47"/>
      <c r="T149" s="47"/>
    </row>
    <row r="150" s="27" customFormat="1" ht="18" customHeight="1" spans="1:20">
      <c r="A150" s="34"/>
      <c r="B150" s="48">
        <v>14</v>
      </c>
      <c r="C150" s="48"/>
      <c r="D150" s="88" t="s">
        <v>102</v>
      </c>
      <c r="E150" s="72" t="str">
        <f>+VLOOKUP(D150,'材料表 '!C:F,2,0)</f>
        <v>m2</v>
      </c>
      <c r="F150" s="77">
        <v>1</v>
      </c>
      <c r="G150" s="89">
        <f>+VLOOKUP(D150,'材料表 '!C:F,4,0)</f>
        <v>0.02</v>
      </c>
      <c r="H150" s="74">
        <f t="shared" si="18"/>
        <v>1.02</v>
      </c>
      <c r="I150" s="74">
        <f>+VLOOKUP(D150,'材料表 '!C:F,3,0)</f>
        <v>1402.65486725664</v>
      </c>
      <c r="J150" s="95">
        <f t="shared" si="17"/>
        <v>1430.70796460177</v>
      </c>
      <c r="K150" s="60">
        <f ca="1">H150*K124</f>
        <v>13.8320568</v>
      </c>
      <c r="L150" s="92"/>
      <c r="M150" s="44"/>
      <c r="N150" s="44"/>
      <c r="O150" s="44"/>
      <c r="P150" s="44"/>
      <c r="Q150" s="44"/>
      <c r="R150" s="84"/>
      <c r="S150" s="47"/>
      <c r="T150" s="47"/>
    </row>
    <row r="151" s="27" customFormat="1" ht="18" customHeight="1" spans="1:20">
      <c r="A151" s="34"/>
      <c r="B151" s="48">
        <v>15</v>
      </c>
      <c r="C151" s="48"/>
      <c r="D151" s="88"/>
      <c r="E151" s="72"/>
      <c r="F151" s="77"/>
      <c r="G151" s="89"/>
      <c r="H151" s="74"/>
      <c r="I151" s="74"/>
      <c r="J151" s="95"/>
      <c r="K151" s="92"/>
      <c r="L151" s="92"/>
      <c r="M151" s="44"/>
      <c r="N151" s="44"/>
      <c r="O151" s="44"/>
      <c r="P151" s="44"/>
      <c r="Q151" s="44"/>
      <c r="R151" s="84"/>
      <c r="S151" s="47"/>
      <c r="T151" s="47"/>
    </row>
    <row r="152" s="27" customFormat="1" ht="18" customHeight="1" spans="1:20">
      <c r="A152" s="34"/>
      <c r="B152" s="48">
        <v>16</v>
      </c>
      <c r="C152" s="48"/>
      <c r="D152" s="88"/>
      <c r="E152" s="72"/>
      <c r="F152" s="77"/>
      <c r="G152" s="89"/>
      <c r="H152" s="74"/>
      <c r="I152" s="74"/>
      <c r="J152" s="95"/>
      <c r="K152" s="92"/>
      <c r="L152" s="92"/>
      <c r="M152" s="44"/>
      <c r="N152" s="44"/>
      <c r="O152" s="44"/>
      <c r="P152" s="44"/>
      <c r="Q152" s="44"/>
      <c r="R152" s="84"/>
      <c r="S152" s="47"/>
      <c r="T152" s="47"/>
    </row>
    <row r="153" s="27" customFormat="1" ht="18" customHeight="1" spans="1:20">
      <c r="A153" s="34"/>
      <c r="B153" s="48">
        <v>17</v>
      </c>
      <c r="C153" s="48"/>
      <c r="D153" s="121"/>
      <c r="E153" s="72"/>
      <c r="F153" s="77"/>
      <c r="G153" s="89"/>
      <c r="H153" s="74"/>
      <c r="I153" s="74"/>
      <c r="J153" s="95"/>
      <c r="K153" s="92"/>
      <c r="L153" s="92"/>
      <c r="M153" s="44"/>
      <c r="N153" s="44"/>
      <c r="O153" s="44"/>
      <c r="P153" s="44"/>
      <c r="Q153" s="101"/>
      <c r="R153" s="84"/>
      <c r="S153" s="47"/>
      <c r="T153" s="47"/>
    </row>
    <row r="154" s="27" customFormat="1" ht="18" customHeight="1" spans="1:20">
      <c r="A154" s="34"/>
      <c r="B154" s="48">
        <v>18</v>
      </c>
      <c r="C154" s="48"/>
      <c r="D154" s="88"/>
      <c r="E154" s="72"/>
      <c r="F154" s="77"/>
      <c r="G154" s="89"/>
      <c r="H154" s="74"/>
      <c r="I154" s="74"/>
      <c r="J154" s="95"/>
      <c r="K154" s="92"/>
      <c r="L154" s="92"/>
      <c r="M154" s="44"/>
      <c r="N154" s="44"/>
      <c r="O154" s="44"/>
      <c r="P154" s="44"/>
      <c r="Q154" s="44"/>
      <c r="R154" s="84"/>
      <c r="S154" s="47"/>
      <c r="T154" s="47"/>
    </row>
    <row r="155" s="27" customFormat="1" ht="18" customHeight="1" spans="1:20">
      <c r="A155" s="34"/>
      <c r="B155" s="48">
        <v>19</v>
      </c>
      <c r="C155" s="48"/>
      <c r="D155" s="27"/>
      <c r="E155" s="72"/>
      <c r="F155" s="77"/>
      <c r="G155" s="89"/>
      <c r="H155" s="74"/>
      <c r="I155" s="74"/>
      <c r="J155" s="95"/>
      <c r="K155" s="92"/>
      <c r="L155" s="92"/>
      <c r="M155" s="44"/>
      <c r="N155" s="44"/>
      <c r="O155" s="44"/>
      <c r="P155" s="44"/>
      <c r="Q155" s="44"/>
      <c r="R155" s="84"/>
      <c r="S155" s="47"/>
      <c r="T155" s="47"/>
    </row>
    <row r="156" s="27" customFormat="1" ht="18" customHeight="1" spans="1:20">
      <c r="A156" s="34"/>
      <c r="B156" s="48">
        <v>20</v>
      </c>
      <c r="C156" s="48"/>
      <c r="D156" s="88"/>
      <c r="E156" s="72"/>
      <c r="F156" s="77"/>
      <c r="G156" s="89"/>
      <c r="H156" s="74"/>
      <c r="I156" s="74"/>
      <c r="J156" s="95"/>
      <c r="K156" s="92"/>
      <c r="L156" s="92"/>
      <c r="M156" s="44"/>
      <c r="N156" s="44"/>
      <c r="O156" s="44"/>
      <c r="P156" s="44"/>
      <c r="Q156" s="44"/>
      <c r="R156" s="84"/>
      <c r="S156" s="47"/>
      <c r="T156" s="47"/>
    </row>
    <row r="157" s="27" customFormat="1" ht="18" customHeight="1" spans="1:20">
      <c r="A157" s="34"/>
      <c r="B157" s="48">
        <v>21</v>
      </c>
      <c r="C157" s="48"/>
      <c r="D157" s="88"/>
      <c r="E157" s="72"/>
      <c r="F157" s="77"/>
      <c r="G157" s="89"/>
      <c r="H157" s="74"/>
      <c r="I157" s="74"/>
      <c r="J157" s="95"/>
      <c r="K157" s="92"/>
      <c r="L157" s="92"/>
      <c r="M157" s="44"/>
      <c r="N157" s="44"/>
      <c r="O157" s="44"/>
      <c r="P157" s="44"/>
      <c r="Q157" s="44"/>
      <c r="R157" s="84"/>
      <c r="S157" s="47"/>
      <c r="T157" s="47"/>
    </row>
    <row r="158" s="27" customFormat="1" ht="18" customHeight="1" spans="1:20">
      <c r="A158" s="34"/>
      <c r="B158" s="48">
        <v>22</v>
      </c>
      <c r="C158" s="48"/>
      <c r="D158" s="27"/>
      <c r="E158" s="72"/>
      <c r="F158" s="77"/>
      <c r="G158" s="72"/>
      <c r="H158" s="74"/>
      <c r="I158" s="74"/>
      <c r="J158" s="95"/>
      <c r="K158" s="92"/>
      <c r="L158" s="92"/>
      <c r="M158" s="44"/>
      <c r="N158" s="44"/>
      <c r="O158" s="44"/>
      <c r="P158" s="44"/>
      <c r="Q158" s="44"/>
      <c r="R158" s="62"/>
      <c r="S158" s="47"/>
      <c r="T158" s="47"/>
    </row>
    <row r="159" s="27" customFormat="1" ht="18" customHeight="1" spans="1:20">
      <c r="A159" s="34"/>
      <c r="B159" s="48">
        <v>23</v>
      </c>
      <c r="C159" s="48"/>
      <c r="D159" s="88"/>
      <c r="E159" s="72"/>
      <c r="F159" s="77"/>
      <c r="G159" s="89"/>
      <c r="H159" s="74"/>
      <c r="I159" s="74"/>
      <c r="J159" s="95"/>
      <c r="K159" s="92"/>
      <c r="L159" s="92"/>
      <c r="M159" s="44"/>
      <c r="N159" s="44"/>
      <c r="O159" s="44"/>
      <c r="P159" s="44"/>
      <c r="Q159" s="44"/>
      <c r="R159" s="62"/>
      <c r="S159" s="47"/>
      <c r="T159" s="47"/>
    </row>
    <row r="160" s="27" customFormat="1" ht="18" customHeight="1" spans="1:20">
      <c r="A160" s="34"/>
      <c r="B160" s="48">
        <v>24</v>
      </c>
      <c r="C160" s="48"/>
      <c r="D160" s="88" t="s">
        <v>478</v>
      </c>
      <c r="E160" s="72" t="s">
        <v>43</v>
      </c>
      <c r="F160" s="77"/>
      <c r="G160" s="72">
        <v>1</v>
      </c>
      <c r="H160" s="74">
        <v>1</v>
      </c>
      <c r="I160" s="74">
        <f>+辅材及安装费!$E$8</f>
        <v>10</v>
      </c>
      <c r="J160" s="95">
        <f t="shared" ref="J159:J162" si="20">H160*I160</f>
        <v>10</v>
      </c>
      <c r="K160" s="92"/>
      <c r="L160" s="92"/>
      <c r="M160" s="44"/>
      <c r="N160" s="44"/>
      <c r="O160" s="44"/>
      <c r="P160" s="44"/>
      <c r="Q160" s="44"/>
      <c r="R160" s="62"/>
      <c r="S160" s="47"/>
      <c r="T160" s="47"/>
    </row>
    <row r="161" s="27" customFormat="1" ht="18" customHeight="1" spans="1:20">
      <c r="A161" s="34"/>
      <c r="B161" s="48">
        <v>25</v>
      </c>
      <c r="C161" s="48"/>
      <c r="D161" s="93" t="s">
        <v>442</v>
      </c>
      <c r="E161" s="72"/>
      <c r="F161" s="77"/>
      <c r="G161" s="72"/>
      <c r="H161" s="74"/>
      <c r="I161" s="74"/>
      <c r="J161" s="95">
        <f>SUM(J138:J160)</f>
        <v>1874.45455692673</v>
      </c>
      <c r="K161" s="92"/>
      <c r="L161" s="94"/>
      <c r="M161" s="27"/>
      <c r="N161" s="83"/>
      <c r="O161" s="83"/>
      <c r="P161" s="83"/>
      <c r="Q161" s="83"/>
      <c r="R161" s="87"/>
      <c r="S161" s="47"/>
      <c r="T161" s="47"/>
    </row>
    <row r="162" s="27" customFormat="1" ht="18" customHeight="1" spans="1:20">
      <c r="A162" s="34"/>
      <c r="B162" s="48">
        <v>1</v>
      </c>
      <c r="C162" s="48" t="s">
        <v>443</v>
      </c>
      <c r="D162" s="48" t="s">
        <v>444</v>
      </c>
      <c r="E162" s="72" t="s">
        <v>43</v>
      </c>
      <c r="F162" s="50"/>
      <c r="G162" s="48"/>
      <c r="H162" s="51">
        <v>1</v>
      </c>
      <c r="I162" s="74">
        <f>+辅材及安装费!$F$8</f>
        <v>5</v>
      </c>
      <c r="J162" s="95">
        <f t="shared" si="20"/>
        <v>5</v>
      </c>
      <c r="K162" s="118"/>
      <c r="L162" s="96"/>
      <c r="M162" s="97"/>
      <c r="N162" s="98"/>
      <c r="O162" s="98"/>
      <c r="P162" s="98"/>
      <c r="Q162" s="98"/>
      <c r="R162" s="99"/>
      <c r="S162" s="47"/>
      <c r="T162" s="47"/>
    </row>
    <row r="163" s="26" customFormat="1" ht="30" customHeight="1" spans="1:20">
      <c r="A163" s="28"/>
      <c r="B163" s="29" t="s">
        <v>386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30"/>
      <c r="M163" s="31"/>
      <c r="N163" s="31"/>
      <c r="O163" s="31"/>
      <c r="P163" s="31"/>
      <c r="Q163" s="31"/>
      <c r="R163" s="32"/>
      <c r="S163" s="33"/>
      <c r="T163" s="33"/>
    </row>
    <row r="164" s="27" customFormat="1" ht="33.75" customHeight="1" spans="1:20">
      <c r="A164" s="34">
        <v>3</v>
      </c>
      <c r="B164" s="35" t="s">
        <v>1</v>
      </c>
      <c r="C164" s="35" t="s">
        <v>387</v>
      </c>
      <c r="D164" s="36" t="str">
        <f>+A172</f>
        <v>25㎜葡萄牙米黄石材</v>
      </c>
      <c r="E164" s="37"/>
      <c r="F164" s="38" t="s">
        <v>99</v>
      </c>
      <c r="G164" s="39"/>
      <c r="H164" s="35" t="s">
        <v>388</v>
      </c>
      <c r="I164" s="40" t="s">
        <v>389</v>
      </c>
      <c r="J164" s="41" t="s">
        <v>37</v>
      </c>
      <c r="K164" s="42">
        <f ca="1">VLOOKUP(A164,排屋工程量清单!$A$49:$D$57,4,)</f>
        <v>134.7826</v>
      </c>
      <c r="L164" s="43"/>
      <c r="M164" s="44"/>
      <c r="N164" s="44"/>
      <c r="O164" s="44"/>
      <c r="P164" s="45"/>
      <c r="Q164" s="44"/>
      <c r="R164" s="46"/>
      <c r="S164" s="47"/>
      <c r="T164" s="47"/>
    </row>
    <row r="165" s="27" customFormat="1" ht="18" customHeight="1" spans="1:20">
      <c r="A165" s="34"/>
      <c r="B165" s="48">
        <v>1</v>
      </c>
      <c r="C165" s="49" t="s">
        <v>390</v>
      </c>
      <c r="D165" s="48" t="s">
        <v>391</v>
      </c>
      <c r="E165" s="48"/>
      <c r="F165" s="50"/>
      <c r="G165" s="48"/>
      <c r="H165" s="51"/>
      <c r="I165" s="52">
        <f>J177</f>
        <v>210</v>
      </c>
      <c r="J165" s="53" t="s">
        <v>392</v>
      </c>
      <c r="K165" s="54"/>
      <c r="L165" s="55" t="s">
        <v>480</v>
      </c>
      <c r="M165" s="56" t="s">
        <v>481</v>
      </c>
      <c r="N165" s="57"/>
      <c r="O165" s="57">
        <v>4.84</v>
      </c>
      <c r="P165" s="57">
        <f>3.13+0.25</f>
        <v>3.38</v>
      </c>
      <c r="Q165" s="57">
        <v>1</v>
      </c>
      <c r="R165" s="58">
        <f>+Q165*P165*O165</f>
        <v>16.3592</v>
      </c>
      <c r="S165" s="47"/>
      <c r="T165" s="47"/>
    </row>
    <row r="166" s="27" customFormat="1" ht="18" customHeight="1" spans="1:20">
      <c r="A166" s="34"/>
      <c r="B166" s="48">
        <v>2</v>
      </c>
      <c r="C166" s="59"/>
      <c r="D166" s="48" t="s">
        <v>394</v>
      </c>
      <c r="E166" s="48"/>
      <c r="F166" s="50"/>
      <c r="G166" s="48"/>
      <c r="H166" s="51"/>
      <c r="I166" s="52">
        <f>J201</f>
        <v>954.845255404445</v>
      </c>
      <c r="J166" s="53" t="s">
        <v>392</v>
      </c>
      <c r="K166" s="60"/>
      <c r="L166" s="61" t="s">
        <v>99</v>
      </c>
      <c r="M166" s="44"/>
      <c r="N166" s="44"/>
      <c r="O166" s="44"/>
      <c r="P166" s="44"/>
      <c r="Q166" s="44"/>
      <c r="R166" s="62"/>
      <c r="S166" s="47"/>
      <c r="T166" s="47"/>
    </row>
    <row r="167" s="27" customFormat="1" ht="18" customHeight="1" spans="1:20">
      <c r="A167" s="34"/>
      <c r="B167" s="48">
        <v>3</v>
      </c>
      <c r="C167" s="63"/>
      <c r="D167" s="48" t="s">
        <v>395</v>
      </c>
      <c r="E167" s="48"/>
      <c r="F167" s="50"/>
      <c r="G167" s="48"/>
      <c r="H167" s="51"/>
      <c r="I167" s="52">
        <f>J202</f>
        <v>5</v>
      </c>
      <c r="J167" s="53" t="s">
        <v>392</v>
      </c>
      <c r="K167" s="60"/>
      <c r="L167" s="60"/>
      <c r="M167" s="64" t="s">
        <v>396</v>
      </c>
      <c r="N167" s="65" t="s">
        <v>397</v>
      </c>
      <c r="O167" s="65" t="s">
        <v>398</v>
      </c>
      <c r="P167" s="65" t="s">
        <v>399</v>
      </c>
      <c r="Q167" s="65" t="s">
        <v>400</v>
      </c>
      <c r="R167" s="66" t="s">
        <v>401</v>
      </c>
      <c r="S167" s="47"/>
      <c r="T167" s="47"/>
    </row>
    <row r="168" s="27" customFormat="1" ht="18" customHeight="1" spans="1:20">
      <c r="A168" s="34"/>
      <c r="B168" s="48">
        <v>4</v>
      </c>
      <c r="C168" s="48" t="s">
        <v>402</v>
      </c>
      <c r="D168" s="67" t="s">
        <v>403</v>
      </c>
      <c r="E168" s="67"/>
      <c r="F168" s="50"/>
      <c r="G168" s="67"/>
      <c r="H168" s="68"/>
      <c r="I168" s="52">
        <f>SUM(I165:I167)</f>
        <v>1169.84525540444</v>
      </c>
      <c r="J168" s="53" t="s">
        <v>392</v>
      </c>
      <c r="K168" s="60"/>
      <c r="L168" s="69" t="s">
        <v>431</v>
      </c>
      <c r="M168" s="34" t="s">
        <v>460</v>
      </c>
      <c r="N168" s="102">
        <v>10.21</v>
      </c>
      <c r="O168" s="34">
        <v>3.15</v>
      </c>
      <c r="P168" s="34">
        <v>7</v>
      </c>
      <c r="Q168" s="44">
        <f t="shared" ref="Q168:Q172" si="21">+P168*O168*N168</f>
        <v>225.1305</v>
      </c>
      <c r="R168" s="71">
        <f>+Q168/R165</f>
        <v>13.7617059513913</v>
      </c>
      <c r="S168" s="47"/>
      <c r="T168" s="47"/>
    </row>
    <row r="169" s="27" customFormat="1" ht="28" customHeight="1" spans="1:20">
      <c r="A169" s="34"/>
      <c r="B169" s="48">
        <v>5</v>
      </c>
      <c r="C169" s="72" t="s">
        <v>406</v>
      </c>
      <c r="D169" s="48" t="s">
        <v>407</v>
      </c>
      <c r="E169" s="48"/>
      <c r="F169" s="50"/>
      <c r="G169" s="48"/>
      <c r="H169" s="73">
        <f>+'材料表 '!$E$178</f>
        <v>0</v>
      </c>
      <c r="I169" s="52">
        <f>H169*I168</f>
        <v>0</v>
      </c>
      <c r="J169" s="53" t="s">
        <v>392</v>
      </c>
      <c r="K169" s="60"/>
      <c r="L169" s="69" t="s">
        <v>461</v>
      </c>
      <c r="M169" s="34" t="s">
        <v>462</v>
      </c>
      <c r="N169" s="34">
        <v>3.77</v>
      </c>
      <c r="O169" s="34">
        <f>+O165</f>
        <v>4.84</v>
      </c>
      <c r="P169" s="34">
        <f>3*2+1+1</f>
        <v>8</v>
      </c>
      <c r="Q169" s="44">
        <f t="shared" si="21"/>
        <v>145.9744</v>
      </c>
      <c r="R169" s="71">
        <f>+Q169/R165</f>
        <v>8.92307692307693</v>
      </c>
      <c r="S169" s="47"/>
      <c r="T169" s="47"/>
    </row>
    <row r="170" s="27" customFormat="1" ht="18" customHeight="1" spans="1:20">
      <c r="A170" s="34"/>
      <c r="B170" s="48">
        <v>6</v>
      </c>
      <c r="C170" s="48" t="s">
        <v>409</v>
      </c>
      <c r="D170" s="48" t="s">
        <v>410</v>
      </c>
      <c r="E170" s="48"/>
      <c r="F170" s="50"/>
      <c r="G170" s="48"/>
      <c r="H170" s="73">
        <f>+'材料表 '!$E$179</f>
        <v>0</v>
      </c>
      <c r="I170" s="52">
        <f>H170*I168</f>
        <v>0</v>
      </c>
      <c r="J170" s="53" t="s">
        <v>392</v>
      </c>
      <c r="K170" s="60"/>
      <c r="L170" s="69" t="s">
        <v>463</v>
      </c>
      <c r="M170" s="34" t="s">
        <v>464</v>
      </c>
      <c r="N170" s="34">
        <f>0.15*0.2*7.85*10</f>
        <v>2.355</v>
      </c>
      <c r="O170" s="34">
        <f>1</f>
        <v>1</v>
      </c>
      <c r="P170" s="34">
        <f>+P168</f>
        <v>7</v>
      </c>
      <c r="Q170" s="44">
        <f t="shared" si="21"/>
        <v>16.485</v>
      </c>
      <c r="R170" s="71">
        <f>+Q170/R165</f>
        <v>1.00768986258497</v>
      </c>
      <c r="S170" s="47"/>
      <c r="T170" s="47"/>
    </row>
    <row r="171" s="27" customFormat="1" ht="18" customHeight="1" spans="1:20">
      <c r="A171" s="34"/>
      <c r="B171" s="48">
        <v>7</v>
      </c>
      <c r="C171" s="48" t="s">
        <v>412</v>
      </c>
      <c r="D171" s="72" t="s">
        <v>413</v>
      </c>
      <c r="E171" s="72"/>
      <c r="F171" s="77"/>
      <c r="G171" s="72"/>
      <c r="H171" s="73">
        <f>+'材料表 '!$E$180</f>
        <v>0.09</v>
      </c>
      <c r="I171" s="52">
        <f>(I168+I169+I170)*H171</f>
        <v>105.2860729864</v>
      </c>
      <c r="J171" s="53" t="s">
        <v>392</v>
      </c>
      <c r="K171" s="60"/>
      <c r="L171" s="69" t="s">
        <v>465</v>
      </c>
      <c r="M171" s="34" t="s">
        <v>482</v>
      </c>
      <c r="N171" s="100">
        <f>3.77</f>
        <v>3.77</v>
      </c>
      <c r="O171" s="34">
        <v>0.265</v>
      </c>
      <c r="P171" s="34">
        <f>7*3</f>
        <v>21</v>
      </c>
      <c r="Q171" s="44">
        <f t="shared" si="21"/>
        <v>20.98005</v>
      </c>
      <c r="R171" s="71">
        <f>+Q171/R165</f>
        <v>1.28246185632549</v>
      </c>
      <c r="S171" s="47"/>
      <c r="T171" s="47"/>
    </row>
    <row r="172" s="27" customFormat="1" ht="18" customHeight="1" spans="1:20">
      <c r="A172" s="105" t="s">
        <v>103</v>
      </c>
      <c r="B172" s="48">
        <v>8</v>
      </c>
      <c r="C172" s="48" t="s">
        <v>363</v>
      </c>
      <c r="D172" s="106" t="s">
        <v>415</v>
      </c>
      <c r="E172" s="107"/>
      <c r="F172" s="108"/>
      <c r="G172" s="107"/>
      <c r="H172" s="51"/>
      <c r="I172" s="74">
        <f>SUM(I168:I171)</f>
        <v>1275.13132839085</v>
      </c>
      <c r="J172" s="53" t="s">
        <v>416</v>
      </c>
      <c r="K172" s="60"/>
      <c r="L172" s="69" t="s">
        <v>465</v>
      </c>
      <c r="M172" s="44"/>
      <c r="N172" s="126">
        <v>5.778</v>
      </c>
      <c r="O172" s="44">
        <v>0.1</v>
      </c>
      <c r="P172" s="44">
        <f>+P168*2</f>
        <v>14</v>
      </c>
      <c r="Q172" s="44">
        <f t="shared" si="21"/>
        <v>8.0892</v>
      </c>
      <c r="R172" s="84">
        <f>+Q172/R165</f>
        <v>0.49447405741112</v>
      </c>
      <c r="S172" s="79"/>
      <c r="T172" s="47"/>
    </row>
    <row r="173" s="27" customFormat="1" ht="18" customHeight="1" spans="1:20">
      <c r="A173" s="34"/>
      <c r="B173" s="109" t="s">
        <v>418</v>
      </c>
      <c r="C173" s="110"/>
      <c r="D173" s="110"/>
      <c r="E173" s="110"/>
      <c r="F173" s="110"/>
      <c r="G173" s="110"/>
      <c r="H173" s="110"/>
      <c r="I173" s="110"/>
      <c r="J173" s="110"/>
      <c r="K173" s="80"/>
      <c r="L173" s="90" t="s">
        <v>469</v>
      </c>
      <c r="M173" s="44"/>
      <c r="N173" s="82"/>
      <c r="O173" s="44">
        <f>30*4+20</f>
        <v>140</v>
      </c>
      <c r="P173" s="44">
        <v>1</v>
      </c>
      <c r="Q173" s="44">
        <f>+P173*O173</f>
        <v>140</v>
      </c>
      <c r="R173" s="84">
        <f>+Q173/R165</f>
        <v>8.55787569074282</v>
      </c>
      <c r="S173" s="47"/>
      <c r="T173" s="47"/>
    </row>
    <row r="174" s="27" customFormat="1" ht="18" customHeight="1" spans="1:20">
      <c r="A174" s="34"/>
      <c r="B174" s="48">
        <v>1</v>
      </c>
      <c r="C174" s="48" t="s">
        <v>391</v>
      </c>
      <c r="D174" s="48" t="s">
        <v>396</v>
      </c>
      <c r="E174" s="48" t="s">
        <v>37</v>
      </c>
      <c r="F174" s="50"/>
      <c r="G174" s="48"/>
      <c r="H174" s="51" t="s">
        <v>399</v>
      </c>
      <c r="I174" s="51" t="s">
        <v>420</v>
      </c>
      <c r="J174" s="95" t="s">
        <v>421</v>
      </c>
      <c r="K174" s="92"/>
      <c r="L174" s="90"/>
      <c r="M174" s="44"/>
      <c r="N174" s="82"/>
      <c r="O174" s="44"/>
      <c r="P174" s="44"/>
      <c r="Q174" s="44"/>
      <c r="R174" s="84"/>
      <c r="S174" s="47"/>
      <c r="T174" s="47"/>
    </row>
    <row r="175" s="27" customFormat="1" ht="18" customHeight="1" spans="1:20">
      <c r="A175" s="34"/>
      <c r="B175" s="48">
        <v>2</v>
      </c>
      <c r="C175" s="48"/>
      <c r="D175" s="111" t="s">
        <v>470</v>
      </c>
      <c r="E175" s="49" t="s">
        <v>423</v>
      </c>
      <c r="F175" s="112"/>
      <c r="G175" s="111"/>
      <c r="H175" s="113">
        <v>1</v>
      </c>
      <c r="I175" s="113">
        <f>+辅材及安装费!$G$8</f>
        <v>210</v>
      </c>
      <c r="J175" s="114">
        <f t="shared" ref="J175:J190" si="22">H175*I175</f>
        <v>210</v>
      </c>
      <c r="K175" s="92"/>
      <c r="L175" s="90" t="s">
        <v>471</v>
      </c>
      <c r="M175" s="44"/>
      <c r="N175" s="82"/>
      <c r="O175" s="44"/>
      <c r="P175" s="44"/>
      <c r="Q175" s="44">
        <f>+Q173</f>
        <v>140</v>
      </c>
      <c r="R175" s="84">
        <f>+Q175/R165</f>
        <v>8.55787569074282</v>
      </c>
      <c r="S175" s="47"/>
      <c r="T175" s="47"/>
    </row>
    <row r="176" s="27" customFormat="1" ht="18" customHeight="1" spans="1:20">
      <c r="A176" s="34"/>
      <c r="B176" s="48">
        <v>3</v>
      </c>
      <c r="C176" s="48"/>
      <c r="D176" s="115"/>
      <c r="E176" s="63"/>
      <c r="F176" s="116"/>
      <c r="G176" s="115"/>
      <c r="H176" s="117"/>
      <c r="I176" s="117"/>
      <c r="J176" s="118"/>
      <c r="K176" s="92"/>
      <c r="L176" s="90" t="s">
        <v>472</v>
      </c>
      <c r="M176" s="44"/>
      <c r="N176" s="82"/>
      <c r="O176" s="44"/>
      <c r="P176" s="44">
        <f>O170*P170*2</f>
        <v>14</v>
      </c>
      <c r="Q176" s="44">
        <f>+P176</f>
        <v>14</v>
      </c>
      <c r="R176" s="84">
        <f>+Q176/R165</f>
        <v>0.855787569074282</v>
      </c>
      <c r="S176" s="47"/>
      <c r="T176" s="47"/>
    </row>
    <row r="177" s="27" customFormat="1" ht="18" customHeight="1" spans="1:20">
      <c r="A177" s="34"/>
      <c r="B177" s="48">
        <v>4</v>
      </c>
      <c r="C177" s="48"/>
      <c r="D177" s="85" t="s">
        <v>426</v>
      </c>
      <c r="E177" s="48" t="s">
        <v>392</v>
      </c>
      <c r="F177" s="50"/>
      <c r="G177" s="48"/>
      <c r="H177" s="86"/>
      <c r="I177" s="86"/>
      <c r="J177" s="95">
        <f>SUM(J175:J175)</f>
        <v>210</v>
      </c>
      <c r="K177" s="92"/>
      <c r="L177" s="90" t="s">
        <v>473</v>
      </c>
      <c r="M177" s="44"/>
      <c r="N177" s="82"/>
      <c r="O177" s="44"/>
      <c r="P177" s="44"/>
      <c r="Q177" s="44">
        <f>+(Q173)*3</f>
        <v>420</v>
      </c>
      <c r="R177" s="84">
        <f>+Q177/R165</f>
        <v>25.6736270722285</v>
      </c>
      <c r="S177" s="47"/>
      <c r="T177" s="47"/>
    </row>
    <row r="178" s="27" customFormat="1" ht="30" customHeight="1" spans="1:20">
      <c r="A178" s="34"/>
      <c r="B178" s="48">
        <v>1</v>
      </c>
      <c r="C178" s="48" t="s">
        <v>394</v>
      </c>
      <c r="D178" s="88" t="s">
        <v>431</v>
      </c>
      <c r="E178" s="72" t="str">
        <f>+VLOOKUP(D178,'材料表 '!C:F,2,0)</f>
        <v>kg</v>
      </c>
      <c r="F178" s="77">
        <f>+SUMIF($L$165:$L$202,D178,$R$165:$R$202)</f>
        <v>13.7617059513913</v>
      </c>
      <c r="G178" s="89">
        <f>+VLOOKUP(D178,'材料表 '!C:F,4,0)</f>
        <v>0.03</v>
      </c>
      <c r="H178" s="74">
        <f t="shared" ref="H178:H190" si="23">F178*(G178+1)</f>
        <v>14.174557129933</v>
      </c>
      <c r="I178" s="74">
        <f>+VLOOKUP(D178,'材料表 '!C:F,3,0)</f>
        <v>3.80530973451327</v>
      </c>
      <c r="J178" s="95">
        <f t="shared" si="22"/>
        <v>53.9385802289487</v>
      </c>
      <c r="K178" s="60">
        <f ca="1">H178*K164</f>
        <v>1910.48366382091</v>
      </c>
      <c r="L178" s="90"/>
      <c r="M178" s="44"/>
      <c r="N178" s="82"/>
      <c r="O178" s="44"/>
      <c r="P178" s="44"/>
      <c r="Q178" s="44"/>
      <c r="R178" s="84"/>
      <c r="S178" s="47"/>
      <c r="T178" s="47"/>
    </row>
    <row r="179" s="27" customFormat="1" ht="18" customHeight="1" spans="1:20">
      <c r="A179" s="34"/>
      <c r="B179" s="48">
        <v>2</v>
      </c>
      <c r="C179" s="48"/>
      <c r="D179" s="88" t="s">
        <v>461</v>
      </c>
      <c r="E179" s="72" t="str">
        <f>+VLOOKUP(D179,'材料表 '!C:F,2,0)</f>
        <v>kg</v>
      </c>
      <c r="F179" s="77">
        <f t="shared" ref="F179:F186" si="24">+SUMIF($L$165:$L$202,D179,$R$165:$R$202)</f>
        <v>8.92307692307693</v>
      </c>
      <c r="G179" s="89">
        <f>+VLOOKUP(D179,'材料表 '!C:F,4,0)</f>
        <v>0.03</v>
      </c>
      <c r="H179" s="74">
        <f t="shared" si="23"/>
        <v>9.19076923076924</v>
      </c>
      <c r="I179" s="74">
        <f>+VLOOKUP(D179,'材料表 '!C:F,3,0)</f>
        <v>3.53982300884956</v>
      </c>
      <c r="J179" s="95">
        <f t="shared" si="22"/>
        <v>32.5336963921035</v>
      </c>
      <c r="K179" s="60">
        <f ca="1">H179*K164</f>
        <v>1238.75577292308</v>
      </c>
      <c r="L179" s="90"/>
      <c r="M179" s="44"/>
      <c r="N179" s="82"/>
      <c r="O179" s="44"/>
      <c r="P179" s="44"/>
      <c r="Q179" s="44"/>
      <c r="R179" s="84"/>
      <c r="S179" s="47"/>
      <c r="T179" s="47"/>
    </row>
    <row r="180" s="27" customFormat="1" ht="18" customHeight="1" spans="1:20">
      <c r="A180" s="34"/>
      <c r="B180" s="48">
        <v>3</v>
      </c>
      <c r="C180" s="48"/>
      <c r="D180" s="88" t="s">
        <v>465</v>
      </c>
      <c r="E180" s="72" t="str">
        <f>+VLOOKUP(D180,'材料表 '!C:F,2,0)</f>
        <v>kg</v>
      </c>
      <c r="F180" s="77">
        <f t="shared" si="24"/>
        <v>1.77693591373661</v>
      </c>
      <c r="G180" s="89">
        <f>+VLOOKUP(D180,'材料表 '!C:F,4,0)</f>
        <v>0.03</v>
      </c>
      <c r="H180" s="74">
        <f t="shared" si="23"/>
        <v>1.83024399114871</v>
      </c>
      <c r="I180" s="74">
        <f>+VLOOKUP(D180,'材料表 '!C:F,3,0)</f>
        <v>6.01769911504425</v>
      </c>
      <c r="J180" s="95">
        <f t="shared" si="22"/>
        <v>11.0138576458506</v>
      </c>
      <c r="K180" s="60">
        <f ca="1">H180*K164</f>
        <v>246.6850437614</v>
      </c>
      <c r="L180" s="90" t="s">
        <v>474</v>
      </c>
      <c r="M180" s="44"/>
      <c r="N180" s="82"/>
      <c r="O180" s="44"/>
      <c r="P180" s="44"/>
      <c r="Q180" s="44">
        <f>+O170*P170*4</f>
        <v>28</v>
      </c>
      <c r="R180" s="84">
        <f>+Q180/R165</f>
        <v>1.71157513814856</v>
      </c>
      <c r="S180" s="47"/>
      <c r="T180" s="47"/>
    </row>
    <row r="181" s="27" customFormat="1" ht="18" customHeight="1" spans="1:20">
      <c r="A181" s="34"/>
      <c r="B181" s="48">
        <v>4</v>
      </c>
      <c r="C181" s="48"/>
      <c r="D181" s="88" t="s">
        <v>463</v>
      </c>
      <c r="E181" s="72" t="str">
        <f>+VLOOKUP(D181,'材料表 '!C:F,2,0)</f>
        <v>kg</v>
      </c>
      <c r="F181" s="77">
        <f t="shared" si="24"/>
        <v>1.00768986258497</v>
      </c>
      <c r="G181" s="89">
        <f>+VLOOKUP(D181,'材料表 '!C:F,4,0)</f>
        <v>0.03</v>
      </c>
      <c r="H181" s="74">
        <f t="shared" si="23"/>
        <v>1.03792055846252</v>
      </c>
      <c r="I181" s="74">
        <f>+VLOOKUP(D181,'材料表 '!C:F,3,0)</f>
        <v>6.01769911504425</v>
      </c>
      <c r="J181" s="95">
        <f t="shared" si="22"/>
        <v>6.24589362614613</v>
      </c>
      <c r="K181" s="60">
        <f ca="1">H181*K164</f>
        <v>139.89363146303</v>
      </c>
      <c r="L181" s="90" t="s">
        <v>475</v>
      </c>
      <c r="M181" s="44"/>
      <c r="N181" s="83"/>
      <c r="O181" s="82">
        <f>O165</f>
        <v>4.84</v>
      </c>
      <c r="P181" s="44">
        <f>0.371</f>
        <v>0.371</v>
      </c>
      <c r="Q181" s="44">
        <f>+P181*O181</f>
        <v>1.79564</v>
      </c>
      <c r="R181" s="84">
        <f>+Q181/R165</f>
        <v>0.109763313609467</v>
      </c>
      <c r="S181" s="47"/>
      <c r="T181" s="47"/>
    </row>
    <row r="182" s="27" customFormat="1" ht="18" customHeight="1" spans="1:20">
      <c r="A182" s="34"/>
      <c r="B182" s="48">
        <v>5</v>
      </c>
      <c r="C182" s="48"/>
      <c r="D182" s="88" t="s">
        <v>469</v>
      </c>
      <c r="E182" s="72" t="str">
        <f>+VLOOKUP(D182,'材料表 '!C:F,2,0)</f>
        <v>套</v>
      </c>
      <c r="F182" s="77">
        <f t="shared" si="24"/>
        <v>8.55787569074282</v>
      </c>
      <c r="G182" s="89">
        <f>+VLOOKUP(D182,'材料表 '!C:F,4,0)</f>
        <v>0</v>
      </c>
      <c r="H182" s="74">
        <f t="shared" si="23"/>
        <v>8.55787569074282</v>
      </c>
      <c r="I182" s="74">
        <f>+VLOOKUP(D182,'材料表 '!C:F,3,0)</f>
        <v>5.30973451327434</v>
      </c>
      <c r="J182" s="95">
        <f t="shared" si="22"/>
        <v>45.4400479154486</v>
      </c>
      <c r="K182" s="60">
        <f ca="1">H182*K164</f>
        <v>1153.45273607511</v>
      </c>
      <c r="L182" s="92" t="s">
        <v>476</v>
      </c>
      <c r="M182" s="44"/>
      <c r="N182" s="82"/>
      <c r="O182" s="44"/>
      <c r="P182" s="44"/>
      <c r="Q182" s="44">
        <f>6*6*(O165*4+P165*10)/500</f>
        <v>3.82752</v>
      </c>
      <c r="R182" s="84">
        <f>+Q182/R165</f>
        <v>0.233967431170228</v>
      </c>
      <c r="S182" s="47"/>
      <c r="T182" s="47"/>
    </row>
    <row r="183" s="27" customFormat="1" ht="18" customHeight="1" spans="1:20">
      <c r="A183" s="34"/>
      <c r="B183" s="48">
        <v>7</v>
      </c>
      <c r="C183" s="48"/>
      <c r="D183" s="88" t="s">
        <v>471</v>
      </c>
      <c r="E183" s="72" t="str">
        <f>+VLOOKUP(D183,'材料表 '!C:F,2,0)</f>
        <v>套</v>
      </c>
      <c r="F183" s="77">
        <f t="shared" si="24"/>
        <v>8.55787569074282</v>
      </c>
      <c r="G183" s="89">
        <f>+VLOOKUP(D183,'材料表 '!C:F,4,0)</f>
        <v>0</v>
      </c>
      <c r="H183" s="74">
        <f t="shared" si="23"/>
        <v>8.55787569074282</v>
      </c>
      <c r="I183" s="74">
        <f>+VLOOKUP(D183,'材料表 '!C:F,3,0)</f>
        <v>1.32743362831858</v>
      </c>
      <c r="J183" s="95">
        <f t="shared" si="22"/>
        <v>11.3600119788621</v>
      </c>
      <c r="K183" s="60">
        <f ca="1">H183*K164</f>
        <v>1153.45273607511</v>
      </c>
      <c r="L183" s="92"/>
      <c r="M183" s="44"/>
      <c r="N183" s="82"/>
      <c r="O183" s="44"/>
      <c r="P183" s="44"/>
      <c r="Q183" s="44"/>
      <c r="R183" s="84">
        <f>+Q183/R165</f>
        <v>0</v>
      </c>
      <c r="S183" s="47"/>
      <c r="T183" s="47"/>
    </row>
    <row r="184" s="27" customFormat="1" ht="18" customHeight="1" spans="1:20">
      <c r="A184" s="34"/>
      <c r="B184" s="48">
        <v>8</v>
      </c>
      <c r="C184" s="48"/>
      <c r="D184" s="88" t="s">
        <v>472</v>
      </c>
      <c r="E184" s="72" t="str">
        <f>+VLOOKUP(D184,'材料表 '!C:F,2,0)</f>
        <v>套</v>
      </c>
      <c r="F184" s="77">
        <f t="shared" si="24"/>
        <v>0.855787569074282</v>
      </c>
      <c r="G184" s="89">
        <f>+VLOOKUP(D184,'材料表 '!C:F,4,0)</f>
        <v>0</v>
      </c>
      <c r="H184" s="74">
        <f t="shared" si="23"/>
        <v>0.855787569074282</v>
      </c>
      <c r="I184" s="74">
        <f>+VLOOKUP(D184,'材料表 '!C:F,3,0)</f>
        <v>2.47787610619469</v>
      </c>
      <c r="J184" s="95">
        <f t="shared" si="22"/>
        <v>2.1205355693876</v>
      </c>
      <c r="K184" s="60">
        <f ca="1">H184*K164</f>
        <v>115.345273607511</v>
      </c>
      <c r="L184" s="92"/>
      <c r="M184" s="44"/>
      <c r="N184" s="82"/>
      <c r="O184" s="44"/>
      <c r="P184" s="44"/>
      <c r="Q184" s="44"/>
      <c r="R184" s="84"/>
      <c r="S184" s="47"/>
      <c r="T184" s="47"/>
    </row>
    <row r="185" s="27" customFormat="1" ht="18" customHeight="1" spans="1:20">
      <c r="A185" s="34"/>
      <c r="B185" s="48">
        <v>9</v>
      </c>
      <c r="C185" s="48"/>
      <c r="D185" s="88" t="s">
        <v>473</v>
      </c>
      <c r="E185" s="72" t="str">
        <f>+VLOOKUP(D185,'材料表 '!C:F,2,0)</f>
        <v>套</v>
      </c>
      <c r="F185" s="77">
        <f t="shared" si="24"/>
        <v>25.6736270722285</v>
      </c>
      <c r="G185" s="89">
        <f>+VLOOKUP(D185,'材料表 '!C:F,4,0)</f>
        <v>0</v>
      </c>
      <c r="H185" s="74">
        <f t="shared" si="23"/>
        <v>25.6736270722285</v>
      </c>
      <c r="I185" s="74">
        <f>+VLOOKUP(D185,'材料表 '!C:F,3,0)</f>
        <v>0.247787610619469</v>
      </c>
      <c r="J185" s="95">
        <f t="shared" si="22"/>
        <v>6.36160670816281</v>
      </c>
      <c r="K185" s="60">
        <f ca="1">H185*K164</f>
        <v>3460.35820822534</v>
      </c>
      <c r="L185" s="90"/>
      <c r="M185" s="44"/>
      <c r="N185" s="82"/>
      <c r="O185" s="34"/>
      <c r="P185" s="44"/>
      <c r="Q185" s="44"/>
      <c r="R185" s="119"/>
      <c r="S185" s="47"/>
      <c r="T185" s="47"/>
    </row>
    <row r="186" s="27" customFormat="1" ht="18" customHeight="1" spans="1:20">
      <c r="A186" s="34"/>
      <c r="B186" s="48">
        <v>10</v>
      </c>
      <c r="C186" s="48"/>
      <c r="D186" s="88" t="s">
        <v>474</v>
      </c>
      <c r="E186" s="72" t="str">
        <f>+VLOOKUP(D186,'材料表 '!C:F,2,0)</f>
        <v>套</v>
      </c>
      <c r="F186" s="77">
        <f t="shared" si="24"/>
        <v>1.71157513814856</v>
      </c>
      <c r="G186" s="89">
        <f>+VLOOKUP(D186,'材料表 '!C:F,4,0)</f>
        <v>0</v>
      </c>
      <c r="H186" s="74">
        <f t="shared" si="23"/>
        <v>1.71157513814856</v>
      </c>
      <c r="I186" s="74">
        <f>+VLOOKUP(D186,'材料表 '!C:F,3,0)</f>
        <v>2.21238938053097</v>
      </c>
      <c r="J186" s="95">
        <f t="shared" si="22"/>
        <v>3.7866706596207</v>
      </c>
      <c r="K186" s="60">
        <f ca="1">H186*K164</f>
        <v>230.690547215022</v>
      </c>
      <c r="L186" s="92"/>
      <c r="M186" s="120"/>
      <c r="N186" s="82"/>
      <c r="O186" s="44"/>
      <c r="P186" s="44"/>
      <c r="Q186" s="44"/>
      <c r="R186" s="84"/>
      <c r="S186" s="47"/>
      <c r="T186" s="47"/>
    </row>
    <row r="187" s="27" customFormat="1" ht="18" customHeight="1" spans="1:20">
      <c r="A187" s="34"/>
      <c r="B187" s="48">
        <v>11</v>
      </c>
      <c r="C187" s="48"/>
      <c r="D187" s="88" t="s">
        <v>477</v>
      </c>
      <c r="E187" s="72" t="str">
        <f>+VLOOKUP(D187,'材料表 '!C:F,2,0)</f>
        <v>kg</v>
      </c>
      <c r="F187" s="77">
        <v>0.2</v>
      </c>
      <c r="G187" s="89">
        <f>+VLOOKUP(D187,'材料表 '!C:F,4,0)</f>
        <v>0.15</v>
      </c>
      <c r="H187" s="74">
        <f t="shared" si="23"/>
        <v>0.23</v>
      </c>
      <c r="I187" s="74">
        <f>+VLOOKUP(D187,'材料表 '!C:F,3,0)</f>
        <v>10.6194690265487</v>
      </c>
      <c r="J187" s="95">
        <f t="shared" si="22"/>
        <v>2.4424778761062</v>
      </c>
      <c r="K187" s="60">
        <f ca="1">H187*K164</f>
        <v>30.999998</v>
      </c>
      <c r="L187" s="92"/>
      <c r="M187" s="44"/>
      <c r="N187" s="82"/>
      <c r="O187" s="44"/>
      <c r="P187" s="44"/>
      <c r="Q187" s="44"/>
      <c r="R187" s="84"/>
      <c r="S187" s="47"/>
      <c r="T187" s="47"/>
    </row>
    <row r="188" s="27" customFormat="1" ht="18" customHeight="1" spans="1:20">
      <c r="A188" s="34"/>
      <c r="B188" s="48">
        <v>12</v>
      </c>
      <c r="C188" s="48"/>
      <c r="D188" s="88" t="s">
        <v>476</v>
      </c>
      <c r="E188" s="72" t="str">
        <f>+VLOOKUP(D188,'材料表 '!C:F,2,0)</f>
        <v>支</v>
      </c>
      <c r="F188" s="77">
        <f>+SUMIF($L$165:$L$202,D188,$R$165:$R$202)</f>
        <v>0.233967431170228</v>
      </c>
      <c r="G188" s="89">
        <f>+VLOOKUP(D188,'材料表 '!C:F,4,0)</f>
        <v>0.15</v>
      </c>
      <c r="H188" s="74">
        <f t="shared" si="23"/>
        <v>0.269062545845762</v>
      </c>
      <c r="I188" s="74">
        <f>+VLOOKUP(D188,'材料表 '!C:F,3,0)</f>
        <v>11.5044247787611</v>
      </c>
      <c r="J188" s="95">
        <f t="shared" si="22"/>
        <v>3.09540981946453</v>
      </c>
      <c r="K188" s="60">
        <f ca="1">H188*K164</f>
        <v>36.264949491711</v>
      </c>
      <c r="L188" s="92"/>
      <c r="M188" s="44"/>
      <c r="N188" s="44"/>
      <c r="O188" s="44"/>
      <c r="P188" s="44"/>
      <c r="Q188" s="44"/>
      <c r="R188" s="84"/>
      <c r="S188" s="47"/>
      <c r="T188" s="47"/>
    </row>
    <row r="189" s="27" customFormat="1" ht="18" customHeight="1" spans="1:20">
      <c r="A189" s="34"/>
      <c r="B189" s="48">
        <v>13</v>
      </c>
      <c r="C189" s="48"/>
      <c r="D189" s="88" t="s">
        <v>479</v>
      </c>
      <c r="E189" s="72" t="str">
        <f>+VLOOKUP(D189,'材料表 '!C:F,2,0)</f>
        <v>kg</v>
      </c>
      <c r="F189" s="77">
        <f>R169</f>
        <v>8.92307692307693</v>
      </c>
      <c r="G189" s="89">
        <f>+VLOOKUP(D189,'材料表 '!C:F,4,0)</f>
        <v>0.03</v>
      </c>
      <c r="H189" s="74">
        <f t="shared" si="23"/>
        <v>9.19076923076924</v>
      </c>
      <c r="I189" s="74">
        <f>+VLOOKUP(D189,'材料表 '!C:F,3,0)</f>
        <v>14.1592920353982</v>
      </c>
      <c r="J189" s="95">
        <f t="shared" si="22"/>
        <v>130.134785568414</v>
      </c>
      <c r="K189" s="60">
        <f ca="1">H189*K164</f>
        <v>1238.75577292308</v>
      </c>
      <c r="L189" s="92"/>
      <c r="M189" s="44"/>
      <c r="N189" s="44"/>
      <c r="O189" s="44"/>
      <c r="P189" s="44"/>
      <c r="Q189" s="44"/>
      <c r="R189" s="84"/>
      <c r="S189" s="47"/>
      <c r="T189" s="47"/>
    </row>
    <row r="190" s="27" customFormat="1" ht="18" customHeight="1" spans="1:20">
      <c r="A190" s="34"/>
      <c r="B190" s="48">
        <v>14</v>
      </c>
      <c r="C190" s="48"/>
      <c r="D190" s="88" t="s">
        <v>467</v>
      </c>
      <c r="E190" s="72" t="str">
        <f>+VLOOKUP(D190,'材料表 '!C:F,2,0)</f>
        <v>m2</v>
      </c>
      <c r="F190" s="77">
        <v>1</v>
      </c>
      <c r="G190" s="89">
        <f>+VLOOKUP(D190,'材料表 '!C:F,4,0)</f>
        <v>0.02</v>
      </c>
      <c r="H190" s="74">
        <f t="shared" si="23"/>
        <v>1.02</v>
      </c>
      <c r="I190" s="74">
        <f>+VLOOKUP(D190,'材料表 '!C:F,3,0)</f>
        <v>623.893805309735</v>
      </c>
      <c r="J190" s="95">
        <f t="shared" si="22"/>
        <v>636.37168141593</v>
      </c>
      <c r="K190" s="60">
        <f ca="1">H190*K164</f>
        <v>137.478252</v>
      </c>
      <c r="L190" s="92"/>
      <c r="M190" s="44"/>
      <c r="N190" s="44"/>
      <c r="O190" s="44"/>
      <c r="P190" s="44"/>
      <c r="Q190" s="44"/>
      <c r="R190" s="84"/>
      <c r="S190" s="47"/>
      <c r="T190" s="47"/>
    </row>
    <row r="191" s="27" customFormat="1" ht="18" customHeight="1" spans="1:20">
      <c r="A191" s="34"/>
      <c r="B191" s="48">
        <v>15</v>
      </c>
      <c r="C191" s="48"/>
      <c r="D191" s="88"/>
      <c r="E191" s="72"/>
      <c r="F191" s="77"/>
      <c r="G191" s="89"/>
      <c r="H191" s="74"/>
      <c r="I191" s="74"/>
      <c r="J191" s="95"/>
      <c r="K191" s="92"/>
      <c r="L191" s="92"/>
      <c r="M191" s="44"/>
      <c r="N191" s="44"/>
      <c r="O191" s="44"/>
      <c r="P191" s="44"/>
      <c r="Q191" s="44"/>
      <c r="R191" s="84"/>
      <c r="S191" s="47"/>
      <c r="T191" s="47"/>
    </row>
    <row r="192" s="27" customFormat="1" ht="18" customHeight="1" spans="1:20">
      <c r="A192" s="34"/>
      <c r="B192" s="48">
        <v>16</v>
      </c>
      <c r="C192" s="48"/>
      <c r="D192" s="88"/>
      <c r="E192" s="72"/>
      <c r="F192" s="77"/>
      <c r="G192" s="89"/>
      <c r="H192" s="74"/>
      <c r="I192" s="74"/>
      <c r="J192" s="95"/>
      <c r="K192" s="92"/>
      <c r="L192" s="92"/>
      <c r="M192" s="44"/>
      <c r="N192" s="44"/>
      <c r="O192" s="44"/>
      <c r="P192" s="44"/>
      <c r="Q192" s="44"/>
      <c r="R192" s="84"/>
      <c r="S192" s="47"/>
      <c r="T192" s="47"/>
    </row>
    <row r="193" s="27" customFormat="1" ht="18" customHeight="1" spans="1:20">
      <c r="A193" s="34"/>
      <c r="B193" s="48">
        <v>17</v>
      </c>
      <c r="C193" s="48"/>
      <c r="D193" s="121"/>
      <c r="E193" s="72"/>
      <c r="F193" s="77"/>
      <c r="G193" s="89"/>
      <c r="H193" s="74"/>
      <c r="I193" s="74"/>
      <c r="J193" s="95"/>
      <c r="K193" s="92"/>
      <c r="L193" s="92"/>
      <c r="M193" s="44"/>
      <c r="N193" s="44"/>
      <c r="O193" s="44"/>
      <c r="P193" s="44"/>
      <c r="Q193" s="101"/>
      <c r="R193" s="84"/>
      <c r="S193" s="47"/>
      <c r="T193" s="47"/>
    </row>
    <row r="194" s="27" customFormat="1" ht="18" customHeight="1" spans="1:20">
      <c r="A194" s="34"/>
      <c r="B194" s="48">
        <v>18</v>
      </c>
      <c r="C194" s="48"/>
      <c r="D194" s="88"/>
      <c r="E194" s="72"/>
      <c r="F194" s="77"/>
      <c r="G194" s="89"/>
      <c r="H194" s="74"/>
      <c r="I194" s="74"/>
      <c r="J194" s="95"/>
      <c r="K194" s="92"/>
      <c r="L194" s="92"/>
      <c r="M194" s="44"/>
      <c r="N194" s="44"/>
      <c r="O194" s="44"/>
      <c r="P194" s="44"/>
      <c r="Q194" s="44"/>
      <c r="R194" s="84"/>
      <c r="S194" s="47"/>
      <c r="T194" s="47"/>
    </row>
    <row r="195" s="27" customFormat="1" ht="18" customHeight="1" spans="1:20">
      <c r="A195" s="34"/>
      <c r="B195" s="48">
        <v>19</v>
      </c>
      <c r="C195" s="48"/>
      <c r="D195" s="27"/>
      <c r="E195" s="72"/>
      <c r="F195" s="77"/>
      <c r="G195" s="89"/>
      <c r="H195" s="74"/>
      <c r="I195" s="74"/>
      <c r="J195" s="95"/>
      <c r="K195" s="92"/>
      <c r="L195" s="92"/>
      <c r="M195" s="44"/>
      <c r="N195" s="44"/>
      <c r="O195" s="44"/>
      <c r="P195" s="44"/>
      <c r="Q195" s="44"/>
      <c r="R195" s="84"/>
      <c r="S195" s="47"/>
      <c r="T195" s="47"/>
    </row>
    <row r="196" s="27" customFormat="1" ht="18" customHeight="1" spans="1:20">
      <c r="A196" s="34"/>
      <c r="B196" s="48">
        <v>20</v>
      </c>
      <c r="C196" s="48"/>
      <c r="D196" s="88"/>
      <c r="E196" s="72"/>
      <c r="F196" s="77"/>
      <c r="G196" s="89"/>
      <c r="H196" s="74"/>
      <c r="I196" s="74"/>
      <c r="J196" s="95"/>
      <c r="K196" s="92"/>
      <c r="L196" s="92"/>
      <c r="M196" s="44"/>
      <c r="N196" s="44"/>
      <c r="O196" s="44"/>
      <c r="P196" s="44"/>
      <c r="Q196" s="44"/>
      <c r="R196" s="84"/>
      <c r="S196" s="47"/>
      <c r="T196" s="47"/>
    </row>
    <row r="197" s="27" customFormat="1" ht="18" customHeight="1" spans="1:20">
      <c r="A197" s="34"/>
      <c r="B197" s="48">
        <v>21</v>
      </c>
      <c r="C197" s="48"/>
      <c r="D197" s="88"/>
      <c r="E197" s="72"/>
      <c r="F197" s="77"/>
      <c r="G197" s="89"/>
      <c r="H197" s="74"/>
      <c r="I197" s="74"/>
      <c r="J197" s="95"/>
      <c r="K197" s="92"/>
      <c r="L197" s="92"/>
      <c r="M197" s="44"/>
      <c r="N197" s="44"/>
      <c r="O197" s="44"/>
      <c r="P197" s="44"/>
      <c r="Q197" s="44"/>
      <c r="R197" s="84"/>
      <c r="S197" s="47"/>
      <c r="T197" s="47"/>
    </row>
    <row r="198" s="27" customFormat="1" ht="18" customHeight="1" spans="1:20">
      <c r="A198" s="34"/>
      <c r="B198" s="48">
        <v>22</v>
      </c>
      <c r="C198" s="48"/>
      <c r="D198" s="27"/>
      <c r="E198" s="72"/>
      <c r="F198" s="77"/>
      <c r="G198" s="72"/>
      <c r="H198" s="74"/>
      <c r="I198" s="74"/>
      <c r="J198" s="95"/>
      <c r="K198" s="92"/>
      <c r="L198" s="92"/>
      <c r="M198" s="44"/>
      <c r="N198" s="44"/>
      <c r="O198" s="44"/>
      <c r="P198" s="44"/>
      <c r="Q198" s="44"/>
      <c r="R198" s="62"/>
      <c r="S198" s="47"/>
      <c r="T198" s="47"/>
    </row>
    <row r="199" s="27" customFormat="1" ht="18" customHeight="1" spans="1:20">
      <c r="A199" s="34"/>
      <c r="B199" s="48">
        <v>23</v>
      </c>
      <c r="C199" s="48"/>
      <c r="D199" s="88"/>
      <c r="E199" s="72"/>
      <c r="F199" s="77"/>
      <c r="G199" s="89"/>
      <c r="H199" s="74"/>
      <c r="I199" s="74"/>
      <c r="J199" s="95"/>
      <c r="K199" s="92"/>
      <c r="L199" s="92"/>
      <c r="M199" s="44"/>
      <c r="N199" s="44"/>
      <c r="O199" s="44"/>
      <c r="P199" s="44"/>
      <c r="Q199" s="44"/>
      <c r="R199" s="62"/>
      <c r="S199" s="47"/>
      <c r="T199" s="47"/>
    </row>
    <row r="200" s="27" customFormat="1" ht="18" customHeight="1" spans="1:20">
      <c r="A200" s="34"/>
      <c r="B200" s="48">
        <v>24</v>
      </c>
      <c r="C200" s="48"/>
      <c r="D200" s="88" t="s">
        <v>478</v>
      </c>
      <c r="E200" s="72" t="s">
        <v>43</v>
      </c>
      <c r="F200" s="77"/>
      <c r="G200" s="72">
        <v>1</v>
      </c>
      <c r="H200" s="74">
        <v>1</v>
      </c>
      <c r="I200" s="74">
        <f>+辅材及安装费!$E$8</f>
        <v>10</v>
      </c>
      <c r="J200" s="95">
        <f t="shared" ref="J199:J202" si="25">H200*I200</f>
        <v>10</v>
      </c>
      <c r="K200" s="92"/>
      <c r="L200" s="92"/>
      <c r="M200" s="44"/>
      <c r="N200" s="44"/>
      <c r="O200" s="44"/>
      <c r="P200" s="44"/>
      <c r="Q200" s="44"/>
      <c r="R200" s="62"/>
      <c r="S200" s="47"/>
      <c r="T200" s="47"/>
    </row>
    <row r="201" s="27" customFormat="1" ht="18" customHeight="1" spans="1:20">
      <c r="A201" s="34"/>
      <c r="B201" s="48">
        <v>25</v>
      </c>
      <c r="C201" s="48"/>
      <c r="D201" s="93" t="s">
        <v>442</v>
      </c>
      <c r="E201" s="72"/>
      <c r="F201" s="77"/>
      <c r="G201" s="72"/>
      <c r="H201" s="74"/>
      <c r="I201" s="74"/>
      <c r="J201" s="95">
        <f>SUM(J178:J200)</f>
        <v>954.845255404445</v>
      </c>
      <c r="K201" s="92"/>
      <c r="L201" s="94"/>
      <c r="M201" s="27"/>
      <c r="N201" s="83"/>
      <c r="O201" s="83"/>
      <c r="P201" s="83"/>
      <c r="Q201" s="83"/>
      <c r="R201" s="87"/>
      <c r="S201" s="47"/>
      <c r="T201" s="47"/>
    </row>
    <row r="202" s="27" customFormat="1" ht="18" customHeight="1" spans="1:20">
      <c r="A202" s="34"/>
      <c r="B202" s="48">
        <v>1</v>
      </c>
      <c r="C202" s="48" t="s">
        <v>443</v>
      </c>
      <c r="D202" s="48" t="s">
        <v>444</v>
      </c>
      <c r="E202" s="72" t="s">
        <v>43</v>
      </c>
      <c r="F202" s="50"/>
      <c r="G202" s="48"/>
      <c r="H202" s="51">
        <v>1</v>
      </c>
      <c r="I202" s="74">
        <f>+辅材及安装费!$F$8</f>
        <v>5</v>
      </c>
      <c r="J202" s="95">
        <f t="shared" si="25"/>
        <v>5</v>
      </c>
      <c r="K202" s="118"/>
      <c r="L202" s="96"/>
      <c r="M202" s="97"/>
      <c r="N202" s="98"/>
      <c r="O202" s="98"/>
      <c r="P202" s="98"/>
      <c r="Q202" s="98"/>
      <c r="R202" s="99"/>
      <c r="S202" s="47"/>
      <c r="T202" s="47"/>
    </row>
    <row r="203" s="26" customFormat="1" ht="30" customHeight="1" spans="1:20">
      <c r="A203" s="28"/>
      <c r="B203" s="29" t="s">
        <v>386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30"/>
      <c r="M203" s="31"/>
      <c r="N203" s="31"/>
      <c r="O203" s="31"/>
      <c r="P203" s="31"/>
      <c r="Q203" s="31"/>
      <c r="R203" s="32"/>
      <c r="S203" s="33"/>
      <c r="T203" s="33"/>
    </row>
    <row r="204" s="27" customFormat="1" ht="33.75" customHeight="1" spans="1:20">
      <c r="A204" s="34">
        <v>4</v>
      </c>
      <c r="B204" s="35" t="s">
        <v>1</v>
      </c>
      <c r="C204" s="35" t="s">
        <v>387</v>
      </c>
      <c r="D204" s="36" t="str">
        <f>+A212</f>
        <v>25㎜葡萄牙米黄石材（圆弧）</v>
      </c>
      <c r="E204" s="37"/>
      <c r="F204" s="38" t="s">
        <v>99</v>
      </c>
      <c r="G204" s="39"/>
      <c r="H204" s="35" t="s">
        <v>388</v>
      </c>
      <c r="I204" s="40" t="s">
        <v>389</v>
      </c>
      <c r="J204" s="41" t="s">
        <v>37</v>
      </c>
      <c r="K204" s="42">
        <f ca="1">VLOOKUP(A204,排屋工程量清单!$A$49:$D$57,4,)</f>
        <v>26.95652</v>
      </c>
      <c r="L204" s="43"/>
      <c r="M204" s="44"/>
      <c r="N204" s="44"/>
      <c r="O204" s="44"/>
      <c r="P204" s="45"/>
      <c r="Q204" s="44"/>
      <c r="R204" s="46"/>
      <c r="S204" s="47"/>
      <c r="T204" s="47"/>
    </row>
    <row r="205" s="27" customFormat="1" ht="18" customHeight="1" spans="1:20">
      <c r="A205" s="34"/>
      <c r="B205" s="48">
        <v>1</v>
      </c>
      <c r="C205" s="49" t="s">
        <v>390</v>
      </c>
      <c r="D205" s="48" t="s">
        <v>391</v>
      </c>
      <c r="E205" s="48"/>
      <c r="F205" s="50"/>
      <c r="G205" s="48"/>
      <c r="H205" s="51"/>
      <c r="I205" s="52">
        <f>J217</f>
        <v>210</v>
      </c>
      <c r="J205" s="53" t="s">
        <v>392</v>
      </c>
      <c r="K205" s="54"/>
      <c r="L205" s="55" t="s">
        <v>480</v>
      </c>
      <c r="M205" s="56" t="s">
        <v>481</v>
      </c>
      <c r="N205" s="57"/>
      <c r="O205" s="57">
        <v>4.84</v>
      </c>
      <c r="P205" s="57">
        <f>3.13+0.25</f>
        <v>3.38</v>
      </c>
      <c r="Q205" s="57">
        <v>1</v>
      </c>
      <c r="R205" s="58">
        <f>+Q205*P205*O205</f>
        <v>16.3592</v>
      </c>
      <c r="S205" s="47"/>
      <c r="T205" s="47"/>
    </row>
    <row r="206" s="27" customFormat="1" ht="18" customHeight="1" spans="1:20">
      <c r="A206" s="34"/>
      <c r="B206" s="48">
        <v>2</v>
      </c>
      <c r="C206" s="59"/>
      <c r="D206" s="48" t="s">
        <v>394</v>
      </c>
      <c r="E206" s="48"/>
      <c r="F206" s="50"/>
      <c r="G206" s="48"/>
      <c r="H206" s="51"/>
      <c r="I206" s="52">
        <f>J241</f>
        <v>1749.18153859029</v>
      </c>
      <c r="J206" s="53" t="s">
        <v>392</v>
      </c>
      <c r="K206" s="60"/>
      <c r="L206" s="61" t="s">
        <v>99</v>
      </c>
      <c r="M206" s="44"/>
      <c r="N206" s="44"/>
      <c r="O206" s="44"/>
      <c r="P206" s="44"/>
      <c r="Q206" s="44"/>
      <c r="R206" s="62"/>
      <c r="S206" s="47"/>
      <c r="T206" s="47"/>
    </row>
    <row r="207" s="27" customFormat="1" ht="18" customHeight="1" spans="1:20">
      <c r="A207" s="34"/>
      <c r="B207" s="48">
        <v>3</v>
      </c>
      <c r="C207" s="63"/>
      <c r="D207" s="48" t="s">
        <v>395</v>
      </c>
      <c r="E207" s="48"/>
      <c r="F207" s="50"/>
      <c r="G207" s="48"/>
      <c r="H207" s="51"/>
      <c r="I207" s="52">
        <f>J242</f>
        <v>5</v>
      </c>
      <c r="J207" s="53" t="s">
        <v>392</v>
      </c>
      <c r="K207" s="60"/>
      <c r="L207" s="60"/>
      <c r="M207" s="64" t="s">
        <v>396</v>
      </c>
      <c r="N207" s="65" t="s">
        <v>397</v>
      </c>
      <c r="O207" s="65" t="s">
        <v>398</v>
      </c>
      <c r="P207" s="65" t="s">
        <v>399</v>
      </c>
      <c r="Q207" s="65" t="s">
        <v>400</v>
      </c>
      <c r="R207" s="66" t="s">
        <v>401</v>
      </c>
      <c r="S207" s="47"/>
      <c r="T207" s="47"/>
    </row>
    <row r="208" s="27" customFormat="1" ht="18" customHeight="1" spans="1:20">
      <c r="A208" s="34"/>
      <c r="B208" s="48">
        <v>4</v>
      </c>
      <c r="C208" s="48" t="s">
        <v>402</v>
      </c>
      <c r="D208" s="67" t="s">
        <v>403</v>
      </c>
      <c r="E208" s="67"/>
      <c r="F208" s="50"/>
      <c r="G208" s="67"/>
      <c r="H208" s="68"/>
      <c r="I208" s="52">
        <f>SUM(I205:I207)</f>
        <v>1964.18153859029</v>
      </c>
      <c r="J208" s="53" t="s">
        <v>392</v>
      </c>
      <c r="K208" s="60"/>
      <c r="L208" s="69" t="s">
        <v>431</v>
      </c>
      <c r="M208" s="34" t="s">
        <v>460</v>
      </c>
      <c r="N208" s="102">
        <v>10.21</v>
      </c>
      <c r="O208" s="34">
        <v>3.15</v>
      </c>
      <c r="P208" s="34">
        <v>7</v>
      </c>
      <c r="Q208" s="44">
        <f t="shared" ref="Q208:Q212" si="26">+P208*O208*N208</f>
        <v>225.1305</v>
      </c>
      <c r="R208" s="71">
        <f>+Q208/R205</f>
        <v>13.7617059513913</v>
      </c>
      <c r="S208" s="47"/>
      <c r="T208" s="47"/>
    </row>
    <row r="209" s="27" customFormat="1" ht="28" customHeight="1" spans="1:20">
      <c r="A209" s="34"/>
      <c r="B209" s="48">
        <v>5</v>
      </c>
      <c r="C209" s="72" t="s">
        <v>406</v>
      </c>
      <c r="D209" s="48" t="s">
        <v>407</v>
      </c>
      <c r="E209" s="48"/>
      <c r="F209" s="50"/>
      <c r="G209" s="48"/>
      <c r="H209" s="73">
        <f>+'材料表 '!$E$178</f>
        <v>0</v>
      </c>
      <c r="I209" s="52">
        <f>H209*I208</f>
        <v>0</v>
      </c>
      <c r="J209" s="53" t="s">
        <v>392</v>
      </c>
      <c r="K209" s="60"/>
      <c r="L209" s="69" t="s">
        <v>461</v>
      </c>
      <c r="M209" s="34" t="s">
        <v>462</v>
      </c>
      <c r="N209" s="34">
        <v>3.77</v>
      </c>
      <c r="O209" s="34">
        <f>+O205</f>
        <v>4.84</v>
      </c>
      <c r="P209" s="34">
        <f>3*2+1+1</f>
        <v>8</v>
      </c>
      <c r="Q209" s="44">
        <f t="shared" si="26"/>
        <v>145.9744</v>
      </c>
      <c r="R209" s="71">
        <f>+Q209/R205</f>
        <v>8.92307692307693</v>
      </c>
      <c r="S209" s="47"/>
      <c r="T209" s="47"/>
    </row>
    <row r="210" s="27" customFormat="1" ht="18" customHeight="1" spans="1:20">
      <c r="A210" s="34"/>
      <c r="B210" s="48">
        <v>6</v>
      </c>
      <c r="C210" s="48" t="s">
        <v>409</v>
      </c>
      <c r="D210" s="48" t="s">
        <v>410</v>
      </c>
      <c r="E210" s="48"/>
      <c r="F210" s="50"/>
      <c r="G210" s="48"/>
      <c r="H210" s="73">
        <f>+'材料表 '!$E$179</f>
        <v>0</v>
      </c>
      <c r="I210" s="52">
        <f>H210*I208</f>
        <v>0</v>
      </c>
      <c r="J210" s="53" t="s">
        <v>392</v>
      </c>
      <c r="K210" s="60"/>
      <c r="L210" s="69" t="s">
        <v>463</v>
      </c>
      <c r="M210" s="34" t="s">
        <v>464</v>
      </c>
      <c r="N210" s="34">
        <f>0.15*0.2*7.85*10</f>
        <v>2.355</v>
      </c>
      <c r="O210" s="34">
        <f>1</f>
        <v>1</v>
      </c>
      <c r="P210" s="34">
        <f>+P208</f>
        <v>7</v>
      </c>
      <c r="Q210" s="44">
        <f t="shared" si="26"/>
        <v>16.485</v>
      </c>
      <c r="R210" s="71">
        <f>+Q210/R205</f>
        <v>1.00768986258497</v>
      </c>
      <c r="S210" s="47"/>
      <c r="T210" s="47"/>
    </row>
    <row r="211" s="27" customFormat="1" ht="18" customHeight="1" spans="1:20">
      <c r="A211" s="34"/>
      <c r="B211" s="48">
        <v>7</v>
      </c>
      <c r="C211" s="48" t="s">
        <v>412</v>
      </c>
      <c r="D211" s="72" t="s">
        <v>413</v>
      </c>
      <c r="E211" s="72"/>
      <c r="F211" s="77"/>
      <c r="G211" s="72"/>
      <c r="H211" s="73">
        <f>+'材料表 '!$E$180</f>
        <v>0.09</v>
      </c>
      <c r="I211" s="52">
        <f>(I208+I209+I210)*H211</f>
        <v>176.776338473126</v>
      </c>
      <c r="J211" s="53" t="s">
        <v>392</v>
      </c>
      <c r="K211" s="60"/>
      <c r="L211" s="69" t="s">
        <v>465</v>
      </c>
      <c r="M211" s="34" t="s">
        <v>482</v>
      </c>
      <c r="N211" s="100">
        <f>3.77</f>
        <v>3.77</v>
      </c>
      <c r="O211" s="34">
        <v>0.265</v>
      </c>
      <c r="P211" s="34">
        <f>7*3</f>
        <v>21</v>
      </c>
      <c r="Q211" s="44">
        <f t="shared" si="26"/>
        <v>20.98005</v>
      </c>
      <c r="R211" s="71">
        <f>+Q211/R205</f>
        <v>1.28246185632549</v>
      </c>
      <c r="S211" s="47"/>
      <c r="T211" s="47"/>
    </row>
    <row r="212" s="27" customFormat="1" ht="18" customHeight="1" spans="1:20">
      <c r="A212" s="105" t="s">
        <v>105</v>
      </c>
      <c r="B212" s="48">
        <v>8</v>
      </c>
      <c r="C212" s="48" t="s">
        <v>363</v>
      </c>
      <c r="D212" s="106" t="s">
        <v>415</v>
      </c>
      <c r="E212" s="107"/>
      <c r="F212" s="108"/>
      <c r="G212" s="107"/>
      <c r="H212" s="51"/>
      <c r="I212" s="74">
        <f>SUM(I208:I211)</f>
        <v>2140.95787706341</v>
      </c>
      <c r="J212" s="53" t="s">
        <v>416</v>
      </c>
      <c r="K212" s="60"/>
      <c r="L212" s="69" t="s">
        <v>465</v>
      </c>
      <c r="M212" s="44"/>
      <c r="N212" s="126">
        <v>5.778</v>
      </c>
      <c r="O212" s="44">
        <v>0.1</v>
      </c>
      <c r="P212" s="44">
        <f>+P208*2</f>
        <v>14</v>
      </c>
      <c r="Q212" s="44">
        <f t="shared" si="26"/>
        <v>8.0892</v>
      </c>
      <c r="R212" s="84">
        <f>+Q212/R205</f>
        <v>0.49447405741112</v>
      </c>
      <c r="S212" s="79"/>
      <c r="T212" s="47"/>
    </row>
    <row r="213" s="27" customFormat="1" ht="18" customHeight="1" spans="1:20">
      <c r="A213" s="34"/>
      <c r="B213" s="109" t="s">
        <v>418</v>
      </c>
      <c r="C213" s="110"/>
      <c r="D213" s="110"/>
      <c r="E213" s="110"/>
      <c r="F213" s="110"/>
      <c r="G213" s="110"/>
      <c r="H213" s="110"/>
      <c r="I213" s="110"/>
      <c r="J213" s="110"/>
      <c r="K213" s="80"/>
      <c r="L213" s="90" t="s">
        <v>469</v>
      </c>
      <c r="M213" s="44"/>
      <c r="N213" s="82"/>
      <c r="O213" s="44">
        <f>30*4+20</f>
        <v>140</v>
      </c>
      <c r="P213" s="44">
        <v>1</v>
      </c>
      <c r="Q213" s="44">
        <f>+P213*O213</f>
        <v>140</v>
      </c>
      <c r="R213" s="84">
        <f>+Q213/R205</f>
        <v>8.55787569074282</v>
      </c>
      <c r="S213" s="47"/>
      <c r="T213" s="47"/>
    </row>
    <row r="214" s="27" customFormat="1" ht="18" customHeight="1" spans="1:20">
      <c r="A214" s="34"/>
      <c r="B214" s="48">
        <v>1</v>
      </c>
      <c r="C214" s="48" t="s">
        <v>391</v>
      </c>
      <c r="D214" s="48" t="s">
        <v>396</v>
      </c>
      <c r="E214" s="48" t="s">
        <v>37</v>
      </c>
      <c r="F214" s="50"/>
      <c r="G214" s="48"/>
      <c r="H214" s="51" t="s">
        <v>399</v>
      </c>
      <c r="I214" s="51" t="s">
        <v>420</v>
      </c>
      <c r="J214" s="95" t="s">
        <v>421</v>
      </c>
      <c r="K214" s="92"/>
      <c r="L214" s="90"/>
      <c r="M214" s="44"/>
      <c r="N214" s="82"/>
      <c r="O214" s="44"/>
      <c r="P214" s="44"/>
      <c r="Q214" s="44"/>
      <c r="R214" s="84"/>
      <c r="S214" s="47"/>
      <c r="T214" s="47"/>
    </row>
    <row r="215" s="27" customFormat="1" ht="18" customHeight="1" spans="1:20">
      <c r="A215" s="34"/>
      <c r="B215" s="48">
        <v>2</v>
      </c>
      <c r="C215" s="48"/>
      <c r="D215" s="111" t="s">
        <v>470</v>
      </c>
      <c r="E215" s="49" t="s">
        <v>423</v>
      </c>
      <c r="F215" s="112"/>
      <c r="G215" s="111"/>
      <c r="H215" s="113">
        <v>1</v>
      </c>
      <c r="I215" s="113">
        <f>+辅材及安装费!$G$8</f>
        <v>210</v>
      </c>
      <c r="J215" s="114">
        <f t="shared" ref="J215:J230" si="27">H215*I215</f>
        <v>210</v>
      </c>
      <c r="K215" s="92"/>
      <c r="L215" s="90" t="s">
        <v>471</v>
      </c>
      <c r="M215" s="44"/>
      <c r="N215" s="82"/>
      <c r="O215" s="44"/>
      <c r="P215" s="44"/>
      <c r="Q215" s="44">
        <f>+Q213</f>
        <v>140</v>
      </c>
      <c r="R215" s="84">
        <f>+Q215/R205</f>
        <v>8.55787569074282</v>
      </c>
      <c r="S215" s="47"/>
      <c r="T215" s="47"/>
    </row>
    <row r="216" s="27" customFormat="1" ht="18" customHeight="1" spans="1:20">
      <c r="A216" s="34"/>
      <c r="B216" s="48">
        <v>3</v>
      </c>
      <c r="C216" s="48"/>
      <c r="D216" s="115"/>
      <c r="E216" s="63"/>
      <c r="F216" s="116"/>
      <c r="G216" s="115"/>
      <c r="H216" s="117"/>
      <c r="I216" s="117"/>
      <c r="J216" s="118"/>
      <c r="K216" s="92"/>
      <c r="L216" s="90" t="s">
        <v>472</v>
      </c>
      <c r="M216" s="44"/>
      <c r="N216" s="82"/>
      <c r="O216" s="44"/>
      <c r="P216" s="44">
        <f>O210*P210*2</f>
        <v>14</v>
      </c>
      <c r="Q216" s="44">
        <f>+P216</f>
        <v>14</v>
      </c>
      <c r="R216" s="84">
        <f>+Q216/R205</f>
        <v>0.855787569074282</v>
      </c>
      <c r="S216" s="47"/>
      <c r="T216" s="47"/>
    </row>
    <row r="217" s="27" customFormat="1" ht="18" customHeight="1" spans="1:20">
      <c r="A217" s="34"/>
      <c r="B217" s="48">
        <v>4</v>
      </c>
      <c r="C217" s="48"/>
      <c r="D217" s="85" t="s">
        <v>426</v>
      </c>
      <c r="E217" s="48" t="s">
        <v>392</v>
      </c>
      <c r="F217" s="50"/>
      <c r="G217" s="48"/>
      <c r="H217" s="86"/>
      <c r="I217" s="86"/>
      <c r="J217" s="95">
        <f>SUM(J215:J215)</f>
        <v>210</v>
      </c>
      <c r="K217" s="92"/>
      <c r="L217" s="90" t="s">
        <v>473</v>
      </c>
      <c r="M217" s="44"/>
      <c r="N217" s="82"/>
      <c r="O217" s="44"/>
      <c r="P217" s="44"/>
      <c r="Q217" s="44">
        <f>+(Q213)*3</f>
        <v>420</v>
      </c>
      <c r="R217" s="84">
        <f>+Q217/R205</f>
        <v>25.6736270722285</v>
      </c>
      <c r="S217" s="47"/>
      <c r="T217" s="47"/>
    </row>
    <row r="218" s="27" customFormat="1" ht="30" customHeight="1" spans="1:20">
      <c r="A218" s="34"/>
      <c r="B218" s="48">
        <v>1</v>
      </c>
      <c r="C218" s="48" t="s">
        <v>394</v>
      </c>
      <c r="D218" s="88" t="s">
        <v>431</v>
      </c>
      <c r="E218" s="72" t="str">
        <f>+VLOOKUP(D218,'材料表 '!C:F,2,0)</f>
        <v>kg</v>
      </c>
      <c r="F218" s="77">
        <f>+SUMIF($L$205:$L$242,D218,$R$205:$R$242)</f>
        <v>13.7617059513913</v>
      </c>
      <c r="G218" s="89">
        <f>+VLOOKUP(D218,'材料表 '!C:F,4,0)</f>
        <v>0.03</v>
      </c>
      <c r="H218" s="74">
        <f t="shared" ref="H218:H230" si="28">F218*(G218+1)</f>
        <v>14.174557129933</v>
      </c>
      <c r="I218" s="74">
        <f>+VLOOKUP(D218,'材料表 '!C:F,3,0)</f>
        <v>3.80530973451327</v>
      </c>
      <c r="J218" s="95">
        <f t="shared" si="27"/>
        <v>53.9385802289487</v>
      </c>
      <c r="K218" s="60">
        <f ca="1">H218*K204</f>
        <v>382.096732764182</v>
      </c>
      <c r="L218" s="90"/>
      <c r="M218" s="44"/>
      <c r="N218" s="82"/>
      <c r="O218" s="44"/>
      <c r="P218" s="44"/>
      <c r="Q218" s="44"/>
      <c r="R218" s="84"/>
      <c r="S218" s="47"/>
      <c r="T218" s="47"/>
    </row>
    <row r="219" s="27" customFormat="1" ht="18" customHeight="1" spans="1:20">
      <c r="A219" s="34"/>
      <c r="B219" s="48">
        <v>2</v>
      </c>
      <c r="C219" s="48"/>
      <c r="D219" s="88" t="s">
        <v>461</v>
      </c>
      <c r="E219" s="72" t="str">
        <f>+VLOOKUP(D219,'材料表 '!C:F,2,0)</f>
        <v>kg</v>
      </c>
      <c r="F219" s="77">
        <f t="shared" ref="F219:F228" si="29">+SUMIF($L$205:$L$242,D219,$R$205:$R$242)</f>
        <v>8.92307692307693</v>
      </c>
      <c r="G219" s="89">
        <f>+VLOOKUP(D219,'材料表 '!C:F,4,0)</f>
        <v>0.03</v>
      </c>
      <c r="H219" s="74">
        <f t="shared" si="28"/>
        <v>9.19076923076924</v>
      </c>
      <c r="I219" s="74">
        <f>+VLOOKUP(D219,'材料表 '!C:F,3,0)</f>
        <v>3.53982300884956</v>
      </c>
      <c r="J219" s="95">
        <f t="shared" si="27"/>
        <v>32.5336963921035</v>
      </c>
      <c r="K219" s="60">
        <f ca="1">H219*K204</f>
        <v>247.751154584616</v>
      </c>
      <c r="L219" s="90"/>
      <c r="M219" s="44"/>
      <c r="N219" s="82"/>
      <c r="O219" s="44"/>
      <c r="P219" s="44"/>
      <c r="Q219" s="44"/>
      <c r="R219" s="84"/>
      <c r="S219" s="47"/>
      <c r="T219" s="47"/>
    </row>
    <row r="220" s="27" customFormat="1" ht="18" customHeight="1" spans="1:20">
      <c r="A220" s="34"/>
      <c r="B220" s="48">
        <v>3</v>
      </c>
      <c r="C220" s="48"/>
      <c r="D220" s="88" t="s">
        <v>465</v>
      </c>
      <c r="E220" s="72" t="str">
        <f>+VLOOKUP(D220,'材料表 '!C:F,2,0)</f>
        <v>kg</v>
      </c>
      <c r="F220" s="77">
        <f t="shared" si="29"/>
        <v>1.77693591373661</v>
      </c>
      <c r="G220" s="89">
        <f>+VLOOKUP(D220,'材料表 '!C:F,4,0)</f>
        <v>0.03</v>
      </c>
      <c r="H220" s="74">
        <f t="shared" si="28"/>
        <v>1.83024399114871</v>
      </c>
      <c r="I220" s="74">
        <f>+VLOOKUP(D220,'材料表 '!C:F,3,0)</f>
        <v>6.01769911504425</v>
      </c>
      <c r="J220" s="95">
        <f t="shared" si="27"/>
        <v>11.0138576458506</v>
      </c>
      <c r="K220" s="60">
        <f ca="1">H220*K204</f>
        <v>49.33700875228</v>
      </c>
      <c r="L220" s="90" t="s">
        <v>474</v>
      </c>
      <c r="M220" s="44"/>
      <c r="N220" s="82"/>
      <c r="O220" s="44"/>
      <c r="P220" s="44"/>
      <c r="Q220" s="44">
        <f>+O210*P210*4</f>
        <v>28</v>
      </c>
      <c r="R220" s="84">
        <f>+Q220/R205</f>
        <v>1.71157513814856</v>
      </c>
      <c r="S220" s="47"/>
      <c r="T220" s="47"/>
    </row>
    <row r="221" s="27" customFormat="1" ht="18" customHeight="1" spans="1:20">
      <c r="A221" s="34"/>
      <c r="B221" s="48">
        <v>4</v>
      </c>
      <c r="C221" s="48"/>
      <c r="D221" s="88" t="s">
        <v>463</v>
      </c>
      <c r="E221" s="72" t="str">
        <f>+VLOOKUP(D221,'材料表 '!C:F,2,0)</f>
        <v>kg</v>
      </c>
      <c r="F221" s="77">
        <f t="shared" si="29"/>
        <v>1.00768986258497</v>
      </c>
      <c r="G221" s="89">
        <f>+VLOOKUP(D221,'材料表 '!C:F,4,0)</f>
        <v>0.03</v>
      </c>
      <c r="H221" s="74">
        <f t="shared" si="28"/>
        <v>1.03792055846252</v>
      </c>
      <c r="I221" s="74">
        <f>+VLOOKUP(D221,'材料表 '!C:F,3,0)</f>
        <v>6.01769911504425</v>
      </c>
      <c r="J221" s="95">
        <f t="shared" si="27"/>
        <v>6.24589362614613</v>
      </c>
      <c r="K221" s="60">
        <f ca="1">H221*K204</f>
        <v>27.9787262926061</v>
      </c>
      <c r="L221" s="90" t="s">
        <v>475</v>
      </c>
      <c r="M221" s="44"/>
      <c r="N221" s="83"/>
      <c r="O221" s="82">
        <f>O205</f>
        <v>4.84</v>
      </c>
      <c r="P221" s="44">
        <f>0.371</f>
        <v>0.371</v>
      </c>
      <c r="Q221" s="44">
        <f>+P221*O221</f>
        <v>1.79564</v>
      </c>
      <c r="R221" s="84">
        <f>+Q221/R205</f>
        <v>0.109763313609467</v>
      </c>
      <c r="S221" s="47"/>
      <c r="T221" s="47"/>
    </row>
    <row r="222" s="27" customFormat="1" ht="18" customHeight="1" spans="1:20">
      <c r="A222" s="34"/>
      <c r="B222" s="48">
        <v>5</v>
      </c>
      <c r="C222" s="48"/>
      <c r="D222" s="88" t="s">
        <v>469</v>
      </c>
      <c r="E222" s="72" t="str">
        <f>+VLOOKUP(D222,'材料表 '!C:F,2,0)</f>
        <v>套</v>
      </c>
      <c r="F222" s="77">
        <f t="shared" si="29"/>
        <v>8.55787569074282</v>
      </c>
      <c r="G222" s="89">
        <f>+VLOOKUP(D222,'材料表 '!C:F,4,0)</f>
        <v>0</v>
      </c>
      <c r="H222" s="74">
        <f t="shared" si="28"/>
        <v>8.55787569074282</v>
      </c>
      <c r="I222" s="74">
        <f>+VLOOKUP(D222,'材料表 '!C:F,3,0)</f>
        <v>5.30973451327434</v>
      </c>
      <c r="J222" s="95">
        <f t="shared" si="27"/>
        <v>45.4400479154486</v>
      </c>
      <c r="K222" s="60">
        <f ca="1">H222*K204</f>
        <v>230.690547215023</v>
      </c>
      <c r="L222" s="92" t="s">
        <v>476</v>
      </c>
      <c r="M222" s="44"/>
      <c r="N222" s="82"/>
      <c r="O222" s="44"/>
      <c r="P222" s="44"/>
      <c r="Q222" s="44">
        <f>6*6*(O205*4+P205*10)/500</f>
        <v>3.82752</v>
      </c>
      <c r="R222" s="84">
        <f>+Q222/R205</f>
        <v>0.233967431170228</v>
      </c>
      <c r="S222" s="47"/>
      <c r="T222" s="47"/>
    </row>
    <row r="223" s="27" customFormat="1" ht="18" customHeight="1" spans="1:20">
      <c r="A223" s="34"/>
      <c r="B223" s="48">
        <v>7</v>
      </c>
      <c r="C223" s="48"/>
      <c r="D223" s="88" t="s">
        <v>471</v>
      </c>
      <c r="E223" s="72" t="str">
        <f>+VLOOKUP(D223,'材料表 '!C:F,2,0)</f>
        <v>套</v>
      </c>
      <c r="F223" s="77">
        <f t="shared" si="29"/>
        <v>8.55787569074282</v>
      </c>
      <c r="G223" s="89">
        <f>+VLOOKUP(D223,'材料表 '!C:F,4,0)</f>
        <v>0</v>
      </c>
      <c r="H223" s="74">
        <f t="shared" si="28"/>
        <v>8.55787569074282</v>
      </c>
      <c r="I223" s="74">
        <f>+VLOOKUP(D223,'材料表 '!C:F,3,0)</f>
        <v>1.32743362831858</v>
      </c>
      <c r="J223" s="95">
        <f t="shared" si="27"/>
        <v>11.3600119788621</v>
      </c>
      <c r="K223" s="60">
        <f ca="1">H223*K204</f>
        <v>230.690547215023</v>
      </c>
      <c r="L223" s="92"/>
      <c r="M223" s="44"/>
      <c r="N223" s="82"/>
      <c r="O223" s="44"/>
      <c r="P223" s="44"/>
      <c r="Q223" s="44"/>
      <c r="R223" s="84">
        <f>+Q223/R205</f>
        <v>0</v>
      </c>
      <c r="S223" s="47"/>
      <c r="T223" s="47"/>
    </row>
    <row r="224" s="27" customFormat="1" ht="18" customHeight="1" spans="1:20">
      <c r="A224" s="34"/>
      <c r="B224" s="48">
        <v>8</v>
      </c>
      <c r="C224" s="48"/>
      <c r="D224" s="88" t="s">
        <v>472</v>
      </c>
      <c r="E224" s="72" t="str">
        <f>+VLOOKUP(D224,'材料表 '!C:F,2,0)</f>
        <v>套</v>
      </c>
      <c r="F224" s="77">
        <f t="shared" si="29"/>
        <v>0.855787569074282</v>
      </c>
      <c r="G224" s="89">
        <f>+VLOOKUP(D224,'材料表 '!C:F,4,0)</f>
        <v>0</v>
      </c>
      <c r="H224" s="74">
        <f t="shared" si="28"/>
        <v>0.855787569074282</v>
      </c>
      <c r="I224" s="74">
        <f>+VLOOKUP(D224,'材料表 '!C:F,3,0)</f>
        <v>2.47787610619469</v>
      </c>
      <c r="J224" s="95">
        <f t="shared" si="27"/>
        <v>2.1205355693876</v>
      </c>
      <c r="K224" s="60">
        <f ca="1">H224*K204</f>
        <v>23.0690547215023</v>
      </c>
      <c r="L224" s="92"/>
      <c r="M224" s="44"/>
      <c r="N224" s="82"/>
      <c r="O224" s="44"/>
      <c r="P224" s="44"/>
      <c r="Q224" s="44"/>
      <c r="R224" s="84"/>
      <c r="S224" s="47"/>
      <c r="T224" s="47"/>
    </row>
    <row r="225" s="27" customFormat="1" ht="18" customHeight="1" spans="1:20">
      <c r="A225" s="34"/>
      <c r="B225" s="48">
        <v>9</v>
      </c>
      <c r="C225" s="48"/>
      <c r="D225" s="88" t="s">
        <v>473</v>
      </c>
      <c r="E225" s="72" t="str">
        <f>+VLOOKUP(D225,'材料表 '!C:F,2,0)</f>
        <v>套</v>
      </c>
      <c r="F225" s="77">
        <f t="shared" si="29"/>
        <v>25.6736270722285</v>
      </c>
      <c r="G225" s="89">
        <f>+VLOOKUP(D225,'材料表 '!C:F,4,0)</f>
        <v>0</v>
      </c>
      <c r="H225" s="74">
        <f t="shared" si="28"/>
        <v>25.6736270722285</v>
      </c>
      <c r="I225" s="74">
        <f>+VLOOKUP(D225,'材料表 '!C:F,3,0)</f>
        <v>0.247787610619469</v>
      </c>
      <c r="J225" s="95">
        <f t="shared" si="27"/>
        <v>6.36160670816281</v>
      </c>
      <c r="K225" s="60">
        <f ca="1">H225*K204</f>
        <v>692.071641645069</v>
      </c>
      <c r="L225" s="90"/>
      <c r="M225" s="44"/>
      <c r="N225" s="82"/>
      <c r="O225" s="34"/>
      <c r="P225" s="44"/>
      <c r="Q225" s="44"/>
      <c r="R225" s="119"/>
      <c r="S225" s="47"/>
      <c r="T225" s="47"/>
    </row>
    <row r="226" s="27" customFormat="1" ht="18" customHeight="1" spans="1:20">
      <c r="A226" s="34"/>
      <c r="B226" s="48">
        <v>10</v>
      </c>
      <c r="C226" s="48"/>
      <c r="D226" s="88" t="s">
        <v>474</v>
      </c>
      <c r="E226" s="72" t="str">
        <f>+VLOOKUP(D226,'材料表 '!C:F,2,0)</f>
        <v>套</v>
      </c>
      <c r="F226" s="77">
        <f t="shared" si="29"/>
        <v>1.71157513814856</v>
      </c>
      <c r="G226" s="89">
        <f>+VLOOKUP(D226,'材料表 '!C:F,4,0)</f>
        <v>0</v>
      </c>
      <c r="H226" s="74">
        <f t="shared" si="28"/>
        <v>1.71157513814856</v>
      </c>
      <c r="I226" s="74">
        <f>+VLOOKUP(D226,'材料表 '!C:F,3,0)</f>
        <v>2.21238938053097</v>
      </c>
      <c r="J226" s="95">
        <f t="shared" si="27"/>
        <v>3.7866706596207</v>
      </c>
      <c r="K226" s="60">
        <f ca="1">H226*K204</f>
        <v>46.1381094430044</v>
      </c>
      <c r="L226" s="92"/>
      <c r="M226" s="120"/>
      <c r="N226" s="82"/>
      <c r="O226" s="44"/>
      <c r="P226" s="44"/>
      <c r="Q226" s="44"/>
      <c r="R226" s="84"/>
      <c r="S226" s="47"/>
      <c r="T226" s="47"/>
    </row>
    <row r="227" s="27" customFormat="1" ht="18" customHeight="1" spans="1:20">
      <c r="A227" s="34"/>
      <c r="B227" s="48">
        <v>11</v>
      </c>
      <c r="C227" s="48"/>
      <c r="D227" s="88" t="s">
        <v>477</v>
      </c>
      <c r="E227" s="72" t="str">
        <f>+VLOOKUP(D227,'材料表 '!C:F,2,0)</f>
        <v>kg</v>
      </c>
      <c r="F227" s="77">
        <v>0.2</v>
      </c>
      <c r="G227" s="89">
        <f>+VLOOKUP(D227,'材料表 '!C:F,4,0)</f>
        <v>0.15</v>
      </c>
      <c r="H227" s="74">
        <f t="shared" si="28"/>
        <v>0.23</v>
      </c>
      <c r="I227" s="74">
        <f>+VLOOKUP(D227,'材料表 '!C:F,3,0)</f>
        <v>10.6194690265487</v>
      </c>
      <c r="J227" s="95">
        <f t="shared" si="27"/>
        <v>2.4424778761062</v>
      </c>
      <c r="K227" s="60">
        <f ca="1">H227*K204</f>
        <v>6.1999996</v>
      </c>
      <c r="L227" s="92"/>
      <c r="M227" s="44"/>
      <c r="N227" s="82"/>
      <c r="O227" s="44"/>
      <c r="P227" s="44"/>
      <c r="Q227" s="44"/>
      <c r="R227" s="84"/>
      <c r="S227" s="47"/>
      <c r="T227" s="47"/>
    </row>
    <row r="228" s="27" customFormat="1" ht="18" customHeight="1" spans="1:20">
      <c r="A228" s="34"/>
      <c r="B228" s="48">
        <v>12</v>
      </c>
      <c r="C228" s="48"/>
      <c r="D228" s="88" t="s">
        <v>476</v>
      </c>
      <c r="E228" s="72" t="str">
        <f>+VLOOKUP(D228,'材料表 '!C:F,2,0)</f>
        <v>支</v>
      </c>
      <c r="F228" s="77">
        <f t="shared" si="29"/>
        <v>0.233967431170228</v>
      </c>
      <c r="G228" s="89">
        <f>+VLOOKUP(D228,'材料表 '!C:F,4,0)</f>
        <v>0.15</v>
      </c>
      <c r="H228" s="74">
        <f t="shared" si="28"/>
        <v>0.269062545845762</v>
      </c>
      <c r="I228" s="74">
        <f>+VLOOKUP(D228,'材料表 '!C:F,3,0)</f>
        <v>11.5044247787611</v>
      </c>
      <c r="J228" s="95">
        <f t="shared" si="27"/>
        <v>3.09540981946453</v>
      </c>
      <c r="K228" s="60">
        <f ca="1">H228*K204</f>
        <v>7.2529898983422</v>
      </c>
      <c r="L228" s="92"/>
      <c r="M228" s="44"/>
      <c r="N228" s="44"/>
      <c r="O228" s="44"/>
      <c r="P228" s="44"/>
      <c r="Q228" s="44"/>
      <c r="R228" s="84"/>
      <c r="S228" s="47"/>
      <c r="T228" s="47"/>
    </row>
    <row r="229" s="27" customFormat="1" ht="18" customHeight="1" spans="1:20">
      <c r="A229" s="34"/>
      <c r="B229" s="48">
        <v>13</v>
      </c>
      <c r="C229" s="48"/>
      <c r="D229" s="88" t="s">
        <v>479</v>
      </c>
      <c r="E229" s="72" t="str">
        <f>+VLOOKUP(D229,'材料表 '!C:F,2,0)</f>
        <v>kg</v>
      </c>
      <c r="F229" s="77">
        <f>R209</f>
        <v>8.92307692307693</v>
      </c>
      <c r="G229" s="89">
        <f>+VLOOKUP(D229,'材料表 '!C:F,4,0)</f>
        <v>0.03</v>
      </c>
      <c r="H229" s="74">
        <f t="shared" si="28"/>
        <v>9.19076923076924</v>
      </c>
      <c r="I229" s="74">
        <f>+VLOOKUP(D229,'材料表 '!C:F,3,0)</f>
        <v>14.1592920353982</v>
      </c>
      <c r="J229" s="95">
        <f t="shared" si="27"/>
        <v>130.134785568414</v>
      </c>
      <c r="K229" s="60">
        <f ca="1">H229*K204</f>
        <v>247.751154584616</v>
      </c>
      <c r="L229" s="92"/>
      <c r="M229" s="44"/>
      <c r="N229" s="44"/>
      <c r="O229" s="44"/>
      <c r="P229" s="44"/>
      <c r="Q229" s="44"/>
      <c r="R229" s="84"/>
      <c r="S229" s="47"/>
      <c r="T229" s="47"/>
    </row>
    <row r="230" s="27" customFormat="1" ht="18" customHeight="1" spans="1:20">
      <c r="A230" s="34"/>
      <c r="B230" s="48">
        <v>14</v>
      </c>
      <c r="C230" s="48"/>
      <c r="D230" s="88" t="s">
        <v>102</v>
      </c>
      <c r="E230" s="72" t="str">
        <f>+VLOOKUP(D230,'材料表 '!C:F,2,0)</f>
        <v>m2</v>
      </c>
      <c r="F230" s="77">
        <v>1</v>
      </c>
      <c r="G230" s="89">
        <f>+VLOOKUP(D230,'材料表 '!C:F,4,0)</f>
        <v>0.02</v>
      </c>
      <c r="H230" s="74">
        <f t="shared" si="28"/>
        <v>1.02</v>
      </c>
      <c r="I230" s="74">
        <f>+VLOOKUP(D230,'材料表 '!C:F,3,0)</f>
        <v>1402.65486725664</v>
      </c>
      <c r="J230" s="95">
        <f t="shared" si="27"/>
        <v>1430.70796460177</v>
      </c>
      <c r="K230" s="60">
        <f ca="1">H230*K204</f>
        <v>27.4956504</v>
      </c>
      <c r="L230" s="92"/>
      <c r="M230" s="44"/>
      <c r="N230" s="44"/>
      <c r="O230" s="44"/>
      <c r="P230" s="44"/>
      <c r="Q230" s="44"/>
      <c r="R230" s="84"/>
      <c r="S230" s="47"/>
      <c r="T230" s="47"/>
    </row>
    <row r="231" s="27" customFormat="1" ht="18" customHeight="1" spans="1:20">
      <c r="A231" s="34"/>
      <c r="B231" s="48">
        <v>15</v>
      </c>
      <c r="C231" s="48"/>
      <c r="D231" s="88"/>
      <c r="E231" s="72"/>
      <c r="F231" s="77"/>
      <c r="G231" s="89"/>
      <c r="H231" s="74"/>
      <c r="I231" s="74"/>
      <c r="J231" s="95"/>
      <c r="K231" s="92"/>
      <c r="L231" s="92"/>
      <c r="M231" s="44"/>
      <c r="N231" s="44"/>
      <c r="O231" s="44"/>
      <c r="P231" s="44"/>
      <c r="Q231" s="44"/>
      <c r="R231" s="84"/>
      <c r="S231" s="47"/>
      <c r="T231" s="47"/>
    </row>
    <row r="232" s="27" customFormat="1" ht="18" customHeight="1" spans="1:20">
      <c r="A232" s="34"/>
      <c r="B232" s="48">
        <v>16</v>
      </c>
      <c r="C232" s="48"/>
      <c r="D232" s="88"/>
      <c r="E232" s="72"/>
      <c r="F232" s="77"/>
      <c r="G232" s="89"/>
      <c r="H232" s="74"/>
      <c r="I232" s="74"/>
      <c r="J232" s="95"/>
      <c r="K232" s="92"/>
      <c r="L232" s="92"/>
      <c r="M232" s="44"/>
      <c r="N232" s="44"/>
      <c r="O232" s="44"/>
      <c r="P232" s="44"/>
      <c r="Q232" s="44"/>
      <c r="R232" s="84"/>
      <c r="S232" s="47"/>
      <c r="T232" s="47"/>
    </row>
    <row r="233" s="27" customFormat="1" ht="18" customHeight="1" spans="1:20">
      <c r="A233" s="34"/>
      <c r="B233" s="48">
        <v>17</v>
      </c>
      <c r="C233" s="48"/>
      <c r="D233" s="121"/>
      <c r="E233" s="72"/>
      <c r="F233" s="77"/>
      <c r="G233" s="89"/>
      <c r="H233" s="74"/>
      <c r="I233" s="74"/>
      <c r="J233" s="95"/>
      <c r="K233" s="92"/>
      <c r="L233" s="92"/>
      <c r="M233" s="44"/>
      <c r="N233" s="44"/>
      <c r="O233" s="44"/>
      <c r="P233" s="44"/>
      <c r="Q233" s="101"/>
      <c r="R233" s="84"/>
      <c r="S233" s="47"/>
      <c r="T233" s="47"/>
    </row>
    <row r="234" s="27" customFormat="1" ht="18" customHeight="1" spans="1:20">
      <c r="A234" s="34"/>
      <c r="B234" s="48">
        <v>18</v>
      </c>
      <c r="C234" s="48"/>
      <c r="D234" s="88"/>
      <c r="E234" s="72"/>
      <c r="F234" s="77"/>
      <c r="G234" s="89"/>
      <c r="H234" s="74"/>
      <c r="I234" s="74"/>
      <c r="J234" s="95"/>
      <c r="K234" s="92"/>
      <c r="L234" s="92"/>
      <c r="M234" s="44"/>
      <c r="N234" s="44"/>
      <c r="O234" s="44"/>
      <c r="P234" s="44"/>
      <c r="Q234" s="44"/>
      <c r="R234" s="84"/>
      <c r="S234" s="47"/>
      <c r="T234" s="47"/>
    </row>
    <row r="235" s="27" customFormat="1" ht="18" customHeight="1" spans="1:20">
      <c r="A235" s="34"/>
      <c r="B235" s="48">
        <v>19</v>
      </c>
      <c r="C235" s="48"/>
      <c r="D235" s="27"/>
      <c r="E235" s="72"/>
      <c r="F235" s="77"/>
      <c r="G235" s="89"/>
      <c r="H235" s="74"/>
      <c r="I235" s="74"/>
      <c r="J235" s="95"/>
      <c r="K235" s="92"/>
      <c r="L235" s="92"/>
      <c r="M235" s="44"/>
      <c r="N235" s="44"/>
      <c r="O235" s="44"/>
      <c r="P235" s="44"/>
      <c r="Q235" s="44"/>
      <c r="R235" s="84"/>
      <c r="S235" s="47"/>
      <c r="T235" s="47"/>
    </row>
    <row r="236" s="27" customFormat="1" ht="18" customHeight="1" spans="1:20">
      <c r="A236" s="34"/>
      <c r="B236" s="48">
        <v>20</v>
      </c>
      <c r="C236" s="48"/>
      <c r="D236" s="88"/>
      <c r="E236" s="72"/>
      <c r="F236" s="77"/>
      <c r="G236" s="89"/>
      <c r="H236" s="74"/>
      <c r="I236" s="74"/>
      <c r="J236" s="95"/>
      <c r="K236" s="92"/>
      <c r="L236" s="92"/>
      <c r="M236" s="44"/>
      <c r="N236" s="44"/>
      <c r="O236" s="44"/>
      <c r="P236" s="44"/>
      <c r="Q236" s="44"/>
      <c r="R236" s="84"/>
      <c r="S236" s="47"/>
      <c r="T236" s="47"/>
    </row>
    <row r="237" s="27" customFormat="1" ht="18" customHeight="1" spans="1:20">
      <c r="A237" s="34"/>
      <c r="B237" s="48">
        <v>21</v>
      </c>
      <c r="C237" s="48"/>
      <c r="D237" s="88"/>
      <c r="E237" s="72"/>
      <c r="F237" s="77"/>
      <c r="G237" s="89"/>
      <c r="H237" s="74"/>
      <c r="I237" s="74"/>
      <c r="J237" s="95"/>
      <c r="K237" s="92"/>
      <c r="L237" s="92"/>
      <c r="M237" s="44"/>
      <c r="N237" s="44"/>
      <c r="O237" s="44"/>
      <c r="P237" s="44"/>
      <c r="Q237" s="44"/>
      <c r="R237" s="84"/>
      <c r="S237" s="47"/>
      <c r="T237" s="47"/>
    </row>
    <row r="238" s="27" customFormat="1" ht="18" customHeight="1" spans="1:20">
      <c r="A238" s="34"/>
      <c r="B238" s="48">
        <v>22</v>
      </c>
      <c r="C238" s="48"/>
      <c r="D238" s="27"/>
      <c r="E238" s="72"/>
      <c r="F238" s="77"/>
      <c r="G238" s="72"/>
      <c r="H238" s="74"/>
      <c r="I238" s="74"/>
      <c r="J238" s="95"/>
      <c r="K238" s="92"/>
      <c r="L238" s="92"/>
      <c r="M238" s="44"/>
      <c r="N238" s="44"/>
      <c r="O238" s="44"/>
      <c r="P238" s="44"/>
      <c r="Q238" s="44"/>
      <c r="R238" s="62"/>
      <c r="S238" s="47"/>
      <c r="T238" s="47"/>
    </row>
    <row r="239" s="27" customFormat="1" ht="18" customHeight="1" spans="1:20">
      <c r="A239" s="34"/>
      <c r="B239" s="48">
        <v>23</v>
      </c>
      <c r="C239" s="48"/>
      <c r="D239" s="88"/>
      <c r="E239" s="72"/>
      <c r="F239" s="77"/>
      <c r="G239" s="89"/>
      <c r="H239" s="74"/>
      <c r="I239" s="74"/>
      <c r="J239" s="95"/>
      <c r="K239" s="92"/>
      <c r="L239" s="92"/>
      <c r="M239" s="44"/>
      <c r="N239" s="44"/>
      <c r="O239" s="44"/>
      <c r="P239" s="44"/>
      <c r="Q239" s="44"/>
      <c r="R239" s="62"/>
      <c r="S239" s="47"/>
      <c r="T239" s="47"/>
    </row>
    <row r="240" s="27" customFormat="1" ht="18" customHeight="1" spans="1:20">
      <c r="A240" s="34"/>
      <c r="B240" s="48">
        <v>24</v>
      </c>
      <c r="C240" s="48"/>
      <c r="D240" s="88" t="s">
        <v>478</v>
      </c>
      <c r="E240" s="72" t="s">
        <v>43</v>
      </c>
      <c r="F240" s="77"/>
      <c r="G240" s="72">
        <v>1</v>
      </c>
      <c r="H240" s="74">
        <v>1</v>
      </c>
      <c r="I240" s="74">
        <f>+辅材及安装费!$E$8</f>
        <v>10</v>
      </c>
      <c r="J240" s="95">
        <f t="shared" ref="J239:J242" si="30">H240*I240</f>
        <v>10</v>
      </c>
      <c r="K240" s="92"/>
      <c r="L240" s="92"/>
      <c r="M240" s="44"/>
      <c r="N240" s="44"/>
      <c r="O240" s="44"/>
      <c r="P240" s="44"/>
      <c r="Q240" s="44"/>
      <c r="R240" s="62"/>
      <c r="S240" s="47"/>
      <c r="T240" s="47"/>
    </row>
    <row r="241" s="27" customFormat="1" ht="18" customHeight="1" spans="1:20">
      <c r="A241" s="34"/>
      <c r="B241" s="48">
        <v>25</v>
      </c>
      <c r="C241" s="48"/>
      <c r="D241" s="93" t="s">
        <v>442</v>
      </c>
      <c r="E241" s="72"/>
      <c r="F241" s="77"/>
      <c r="G241" s="72"/>
      <c r="H241" s="74"/>
      <c r="I241" s="74"/>
      <c r="J241" s="95">
        <f>SUM(J218:J240)</f>
        <v>1749.18153859029</v>
      </c>
      <c r="K241" s="92"/>
      <c r="L241" s="94"/>
      <c r="M241" s="27"/>
      <c r="N241" s="83"/>
      <c r="O241" s="83"/>
      <c r="P241" s="83"/>
      <c r="Q241" s="83"/>
      <c r="R241" s="87"/>
      <c r="S241" s="47"/>
      <c r="T241" s="47"/>
    </row>
    <row r="242" s="27" customFormat="1" ht="18" customHeight="1" spans="1:20">
      <c r="A242" s="34"/>
      <c r="B242" s="48">
        <v>1</v>
      </c>
      <c r="C242" s="48" t="s">
        <v>443</v>
      </c>
      <c r="D242" s="48" t="s">
        <v>444</v>
      </c>
      <c r="E242" s="72" t="s">
        <v>43</v>
      </c>
      <c r="F242" s="50"/>
      <c r="G242" s="48"/>
      <c r="H242" s="51">
        <v>1</v>
      </c>
      <c r="I242" s="74">
        <f>+辅材及安装费!$F$8</f>
        <v>5</v>
      </c>
      <c r="J242" s="95">
        <f t="shared" si="30"/>
        <v>5</v>
      </c>
      <c r="K242" s="118"/>
      <c r="L242" s="96"/>
      <c r="M242" s="97"/>
      <c r="N242" s="98"/>
      <c r="O242" s="98"/>
      <c r="P242" s="98"/>
      <c r="Q242" s="98"/>
      <c r="R242" s="99"/>
      <c r="S242" s="47"/>
      <c r="T242" s="47"/>
    </row>
    <row r="243" s="26" customFormat="1" ht="30" customHeight="1" spans="1:20">
      <c r="A243" s="28"/>
      <c r="B243" s="29" t="s">
        <v>386</v>
      </c>
      <c r="C243" s="29"/>
      <c r="D243" s="29"/>
      <c r="E243" s="29"/>
      <c r="F243" s="29"/>
      <c r="G243" s="29"/>
      <c r="H243" s="29"/>
      <c r="I243" s="29"/>
      <c r="J243" s="29"/>
      <c r="K243" s="29"/>
      <c r="L243" s="30"/>
      <c r="M243" s="31"/>
      <c r="N243" s="31"/>
      <c r="O243" s="31"/>
      <c r="P243" s="31"/>
      <c r="Q243" s="31"/>
      <c r="R243" s="32"/>
      <c r="S243" s="33"/>
      <c r="T243" s="33"/>
    </row>
    <row r="244" s="27" customFormat="1" ht="33.75" customHeight="1" spans="1:20">
      <c r="A244" s="34">
        <v>5</v>
      </c>
      <c r="B244" s="35" t="s">
        <v>1</v>
      </c>
      <c r="C244" s="35" t="s">
        <v>387</v>
      </c>
      <c r="D244" s="36" t="str">
        <f>+A252</f>
        <v>25㎜葡萄牙米黄石材线条</v>
      </c>
      <c r="E244" s="37"/>
      <c r="F244" s="38" t="s">
        <v>99</v>
      </c>
      <c r="G244" s="39"/>
      <c r="H244" s="35" t="s">
        <v>388</v>
      </c>
      <c r="I244" s="40" t="s">
        <v>389</v>
      </c>
      <c r="J244" s="41" t="s">
        <v>37</v>
      </c>
      <c r="K244" s="42">
        <f ca="1">VLOOKUP(A244,排屋工程量清单!$A$49:$D$57,4,)</f>
        <v>104.16</v>
      </c>
      <c r="L244" s="43"/>
      <c r="M244" s="44"/>
      <c r="N244" s="44"/>
      <c r="O244" s="44"/>
      <c r="P244" s="45"/>
      <c r="Q244" s="44"/>
      <c r="R244" s="46"/>
      <c r="S244" s="47"/>
      <c r="T244" s="47"/>
    </row>
    <row r="245" s="27" customFormat="1" ht="18" customHeight="1" spans="1:20">
      <c r="A245" s="34"/>
      <c r="B245" s="48">
        <v>1</v>
      </c>
      <c r="C245" s="49" t="s">
        <v>390</v>
      </c>
      <c r="D245" s="48" t="s">
        <v>391</v>
      </c>
      <c r="E245" s="48"/>
      <c r="F245" s="50"/>
      <c r="G245" s="48"/>
      <c r="H245" s="51"/>
      <c r="I245" s="52">
        <f>J257</f>
        <v>25</v>
      </c>
      <c r="J245" s="53" t="s">
        <v>392</v>
      </c>
      <c r="K245" s="54"/>
      <c r="L245" s="55" t="s">
        <v>480</v>
      </c>
      <c r="M245" s="56" t="s">
        <v>481</v>
      </c>
      <c r="N245" s="57"/>
      <c r="O245" s="57">
        <v>1</v>
      </c>
      <c r="P245" s="57">
        <v>1</v>
      </c>
      <c r="Q245" s="57">
        <v>1</v>
      </c>
      <c r="R245" s="58">
        <f>+Q245*P245*O245</f>
        <v>1</v>
      </c>
      <c r="S245" s="47"/>
      <c r="T245" s="47"/>
    </row>
    <row r="246" s="27" customFormat="1" ht="18" customHeight="1" spans="1:20">
      <c r="A246" s="34"/>
      <c r="B246" s="48">
        <v>2</v>
      </c>
      <c r="C246" s="59"/>
      <c r="D246" s="48" t="s">
        <v>394</v>
      </c>
      <c r="E246" s="48"/>
      <c r="F246" s="50"/>
      <c r="G246" s="48"/>
      <c r="H246" s="51"/>
      <c r="I246" s="52">
        <f>J281</f>
        <v>484.489987610619</v>
      </c>
      <c r="J246" s="53" t="s">
        <v>392</v>
      </c>
      <c r="K246" s="60"/>
      <c r="L246" s="61" t="s">
        <v>99</v>
      </c>
      <c r="M246" s="44"/>
      <c r="N246" s="44"/>
      <c r="O246" s="44"/>
      <c r="P246" s="44"/>
      <c r="Q246" s="44"/>
      <c r="R246" s="62"/>
      <c r="S246" s="47"/>
      <c r="T246" s="47"/>
    </row>
    <row r="247" s="27" customFormat="1" ht="18" customHeight="1" spans="1:20">
      <c r="A247" s="34"/>
      <c r="B247" s="48">
        <v>3</v>
      </c>
      <c r="C247" s="63"/>
      <c r="D247" s="48" t="s">
        <v>395</v>
      </c>
      <c r="E247" s="48"/>
      <c r="F247" s="50"/>
      <c r="G247" s="48"/>
      <c r="H247" s="51"/>
      <c r="I247" s="52">
        <f>J282</f>
        <v>5</v>
      </c>
      <c r="J247" s="53" t="s">
        <v>392</v>
      </c>
      <c r="K247" s="60"/>
      <c r="L247" s="60"/>
      <c r="M247" s="64" t="s">
        <v>396</v>
      </c>
      <c r="N247" s="65" t="s">
        <v>397</v>
      </c>
      <c r="O247" s="65" t="s">
        <v>398</v>
      </c>
      <c r="P247" s="65" t="s">
        <v>399</v>
      </c>
      <c r="Q247" s="65" t="s">
        <v>400</v>
      </c>
      <c r="R247" s="66" t="s">
        <v>401</v>
      </c>
      <c r="S247" s="47"/>
      <c r="T247" s="47"/>
    </row>
    <row r="248" s="27" customFormat="1" ht="18" customHeight="1" spans="1:20">
      <c r="A248" s="34"/>
      <c r="B248" s="48">
        <v>4</v>
      </c>
      <c r="C248" s="48" t="s">
        <v>402</v>
      </c>
      <c r="D248" s="67" t="s">
        <v>403</v>
      </c>
      <c r="E248" s="67"/>
      <c r="F248" s="50"/>
      <c r="G248" s="67"/>
      <c r="H248" s="68"/>
      <c r="I248" s="52">
        <f>SUM(I245:I247)</f>
        <v>514.489987610619</v>
      </c>
      <c r="J248" s="53" t="s">
        <v>392</v>
      </c>
      <c r="K248" s="60"/>
      <c r="L248" s="69" t="s">
        <v>431</v>
      </c>
      <c r="M248" s="34" t="s">
        <v>460</v>
      </c>
      <c r="N248" s="102">
        <v>10.21</v>
      </c>
      <c r="O248" s="34">
        <v>3.15</v>
      </c>
      <c r="P248" s="34">
        <v>0</v>
      </c>
      <c r="Q248" s="44">
        <f t="shared" ref="Q248:Q252" si="31">+P248*O248*N248</f>
        <v>0</v>
      </c>
      <c r="R248" s="71">
        <f>+Q248/R245</f>
        <v>0</v>
      </c>
      <c r="S248" s="47"/>
      <c r="T248" s="47"/>
    </row>
    <row r="249" s="27" customFormat="1" ht="28" customHeight="1" spans="1:20">
      <c r="A249" s="34"/>
      <c r="B249" s="48">
        <v>5</v>
      </c>
      <c r="C249" s="72" t="s">
        <v>406</v>
      </c>
      <c r="D249" s="48" t="s">
        <v>407</v>
      </c>
      <c r="E249" s="48"/>
      <c r="F249" s="50"/>
      <c r="G249" s="48"/>
      <c r="H249" s="73">
        <f>+'材料表 '!$E$178</f>
        <v>0</v>
      </c>
      <c r="I249" s="52">
        <f>H249*I248</f>
        <v>0</v>
      </c>
      <c r="J249" s="53" t="s">
        <v>392</v>
      </c>
      <c r="K249" s="60"/>
      <c r="L249" s="69" t="s">
        <v>461</v>
      </c>
      <c r="M249" s="34" t="s">
        <v>462</v>
      </c>
      <c r="N249" s="34">
        <v>3.77</v>
      </c>
      <c r="O249" s="34">
        <f>+O245</f>
        <v>1</v>
      </c>
      <c r="P249" s="34">
        <v>1.5</v>
      </c>
      <c r="Q249" s="44">
        <f t="shared" si="31"/>
        <v>5.655</v>
      </c>
      <c r="R249" s="71">
        <f>+Q249/R245</f>
        <v>5.655</v>
      </c>
      <c r="S249" s="47"/>
      <c r="T249" s="47"/>
    </row>
    <row r="250" s="27" customFormat="1" ht="18" customHeight="1" spans="1:20">
      <c r="A250" s="34"/>
      <c r="B250" s="48">
        <v>6</v>
      </c>
      <c r="C250" s="48" t="s">
        <v>409</v>
      </c>
      <c r="D250" s="48" t="s">
        <v>410</v>
      </c>
      <c r="E250" s="48"/>
      <c r="F250" s="50"/>
      <c r="G250" s="48"/>
      <c r="H250" s="73">
        <f>+'材料表 '!$E$179</f>
        <v>0</v>
      </c>
      <c r="I250" s="52">
        <f>H250*I248</f>
        <v>0</v>
      </c>
      <c r="J250" s="53" t="s">
        <v>392</v>
      </c>
      <c r="K250" s="60"/>
      <c r="L250" s="69" t="s">
        <v>463</v>
      </c>
      <c r="M250" s="34" t="s">
        <v>464</v>
      </c>
      <c r="N250" s="34">
        <f>0.15*0.2*7.85*10</f>
        <v>2.355</v>
      </c>
      <c r="O250" s="34">
        <f>1</f>
        <v>1</v>
      </c>
      <c r="P250" s="34">
        <f>+P248</f>
        <v>0</v>
      </c>
      <c r="Q250" s="44">
        <f t="shared" si="31"/>
        <v>0</v>
      </c>
      <c r="R250" s="71">
        <f>+Q250/R245</f>
        <v>0</v>
      </c>
      <c r="S250" s="47"/>
      <c r="T250" s="47"/>
    </row>
    <row r="251" s="27" customFormat="1" ht="18" customHeight="1" spans="1:20">
      <c r="A251" s="34"/>
      <c r="B251" s="48">
        <v>7</v>
      </c>
      <c r="C251" s="48" t="s">
        <v>412</v>
      </c>
      <c r="D251" s="72" t="s">
        <v>413</v>
      </c>
      <c r="E251" s="72"/>
      <c r="F251" s="77"/>
      <c r="G251" s="72"/>
      <c r="H251" s="73">
        <f>+'材料表 '!$E$180</f>
        <v>0.09</v>
      </c>
      <c r="I251" s="52">
        <f>(I248+I249+I250)*H251</f>
        <v>46.3040988849557</v>
      </c>
      <c r="J251" s="53" t="s">
        <v>392</v>
      </c>
      <c r="K251" s="60"/>
      <c r="L251" s="69" t="s">
        <v>465</v>
      </c>
      <c r="M251" s="34" t="s">
        <v>483</v>
      </c>
      <c r="N251" s="100">
        <f>3.77</f>
        <v>3.77</v>
      </c>
      <c r="O251" s="34">
        <v>0.225</v>
      </c>
      <c r="P251" s="34">
        <v>2</v>
      </c>
      <c r="Q251" s="44">
        <f t="shared" si="31"/>
        <v>1.6965</v>
      </c>
      <c r="R251" s="71">
        <f>+Q251/R245</f>
        <v>1.6965</v>
      </c>
      <c r="S251" s="47"/>
      <c r="T251" s="47"/>
    </row>
    <row r="252" s="27" customFormat="1" ht="18" customHeight="1" spans="1:20">
      <c r="A252" s="105" t="s">
        <v>107</v>
      </c>
      <c r="B252" s="48">
        <v>8</v>
      </c>
      <c r="C252" s="48" t="s">
        <v>363</v>
      </c>
      <c r="D252" s="106" t="s">
        <v>415</v>
      </c>
      <c r="E252" s="107"/>
      <c r="F252" s="108"/>
      <c r="G252" s="107"/>
      <c r="H252" s="51"/>
      <c r="I252" s="74">
        <f>SUM(I248:I251)</f>
        <v>560.794086495575</v>
      </c>
      <c r="J252" s="53" t="s">
        <v>484</v>
      </c>
      <c r="K252" s="60"/>
      <c r="L252" s="69" t="s">
        <v>465</v>
      </c>
      <c r="M252" s="44"/>
      <c r="N252" s="126">
        <v>5.778</v>
      </c>
      <c r="O252" s="44">
        <v>0.1</v>
      </c>
      <c r="P252" s="44">
        <f>+P248*2</f>
        <v>0</v>
      </c>
      <c r="Q252" s="44">
        <f t="shared" si="31"/>
        <v>0</v>
      </c>
      <c r="R252" s="84">
        <f>+Q252/R245</f>
        <v>0</v>
      </c>
      <c r="S252" s="79"/>
      <c r="T252" s="47"/>
    </row>
    <row r="253" s="27" customFormat="1" ht="18" customHeight="1" spans="1:20">
      <c r="A253" s="34"/>
      <c r="B253" s="109" t="s">
        <v>418</v>
      </c>
      <c r="C253" s="110"/>
      <c r="D253" s="110"/>
      <c r="E253" s="110"/>
      <c r="F253" s="110"/>
      <c r="G253" s="110"/>
      <c r="H253" s="110"/>
      <c r="I253" s="110"/>
      <c r="J253" s="110"/>
      <c r="K253" s="80"/>
      <c r="L253" s="90" t="s">
        <v>469</v>
      </c>
      <c r="M253" s="44"/>
      <c r="N253" s="82"/>
      <c r="O253" s="44">
        <v>4</v>
      </c>
      <c r="P253" s="44">
        <v>1</v>
      </c>
      <c r="Q253" s="44">
        <f>+P253*O253</f>
        <v>4</v>
      </c>
      <c r="R253" s="84">
        <f>+Q253/R245</f>
        <v>4</v>
      </c>
      <c r="S253" s="47"/>
      <c r="T253" s="47"/>
    </row>
    <row r="254" s="27" customFormat="1" ht="18" customHeight="1" spans="1:20">
      <c r="A254" s="34"/>
      <c r="B254" s="48">
        <v>1</v>
      </c>
      <c r="C254" s="48" t="s">
        <v>391</v>
      </c>
      <c r="D254" s="48" t="s">
        <v>396</v>
      </c>
      <c r="E254" s="48" t="s">
        <v>37</v>
      </c>
      <c r="F254" s="50"/>
      <c r="G254" s="48"/>
      <c r="H254" s="51" t="s">
        <v>399</v>
      </c>
      <c r="I254" s="51" t="s">
        <v>420</v>
      </c>
      <c r="J254" s="95" t="s">
        <v>421</v>
      </c>
      <c r="K254" s="92"/>
      <c r="L254" s="90"/>
      <c r="M254" s="44"/>
      <c r="N254" s="82"/>
      <c r="O254" s="44"/>
      <c r="P254" s="44"/>
      <c r="Q254" s="44"/>
      <c r="R254" s="84"/>
      <c r="S254" s="47"/>
      <c r="T254" s="47"/>
    </row>
    <row r="255" s="27" customFormat="1" ht="18" customHeight="1" spans="1:20">
      <c r="A255" s="34"/>
      <c r="B255" s="48">
        <v>2</v>
      </c>
      <c r="C255" s="48"/>
      <c r="D255" s="111" t="s">
        <v>485</v>
      </c>
      <c r="E255" s="49" t="s">
        <v>423</v>
      </c>
      <c r="F255" s="112"/>
      <c r="G255" s="111"/>
      <c r="H255" s="113">
        <v>1</v>
      </c>
      <c r="I255" s="113">
        <f>+辅材及安装费!$G$9</f>
        <v>25</v>
      </c>
      <c r="J255" s="114">
        <f t="shared" ref="J255:J270" si="32">H255*I255</f>
        <v>25</v>
      </c>
      <c r="K255" s="92"/>
      <c r="L255" s="90" t="s">
        <v>471</v>
      </c>
      <c r="M255" s="44"/>
      <c r="N255" s="82"/>
      <c r="O255" s="44"/>
      <c r="P255" s="44"/>
      <c r="Q255" s="44">
        <f>+Q253</f>
        <v>4</v>
      </c>
      <c r="R255" s="84">
        <f>+Q255/R245</f>
        <v>4</v>
      </c>
      <c r="S255" s="47"/>
      <c r="T255" s="47"/>
    </row>
    <row r="256" s="27" customFormat="1" ht="18" customHeight="1" spans="1:20">
      <c r="A256" s="34"/>
      <c r="B256" s="48">
        <v>3</v>
      </c>
      <c r="C256" s="48"/>
      <c r="D256" s="115"/>
      <c r="E256" s="63"/>
      <c r="F256" s="116"/>
      <c r="G256" s="115"/>
      <c r="H256" s="117"/>
      <c r="I256" s="117"/>
      <c r="J256" s="118"/>
      <c r="K256" s="92"/>
      <c r="L256" s="90" t="s">
        <v>472</v>
      </c>
      <c r="M256" s="44"/>
      <c r="N256" s="82"/>
      <c r="O256" s="44"/>
      <c r="P256" s="44">
        <f>O250*P250*2</f>
        <v>0</v>
      </c>
      <c r="Q256" s="44">
        <f>+P256</f>
        <v>0</v>
      </c>
      <c r="R256" s="84">
        <f>+Q256/R245</f>
        <v>0</v>
      </c>
      <c r="S256" s="47"/>
      <c r="T256" s="47"/>
    </row>
    <row r="257" s="27" customFormat="1" ht="18" customHeight="1" spans="1:20">
      <c r="A257" s="34"/>
      <c r="B257" s="48">
        <v>4</v>
      </c>
      <c r="C257" s="48"/>
      <c r="D257" s="85" t="s">
        <v>426</v>
      </c>
      <c r="E257" s="48" t="s">
        <v>392</v>
      </c>
      <c r="F257" s="50"/>
      <c r="G257" s="48"/>
      <c r="H257" s="86"/>
      <c r="I257" s="86"/>
      <c r="J257" s="95">
        <f>SUM(J255:J255)</f>
        <v>25</v>
      </c>
      <c r="K257" s="92"/>
      <c r="L257" s="90" t="s">
        <v>473</v>
      </c>
      <c r="M257" s="44"/>
      <c r="N257" s="82"/>
      <c r="O257" s="44"/>
      <c r="P257" s="44"/>
      <c r="Q257" s="44">
        <f>+(Q253)*3</f>
        <v>12</v>
      </c>
      <c r="R257" s="84">
        <f>+Q257/R245</f>
        <v>12</v>
      </c>
      <c r="S257" s="47"/>
      <c r="T257" s="47"/>
    </row>
    <row r="258" s="27" customFormat="1" ht="24" customHeight="1" spans="1:20">
      <c r="A258" s="34"/>
      <c r="B258" s="48">
        <v>1</v>
      </c>
      <c r="C258" s="48" t="s">
        <v>394</v>
      </c>
      <c r="D258" s="88" t="s">
        <v>431</v>
      </c>
      <c r="E258" s="72" t="str">
        <f>+VLOOKUP(D258,'材料表 '!C:F,2,0)</f>
        <v>kg</v>
      </c>
      <c r="F258" s="77">
        <f>+SUMIF($L$245:$L$282,D258,$R$245:$R$282)</f>
        <v>0</v>
      </c>
      <c r="G258" s="89">
        <f>+VLOOKUP(D258,'材料表 '!C:F,4,0)</f>
        <v>0.03</v>
      </c>
      <c r="H258" s="74">
        <f t="shared" ref="H258:H270" si="33">F258*(G258+1)</f>
        <v>0</v>
      </c>
      <c r="I258" s="74">
        <f>+VLOOKUP(D258,'材料表 '!C:F,3,0)</f>
        <v>3.80530973451327</v>
      </c>
      <c r="J258" s="95">
        <f t="shared" si="32"/>
        <v>0</v>
      </c>
      <c r="K258" s="60">
        <f ca="1">H258*K244</f>
        <v>0</v>
      </c>
      <c r="L258" s="90"/>
      <c r="M258" s="44"/>
      <c r="N258" s="82"/>
      <c r="O258" s="44"/>
      <c r="P258" s="44"/>
      <c r="Q258" s="44"/>
      <c r="R258" s="84"/>
      <c r="S258" s="47"/>
      <c r="T258" s="47"/>
    </row>
    <row r="259" s="27" customFormat="1" ht="18" customHeight="1" spans="1:20">
      <c r="A259" s="34"/>
      <c r="B259" s="48">
        <v>2</v>
      </c>
      <c r="C259" s="48"/>
      <c r="D259" s="88" t="s">
        <v>461</v>
      </c>
      <c r="E259" s="72" t="str">
        <f>+VLOOKUP(D259,'材料表 '!C:F,2,0)</f>
        <v>kg</v>
      </c>
      <c r="F259" s="77">
        <f t="shared" ref="F259:F266" si="34">+SUMIF($L$245:$L$282,D259,$R$245:$R$282)</f>
        <v>5.655</v>
      </c>
      <c r="G259" s="89">
        <f>+VLOOKUP(D259,'材料表 '!C:F,4,0)</f>
        <v>0.03</v>
      </c>
      <c r="H259" s="74">
        <f t="shared" si="33"/>
        <v>5.82465</v>
      </c>
      <c r="I259" s="74">
        <f>+VLOOKUP(D259,'材料表 '!C:F,3,0)</f>
        <v>3.53982300884956</v>
      </c>
      <c r="J259" s="95">
        <f t="shared" si="32"/>
        <v>20.6182300884956</v>
      </c>
      <c r="K259" s="60">
        <f ca="1">H259*K244</f>
        <v>606.695544</v>
      </c>
      <c r="L259" s="90"/>
      <c r="M259" s="44"/>
      <c r="N259" s="82"/>
      <c r="O259" s="44"/>
      <c r="P259" s="44"/>
      <c r="Q259" s="44"/>
      <c r="R259" s="84"/>
      <c r="S259" s="47"/>
      <c r="T259" s="47"/>
    </row>
    <row r="260" s="27" customFormat="1" ht="18" customHeight="1" spans="1:20">
      <c r="A260" s="34"/>
      <c r="B260" s="48">
        <v>3</v>
      </c>
      <c r="C260" s="48"/>
      <c r="D260" s="88" t="s">
        <v>465</v>
      </c>
      <c r="E260" s="72" t="str">
        <f>+VLOOKUP(D260,'材料表 '!C:F,2,0)</f>
        <v>kg</v>
      </c>
      <c r="F260" s="77">
        <f t="shared" si="34"/>
        <v>1.6965</v>
      </c>
      <c r="G260" s="89">
        <f>+VLOOKUP(D260,'材料表 '!C:F,4,0)</f>
        <v>0.03</v>
      </c>
      <c r="H260" s="74">
        <f t="shared" si="33"/>
        <v>1.747395</v>
      </c>
      <c r="I260" s="74">
        <f>+VLOOKUP(D260,'材料表 '!C:F,3,0)</f>
        <v>6.01769911504425</v>
      </c>
      <c r="J260" s="95">
        <f t="shared" si="32"/>
        <v>10.5152973451327</v>
      </c>
      <c r="K260" s="60">
        <f ca="1">H260*K244</f>
        <v>182.0086632</v>
      </c>
      <c r="L260" s="90" t="s">
        <v>474</v>
      </c>
      <c r="M260" s="44"/>
      <c r="N260" s="82"/>
      <c r="O260" s="44"/>
      <c r="P260" s="44"/>
      <c r="Q260" s="44">
        <f>+O250*P250*4</f>
        <v>0</v>
      </c>
      <c r="R260" s="84">
        <f>+Q260/R245</f>
        <v>0</v>
      </c>
      <c r="S260" s="47"/>
      <c r="T260" s="47"/>
    </row>
    <row r="261" s="27" customFormat="1" ht="18" customHeight="1" spans="1:20">
      <c r="A261" s="34"/>
      <c r="B261" s="48">
        <v>4</v>
      </c>
      <c r="C261" s="48"/>
      <c r="D261" s="88" t="s">
        <v>463</v>
      </c>
      <c r="E261" s="72" t="str">
        <f>+VLOOKUP(D261,'材料表 '!C:F,2,0)</f>
        <v>kg</v>
      </c>
      <c r="F261" s="77">
        <f t="shared" si="34"/>
        <v>0</v>
      </c>
      <c r="G261" s="89">
        <f>+VLOOKUP(D261,'材料表 '!C:F,4,0)</f>
        <v>0.03</v>
      </c>
      <c r="H261" s="74">
        <f t="shared" si="33"/>
        <v>0</v>
      </c>
      <c r="I261" s="74">
        <f>+VLOOKUP(D261,'材料表 '!C:F,3,0)</f>
        <v>6.01769911504425</v>
      </c>
      <c r="J261" s="95">
        <f t="shared" si="32"/>
        <v>0</v>
      </c>
      <c r="K261" s="60">
        <f ca="1">H261*K244</f>
        <v>0</v>
      </c>
      <c r="L261" s="90"/>
      <c r="M261" s="44"/>
      <c r="N261" s="83"/>
      <c r="O261" s="82"/>
      <c r="P261" s="44"/>
      <c r="Q261" s="44"/>
      <c r="R261" s="84"/>
      <c r="S261" s="47"/>
      <c r="T261" s="47"/>
    </row>
    <row r="262" s="27" customFormat="1" ht="18" customHeight="1" spans="1:20">
      <c r="A262" s="34"/>
      <c r="B262" s="48">
        <v>5</v>
      </c>
      <c r="C262" s="48"/>
      <c r="D262" s="88" t="s">
        <v>469</v>
      </c>
      <c r="E262" s="72" t="str">
        <f>+VLOOKUP(D262,'材料表 '!C:F,2,0)</f>
        <v>套</v>
      </c>
      <c r="F262" s="77">
        <f t="shared" si="34"/>
        <v>4</v>
      </c>
      <c r="G262" s="89">
        <f>+VLOOKUP(D262,'材料表 '!C:F,4,0)</f>
        <v>0</v>
      </c>
      <c r="H262" s="74">
        <f t="shared" si="33"/>
        <v>4</v>
      </c>
      <c r="I262" s="74">
        <f>+VLOOKUP(D262,'材料表 '!C:F,3,0)</f>
        <v>5.30973451327434</v>
      </c>
      <c r="J262" s="95">
        <f t="shared" si="32"/>
        <v>21.2389380530974</v>
      </c>
      <c r="K262" s="60">
        <f ca="1">H262*K244</f>
        <v>416.64</v>
      </c>
      <c r="L262" s="92" t="s">
        <v>476</v>
      </c>
      <c r="M262" s="44"/>
      <c r="N262" s="82"/>
      <c r="O262" s="44"/>
      <c r="P262" s="44"/>
      <c r="Q262" s="44">
        <f>6*6*(O245*1+P245*1)/500</f>
        <v>0.144</v>
      </c>
      <c r="R262" s="84">
        <f>+Q262/R245</f>
        <v>0.144</v>
      </c>
      <c r="S262" s="47"/>
      <c r="T262" s="47"/>
    </row>
    <row r="263" s="27" customFormat="1" ht="18" customHeight="1" spans="1:20">
      <c r="A263" s="34"/>
      <c r="B263" s="48">
        <v>7</v>
      </c>
      <c r="C263" s="48"/>
      <c r="D263" s="88" t="s">
        <v>471</v>
      </c>
      <c r="E263" s="72" t="str">
        <f>+VLOOKUP(D263,'材料表 '!C:F,2,0)</f>
        <v>套</v>
      </c>
      <c r="F263" s="77">
        <f t="shared" si="34"/>
        <v>4</v>
      </c>
      <c r="G263" s="89">
        <f>+VLOOKUP(D263,'材料表 '!C:F,4,0)</f>
        <v>0</v>
      </c>
      <c r="H263" s="74">
        <f t="shared" si="33"/>
        <v>4</v>
      </c>
      <c r="I263" s="74">
        <f>+VLOOKUP(D263,'材料表 '!C:F,3,0)</f>
        <v>1.32743362831858</v>
      </c>
      <c r="J263" s="95">
        <f t="shared" si="32"/>
        <v>5.30973451327432</v>
      </c>
      <c r="K263" s="60">
        <f ca="1">H263*K244</f>
        <v>416.64</v>
      </c>
      <c r="L263" s="92"/>
      <c r="M263" s="44"/>
      <c r="N263" s="82"/>
      <c r="O263" s="44"/>
      <c r="P263" s="44"/>
      <c r="Q263" s="44"/>
      <c r="R263" s="84">
        <f>+Q263/R245</f>
        <v>0</v>
      </c>
      <c r="S263" s="47"/>
      <c r="T263" s="47"/>
    </row>
    <row r="264" s="27" customFormat="1" ht="18" customHeight="1" spans="1:20">
      <c r="A264" s="34"/>
      <c r="B264" s="48">
        <v>8</v>
      </c>
      <c r="C264" s="48"/>
      <c r="D264" s="88" t="s">
        <v>472</v>
      </c>
      <c r="E264" s="72" t="str">
        <f>+VLOOKUP(D264,'材料表 '!C:F,2,0)</f>
        <v>套</v>
      </c>
      <c r="F264" s="77">
        <f t="shared" si="34"/>
        <v>0</v>
      </c>
      <c r="G264" s="89">
        <f>+VLOOKUP(D264,'材料表 '!C:F,4,0)</f>
        <v>0</v>
      </c>
      <c r="H264" s="74">
        <f t="shared" si="33"/>
        <v>0</v>
      </c>
      <c r="I264" s="74">
        <f>+VLOOKUP(D264,'材料表 '!C:F,3,0)</f>
        <v>2.47787610619469</v>
      </c>
      <c r="J264" s="95">
        <f t="shared" si="32"/>
        <v>0</v>
      </c>
      <c r="K264" s="60">
        <f ca="1">H264*K244</f>
        <v>0</v>
      </c>
      <c r="L264" s="92"/>
      <c r="M264" s="44"/>
      <c r="N264" s="82"/>
      <c r="O264" s="44"/>
      <c r="P264" s="44"/>
      <c r="Q264" s="44"/>
      <c r="R264" s="84"/>
      <c r="S264" s="47"/>
      <c r="T264" s="47"/>
    </row>
    <row r="265" s="27" customFormat="1" ht="18" customHeight="1" spans="1:20">
      <c r="A265" s="34"/>
      <c r="B265" s="48">
        <v>9</v>
      </c>
      <c r="C265" s="48"/>
      <c r="D265" s="88" t="s">
        <v>473</v>
      </c>
      <c r="E265" s="72" t="str">
        <f>+VLOOKUP(D265,'材料表 '!C:F,2,0)</f>
        <v>套</v>
      </c>
      <c r="F265" s="77">
        <f t="shared" si="34"/>
        <v>12</v>
      </c>
      <c r="G265" s="89">
        <f>+VLOOKUP(D265,'材料表 '!C:F,4,0)</f>
        <v>0</v>
      </c>
      <c r="H265" s="74">
        <f t="shared" si="33"/>
        <v>12</v>
      </c>
      <c r="I265" s="74">
        <f>+VLOOKUP(D265,'材料表 '!C:F,3,0)</f>
        <v>0.247787610619469</v>
      </c>
      <c r="J265" s="95">
        <f t="shared" si="32"/>
        <v>2.97345132743363</v>
      </c>
      <c r="K265" s="60">
        <f ca="1">H265*K244</f>
        <v>1249.92</v>
      </c>
      <c r="L265" s="90"/>
      <c r="M265" s="44"/>
      <c r="N265" s="82"/>
      <c r="O265" s="34"/>
      <c r="P265" s="44"/>
      <c r="Q265" s="44"/>
      <c r="R265" s="119"/>
      <c r="S265" s="47"/>
      <c r="T265" s="47"/>
    </row>
    <row r="266" s="27" customFormat="1" ht="18" customHeight="1" spans="1:20">
      <c r="A266" s="34"/>
      <c r="B266" s="48">
        <v>10</v>
      </c>
      <c r="C266" s="48"/>
      <c r="D266" s="88" t="s">
        <v>474</v>
      </c>
      <c r="E266" s="72" t="str">
        <f>+VLOOKUP(D266,'材料表 '!C:F,2,0)</f>
        <v>套</v>
      </c>
      <c r="F266" s="77">
        <f t="shared" si="34"/>
        <v>0</v>
      </c>
      <c r="G266" s="89">
        <f>+VLOOKUP(D266,'材料表 '!C:F,4,0)</f>
        <v>0</v>
      </c>
      <c r="H266" s="74">
        <f t="shared" si="33"/>
        <v>0</v>
      </c>
      <c r="I266" s="74">
        <f>+VLOOKUP(D266,'材料表 '!C:F,3,0)</f>
        <v>2.21238938053097</v>
      </c>
      <c r="J266" s="95">
        <f t="shared" si="32"/>
        <v>0</v>
      </c>
      <c r="K266" s="60">
        <f ca="1">H266*K244</f>
        <v>0</v>
      </c>
      <c r="L266" s="92"/>
      <c r="M266" s="120"/>
      <c r="N266" s="82"/>
      <c r="O266" s="44"/>
      <c r="P266" s="44"/>
      <c r="Q266" s="44"/>
      <c r="R266" s="84"/>
      <c r="S266" s="47"/>
      <c r="T266" s="47"/>
    </row>
    <row r="267" s="27" customFormat="1" ht="18" customHeight="1" spans="1:20">
      <c r="A267" s="34"/>
      <c r="B267" s="48">
        <v>11</v>
      </c>
      <c r="C267" s="48"/>
      <c r="D267" s="88" t="s">
        <v>477</v>
      </c>
      <c r="E267" s="72" t="str">
        <f>+VLOOKUP(D267,'材料表 '!C:F,2,0)</f>
        <v>kg</v>
      </c>
      <c r="F267" s="77">
        <v>0.1</v>
      </c>
      <c r="G267" s="89">
        <f>+VLOOKUP(D267,'材料表 '!C:F,4,0)</f>
        <v>0.15</v>
      </c>
      <c r="H267" s="74">
        <f t="shared" si="33"/>
        <v>0.115</v>
      </c>
      <c r="I267" s="74">
        <f>+VLOOKUP(D267,'材料表 '!C:F,3,0)</f>
        <v>10.6194690265487</v>
      </c>
      <c r="J267" s="95">
        <f t="shared" si="32"/>
        <v>1.2212389380531</v>
      </c>
      <c r="K267" s="60">
        <f ca="1">H267*K244</f>
        <v>11.9784</v>
      </c>
      <c r="L267" s="92"/>
      <c r="M267" s="44"/>
      <c r="N267" s="82"/>
      <c r="O267" s="44"/>
      <c r="P267" s="44"/>
      <c r="Q267" s="44"/>
      <c r="R267" s="84"/>
      <c r="S267" s="47"/>
      <c r="T267" s="47"/>
    </row>
    <row r="268" s="27" customFormat="1" ht="18" customHeight="1" spans="1:20">
      <c r="A268" s="34"/>
      <c r="B268" s="48">
        <v>12</v>
      </c>
      <c r="C268" s="48"/>
      <c r="D268" s="88" t="s">
        <v>476</v>
      </c>
      <c r="E268" s="72" t="str">
        <f>+VLOOKUP(D268,'材料表 '!C:F,2,0)</f>
        <v>支</v>
      </c>
      <c r="F268" s="77">
        <f>+SUMIF($L$245:$L$282,D268,$R$245:$R$282)</f>
        <v>0.144</v>
      </c>
      <c r="G268" s="89">
        <f>+VLOOKUP(D268,'材料表 '!C:F,4,0)</f>
        <v>0.15</v>
      </c>
      <c r="H268" s="74">
        <f t="shared" si="33"/>
        <v>0.1656</v>
      </c>
      <c r="I268" s="74">
        <f>+VLOOKUP(D268,'材料表 '!C:F,3,0)</f>
        <v>11.5044247787611</v>
      </c>
      <c r="J268" s="95">
        <f t="shared" si="32"/>
        <v>1.90513274336284</v>
      </c>
      <c r="K268" s="60">
        <f ca="1">H268*K244</f>
        <v>17.248896</v>
      </c>
      <c r="L268" s="92"/>
      <c r="M268" s="44"/>
      <c r="N268" s="44"/>
      <c r="O268" s="44"/>
      <c r="P268" s="44"/>
      <c r="Q268" s="44"/>
      <c r="R268" s="84"/>
      <c r="S268" s="47"/>
      <c r="T268" s="47"/>
    </row>
    <row r="269" s="27" customFormat="1" ht="18" customHeight="1" spans="1:20">
      <c r="A269" s="34"/>
      <c r="B269" s="48">
        <v>13</v>
      </c>
      <c r="C269" s="48"/>
      <c r="D269" s="88" t="s">
        <v>479</v>
      </c>
      <c r="E269" s="72" t="str">
        <f>+VLOOKUP(D269,'材料表 '!C:F,2,0)</f>
        <v>kg</v>
      </c>
      <c r="F269" s="77">
        <v>0</v>
      </c>
      <c r="G269" s="89">
        <f>+VLOOKUP(D269,'材料表 '!C:F,4,0)</f>
        <v>0.03</v>
      </c>
      <c r="H269" s="74">
        <f t="shared" si="33"/>
        <v>0</v>
      </c>
      <c r="I269" s="74">
        <f>+VLOOKUP(D269,'材料表 '!C:F,3,0)</f>
        <v>14.1592920353982</v>
      </c>
      <c r="J269" s="95">
        <f t="shared" si="32"/>
        <v>0</v>
      </c>
      <c r="K269" s="60">
        <f ca="1">H269*K244</f>
        <v>0</v>
      </c>
      <c r="L269" s="92"/>
      <c r="M269" s="44"/>
      <c r="N269" s="44"/>
      <c r="O269" s="44"/>
      <c r="P269" s="44"/>
      <c r="Q269" s="44"/>
      <c r="R269" s="84"/>
      <c r="S269" s="47"/>
      <c r="T269" s="47"/>
    </row>
    <row r="270" s="27" customFormat="1" ht="18" customHeight="1" spans="1:20">
      <c r="A270" s="34"/>
      <c r="B270" s="48">
        <v>14</v>
      </c>
      <c r="C270" s="48"/>
      <c r="D270" s="88" t="s">
        <v>107</v>
      </c>
      <c r="E270" s="72" t="str">
        <f>+VLOOKUP(D270,'材料表 '!C:F,2,0)</f>
        <v>米</v>
      </c>
      <c r="F270" s="77">
        <v>1</v>
      </c>
      <c r="G270" s="89">
        <f>+VLOOKUP(D270,'材料表 '!C:F,4,0)</f>
        <v>0.02</v>
      </c>
      <c r="H270" s="74">
        <f t="shared" si="33"/>
        <v>1.02</v>
      </c>
      <c r="I270" s="74">
        <f>+VLOOKUP(D270,'材料表 '!C:F,3,0)</f>
        <v>402.654867256637</v>
      </c>
      <c r="J270" s="95">
        <f t="shared" si="32"/>
        <v>410.70796460177</v>
      </c>
      <c r="K270" s="60">
        <f ca="1">H270*K244</f>
        <v>106.2432</v>
      </c>
      <c r="L270" s="92"/>
      <c r="M270" s="44"/>
      <c r="N270" s="44"/>
      <c r="O270" s="44"/>
      <c r="P270" s="44"/>
      <c r="Q270" s="44"/>
      <c r="R270" s="84"/>
      <c r="S270" s="47"/>
      <c r="T270" s="47"/>
    </row>
    <row r="271" s="27" customFormat="1" ht="18" customHeight="1" spans="1:20">
      <c r="A271" s="34"/>
      <c r="B271" s="48">
        <v>15</v>
      </c>
      <c r="C271" s="48"/>
      <c r="D271" s="88"/>
      <c r="E271" s="72"/>
      <c r="F271" s="77"/>
      <c r="G271" s="89"/>
      <c r="H271" s="74"/>
      <c r="I271" s="74"/>
      <c r="J271" s="95"/>
      <c r="K271" s="92"/>
      <c r="L271" s="92"/>
      <c r="M271" s="44"/>
      <c r="N271" s="44"/>
      <c r="O271" s="44"/>
      <c r="P271" s="44"/>
      <c r="Q271" s="44"/>
      <c r="R271" s="84"/>
      <c r="S271" s="47"/>
      <c r="T271" s="47"/>
    </row>
    <row r="272" s="27" customFormat="1" ht="18" customHeight="1" spans="1:20">
      <c r="A272" s="34"/>
      <c r="B272" s="48">
        <v>16</v>
      </c>
      <c r="C272" s="48"/>
      <c r="D272" s="88"/>
      <c r="E272" s="72"/>
      <c r="F272" s="77"/>
      <c r="G272" s="89"/>
      <c r="H272" s="74"/>
      <c r="I272" s="74"/>
      <c r="J272" s="95"/>
      <c r="K272" s="92"/>
      <c r="L272" s="92"/>
      <c r="M272" s="44"/>
      <c r="N272" s="44"/>
      <c r="O272" s="44"/>
      <c r="P272" s="44"/>
      <c r="Q272" s="44"/>
      <c r="R272" s="84"/>
      <c r="S272" s="47"/>
      <c r="T272" s="47"/>
    </row>
    <row r="273" s="27" customFormat="1" ht="18" customHeight="1" spans="1:20">
      <c r="A273" s="34"/>
      <c r="B273" s="48">
        <v>17</v>
      </c>
      <c r="C273" s="48"/>
      <c r="D273" s="121"/>
      <c r="E273" s="72"/>
      <c r="F273" s="77"/>
      <c r="G273" s="89"/>
      <c r="H273" s="74"/>
      <c r="I273" s="74"/>
      <c r="J273" s="95"/>
      <c r="K273" s="92"/>
      <c r="L273" s="92"/>
      <c r="M273" s="44"/>
      <c r="N273" s="44"/>
      <c r="O273" s="44"/>
      <c r="P273" s="44"/>
      <c r="Q273" s="101"/>
      <c r="R273" s="84"/>
      <c r="S273" s="47"/>
      <c r="T273" s="47"/>
    </row>
    <row r="274" s="27" customFormat="1" ht="18" customHeight="1" spans="1:20">
      <c r="A274" s="34"/>
      <c r="B274" s="48">
        <v>18</v>
      </c>
      <c r="C274" s="48"/>
      <c r="D274" s="88"/>
      <c r="E274" s="72"/>
      <c r="F274" s="77"/>
      <c r="G274" s="89"/>
      <c r="H274" s="74"/>
      <c r="I274" s="74"/>
      <c r="J274" s="95"/>
      <c r="K274" s="92"/>
      <c r="L274" s="92"/>
      <c r="M274" s="44"/>
      <c r="N274" s="44"/>
      <c r="O274" s="44"/>
      <c r="P274" s="44"/>
      <c r="Q274" s="44"/>
      <c r="R274" s="84"/>
      <c r="S274" s="47"/>
      <c r="T274" s="47"/>
    </row>
    <row r="275" s="27" customFormat="1" ht="18" customHeight="1" spans="1:20">
      <c r="A275" s="34"/>
      <c r="B275" s="48">
        <v>19</v>
      </c>
      <c r="C275" s="48"/>
      <c r="D275" s="27"/>
      <c r="E275" s="72"/>
      <c r="F275" s="77"/>
      <c r="G275" s="89"/>
      <c r="H275" s="74"/>
      <c r="I275" s="74"/>
      <c r="J275" s="95"/>
      <c r="K275" s="92"/>
      <c r="L275" s="92"/>
      <c r="M275" s="44"/>
      <c r="N275" s="44"/>
      <c r="O275" s="44"/>
      <c r="P275" s="44"/>
      <c r="Q275" s="44"/>
      <c r="R275" s="84"/>
      <c r="S275" s="47"/>
      <c r="T275" s="47"/>
    </row>
    <row r="276" s="27" customFormat="1" ht="18" customHeight="1" spans="1:20">
      <c r="A276" s="34"/>
      <c r="B276" s="48">
        <v>20</v>
      </c>
      <c r="C276" s="48"/>
      <c r="D276" s="88"/>
      <c r="E276" s="72"/>
      <c r="F276" s="77"/>
      <c r="G276" s="89"/>
      <c r="H276" s="74"/>
      <c r="I276" s="74"/>
      <c r="J276" s="95"/>
      <c r="K276" s="92"/>
      <c r="L276" s="92"/>
      <c r="M276" s="44"/>
      <c r="N276" s="44"/>
      <c r="O276" s="44"/>
      <c r="P276" s="44"/>
      <c r="Q276" s="44"/>
      <c r="R276" s="84"/>
      <c r="S276" s="47"/>
      <c r="T276" s="47"/>
    </row>
    <row r="277" s="27" customFormat="1" ht="18" customHeight="1" spans="1:20">
      <c r="A277" s="34"/>
      <c r="B277" s="48">
        <v>21</v>
      </c>
      <c r="C277" s="48"/>
      <c r="D277" s="88"/>
      <c r="E277" s="72"/>
      <c r="F277" s="77"/>
      <c r="G277" s="89"/>
      <c r="H277" s="74"/>
      <c r="I277" s="74"/>
      <c r="J277" s="95"/>
      <c r="K277" s="92"/>
      <c r="L277" s="92"/>
      <c r="M277" s="44"/>
      <c r="N277" s="44"/>
      <c r="O277" s="44"/>
      <c r="P277" s="44"/>
      <c r="Q277" s="44"/>
      <c r="R277" s="84"/>
      <c r="S277" s="47"/>
      <c r="T277" s="47"/>
    </row>
    <row r="278" s="27" customFormat="1" ht="18" customHeight="1" spans="1:20">
      <c r="A278" s="34"/>
      <c r="B278" s="48">
        <v>22</v>
      </c>
      <c r="C278" s="48"/>
      <c r="D278" s="27"/>
      <c r="E278" s="72"/>
      <c r="F278" s="77"/>
      <c r="G278" s="72"/>
      <c r="H278" s="74"/>
      <c r="I278" s="74"/>
      <c r="J278" s="95"/>
      <c r="K278" s="92"/>
      <c r="L278" s="92"/>
      <c r="M278" s="44"/>
      <c r="N278" s="44"/>
      <c r="O278" s="44"/>
      <c r="P278" s="44"/>
      <c r="Q278" s="44"/>
      <c r="R278" s="62"/>
      <c r="S278" s="47"/>
      <c r="T278" s="47"/>
    </row>
    <row r="279" s="27" customFormat="1" ht="18" customHeight="1" spans="1:20">
      <c r="A279" s="34"/>
      <c r="B279" s="48">
        <v>23</v>
      </c>
      <c r="C279" s="48"/>
      <c r="D279" s="88"/>
      <c r="E279" s="72"/>
      <c r="F279" s="77"/>
      <c r="G279" s="89"/>
      <c r="H279" s="74"/>
      <c r="I279" s="74"/>
      <c r="J279" s="95"/>
      <c r="K279" s="92"/>
      <c r="L279" s="92"/>
      <c r="M279" s="44"/>
      <c r="N279" s="44"/>
      <c r="O279" s="44"/>
      <c r="P279" s="44"/>
      <c r="Q279" s="44"/>
      <c r="R279" s="62"/>
      <c r="S279" s="47"/>
      <c r="T279" s="47"/>
    </row>
    <row r="280" s="27" customFormat="1" ht="18" customHeight="1" spans="1:20">
      <c r="A280" s="34"/>
      <c r="B280" s="48">
        <v>24</v>
      </c>
      <c r="C280" s="48"/>
      <c r="D280" s="88" t="s">
        <v>478</v>
      </c>
      <c r="E280" s="72" t="s">
        <v>43</v>
      </c>
      <c r="F280" s="77"/>
      <c r="G280" s="72">
        <v>1</v>
      </c>
      <c r="H280" s="74">
        <v>1</v>
      </c>
      <c r="I280" s="74">
        <f>+辅材及安装费!$E$8</f>
        <v>10</v>
      </c>
      <c r="J280" s="95">
        <f>H280*I280</f>
        <v>10</v>
      </c>
      <c r="K280" s="92"/>
      <c r="L280" s="92"/>
      <c r="M280" s="44"/>
      <c r="N280" s="44"/>
      <c r="O280" s="44"/>
      <c r="P280" s="44"/>
      <c r="Q280" s="44"/>
      <c r="R280" s="62"/>
      <c r="S280" s="47"/>
      <c r="T280" s="47"/>
    </row>
    <row r="281" s="27" customFormat="1" ht="18" customHeight="1" spans="1:20">
      <c r="A281" s="34"/>
      <c r="B281" s="48">
        <v>25</v>
      </c>
      <c r="C281" s="48"/>
      <c r="D281" s="93" t="s">
        <v>442</v>
      </c>
      <c r="E281" s="72"/>
      <c r="F281" s="77"/>
      <c r="G281" s="72"/>
      <c r="H281" s="74"/>
      <c r="I281" s="74"/>
      <c r="J281" s="95">
        <f>SUM(J258:J280)</f>
        <v>484.489987610619</v>
      </c>
      <c r="K281" s="92"/>
      <c r="L281" s="94"/>
      <c r="M281" s="27"/>
      <c r="N281" s="83"/>
      <c r="O281" s="83"/>
      <c r="P281" s="83"/>
      <c r="Q281" s="83"/>
      <c r="R281" s="87"/>
      <c r="S281" s="47"/>
      <c r="T281" s="47"/>
    </row>
    <row r="282" s="27" customFormat="1" ht="18" customHeight="1" spans="1:20">
      <c r="A282" s="34"/>
      <c r="B282" s="48">
        <v>1</v>
      </c>
      <c r="C282" s="48" t="s">
        <v>443</v>
      </c>
      <c r="D282" s="48" t="s">
        <v>444</v>
      </c>
      <c r="E282" s="72" t="s">
        <v>43</v>
      </c>
      <c r="F282" s="50"/>
      <c r="G282" s="48"/>
      <c r="H282" s="51">
        <v>1</v>
      </c>
      <c r="I282" s="74">
        <f>+辅材及安装费!$F$8</f>
        <v>5</v>
      </c>
      <c r="J282" s="95">
        <f>H282*I282</f>
        <v>5</v>
      </c>
      <c r="K282" s="118"/>
      <c r="L282" s="96"/>
      <c r="M282" s="97"/>
      <c r="N282" s="98"/>
      <c r="O282" s="98"/>
      <c r="P282" s="98"/>
      <c r="Q282" s="98"/>
      <c r="R282" s="99"/>
      <c r="S282" s="47"/>
      <c r="T282" s="47"/>
    </row>
    <row r="283" s="26" customFormat="1" ht="30" customHeight="1" spans="1:20">
      <c r="A283" s="28"/>
      <c r="B283" s="29" t="s">
        <v>386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30"/>
      <c r="M283" s="31"/>
      <c r="N283" s="31"/>
      <c r="O283" s="31"/>
      <c r="P283" s="31"/>
      <c r="Q283" s="31"/>
      <c r="R283" s="32"/>
      <c r="S283" s="33"/>
      <c r="T283" s="33"/>
    </row>
    <row r="284" s="27" customFormat="1" ht="33.75" customHeight="1" spans="1:20">
      <c r="A284" s="34">
        <v>6</v>
      </c>
      <c r="B284" s="35" t="s">
        <v>1</v>
      </c>
      <c r="C284" s="35" t="s">
        <v>387</v>
      </c>
      <c r="D284" s="36" t="str">
        <f>+A292</f>
        <v>35㎜蓝眼睛石材（凹槽）</v>
      </c>
      <c r="E284" s="37"/>
      <c r="F284" s="38" t="s">
        <v>99</v>
      </c>
      <c r="G284" s="39"/>
      <c r="H284" s="35" t="s">
        <v>388</v>
      </c>
      <c r="I284" s="40" t="s">
        <v>389</v>
      </c>
      <c r="J284" s="41" t="s">
        <v>37</v>
      </c>
      <c r="K284" s="42">
        <f ca="1">VLOOKUP(A284,排屋工程量清单!$A$49:$D$57,4,)</f>
        <v>60.33889</v>
      </c>
      <c r="L284" s="43"/>
      <c r="M284" s="44"/>
      <c r="N284" s="44"/>
      <c r="O284" s="44"/>
      <c r="P284" s="45"/>
      <c r="Q284" s="44"/>
      <c r="R284" s="46"/>
      <c r="S284" s="47"/>
      <c r="T284" s="47"/>
    </row>
    <row r="285" s="27" customFormat="1" ht="18" customHeight="1" spans="1:20">
      <c r="A285" s="34"/>
      <c r="B285" s="48">
        <v>1</v>
      </c>
      <c r="C285" s="49" t="s">
        <v>390</v>
      </c>
      <c r="D285" s="48" t="s">
        <v>391</v>
      </c>
      <c r="E285" s="48"/>
      <c r="F285" s="50"/>
      <c r="G285" s="48"/>
      <c r="H285" s="51"/>
      <c r="I285" s="52">
        <f>J297</f>
        <v>210</v>
      </c>
      <c r="J285" s="53" t="s">
        <v>392</v>
      </c>
      <c r="K285" s="54"/>
      <c r="L285" s="55" t="s">
        <v>114</v>
      </c>
      <c r="M285" s="56" t="s">
        <v>486</v>
      </c>
      <c r="N285" s="57"/>
      <c r="O285" s="57">
        <f>1.72*2</f>
        <v>3.44</v>
      </c>
      <c r="P285" s="57">
        <f>0.32</f>
        <v>0.32</v>
      </c>
      <c r="Q285" s="57">
        <v>1</v>
      </c>
      <c r="R285" s="58">
        <f>+Q285*P285*O285</f>
        <v>1.1008</v>
      </c>
      <c r="S285" s="47"/>
      <c r="T285" s="47"/>
    </row>
    <row r="286" s="27" customFormat="1" ht="18" customHeight="1" spans="1:20">
      <c r="A286" s="34"/>
      <c r="B286" s="48">
        <v>2</v>
      </c>
      <c r="C286" s="59"/>
      <c r="D286" s="48" t="s">
        <v>394</v>
      </c>
      <c r="E286" s="48"/>
      <c r="F286" s="50"/>
      <c r="G286" s="48"/>
      <c r="H286" s="51"/>
      <c r="I286" s="52">
        <f>J321</f>
        <v>873.377461251029</v>
      </c>
      <c r="J286" s="53" t="s">
        <v>392</v>
      </c>
      <c r="K286" s="60"/>
      <c r="L286" s="61" t="s">
        <v>99</v>
      </c>
      <c r="M286" s="44"/>
      <c r="N286" s="44"/>
      <c r="O286" s="44"/>
      <c r="P286" s="44"/>
      <c r="Q286" s="44"/>
      <c r="R286" s="62"/>
      <c r="S286" s="47"/>
      <c r="T286" s="47"/>
    </row>
    <row r="287" s="27" customFormat="1" ht="18" customHeight="1" spans="1:20">
      <c r="A287" s="34"/>
      <c r="B287" s="48">
        <v>3</v>
      </c>
      <c r="C287" s="63"/>
      <c r="D287" s="48" t="s">
        <v>395</v>
      </c>
      <c r="E287" s="48"/>
      <c r="F287" s="50"/>
      <c r="G287" s="48"/>
      <c r="H287" s="51"/>
      <c r="I287" s="52">
        <f>J322</f>
        <v>5</v>
      </c>
      <c r="J287" s="53" t="s">
        <v>392</v>
      </c>
      <c r="K287" s="60"/>
      <c r="L287" s="60"/>
      <c r="M287" s="64" t="s">
        <v>396</v>
      </c>
      <c r="N287" s="65" t="s">
        <v>397</v>
      </c>
      <c r="O287" s="65" t="s">
        <v>398</v>
      </c>
      <c r="P287" s="65" t="s">
        <v>399</v>
      </c>
      <c r="Q287" s="65" t="s">
        <v>400</v>
      </c>
      <c r="R287" s="66" t="s">
        <v>401</v>
      </c>
      <c r="S287" s="47"/>
      <c r="T287" s="47"/>
    </row>
    <row r="288" s="27" customFormat="1" ht="18" customHeight="1" spans="1:20">
      <c r="A288" s="34"/>
      <c r="B288" s="48">
        <v>4</v>
      </c>
      <c r="C288" s="48" t="s">
        <v>402</v>
      </c>
      <c r="D288" s="67" t="s">
        <v>403</v>
      </c>
      <c r="E288" s="67"/>
      <c r="F288" s="50"/>
      <c r="G288" s="67"/>
      <c r="H288" s="68"/>
      <c r="I288" s="52">
        <f>SUM(I285:I287)</f>
        <v>1088.37746125103</v>
      </c>
      <c r="J288" s="53" t="s">
        <v>392</v>
      </c>
      <c r="K288" s="60"/>
      <c r="L288" s="69" t="s">
        <v>431</v>
      </c>
      <c r="M288" s="34" t="s">
        <v>460</v>
      </c>
      <c r="N288" s="102">
        <v>10.21</v>
      </c>
      <c r="O288" s="34">
        <v>0.355</v>
      </c>
      <c r="P288" s="34">
        <v>4</v>
      </c>
      <c r="Q288" s="44">
        <f t="shared" ref="Q288:Q292" si="35">+P288*O288*N288</f>
        <v>14.4982</v>
      </c>
      <c r="R288" s="71">
        <f>+Q288/R285</f>
        <v>13.1706031976744</v>
      </c>
      <c r="S288" s="47"/>
      <c r="T288" s="47"/>
    </row>
    <row r="289" s="27" customFormat="1" ht="28" customHeight="1" spans="1:20">
      <c r="A289" s="34"/>
      <c r="B289" s="48">
        <v>5</v>
      </c>
      <c r="C289" s="72" t="s">
        <v>406</v>
      </c>
      <c r="D289" s="48" t="s">
        <v>407</v>
      </c>
      <c r="E289" s="48"/>
      <c r="F289" s="50"/>
      <c r="G289" s="48"/>
      <c r="H289" s="73">
        <f>+'材料表 '!$E$178</f>
        <v>0</v>
      </c>
      <c r="I289" s="52">
        <f>H289*I288</f>
        <v>0</v>
      </c>
      <c r="J289" s="53" t="s">
        <v>392</v>
      </c>
      <c r="K289" s="60"/>
      <c r="L289" s="69" t="s">
        <v>461</v>
      </c>
      <c r="M289" s="34" t="s">
        <v>462</v>
      </c>
      <c r="N289" s="34">
        <v>3.77</v>
      </c>
      <c r="O289" s="34">
        <f>+O285</f>
        <v>3.44</v>
      </c>
      <c r="P289" s="34">
        <v>2</v>
      </c>
      <c r="Q289" s="44">
        <f t="shared" si="35"/>
        <v>25.9376</v>
      </c>
      <c r="R289" s="71">
        <f>+Q289/R285</f>
        <v>23.5625</v>
      </c>
      <c r="S289" s="47"/>
      <c r="T289" s="47"/>
    </row>
    <row r="290" s="27" customFormat="1" ht="18" customHeight="1" spans="1:20">
      <c r="A290" s="34"/>
      <c r="B290" s="48">
        <v>6</v>
      </c>
      <c r="C290" s="48" t="s">
        <v>409</v>
      </c>
      <c r="D290" s="48" t="s">
        <v>410</v>
      </c>
      <c r="E290" s="48"/>
      <c r="F290" s="50"/>
      <c r="G290" s="48"/>
      <c r="H290" s="73">
        <f>+'材料表 '!$E$179</f>
        <v>0</v>
      </c>
      <c r="I290" s="52">
        <f>H290*I288</f>
        <v>0</v>
      </c>
      <c r="J290" s="53" t="s">
        <v>392</v>
      </c>
      <c r="K290" s="60"/>
      <c r="L290" s="69" t="s">
        <v>463</v>
      </c>
      <c r="M290" s="34" t="s">
        <v>464</v>
      </c>
      <c r="N290" s="34">
        <f>0.15*0.2*7.85*10</f>
        <v>2.355</v>
      </c>
      <c r="O290" s="34">
        <f>1</f>
        <v>1</v>
      </c>
      <c r="P290" s="34">
        <f>+P288</f>
        <v>4</v>
      </c>
      <c r="Q290" s="44">
        <f t="shared" si="35"/>
        <v>9.42</v>
      </c>
      <c r="R290" s="71">
        <f>+Q290/R285</f>
        <v>8.55741279069767</v>
      </c>
      <c r="S290" s="47"/>
      <c r="T290" s="47"/>
    </row>
    <row r="291" s="27" customFormat="1" ht="18" customHeight="1" spans="1:20">
      <c r="A291" s="34"/>
      <c r="B291" s="48">
        <v>7</v>
      </c>
      <c r="C291" s="48" t="s">
        <v>412</v>
      </c>
      <c r="D291" s="72" t="s">
        <v>413</v>
      </c>
      <c r="E291" s="72"/>
      <c r="F291" s="77"/>
      <c r="G291" s="72"/>
      <c r="H291" s="73">
        <f>+'材料表 '!$E$180</f>
        <v>0.09</v>
      </c>
      <c r="I291" s="52">
        <f>(I288+I289+I290)*H291</f>
        <v>97.9539715125926</v>
      </c>
      <c r="J291" s="53" t="s">
        <v>392</v>
      </c>
      <c r="K291" s="60"/>
      <c r="L291" s="69" t="s">
        <v>465</v>
      </c>
      <c r="M291" s="34" t="s">
        <v>482</v>
      </c>
      <c r="N291" s="100">
        <f>3.77</f>
        <v>3.77</v>
      </c>
      <c r="O291" s="34">
        <v>0.265</v>
      </c>
      <c r="P291" s="34">
        <v>0</v>
      </c>
      <c r="Q291" s="44">
        <f t="shared" si="35"/>
        <v>0</v>
      </c>
      <c r="R291" s="71">
        <f>+Q291/R285</f>
        <v>0</v>
      </c>
      <c r="S291" s="47"/>
      <c r="T291" s="47"/>
    </row>
    <row r="292" s="27" customFormat="1" ht="18" customHeight="1" spans="1:20">
      <c r="A292" s="105" t="s">
        <v>110</v>
      </c>
      <c r="B292" s="48">
        <v>8</v>
      </c>
      <c r="C292" s="48" t="s">
        <v>363</v>
      </c>
      <c r="D292" s="106" t="s">
        <v>415</v>
      </c>
      <c r="E292" s="107"/>
      <c r="F292" s="108"/>
      <c r="G292" s="107"/>
      <c r="H292" s="51"/>
      <c r="I292" s="74">
        <f>SUM(I288:I291)</f>
        <v>1186.33143276362</v>
      </c>
      <c r="J292" s="53" t="s">
        <v>416</v>
      </c>
      <c r="K292" s="60"/>
      <c r="L292" s="69" t="s">
        <v>465</v>
      </c>
      <c r="M292" s="44" t="s">
        <v>487</v>
      </c>
      <c r="N292" s="126">
        <v>5.778</v>
      </c>
      <c r="O292" s="44">
        <v>0.06</v>
      </c>
      <c r="P292" s="44">
        <f>+P288*2</f>
        <v>8</v>
      </c>
      <c r="Q292" s="44">
        <f t="shared" si="35"/>
        <v>2.77344</v>
      </c>
      <c r="R292" s="84">
        <f>+Q292/R285</f>
        <v>2.51947674418605</v>
      </c>
      <c r="S292" s="79"/>
      <c r="T292" s="47"/>
    </row>
    <row r="293" s="27" customFormat="1" ht="18" customHeight="1" spans="1:20">
      <c r="A293" s="34"/>
      <c r="B293" s="109" t="s">
        <v>418</v>
      </c>
      <c r="C293" s="110"/>
      <c r="D293" s="110"/>
      <c r="E293" s="110"/>
      <c r="F293" s="110"/>
      <c r="G293" s="110"/>
      <c r="H293" s="110"/>
      <c r="I293" s="110"/>
      <c r="J293" s="110"/>
      <c r="K293" s="80"/>
      <c r="L293" s="90" t="s">
        <v>469</v>
      </c>
      <c r="M293" s="44"/>
      <c r="N293" s="82"/>
      <c r="O293" s="44">
        <f>2*4</f>
        <v>8</v>
      </c>
      <c r="P293" s="44">
        <v>1</v>
      </c>
      <c r="Q293" s="44">
        <f>+P293*O293</f>
        <v>8</v>
      </c>
      <c r="R293" s="84">
        <f>+Q293/R285</f>
        <v>7.26744186046512</v>
      </c>
      <c r="S293" s="47"/>
      <c r="T293" s="47"/>
    </row>
    <row r="294" s="27" customFormat="1" ht="18" customHeight="1" spans="1:20">
      <c r="A294" s="34"/>
      <c r="B294" s="48">
        <v>1</v>
      </c>
      <c r="C294" s="48" t="s">
        <v>391</v>
      </c>
      <c r="D294" s="48" t="s">
        <v>396</v>
      </c>
      <c r="E294" s="48" t="s">
        <v>37</v>
      </c>
      <c r="F294" s="50"/>
      <c r="G294" s="48"/>
      <c r="H294" s="51" t="s">
        <v>399</v>
      </c>
      <c r="I294" s="51" t="s">
        <v>420</v>
      </c>
      <c r="J294" s="95" t="s">
        <v>421</v>
      </c>
      <c r="K294" s="92"/>
      <c r="L294" s="90"/>
      <c r="M294" s="44"/>
      <c r="N294" s="82"/>
      <c r="O294" s="44"/>
      <c r="P294" s="44"/>
      <c r="Q294" s="44"/>
      <c r="R294" s="84"/>
      <c r="S294" s="47"/>
      <c r="T294" s="47"/>
    </row>
    <row r="295" s="27" customFormat="1" ht="18" customHeight="1" spans="1:20">
      <c r="A295" s="34"/>
      <c r="B295" s="48">
        <v>2</v>
      </c>
      <c r="C295" s="48"/>
      <c r="D295" s="111" t="s">
        <v>470</v>
      </c>
      <c r="E295" s="49" t="s">
        <v>423</v>
      </c>
      <c r="F295" s="112"/>
      <c r="G295" s="111"/>
      <c r="H295" s="113">
        <v>1</v>
      </c>
      <c r="I295" s="113">
        <f>+辅材及安装费!$G$8</f>
        <v>210</v>
      </c>
      <c r="J295" s="114">
        <f t="shared" ref="J295:J310" si="36">H295*I295</f>
        <v>210</v>
      </c>
      <c r="K295" s="92"/>
      <c r="L295" s="90" t="s">
        <v>471</v>
      </c>
      <c r="M295" s="44"/>
      <c r="N295" s="82"/>
      <c r="O295" s="44"/>
      <c r="P295" s="44"/>
      <c r="Q295" s="44">
        <f>+Q293</f>
        <v>8</v>
      </c>
      <c r="R295" s="84">
        <f>+Q295/R285</f>
        <v>7.26744186046512</v>
      </c>
      <c r="S295" s="47"/>
      <c r="T295" s="47"/>
    </row>
    <row r="296" s="27" customFormat="1" ht="18" customHeight="1" spans="1:20">
      <c r="A296" s="34"/>
      <c r="B296" s="48">
        <v>3</v>
      </c>
      <c r="C296" s="48"/>
      <c r="D296" s="115"/>
      <c r="E296" s="63"/>
      <c r="F296" s="116"/>
      <c r="G296" s="115"/>
      <c r="H296" s="117"/>
      <c r="I296" s="117"/>
      <c r="J296" s="118"/>
      <c r="K296" s="92"/>
      <c r="L296" s="90" t="s">
        <v>472</v>
      </c>
      <c r="M296" s="44"/>
      <c r="N296" s="82"/>
      <c r="O296" s="44"/>
      <c r="P296" s="44">
        <f>O290*P290*2</f>
        <v>8</v>
      </c>
      <c r="Q296" s="44">
        <v>0</v>
      </c>
      <c r="R296" s="84">
        <f>+Q296/R285</f>
        <v>0</v>
      </c>
      <c r="S296" s="47"/>
      <c r="T296" s="47"/>
    </row>
    <row r="297" s="27" customFormat="1" ht="18" customHeight="1" spans="1:20">
      <c r="A297" s="34"/>
      <c r="B297" s="48">
        <v>4</v>
      </c>
      <c r="C297" s="48"/>
      <c r="D297" s="85" t="s">
        <v>426</v>
      </c>
      <c r="E297" s="48" t="s">
        <v>392</v>
      </c>
      <c r="F297" s="50"/>
      <c r="G297" s="48"/>
      <c r="H297" s="86"/>
      <c r="I297" s="86"/>
      <c r="J297" s="95">
        <f>SUM(J295:J295)</f>
        <v>210</v>
      </c>
      <c r="K297" s="92"/>
      <c r="L297" s="90" t="s">
        <v>473</v>
      </c>
      <c r="M297" s="44"/>
      <c r="N297" s="82"/>
      <c r="O297" s="44"/>
      <c r="P297" s="44"/>
      <c r="Q297" s="44">
        <f>+(Q293)*3</f>
        <v>24</v>
      </c>
      <c r="R297" s="84">
        <f>+Q297/R285</f>
        <v>21.8023255813953</v>
      </c>
      <c r="S297" s="47"/>
      <c r="T297" s="47"/>
    </row>
    <row r="298" s="27" customFormat="1" ht="24" customHeight="1" spans="1:20">
      <c r="A298" s="34"/>
      <c r="B298" s="48">
        <v>1</v>
      </c>
      <c r="C298" s="48" t="s">
        <v>394</v>
      </c>
      <c r="D298" s="88" t="s">
        <v>431</v>
      </c>
      <c r="E298" s="72" t="str">
        <f>+VLOOKUP(D298,'材料表 '!C:F,2,0)</f>
        <v>kg</v>
      </c>
      <c r="F298" s="77">
        <f>+SUMIF($L$285:$L$322,D298,$R$285:$R$322)</f>
        <v>13.1706031976744</v>
      </c>
      <c r="G298" s="89">
        <f>+VLOOKUP(D298,'材料表 '!C:F,4,0)</f>
        <v>0.03</v>
      </c>
      <c r="H298" s="74">
        <f t="shared" ref="H298:H310" si="37">F298*(G298+1)</f>
        <v>13.5657212936046</v>
      </c>
      <c r="I298" s="74">
        <f>+VLOOKUP(D298,'材料表 '!C:F,3,0)</f>
        <v>3.80530973451327</v>
      </c>
      <c r="J298" s="95">
        <f t="shared" si="36"/>
        <v>51.6217712942477</v>
      </c>
      <c r="K298" s="60">
        <f ca="1">H298*K284</f>
        <v>818.540564905466</v>
      </c>
      <c r="L298" s="90"/>
      <c r="M298" s="44"/>
      <c r="N298" s="82"/>
      <c r="O298" s="44"/>
      <c r="P298" s="44"/>
      <c r="Q298" s="44"/>
      <c r="R298" s="84"/>
      <c r="S298" s="47"/>
      <c r="T298" s="47"/>
    </row>
    <row r="299" s="27" customFormat="1" ht="18" customHeight="1" spans="1:20">
      <c r="A299" s="34"/>
      <c r="B299" s="48">
        <v>2</v>
      </c>
      <c r="C299" s="48"/>
      <c r="D299" s="88" t="s">
        <v>461</v>
      </c>
      <c r="E299" s="72" t="str">
        <f>+VLOOKUP(D299,'材料表 '!C:F,2,0)</f>
        <v>kg</v>
      </c>
      <c r="F299" s="77">
        <f t="shared" ref="F299:F308" si="38">+SUMIF($L$285:$L$322,D299,$R$285:$R$322)</f>
        <v>23.5625</v>
      </c>
      <c r="G299" s="89">
        <f>+VLOOKUP(D299,'材料表 '!C:F,4,0)</f>
        <v>0.03</v>
      </c>
      <c r="H299" s="74">
        <f t="shared" si="37"/>
        <v>24.269375</v>
      </c>
      <c r="I299" s="74">
        <f>+VLOOKUP(D299,'材料表 '!C:F,3,0)</f>
        <v>3.53982300884956</v>
      </c>
      <c r="J299" s="95">
        <f t="shared" si="36"/>
        <v>85.9092920353983</v>
      </c>
      <c r="K299" s="60">
        <f ca="1">H299*K284</f>
        <v>1464.38714849375</v>
      </c>
      <c r="L299" s="90"/>
      <c r="M299" s="44"/>
      <c r="N299" s="82"/>
      <c r="O299" s="44"/>
      <c r="P299" s="44"/>
      <c r="Q299" s="44"/>
      <c r="R299" s="84"/>
      <c r="S299" s="47"/>
      <c r="T299" s="47"/>
    </row>
    <row r="300" s="27" customFormat="1" ht="18" customHeight="1" spans="1:20">
      <c r="A300" s="34"/>
      <c r="B300" s="48">
        <v>3</v>
      </c>
      <c r="C300" s="48"/>
      <c r="D300" s="88" t="s">
        <v>465</v>
      </c>
      <c r="E300" s="72" t="str">
        <f>+VLOOKUP(D300,'材料表 '!C:F,2,0)</f>
        <v>kg</v>
      </c>
      <c r="F300" s="77">
        <f t="shared" si="38"/>
        <v>2.51947674418605</v>
      </c>
      <c r="G300" s="89">
        <f>+VLOOKUP(D300,'材料表 '!C:F,4,0)</f>
        <v>0.03</v>
      </c>
      <c r="H300" s="74">
        <f t="shared" si="37"/>
        <v>2.59506104651163</v>
      </c>
      <c r="I300" s="74">
        <f>+VLOOKUP(D300,'材料表 '!C:F,3,0)</f>
        <v>6.01769911504425</v>
      </c>
      <c r="J300" s="95">
        <f t="shared" si="36"/>
        <v>15.6162965630789</v>
      </c>
      <c r="K300" s="60">
        <f ca="1">H300*K284</f>
        <v>156.58310302875</v>
      </c>
      <c r="L300" s="90" t="s">
        <v>474</v>
      </c>
      <c r="M300" s="44"/>
      <c r="N300" s="82"/>
      <c r="O300" s="44"/>
      <c r="P300" s="44"/>
      <c r="Q300" s="44">
        <f>+O290*P290*4</f>
        <v>16</v>
      </c>
      <c r="R300" s="84">
        <f>+Q300/R285</f>
        <v>14.5348837209302</v>
      </c>
      <c r="S300" s="47"/>
      <c r="T300" s="47"/>
    </row>
    <row r="301" s="27" customFormat="1" ht="18" customHeight="1" spans="1:20">
      <c r="A301" s="34"/>
      <c r="B301" s="48">
        <v>4</v>
      </c>
      <c r="C301" s="48"/>
      <c r="D301" s="88" t="s">
        <v>463</v>
      </c>
      <c r="E301" s="72" t="str">
        <f>+VLOOKUP(D301,'材料表 '!C:F,2,0)</f>
        <v>kg</v>
      </c>
      <c r="F301" s="77">
        <f t="shared" si="38"/>
        <v>8.55741279069767</v>
      </c>
      <c r="G301" s="89">
        <f>+VLOOKUP(D301,'材料表 '!C:F,4,0)</f>
        <v>0.03</v>
      </c>
      <c r="H301" s="74">
        <f t="shared" si="37"/>
        <v>8.8141351744186</v>
      </c>
      <c r="I301" s="74">
        <f>+VLOOKUP(D301,'材料表 '!C:F,3,0)</f>
        <v>6.01769911504425</v>
      </c>
      <c r="J301" s="95">
        <f t="shared" si="36"/>
        <v>53.0408134389792</v>
      </c>
      <c r="K301" s="60">
        <f ca="1">H301*K284</f>
        <v>531.835132734375</v>
      </c>
      <c r="L301" s="90" t="s">
        <v>475</v>
      </c>
      <c r="M301" s="44"/>
      <c r="N301" s="83"/>
      <c r="O301" s="82"/>
      <c r="P301" s="44"/>
      <c r="Q301" s="44"/>
      <c r="R301" s="84"/>
      <c r="S301" s="47"/>
      <c r="T301" s="47"/>
    </row>
    <row r="302" s="27" customFormat="1" ht="18" customHeight="1" spans="1:20">
      <c r="A302" s="34"/>
      <c r="B302" s="48">
        <v>5</v>
      </c>
      <c r="C302" s="48"/>
      <c r="D302" s="88" t="s">
        <v>469</v>
      </c>
      <c r="E302" s="72" t="str">
        <f>+VLOOKUP(D302,'材料表 '!C:F,2,0)</f>
        <v>套</v>
      </c>
      <c r="F302" s="77">
        <f t="shared" si="38"/>
        <v>7.26744186046512</v>
      </c>
      <c r="G302" s="89">
        <f>+VLOOKUP(D302,'材料表 '!C:F,4,0)</f>
        <v>0</v>
      </c>
      <c r="H302" s="74">
        <f t="shared" si="37"/>
        <v>7.26744186046512</v>
      </c>
      <c r="I302" s="74">
        <f>+VLOOKUP(D302,'材料表 '!C:F,3,0)</f>
        <v>5.30973451327434</v>
      </c>
      <c r="J302" s="95">
        <f t="shared" si="36"/>
        <v>38.5881868697263</v>
      </c>
      <c r="K302" s="60">
        <f ca="1">H302*K284</f>
        <v>438.509375</v>
      </c>
      <c r="L302" s="92" t="s">
        <v>476</v>
      </c>
      <c r="M302" s="44"/>
      <c r="N302" s="82"/>
      <c r="O302" s="44"/>
      <c r="P302" s="44"/>
      <c r="Q302" s="44">
        <f>6*6*(O285*2+P285*3)/500</f>
        <v>0.56448</v>
      </c>
      <c r="R302" s="84">
        <f>+Q302/R285</f>
        <v>0.512790697674419</v>
      </c>
      <c r="S302" s="47"/>
      <c r="T302" s="47"/>
    </row>
    <row r="303" s="27" customFormat="1" ht="18" customHeight="1" spans="1:20">
      <c r="A303" s="34"/>
      <c r="B303" s="48">
        <v>7</v>
      </c>
      <c r="C303" s="48"/>
      <c r="D303" s="88" t="s">
        <v>471</v>
      </c>
      <c r="E303" s="72" t="str">
        <f>+VLOOKUP(D303,'材料表 '!C:F,2,0)</f>
        <v>套</v>
      </c>
      <c r="F303" s="77">
        <f t="shared" si="38"/>
        <v>7.26744186046512</v>
      </c>
      <c r="G303" s="89">
        <f>+VLOOKUP(D303,'材料表 '!C:F,4,0)</f>
        <v>0</v>
      </c>
      <c r="H303" s="74">
        <f t="shared" si="37"/>
        <v>7.26744186046512</v>
      </c>
      <c r="I303" s="74">
        <f>+VLOOKUP(D303,'材料表 '!C:F,3,0)</f>
        <v>1.32743362831858</v>
      </c>
      <c r="J303" s="95">
        <f t="shared" si="36"/>
        <v>9.64704671743154</v>
      </c>
      <c r="K303" s="60">
        <f ca="1">H303*K284</f>
        <v>438.509375</v>
      </c>
      <c r="L303" s="92"/>
      <c r="M303" s="44"/>
      <c r="N303" s="82"/>
      <c r="O303" s="44"/>
      <c r="P303" s="44"/>
      <c r="Q303" s="44"/>
      <c r="R303" s="84">
        <f>+Q303/R285</f>
        <v>0</v>
      </c>
      <c r="S303" s="47"/>
      <c r="T303" s="47"/>
    </row>
    <row r="304" s="27" customFormat="1" ht="18" customHeight="1" spans="1:20">
      <c r="A304" s="34"/>
      <c r="B304" s="48">
        <v>8</v>
      </c>
      <c r="C304" s="48"/>
      <c r="D304" s="88" t="s">
        <v>472</v>
      </c>
      <c r="E304" s="72" t="str">
        <f>+VLOOKUP(D304,'材料表 '!C:F,2,0)</f>
        <v>套</v>
      </c>
      <c r="F304" s="77">
        <f t="shared" si="38"/>
        <v>0</v>
      </c>
      <c r="G304" s="89">
        <f>+VLOOKUP(D304,'材料表 '!C:F,4,0)</f>
        <v>0</v>
      </c>
      <c r="H304" s="74">
        <f t="shared" si="37"/>
        <v>0</v>
      </c>
      <c r="I304" s="74">
        <f>+VLOOKUP(D304,'材料表 '!C:F,3,0)</f>
        <v>2.47787610619469</v>
      </c>
      <c r="J304" s="95">
        <f t="shared" si="36"/>
        <v>0</v>
      </c>
      <c r="K304" s="60">
        <f ca="1">H304*K284</f>
        <v>0</v>
      </c>
      <c r="L304" s="92"/>
      <c r="M304" s="44"/>
      <c r="N304" s="82"/>
      <c r="O304" s="44"/>
      <c r="P304" s="44"/>
      <c r="Q304" s="44"/>
      <c r="R304" s="84"/>
      <c r="S304" s="47"/>
      <c r="T304" s="47"/>
    </row>
    <row r="305" s="27" customFormat="1" ht="18" customHeight="1" spans="1:20">
      <c r="A305" s="34"/>
      <c r="B305" s="48">
        <v>9</v>
      </c>
      <c r="C305" s="48"/>
      <c r="D305" s="88" t="s">
        <v>473</v>
      </c>
      <c r="E305" s="72" t="str">
        <f>+VLOOKUP(D305,'材料表 '!C:F,2,0)</f>
        <v>套</v>
      </c>
      <c r="F305" s="77">
        <f t="shared" si="38"/>
        <v>21.8023255813953</v>
      </c>
      <c r="G305" s="89">
        <f>+VLOOKUP(D305,'材料表 '!C:F,4,0)</f>
        <v>0</v>
      </c>
      <c r="H305" s="74">
        <f t="shared" si="37"/>
        <v>21.8023255813953</v>
      </c>
      <c r="I305" s="74">
        <f>+VLOOKUP(D305,'材料表 '!C:F,3,0)</f>
        <v>0.247787610619469</v>
      </c>
      <c r="J305" s="95">
        <f t="shared" si="36"/>
        <v>5.40234616176167</v>
      </c>
      <c r="K305" s="60">
        <f ca="1">H305*K284</f>
        <v>1315.528125</v>
      </c>
      <c r="L305" s="90"/>
      <c r="M305" s="44"/>
      <c r="N305" s="82"/>
      <c r="O305" s="34"/>
      <c r="P305" s="44"/>
      <c r="Q305" s="44"/>
      <c r="R305" s="119"/>
      <c r="S305" s="47"/>
      <c r="T305" s="47"/>
    </row>
    <row r="306" s="27" customFormat="1" ht="18" customHeight="1" spans="1:20">
      <c r="A306" s="34"/>
      <c r="B306" s="48">
        <v>10</v>
      </c>
      <c r="C306" s="48"/>
      <c r="D306" s="88" t="s">
        <v>474</v>
      </c>
      <c r="E306" s="72" t="str">
        <f>+VLOOKUP(D306,'材料表 '!C:F,2,0)</f>
        <v>套</v>
      </c>
      <c r="F306" s="77">
        <f t="shared" si="38"/>
        <v>14.5348837209302</v>
      </c>
      <c r="G306" s="89">
        <f>+VLOOKUP(D306,'材料表 '!C:F,4,0)</f>
        <v>0</v>
      </c>
      <c r="H306" s="74">
        <f t="shared" si="37"/>
        <v>14.5348837209302</v>
      </c>
      <c r="I306" s="74">
        <f>+VLOOKUP(D306,'材料表 '!C:F,3,0)</f>
        <v>2.21238938053097</v>
      </c>
      <c r="J306" s="95">
        <f t="shared" si="36"/>
        <v>32.1568223914384</v>
      </c>
      <c r="K306" s="60">
        <f ca="1">H306*K284</f>
        <v>877.018749999998</v>
      </c>
      <c r="L306" s="92"/>
      <c r="M306" s="120"/>
      <c r="N306" s="82"/>
      <c r="O306" s="44"/>
      <c r="P306" s="44"/>
      <c r="Q306" s="44"/>
      <c r="R306" s="84"/>
      <c r="S306" s="47"/>
      <c r="T306" s="47"/>
    </row>
    <row r="307" s="27" customFormat="1" ht="18" customHeight="1" spans="1:20">
      <c r="A307" s="34"/>
      <c r="B307" s="48">
        <v>11</v>
      </c>
      <c r="C307" s="48"/>
      <c r="D307" s="88" t="s">
        <v>477</v>
      </c>
      <c r="E307" s="72" t="str">
        <f>+VLOOKUP(D307,'材料表 '!C:F,2,0)</f>
        <v>kg</v>
      </c>
      <c r="F307" s="77">
        <v>0.2</v>
      </c>
      <c r="G307" s="89">
        <f>+VLOOKUP(D307,'材料表 '!C:F,4,0)</f>
        <v>0.15</v>
      </c>
      <c r="H307" s="74">
        <f t="shared" si="37"/>
        <v>0.23</v>
      </c>
      <c r="I307" s="74">
        <f>+VLOOKUP(D307,'材料表 '!C:F,3,0)</f>
        <v>10.6194690265487</v>
      </c>
      <c r="J307" s="95">
        <f t="shared" si="36"/>
        <v>2.4424778761062</v>
      </c>
      <c r="K307" s="60">
        <f ca="1">H307*K284</f>
        <v>13.8779447</v>
      </c>
      <c r="L307" s="92"/>
      <c r="M307" s="44"/>
      <c r="N307" s="82"/>
      <c r="O307" s="44"/>
      <c r="P307" s="44"/>
      <c r="Q307" s="44"/>
      <c r="R307" s="84"/>
      <c r="S307" s="47"/>
      <c r="T307" s="47"/>
    </row>
    <row r="308" s="27" customFormat="1" ht="18" customHeight="1" spans="1:20">
      <c r="A308" s="34"/>
      <c r="B308" s="48">
        <v>12</v>
      </c>
      <c r="C308" s="48"/>
      <c r="D308" s="88" t="s">
        <v>476</v>
      </c>
      <c r="E308" s="72" t="str">
        <f>+VLOOKUP(D308,'材料表 '!C:F,2,0)</f>
        <v>支</v>
      </c>
      <c r="F308" s="77">
        <f>+SUMIF($L$285:$L$322,D308,$R$285:$R$322)</f>
        <v>0.512790697674419</v>
      </c>
      <c r="G308" s="89">
        <f>+VLOOKUP(D308,'材料表 '!C:F,4,0)</f>
        <v>0.15</v>
      </c>
      <c r="H308" s="74">
        <f t="shared" si="37"/>
        <v>0.589709302325582</v>
      </c>
      <c r="I308" s="74">
        <f>+VLOOKUP(D308,'材料表 '!C:F,3,0)</f>
        <v>11.5044247787611</v>
      </c>
      <c r="J308" s="95">
        <f t="shared" si="36"/>
        <v>6.78426630994034</v>
      </c>
      <c r="K308" s="60">
        <f ca="1">H308*K284</f>
        <v>35.582404725</v>
      </c>
      <c r="L308" s="92"/>
      <c r="M308" s="44"/>
      <c r="N308" s="44"/>
      <c r="O308" s="44"/>
      <c r="P308" s="44"/>
      <c r="Q308" s="44"/>
      <c r="R308" s="84"/>
      <c r="S308" s="47"/>
      <c r="T308" s="47"/>
    </row>
    <row r="309" s="27" customFormat="1" ht="18" customHeight="1" spans="1:20">
      <c r="A309" s="34"/>
      <c r="B309" s="48">
        <v>13</v>
      </c>
      <c r="C309" s="48"/>
      <c r="D309" s="88"/>
      <c r="E309" s="72"/>
      <c r="F309" s="77"/>
      <c r="G309" s="89"/>
      <c r="H309" s="74"/>
      <c r="I309" s="74"/>
      <c r="J309" s="95"/>
      <c r="K309" s="60">
        <f ca="1">H309*K284</f>
        <v>0</v>
      </c>
      <c r="L309" s="92"/>
      <c r="M309" s="44"/>
      <c r="N309" s="44"/>
      <c r="O309" s="44"/>
      <c r="P309" s="44"/>
      <c r="Q309" s="44"/>
      <c r="R309" s="84"/>
      <c r="S309" s="47"/>
      <c r="T309" s="47"/>
    </row>
    <row r="310" s="27" customFormat="1" ht="18" customHeight="1" spans="1:20">
      <c r="A310" s="34"/>
      <c r="B310" s="48">
        <v>14</v>
      </c>
      <c r="C310" s="48"/>
      <c r="D310" s="88" t="s">
        <v>110</v>
      </c>
      <c r="E310" s="72" t="str">
        <f>+VLOOKUP(D310,'材料表 '!C:F,2,0)</f>
        <v>m2</v>
      </c>
      <c r="F310" s="77">
        <v>1</v>
      </c>
      <c r="G310" s="89">
        <f>+VLOOKUP(D310,'材料表 '!C:F,4,0)</f>
        <v>0.05</v>
      </c>
      <c r="H310" s="74">
        <f t="shared" si="37"/>
        <v>1.05</v>
      </c>
      <c r="I310" s="74">
        <f>+VLOOKUP(D310,'材料表 '!C:F,3,0)</f>
        <v>535.398230088496</v>
      </c>
      <c r="J310" s="95">
        <f t="shared" si="36"/>
        <v>562.168141592921</v>
      </c>
      <c r="K310" s="60">
        <f ca="1">H310*K284</f>
        <v>63.3558345</v>
      </c>
      <c r="L310" s="92"/>
      <c r="M310" s="44"/>
      <c r="N310" s="44"/>
      <c r="O310" s="44"/>
      <c r="P310" s="44"/>
      <c r="Q310" s="44"/>
      <c r="R310" s="84"/>
      <c r="S310" s="47"/>
      <c r="T310" s="47"/>
    </row>
    <row r="311" s="27" customFormat="1" ht="18" customHeight="1" spans="1:20">
      <c r="A311" s="34"/>
      <c r="B311" s="48">
        <v>15</v>
      </c>
      <c r="C311" s="48"/>
      <c r="D311" s="88"/>
      <c r="E311" s="72"/>
      <c r="F311" s="77"/>
      <c r="G311" s="89"/>
      <c r="H311" s="74"/>
      <c r="I311" s="74"/>
      <c r="J311" s="95"/>
      <c r="K311" s="92"/>
      <c r="L311" s="92"/>
      <c r="M311" s="44"/>
      <c r="N311" s="44"/>
      <c r="O311" s="44"/>
      <c r="P311" s="44"/>
      <c r="Q311" s="44"/>
      <c r="R311" s="84"/>
      <c r="S311" s="47"/>
      <c r="T311" s="47"/>
    </row>
    <row r="312" s="27" customFormat="1" ht="18" customHeight="1" spans="1:20">
      <c r="A312" s="34"/>
      <c r="B312" s="48">
        <v>16</v>
      </c>
      <c r="C312" s="48"/>
      <c r="D312" s="88"/>
      <c r="E312" s="72"/>
      <c r="F312" s="77"/>
      <c r="G312" s="89"/>
      <c r="H312" s="74"/>
      <c r="I312" s="74"/>
      <c r="J312" s="95"/>
      <c r="K312" s="92"/>
      <c r="L312" s="92"/>
      <c r="M312" s="44"/>
      <c r="N312" s="44"/>
      <c r="O312" s="44"/>
      <c r="P312" s="44"/>
      <c r="Q312" s="44"/>
      <c r="R312" s="84"/>
      <c r="S312" s="47"/>
      <c r="T312" s="47"/>
    </row>
    <row r="313" s="27" customFormat="1" ht="18" customHeight="1" spans="1:20">
      <c r="A313" s="34"/>
      <c r="B313" s="48">
        <v>17</v>
      </c>
      <c r="C313" s="48"/>
      <c r="D313" s="121"/>
      <c r="E313" s="72"/>
      <c r="F313" s="77"/>
      <c r="G313" s="89"/>
      <c r="H313" s="74"/>
      <c r="I313" s="74"/>
      <c r="J313" s="95"/>
      <c r="K313" s="92"/>
      <c r="L313" s="92"/>
      <c r="M313" s="44"/>
      <c r="N313" s="44"/>
      <c r="O313" s="44"/>
      <c r="P313" s="44"/>
      <c r="Q313" s="101"/>
      <c r="R313" s="84"/>
      <c r="S313" s="47"/>
      <c r="T313" s="47"/>
    </row>
    <row r="314" s="27" customFormat="1" ht="18" customHeight="1" spans="1:20">
      <c r="A314" s="34"/>
      <c r="B314" s="48">
        <v>18</v>
      </c>
      <c r="C314" s="48"/>
      <c r="D314" s="88"/>
      <c r="E314" s="72"/>
      <c r="F314" s="77"/>
      <c r="G314" s="89"/>
      <c r="H314" s="74"/>
      <c r="I314" s="74"/>
      <c r="J314" s="95"/>
      <c r="K314" s="92"/>
      <c r="L314" s="92"/>
      <c r="M314" s="44"/>
      <c r="N314" s="44"/>
      <c r="O314" s="44"/>
      <c r="P314" s="44"/>
      <c r="Q314" s="44"/>
      <c r="R314" s="84"/>
      <c r="S314" s="47"/>
      <c r="T314" s="47"/>
    </row>
    <row r="315" s="27" customFormat="1" ht="18" customHeight="1" spans="1:20">
      <c r="A315" s="34"/>
      <c r="B315" s="48">
        <v>19</v>
      </c>
      <c r="C315" s="48"/>
      <c r="D315" s="27"/>
      <c r="E315" s="72"/>
      <c r="F315" s="77"/>
      <c r="G315" s="89"/>
      <c r="H315" s="74"/>
      <c r="I315" s="74"/>
      <c r="J315" s="95"/>
      <c r="K315" s="92"/>
      <c r="L315" s="92"/>
      <c r="M315" s="44"/>
      <c r="N315" s="44"/>
      <c r="O315" s="44"/>
      <c r="P315" s="44"/>
      <c r="Q315" s="44"/>
      <c r="R315" s="84"/>
      <c r="S315" s="47"/>
      <c r="T315" s="47"/>
    </row>
    <row r="316" s="27" customFormat="1" ht="18" customHeight="1" spans="1:20">
      <c r="A316" s="34"/>
      <c r="B316" s="48">
        <v>20</v>
      </c>
      <c r="C316" s="48"/>
      <c r="D316" s="88"/>
      <c r="E316" s="72"/>
      <c r="F316" s="77"/>
      <c r="G316" s="89"/>
      <c r="H316" s="74"/>
      <c r="I316" s="74"/>
      <c r="J316" s="95"/>
      <c r="K316" s="92"/>
      <c r="L316" s="92"/>
      <c r="M316" s="44"/>
      <c r="N316" s="44"/>
      <c r="O316" s="44"/>
      <c r="P316" s="44"/>
      <c r="Q316" s="44"/>
      <c r="R316" s="84"/>
      <c r="S316" s="47"/>
      <c r="T316" s="47"/>
    </row>
    <row r="317" s="27" customFormat="1" ht="18" customHeight="1" spans="1:20">
      <c r="A317" s="34"/>
      <c r="B317" s="48">
        <v>21</v>
      </c>
      <c r="C317" s="48"/>
      <c r="D317" s="88"/>
      <c r="E317" s="72"/>
      <c r="F317" s="77"/>
      <c r="G317" s="89"/>
      <c r="H317" s="74"/>
      <c r="I317" s="74"/>
      <c r="J317" s="95"/>
      <c r="K317" s="92"/>
      <c r="L317" s="92"/>
      <c r="M317" s="44"/>
      <c r="N317" s="44"/>
      <c r="O317" s="44"/>
      <c r="P317" s="44"/>
      <c r="Q317" s="44"/>
      <c r="R317" s="84"/>
      <c r="S317" s="47"/>
      <c r="T317" s="47"/>
    </row>
    <row r="318" s="27" customFormat="1" ht="18" customHeight="1" spans="1:20">
      <c r="A318" s="34"/>
      <c r="B318" s="48">
        <v>22</v>
      </c>
      <c r="C318" s="48"/>
      <c r="D318" s="27"/>
      <c r="E318" s="72"/>
      <c r="F318" s="77"/>
      <c r="G318" s="72"/>
      <c r="H318" s="74"/>
      <c r="I318" s="74"/>
      <c r="J318" s="95"/>
      <c r="K318" s="92"/>
      <c r="L318" s="92"/>
      <c r="M318" s="44"/>
      <c r="N318" s="44"/>
      <c r="O318" s="44"/>
      <c r="P318" s="44"/>
      <c r="Q318" s="44"/>
      <c r="R318" s="62"/>
      <c r="S318" s="47"/>
      <c r="T318" s="47"/>
    </row>
    <row r="319" s="27" customFormat="1" ht="18" customHeight="1" spans="1:20">
      <c r="A319" s="34"/>
      <c r="B319" s="48">
        <v>23</v>
      </c>
      <c r="C319" s="48"/>
      <c r="D319" s="88"/>
      <c r="E319" s="72"/>
      <c r="F319" s="77"/>
      <c r="G319" s="89"/>
      <c r="H319" s="74"/>
      <c r="I319" s="74"/>
      <c r="J319" s="95"/>
      <c r="K319" s="92"/>
      <c r="L319" s="92"/>
      <c r="M319" s="44"/>
      <c r="N319" s="44"/>
      <c r="O319" s="44"/>
      <c r="P319" s="44"/>
      <c r="Q319" s="44"/>
      <c r="R319" s="62"/>
      <c r="S319" s="47"/>
      <c r="T319" s="47"/>
    </row>
    <row r="320" s="27" customFormat="1" ht="18" customHeight="1" spans="1:20">
      <c r="A320" s="34"/>
      <c r="B320" s="48">
        <v>24</v>
      </c>
      <c r="C320" s="48"/>
      <c r="D320" s="88" t="s">
        <v>478</v>
      </c>
      <c r="E320" s="72" t="s">
        <v>43</v>
      </c>
      <c r="F320" s="77"/>
      <c r="G320" s="72">
        <v>1</v>
      </c>
      <c r="H320" s="74">
        <v>1</v>
      </c>
      <c r="I320" s="74">
        <f>+辅材及安装费!$E$8</f>
        <v>10</v>
      </c>
      <c r="J320" s="95">
        <f t="shared" ref="J319:J322" si="39">H320*I320</f>
        <v>10</v>
      </c>
      <c r="K320" s="92"/>
      <c r="L320" s="92"/>
      <c r="M320" s="44"/>
      <c r="N320" s="44"/>
      <c r="O320" s="44"/>
      <c r="P320" s="44"/>
      <c r="Q320" s="44"/>
      <c r="R320" s="62"/>
      <c r="S320" s="47"/>
      <c r="T320" s="47"/>
    </row>
    <row r="321" s="27" customFormat="1" ht="18" customHeight="1" spans="1:20">
      <c r="A321" s="34"/>
      <c r="B321" s="48">
        <v>25</v>
      </c>
      <c r="C321" s="48"/>
      <c r="D321" s="93" t="s">
        <v>442</v>
      </c>
      <c r="E321" s="72"/>
      <c r="F321" s="77"/>
      <c r="G321" s="72"/>
      <c r="H321" s="74"/>
      <c r="I321" s="74"/>
      <c r="J321" s="95">
        <f>SUM(J298:J320)</f>
        <v>873.377461251029</v>
      </c>
      <c r="K321" s="92"/>
      <c r="L321" s="94"/>
      <c r="M321" s="27"/>
      <c r="N321" s="83"/>
      <c r="O321" s="83"/>
      <c r="P321" s="83"/>
      <c r="Q321" s="83"/>
      <c r="R321" s="87"/>
      <c r="S321" s="47"/>
      <c r="T321" s="47"/>
    </row>
    <row r="322" s="27" customFormat="1" ht="18" customHeight="1" spans="1:20">
      <c r="B322" s="48">
        <v>1</v>
      </c>
      <c r="C322" s="48" t="s">
        <v>443</v>
      </c>
      <c r="D322" s="48" t="s">
        <v>444</v>
      </c>
      <c r="E322" s="72" t="s">
        <v>43</v>
      </c>
      <c r="F322" s="50"/>
      <c r="G322" s="48"/>
      <c r="H322" s="51">
        <v>1</v>
      </c>
      <c r="I322" s="74">
        <f>+辅材及安装费!$F$8</f>
        <v>5</v>
      </c>
      <c r="J322" s="95">
        <f t="shared" si="39"/>
        <v>5</v>
      </c>
      <c r="K322" s="118"/>
      <c r="L322" s="96"/>
      <c r="M322" s="97"/>
      <c r="N322" s="98"/>
      <c r="O322" s="98"/>
      <c r="P322" s="98"/>
      <c r="Q322" s="98"/>
      <c r="R322" s="99"/>
      <c r="S322" s="47"/>
      <c r="T322" s="47"/>
    </row>
    <row r="323" s="26" customFormat="1" ht="30" customHeight="1" spans="1:20">
      <c r="A323" s="28"/>
      <c r="B323" s="29" t="s">
        <v>386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30"/>
      <c r="M323" s="31"/>
      <c r="N323" s="31"/>
      <c r="O323" s="31"/>
      <c r="P323" s="31"/>
      <c r="Q323" s="31"/>
      <c r="R323" s="32"/>
      <c r="S323" s="33"/>
      <c r="T323" s="33"/>
    </row>
    <row r="324" s="27" customFormat="1" ht="33.75" customHeight="1" spans="1:20">
      <c r="A324" s="34">
        <v>7</v>
      </c>
      <c r="B324" s="35" t="s">
        <v>1</v>
      </c>
      <c r="C324" s="35" t="s">
        <v>387</v>
      </c>
      <c r="D324" s="36" t="str">
        <f>+A332</f>
        <v>35㎜蓝眼睛石材（凹槽）圆弧</v>
      </c>
      <c r="E324" s="37"/>
      <c r="F324" s="38" t="s">
        <v>99</v>
      </c>
      <c r="G324" s="39"/>
      <c r="H324" s="35" t="s">
        <v>388</v>
      </c>
      <c r="I324" s="40" t="s">
        <v>389</v>
      </c>
      <c r="J324" s="41" t="s">
        <v>37</v>
      </c>
      <c r="K324" s="42">
        <f ca="1">VLOOKUP(A324,排屋工程量清单!$A$49:$D$57,4,)</f>
        <v>12.067778</v>
      </c>
      <c r="L324" s="43"/>
      <c r="M324" s="44"/>
      <c r="N324" s="44"/>
      <c r="O324" s="44"/>
      <c r="P324" s="45"/>
      <c r="Q324" s="44"/>
      <c r="R324" s="46"/>
      <c r="S324" s="47"/>
      <c r="T324" s="47"/>
    </row>
    <row r="325" s="27" customFormat="1" ht="18" customHeight="1" spans="1:20">
      <c r="A325" s="34"/>
      <c r="B325" s="48">
        <v>1</v>
      </c>
      <c r="C325" s="49" t="s">
        <v>390</v>
      </c>
      <c r="D325" s="48" t="s">
        <v>391</v>
      </c>
      <c r="E325" s="48"/>
      <c r="F325" s="50"/>
      <c r="G325" s="48"/>
      <c r="H325" s="51"/>
      <c r="I325" s="52">
        <f>J337</f>
        <v>210</v>
      </c>
      <c r="J325" s="53" t="s">
        <v>392</v>
      </c>
      <c r="K325" s="54"/>
      <c r="L325" s="55" t="s">
        <v>114</v>
      </c>
      <c r="M325" s="56" t="s">
        <v>486</v>
      </c>
      <c r="N325" s="57"/>
      <c r="O325" s="57">
        <f>0.65*2</f>
        <v>1.3</v>
      </c>
      <c r="P325" s="57">
        <f>0.32</f>
        <v>0.32</v>
      </c>
      <c r="Q325" s="57">
        <v>1</v>
      </c>
      <c r="R325" s="58">
        <f>+Q325*P325*O325</f>
        <v>0.416</v>
      </c>
      <c r="S325" s="47"/>
      <c r="T325" s="47"/>
    </row>
    <row r="326" s="27" customFormat="1" ht="18" customHeight="1" spans="1:20">
      <c r="A326" s="34"/>
      <c r="B326" s="48">
        <v>2</v>
      </c>
      <c r="C326" s="59"/>
      <c r="D326" s="48" t="s">
        <v>394</v>
      </c>
      <c r="E326" s="48"/>
      <c r="F326" s="50"/>
      <c r="G326" s="48"/>
      <c r="H326" s="51"/>
      <c r="I326" s="52">
        <f>J361</f>
        <v>2062.02581132998</v>
      </c>
      <c r="J326" s="53" t="s">
        <v>392</v>
      </c>
      <c r="K326" s="60"/>
      <c r="L326" s="61" t="s">
        <v>99</v>
      </c>
      <c r="M326" s="44"/>
      <c r="N326" s="44"/>
      <c r="O326" s="44"/>
      <c r="P326" s="44"/>
      <c r="Q326" s="44"/>
      <c r="R326" s="62"/>
      <c r="S326" s="47"/>
      <c r="T326" s="47"/>
    </row>
    <row r="327" s="27" customFormat="1" ht="18" customHeight="1" spans="1:20">
      <c r="A327" s="34"/>
      <c r="B327" s="48">
        <v>3</v>
      </c>
      <c r="C327" s="63"/>
      <c r="D327" s="48" t="s">
        <v>395</v>
      </c>
      <c r="E327" s="48"/>
      <c r="F327" s="50"/>
      <c r="G327" s="48"/>
      <c r="H327" s="51"/>
      <c r="I327" s="52">
        <f>J362</f>
        <v>5</v>
      </c>
      <c r="J327" s="53" t="s">
        <v>392</v>
      </c>
      <c r="K327" s="60"/>
      <c r="L327" s="60"/>
      <c r="M327" s="64" t="s">
        <v>396</v>
      </c>
      <c r="N327" s="65" t="s">
        <v>397</v>
      </c>
      <c r="O327" s="65" t="s">
        <v>398</v>
      </c>
      <c r="P327" s="65" t="s">
        <v>399</v>
      </c>
      <c r="Q327" s="65" t="s">
        <v>400</v>
      </c>
      <c r="R327" s="66" t="s">
        <v>401</v>
      </c>
      <c r="S327" s="47"/>
      <c r="T327" s="47"/>
    </row>
    <row r="328" s="27" customFormat="1" ht="18" customHeight="1" spans="1:20">
      <c r="A328" s="34"/>
      <c r="B328" s="48">
        <v>4</v>
      </c>
      <c r="C328" s="48" t="s">
        <v>402</v>
      </c>
      <c r="D328" s="67" t="s">
        <v>403</v>
      </c>
      <c r="E328" s="67"/>
      <c r="F328" s="50"/>
      <c r="G328" s="67"/>
      <c r="H328" s="68"/>
      <c r="I328" s="52">
        <f>SUM(I325:I327)</f>
        <v>2277.02581132998</v>
      </c>
      <c r="J328" s="53" t="s">
        <v>392</v>
      </c>
      <c r="K328" s="60"/>
      <c r="L328" s="69" t="s">
        <v>431</v>
      </c>
      <c r="M328" s="34" t="s">
        <v>460</v>
      </c>
      <c r="N328" s="102">
        <v>10.21</v>
      </c>
      <c r="O328" s="34">
        <v>0.355</v>
      </c>
      <c r="P328" s="34">
        <v>1</v>
      </c>
      <c r="Q328" s="44">
        <f t="shared" ref="Q328:Q332" si="40">+P328*O328*N328</f>
        <v>3.62455</v>
      </c>
      <c r="R328" s="71">
        <f>+Q328/R325</f>
        <v>8.71286057692308</v>
      </c>
      <c r="S328" s="47"/>
      <c r="T328" s="47"/>
    </row>
    <row r="329" s="27" customFormat="1" ht="28" customHeight="1" spans="1:20">
      <c r="A329" s="34"/>
      <c r="B329" s="48">
        <v>5</v>
      </c>
      <c r="C329" s="72" t="s">
        <v>406</v>
      </c>
      <c r="D329" s="48" t="s">
        <v>407</v>
      </c>
      <c r="E329" s="48"/>
      <c r="F329" s="50"/>
      <c r="G329" s="48"/>
      <c r="H329" s="73">
        <f>+'材料表 '!$E$178</f>
        <v>0</v>
      </c>
      <c r="I329" s="52">
        <f>H329*I328</f>
        <v>0</v>
      </c>
      <c r="J329" s="53" t="s">
        <v>392</v>
      </c>
      <c r="K329" s="60"/>
      <c r="L329" s="69" t="s">
        <v>461</v>
      </c>
      <c r="M329" s="34" t="s">
        <v>462</v>
      </c>
      <c r="N329" s="34">
        <v>3.77</v>
      </c>
      <c r="O329" s="34">
        <f>+O325</f>
        <v>1.3</v>
      </c>
      <c r="P329" s="34">
        <v>2</v>
      </c>
      <c r="Q329" s="44">
        <f t="shared" si="40"/>
        <v>9.802</v>
      </c>
      <c r="R329" s="71">
        <f>+Q329/R325</f>
        <v>23.5625</v>
      </c>
      <c r="S329" s="47"/>
      <c r="T329" s="47"/>
    </row>
    <row r="330" s="27" customFormat="1" ht="18" customHeight="1" spans="1:20">
      <c r="A330" s="34"/>
      <c r="B330" s="48">
        <v>6</v>
      </c>
      <c r="C330" s="48" t="s">
        <v>409</v>
      </c>
      <c r="D330" s="48" t="s">
        <v>410</v>
      </c>
      <c r="E330" s="48"/>
      <c r="F330" s="50"/>
      <c r="G330" s="48"/>
      <c r="H330" s="73">
        <f>+'材料表 '!$E$179</f>
        <v>0</v>
      </c>
      <c r="I330" s="52">
        <f>H330*I328</f>
        <v>0</v>
      </c>
      <c r="J330" s="53" t="s">
        <v>392</v>
      </c>
      <c r="K330" s="60"/>
      <c r="L330" s="69" t="s">
        <v>463</v>
      </c>
      <c r="M330" s="34" t="s">
        <v>464</v>
      </c>
      <c r="N330" s="34">
        <f>0.15*0.2*7.85*10</f>
        <v>2.355</v>
      </c>
      <c r="O330" s="34">
        <f>1</f>
        <v>1</v>
      </c>
      <c r="P330" s="34">
        <f>+P328</f>
        <v>1</v>
      </c>
      <c r="Q330" s="44">
        <f t="shared" si="40"/>
        <v>2.355</v>
      </c>
      <c r="R330" s="71">
        <f>+Q330/R325</f>
        <v>5.66105769230769</v>
      </c>
      <c r="S330" s="47"/>
      <c r="T330" s="47"/>
    </row>
    <row r="331" s="27" customFormat="1" ht="18" customHeight="1" spans="1:20">
      <c r="A331" s="34"/>
      <c r="B331" s="48">
        <v>7</v>
      </c>
      <c r="C331" s="48" t="s">
        <v>412</v>
      </c>
      <c r="D331" s="72" t="s">
        <v>413</v>
      </c>
      <c r="E331" s="72"/>
      <c r="F331" s="77"/>
      <c r="G331" s="72"/>
      <c r="H331" s="73">
        <f>+'材料表 '!$E$180</f>
        <v>0.09</v>
      </c>
      <c r="I331" s="52">
        <f>(I328+I329+I330)*H331</f>
        <v>204.932323019698</v>
      </c>
      <c r="J331" s="53" t="s">
        <v>392</v>
      </c>
      <c r="K331" s="60"/>
      <c r="L331" s="69" t="s">
        <v>465</v>
      </c>
      <c r="M331" s="34" t="s">
        <v>482</v>
      </c>
      <c r="N331" s="100">
        <f>3.77</f>
        <v>3.77</v>
      </c>
      <c r="O331" s="34">
        <v>0.265</v>
      </c>
      <c r="P331" s="34">
        <v>0</v>
      </c>
      <c r="Q331" s="44">
        <f t="shared" si="40"/>
        <v>0</v>
      </c>
      <c r="R331" s="71">
        <f>+Q331/R325</f>
        <v>0</v>
      </c>
      <c r="S331" s="47"/>
      <c r="T331" s="47"/>
    </row>
    <row r="332" s="27" customFormat="1" ht="18" customHeight="1" spans="1:20">
      <c r="A332" s="105" t="s">
        <v>112</v>
      </c>
      <c r="B332" s="48">
        <v>8</v>
      </c>
      <c r="C332" s="48" t="s">
        <v>363</v>
      </c>
      <c r="D332" s="106" t="s">
        <v>415</v>
      </c>
      <c r="E332" s="107"/>
      <c r="F332" s="108"/>
      <c r="G332" s="107"/>
      <c r="H332" s="51"/>
      <c r="I332" s="74">
        <f>SUM(I328:I331)</f>
        <v>2481.95813434968</v>
      </c>
      <c r="J332" s="53" t="s">
        <v>416</v>
      </c>
      <c r="K332" s="60"/>
      <c r="L332" s="69" t="s">
        <v>465</v>
      </c>
      <c r="M332" s="44" t="s">
        <v>487</v>
      </c>
      <c r="N332" s="126">
        <v>5.778</v>
      </c>
      <c r="O332" s="44">
        <v>0.06</v>
      </c>
      <c r="P332" s="44">
        <f>+P328*2</f>
        <v>2</v>
      </c>
      <c r="Q332" s="44">
        <f t="shared" si="40"/>
        <v>0.69336</v>
      </c>
      <c r="R332" s="84">
        <f>+Q332/R325</f>
        <v>1.66673076923077</v>
      </c>
      <c r="S332" s="79"/>
      <c r="T332" s="47"/>
    </row>
    <row r="333" s="27" customFormat="1" ht="18" customHeight="1" spans="1:20">
      <c r="A333" s="34"/>
      <c r="B333" s="109" t="s">
        <v>418</v>
      </c>
      <c r="C333" s="110"/>
      <c r="D333" s="110"/>
      <c r="E333" s="110"/>
      <c r="F333" s="110"/>
      <c r="G333" s="110"/>
      <c r="H333" s="110"/>
      <c r="I333" s="110"/>
      <c r="J333" s="110"/>
      <c r="K333" s="80"/>
      <c r="L333" s="90" t="s">
        <v>469</v>
      </c>
      <c r="M333" s="44"/>
      <c r="N333" s="82"/>
      <c r="O333" s="44">
        <f>2*4</f>
        <v>8</v>
      </c>
      <c r="P333" s="44">
        <v>1</v>
      </c>
      <c r="Q333" s="44">
        <f>+P333*O333</f>
        <v>8</v>
      </c>
      <c r="R333" s="84">
        <f>+Q333/R325</f>
        <v>19.2307692307692</v>
      </c>
      <c r="S333" s="47"/>
      <c r="T333" s="47"/>
    </row>
    <row r="334" s="27" customFormat="1" ht="18" customHeight="1" spans="1:20">
      <c r="A334" s="34"/>
      <c r="B334" s="48">
        <v>1</v>
      </c>
      <c r="C334" s="48" t="s">
        <v>391</v>
      </c>
      <c r="D334" s="48" t="s">
        <v>396</v>
      </c>
      <c r="E334" s="48" t="s">
        <v>37</v>
      </c>
      <c r="F334" s="50"/>
      <c r="G334" s="48"/>
      <c r="H334" s="51" t="s">
        <v>399</v>
      </c>
      <c r="I334" s="51" t="s">
        <v>420</v>
      </c>
      <c r="J334" s="95" t="s">
        <v>421</v>
      </c>
      <c r="K334" s="92"/>
      <c r="L334" s="90"/>
      <c r="M334" s="44"/>
      <c r="N334" s="82"/>
      <c r="O334" s="44"/>
      <c r="P334" s="44"/>
      <c r="Q334" s="44"/>
      <c r="R334" s="84"/>
      <c r="S334" s="47"/>
      <c r="T334" s="47"/>
    </row>
    <row r="335" s="27" customFormat="1" ht="18" customHeight="1" spans="1:20">
      <c r="A335" s="34"/>
      <c r="B335" s="48">
        <v>2</v>
      </c>
      <c r="C335" s="48"/>
      <c r="D335" s="111" t="s">
        <v>470</v>
      </c>
      <c r="E335" s="49" t="s">
        <v>423</v>
      </c>
      <c r="F335" s="112"/>
      <c r="G335" s="111"/>
      <c r="H335" s="113">
        <v>1</v>
      </c>
      <c r="I335" s="113">
        <f>+辅材及安装费!$G$8</f>
        <v>210</v>
      </c>
      <c r="J335" s="114">
        <f t="shared" ref="J335:J350" si="41">H335*I335</f>
        <v>210</v>
      </c>
      <c r="K335" s="92"/>
      <c r="L335" s="90" t="s">
        <v>471</v>
      </c>
      <c r="M335" s="44"/>
      <c r="N335" s="82"/>
      <c r="O335" s="44"/>
      <c r="P335" s="44"/>
      <c r="Q335" s="44">
        <f>+Q333</f>
        <v>8</v>
      </c>
      <c r="R335" s="84">
        <f>+Q335/R325</f>
        <v>19.2307692307692</v>
      </c>
      <c r="S335" s="47"/>
      <c r="T335" s="47"/>
    </row>
    <row r="336" s="27" customFormat="1" ht="18" customHeight="1" spans="1:20">
      <c r="A336" s="34"/>
      <c r="B336" s="48">
        <v>3</v>
      </c>
      <c r="C336" s="48"/>
      <c r="D336" s="115"/>
      <c r="E336" s="63"/>
      <c r="F336" s="116"/>
      <c r="G336" s="115"/>
      <c r="H336" s="117"/>
      <c r="I336" s="117"/>
      <c r="J336" s="118"/>
      <c r="K336" s="92"/>
      <c r="L336" s="90" t="s">
        <v>472</v>
      </c>
      <c r="M336" s="44"/>
      <c r="N336" s="82"/>
      <c r="O336" s="44"/>
      <c r="P336" s="44">
        <f>O330*P330*2</f>
        <v>2</v>
      </c>
      <c r="Q336" s="44">
        <v>0</v>
      </c>
      <c r="R336" s="84">
        <f>+Q336/R325</f>
        <v>0</v>
      </c>
      <c r="S336" s="47"/>
      <c r="T336" s="47"/>
    </row>
    <row r="337" s="27" customFormat="1" ht="18" customHeight="1" spans="1:20">
      <c r="A337" s="34"/>
      <c r="B337" s="48">
        <v>4</v>
      </c>
      <c r="C337" s="48"/>
      <c r="D337" s="85" t="s">
        <v>426</v>
      </c>
      <c r="E337" s="48" t="s">
        <v>392</v>
      </c>
      <c r="F337" s="50"/>
      <c r="G337" s="48"/>
      <c r="H337" s="86"/>
      <c r="I337" s="86"/>
      <c r="J337" s="95">
        <f>SUM(J335:J335)</f>
        <v>210</v>
      </c>
      <c r="K337" s="92"/>
      <c r="L337" s="90" t="s">
        <v>473</v>
      </c>
      <c r="M337" s="44"/>
      <c r="N337" s="82"/>
      <c r="O337" s="44"/>
      <c r="P337" s="44"/>
      <c r="Q337" s="44">
        <f>+(Q333)*3</f>
        <v>24</v>
      </c>
      <c r="R337" s="84">
        <f>+Q337/R325</f>
        <v>57.6923076923077</v>
      </c>
      <c r="S337" s="47"/>
      <c r="T337" s="47"/>
    </row>
    <row r="338" s="27" customFormat="1" ht="25" customHeight="1" spans="1:20">
      <c r="A338" s="34"/>
      <c r="B338" s="48">
        <v>1</v>
      </c>
      <c r="C338" s="48" t="s">
        <v>394</v>
      </c>
      <c r="D338" s="88" t="s">
        <v>431</v>
      </c>
      <c r="E338" s="72" t="str">
        <f>+VLOOKUP(D338,'材料表 '!C:F,2,0)</f>
        <v>kg</v>
      </c>
      <c r="F338" s="77">
        <f>+SUMIF($L$325:$L$362,D338,$R$325:$R$362)</f>
        <v>8.71286057692308</v>
      </c>
      <c r="G338" s="89">
        <f>+VLOOKUP(D338,'材料表 '!C:F,4,0)</f>
        <v>0.03</v>
      </c>
      <c r="H338" s="74">
        <f t="shared" ref="H338:H350" si="42">F338*(G338+1)</f>
        <v>8.97424639423077</v>
      </c>
      <c r="I338" s="74">
        <f>+VLOOKUP(D338,'材料表 '!C:F,3,0)</f>
        <v>3.80530973451327</v>
      </c>
      <c r="J338" s="95">
        <f t="shared" si="41"/>
        <v>34.149787163887</v>
      </c>
      <c r="K338" s="60">
        <f ca="1">H338*K324</f>
        <v>108.299213202877</v>
      </c>
      <c r="L338" s="90"/>
      <c r="M338" s="44"/>
      <c r="N338" s="82"/>
      <c r="O338" s="44"/>
      <c r="P338" s="44"/>
      <c r="Q338" s="44"/>
      <c r="R338" s="84"/>
      <c r="S338" s="47"/>
      <c r="T338" s="47"/>
    </row>
    <row r="339" s="27" customFormat="1" ht="18" customHeight="1" spans="1:20">
      <c r="A339" s="34"/>
      <c r="B339" s="48">
        <v>2</v>
      </c>
      <c r="C339" s="48"/>
      <c r="D339" s="88" t="s">
        <v>461</v>
      </c>
      <c r="E339" s="72" t="str">
        <f>+VLOOKUP(D339,'材料表 '!C:F,2,0)</f>
        <v>kg</v>
      </c>
      <c r="F339" s="77">
        <f t="shared" ref="F339:F346" si="43">+SUMIF($L$325:$L$362,D339,$R$325:$R$362)</f>
        <v>23.5625</v>
      </c>
      <c r="G339" s="89">
        <f>+VLOOKUP(D339,'材料表 '!C:F,4,0)</f>
        <v>0.03</v>
      </c>
      <c r="H339" s="74">
        <f t="shared" si="42"/>
        <v>24.269375</v>
      </c>
      <c r="I339" s="74">
        <f>+VLOOKUP(D339,'材料表 '!C:F,3,0)</f>
        <v>3.53982300884956</v>
      </c>
      <c r="J339" s="95">
        <f t="shared" si="41"/>
        <v>85.9092920353983</v>
      </c>
      <c r="K339" s="60">
        <f ca="1">H339*K324</f>
        <v>292.87742969875</v>
      </c>
      <c r="L339" s="90"/>
      <c r="M339" s="44"/>
      <c r="N339" s="82"/>
      <c r="O339" s="44"/>
      <c r="P339" s="44"/>
      <c r="Q339" s="44"/>
      <c r="R339" s="84"/>
      <c r="S339" s="47"/>
      <c r="T339" s="47"/>
    </row>
    <row r="340" s="27" customFormat="1" ht="18" customHeight="1" spans="1:20">
      <c r="A340" s="34"/>
      <c r="B340" s="48">
        <v>3</v>
      </c>
      <c r="C340" s="48"/>
      <c r="D340" s="88" t="s">
        <v>465</v>
      </c>
      <c r="E340" s="72" t="str">
        <f>+VLOOKUP(D340,'材料表 '!C:F,2,0)</f>
        <v>kg</v>
      </c>
      <c r="F340" s="77">
        <f t="shared" si="43"/>
        <v>1.66673076923077</v>
      </c>
      <c r="G340" s="89">
        <f>+VLOOKUP(D340,'材料表 '!C:F,4,0)</f>
        <v>0.03</v>
      </c>
      <c r="H340" s="74">
        <f t="shared" si="42"/>
        <v>1.71673269230769</v>
      </c>
      <c r="I340" s="74">
        <f>+VLOOKUP(D340,'材料表 '!C:F,3,0)</f>
        <v>6.01769911504425</v>
      </c>
      <c r="J340" s="95">
        <f t="shared" si="41"/>
        <v>10.3307808032675</v>
      </c>
      <c r="K340" s="60">
        <f ca="1">H340*K324</f>
        <v>20.7171490161115</v>
      </c>
      <c r="L340" s="90" t="s">
        <v>474</v>
      </c>
      <c r="M340" s="44"/>
      <c r="N340" s="82"/>
      <c r="O340" s="44"/>
      <c r="P340" s="44"/>
      <c r="Q340" s="44">
        <f>+O330*P330*4</f>
        <v>4</v>
      </c>
      <c r="R340" s="84">
        <f>+Q340/R325</f>
        <v>9.61538461538461</v>
      </c>
      <c r="S340" s="47"/>
      <c r="T340" s="47"/>
    </row>
    <row r="341" s="27" customFormat="1" ht="18" customHeight="1" spans="1:20">
      <c r="A341" s="34"/>
      <c r="B341" s="48">
        <v>4</v>
      </c>
      <c r="C341" s="48"/>
      <c r="D341" s="88" t="s">
        <v>463</v>
      </c>
      <c r="E341" s="72" t="str">
        <f>+VLOOKUP(D341,'材料表 '!C:F,2,0)</f>
        <v>kg</v>
      </c>
      <c r="F341" s="77">
        <f t="shared" si="43"/>
        <v>5.66105769230769</v>
      </c>
      <c r="G341" s="89">
        <f>+VLOOKUP(D341,'材料表 '!C:F,4,0)</f>
        <v>0.03</v>
      </c>
      <c r="H341" s="74">
        <f t="shared" si="42"/>
        <v>5.83088942307692</v>
      </c>
      <c r="I341" s="74">
        <f>+VLOOKUP(D341,'材料表 '!C:F,3,0)</f>
        <v>6.01769911504425</v>
      </c>
      <c r="J341" s="95">
        <f t="shared" si="41"/>
        <v>35.0885381211709</v>
      </c>
      <c r="K341" s="60">
        <f ca="1">H341*K324</f>
        <v>70.3658791002403</v>
      </c>
      <c r="L341" s="90" t="s">
        <v>475</v>
      </c>
      <c r="M341" s="44"/>
      <c r="N341" s="83"/>
      <c r="O341" s="82"/>
      <c r="P341" s="44"/>
      <c r="Q341" s="44"/>
      <c r="R341" s="84"/>
      <c r="S341" s="47"/>
      <c r="T341" s="47"/>
    </row>
    <row r="342" s="27" customFormat="1" ht="18" customHeight="1" spans="1:20">
      <c r="A342" s="34"/>
      <c r="B342" s="48">
        <v>5</v>
      </c>
      <c r="C342" s="48"/>
      <c r="D342" s="88" t="s">
        <v>469</v>
      </c>
      <c r="E342" s="72" t="str">
        <f>+VLOOKUP(D342,'材料表 '!C:F,2,0)</f>
        <v>套</v>
      </c>
      <c r="F342" s="77">
        <f t="shared" si="43"/>
        <v>19.2307692307692</v>
      </c>
      <c r="G342" s="89">
        <f>+VLOOKUP(D342,'材料表 '!C:F,4,0)</f>
        <v>0</v>
      </c>
      <c r="H342" s="74">
        <f t="shared" si="42"/>
        <v>19.2307692307692</v>
      </c>
      <c r="I342" s="74">
        <f>+VLOOKUP(D342,'材料表 '!C:F,3,0)</f>
        <v>5.30973451327434</v>
      </c>
      <c r="J342" s="95">
        <f t="shared" si="41"/>
        <v>102.110279101429</v>
      </c>
      <c r="K342" s="60">
        <f ca="1">H342*K324</f>
        <v>232.072653846154</v>
      </c>
      <c r="L342" s="92" t="s">
        <v>476</v>
      </c>
      <c r="M342" s="44"/>
      <c r="N342" s="82"/>
      <c r="O342" s="44"/>
      <c r="P342" s="44"/>
      <c r="Q342" s="44">
        <f>6*6*(O325*2+P325*1)/500</f>
        <v>0.21024</v>
      </c>
      <c r="R342" s="84">
        <f>+Q342/R325</f>
        <v>0.505384615384615</v>
      </c>
      <c r="S342" s="47"/>
      <c r="T342" s="47"/>
    </row>
    <row r="343" s="27" customFormat="1" ht="18" customHeight="1" spans="1:20">
      <c r="A343" s="34"/>
      <c r="B343" s="48">
        <v>7</v>
      </c>
      <c r="C343" s="48"/>
      <c r="D343" s="88" t="s">
        <v>471</v>
      </c>
      <c r="E343" s="72" t="str">
        <f>+VLOOKUP(D343,'材料表 '!C:F,2,0)</f>
        <v>套</v>
      </c>
      <c r="F343" s="77">
        <f t="shared" si="43"/>
        <v>19.2307692307692</v>
      </c>
      <c r="G343" s="89">
        <f>+VLOOKUP(D343,'材料表 '!C:F,4,0)</f>
        <v>0</v>
      </c>
      <c r="H343" s="74">
        <f t="shared" si="42"/>
        <v>19.2307692307692</v>
      </c>
      <c r="I343" s="74">
        <f>+VLOOKUP(D343,'材料表 '!C:F,3,0)</f>
        <v>1.32743362831858</v>
      </c>
      <c r="J343" s="95">
        <f t="shared" si="41"/>
        <v>25.5275697753573</v>
      </c>
      <c r="K343" s="60">
        <f ca="1">H343*K324</f>
        <v>232.072653846154</v>
      </c>
      <c r="L343" s="92"/>
      <c r="M343" s="44"/>
      <c r="N343" s="82"/>
      <c r="O343" s="44"/>
      <c r="P343" s="44"/>
      <c r="Q343" s="44"/>
      <c r="R343" s="84">
        <f>+Q343/R325</f>
        <v>0</v>
      </c>
      <c r="S343" s="47"/>
      <c r="T343" s="47"/>
    </row>
    <row r="344" s="27" customFormat="1" ht="18" customHeight="1" spans="1:20">
      <c r="A344" s="34"/>
      <c r="B344" s="48">
        <v>8</v>
      </c>
      <c r="C344" s="48"/>
      <c r="D344" s="88" t="s">
        <v>472</v>
      </c>
      <c r="E344" s="72" t="str">
        <f>+VLOOKUP(D344,'材料表 '!C:F,2,0)</f>
        <v>套</v>
      </c>
      <c r="F344" s="77">
        <f t="shared" si="43"/>
        <v>0</v>
      </c>
      <c r="G344" s="89">
        <f>+VLOOKUP(D344,'材料表 '!C:F,4,0)</f>
        <v>0</v>
      </c>
      <c r="H344" s="74">
        <f t="shared" si="42"/>
        <v>0</v>
      </c>
      <c r="I344" s="74">
        <f>+VLOOKUP(D344,'材料表 '!C:F,3,0)</f>
        <v>2.47787610619469</v>
      </c>
      <c r="J344" s="95">
        <f t="shared" si="41"/>
        <v>0</v>
      </c>
      <c r="K344" s="60">
        <f ca="1">H344*K324</f>
        <v>0</v>
      </c>
      <c r="L344" s="92"/>
      <c r="M344" s="44"/>
      <c r="N344" s="82"/>
      <c r="O344" s="44"/>
      <c r="P344" s="44"/>
      <c r="Q344" s="44"/>
      <c r="R344" s="84"/>
      <c r="S344" s="47"/>
      <c r="T344" s="47"/>
    </row>
    <row r="345" s="27" customFormat="1" ht="18" customHeight="1" spans="1:20">
      <c r="A345" s="34"/>
      <c r="B345" s="48">
        <v>9</v>
      </c>
      <c r="C345" s="48"/>
      <c r="D345" s="88" t="s">
        <v>473</v>
      </c>
      <c r="E345" s="72" t="str">
        <f>+VLOOKUP(D345,'材料表 '!C:F,2,0)</f>
        <v>套</v>
      </c>
      <c r="F345" s="77">
        <f t="shared" si="43"/>
        <v>57.6923076923077</v>
      </c>
      <c r="G345" s="89">
        <f>+VLOOKUP(D345,'材料表 '!C:F,4,0)</f>
        <v>0</v>
      </c>
      <c r="H345" s="74">
        <f t="shared" si="42"/>
        <v>57.6923076923077</v>
      </c>
      <c r="I345" s="74">
        <f>+VLOOKUP(D345,'材料表 '!C:F,3,0)</f>
        <v>0.247787610619469</v>
      </c>
      <c r="J345" s="95">
        <f t="shared" si="41"/>
        <v>14.2954390742001</v>
      </c>
      <c r="K345" s="60">
        <f ca="1">H345*K324</f>
        <v>696.217961538462</v>
      </c>
      <c r="L345" s="90"/>
      <c r="M345" s="44"/>
      <c r="N345" s="82"/>
      <c r="O345" s="34"/>
      <c r="P345" s="44"/>
      <c r="Q345" s="44"/>
      <c r="R345" s="119"/>
      <c r="S345" s="47"/>
      <c r="T345" s="47"/>
    </row>
    <row r="346" s="27" customFormat="1" ht="18" customHeight="1" spans="1:20">
      <c r="A346" s="34"/>
      <c r="B346" s="48">
        <v>10</v>
      </c>
      <c r="C346" s="48"/>
      <c r="D346" s="88" t="s">
        <v>474</v>
      </c>
      <c r="E346" s="72" t="str">
        <f>+VLOOKUP(D346,'材料表 '!C:F,2,0)</f>
        <v>套</v>
      </c>
      <c r="F346" s="77">
        <f t="shared" si="43"/>
        <v>9.61538461538461</v>
      </c>
      <c r="G346" s="89">
        <f>+VLOOKUP(D346,'材料表 '!C:F,4,0)</f>
        <v>0</v>
      </c>
      <c r="H346" s="74">
        <f t="shared" si="42"/>
        <v>9.61538461538461</v>
      </c>
      <c r="I346" s="74">
        <f>+VLOOKUP(D346,'材料表 '!C:F,3,0)</f>
        <v>2.21238938053097</v>
      </c>
      <c r="J346" s="95">
        <f t="shared" si="41"/>
        <v>21.2729748127978</v>
      </c>
      <c r="K346" s="60">
        <f ca="1">H346*K324</f>
        <v>116.036326923077</v>
      </c>
      <c r="L346" s="92"/>
      <c r="M346" s="120"/>
      <c r="N346" s="82"/>
      <c r="O346" s="44"/>
      <c r="P346" s="44"/>
      <c r="Q346" s="44"/>
      <c r="R346" s="84"/>
      <c r="S346" s="47"/>
      <c r="T346" s="47"/>
    </row>
    <row r="347" s="27" customFormat="1" ht="18" customHeight="1" spans="1:20">
      <c r="A347" s="34"/>
      <c r="B347" s="48">
        <v>11</v>
      </c>
      <c r="C347" s="48"/>
      <c r="D347" s="88" t="s">
        <v>477</v>
      </c>
      <c r="E347" s="72" t="str">
        <f>+VLOOKUP(D347,'材料表 '!C:F,2,0)</f>
        <v>kg</v>
      </c>
      <c r="F347" s="77">
        <v>0.2</v>
      </c>
      <c r="G347" s="89">
        <f>+VLOOKUP(D347,'材料表 '!C:F,4,0)</f>
        <v>0.15</v>
      </c>
      <c r="H347" s="74">
        <f t="shared" si="42"/>
        <v>0.23</v>
      </c>
      <c r="I347" s="74">
        <f>+VLOOKUP(D347,'材料表 '!C:F,3,0)</f>
        <v>10.6194690265487</v>
      </c>
      <c r="J347" s="95">
        <f t="shared" si="41"/>
        <v>2.4424778761062</v>
      </c>
      <c r="K347" s="60">
        <f ca="1">H347*K324</f>
        <v>2.77558894</v>
      </c>
      <c r="L347" s="92"/>
      <c r="M347" s="44"/>
      <c r="N347" s="82"/>
      <c r="O347" s="44"/>
      <c r="P347" s="44"/>
      <c r="Q347" s="44"/>
      <c r="R347" s="84"/>
      <c r="S347" s="47"/>
      <c r="T347" s="47"/>
    </row>
    <row r="348" s="27" customFormat="1" ht="18" customHeight="1" spans="1:20">
      <c r="A348" s="34"/>
      <c r="B348" s="48">
        <v>12</v>
      </c>
      <c r="C348" s="48"/>
      <c r="D348" s="88" t="s">
        <v>476</v>
      </c>
      <c r="E348" s="72" t="str">
        <f>+VLOOKUP(D348,'材料表 '!C:F,2,0)</f>
        <v>支</v>
      </c>
      <c r="F348" s="77">
        <f>+SUMIF($L$325:$L$362,D348,$R$325:$R$362)</f>
        <v>0.505384615384615</v>
      </c>
      <c r="G348" s="89">
        <f>+VLOOKUP(D348,'材料表 '!C:F,4,0)</f>
        <v>0.15</v>
      </c>
      <c r="H348" s="74">
        <f t="shared" si="42"/>
        <v>0.581192307692307</v>
      </c>
      <c r="I348" s="74">
        <f>+VLOOKUP(D348,'材料表 '!C:F,3,0)</f>
        <v>11.5044247787611</v>
      </c>
      <c r="J348" s="95">
        <f t="shared" si="41"/>
        <v>6.68628318584072</v>
      </c>
      <c r="K348" s="60">
        <f ca="1">H348*K324</f>
        <v>7.01369974453845</v>
      </c>
      <c r="L348" s="92"/>
      <c r="M348" s="44"/>
      <c r="N348" s="44"/>
      <c r="O348" s="44"/>
      <c r="P348" s="44"/>
      <c r="Q348" s="44"/>
      <c r="R348" s="84"/>
      <c r="S348" s="47"/>
      <c r="T348" s="47"/>
    </row>
    <row r="349" s="27" customFormat="1" ht="18" customHeight="1" spans="1:20">
      <c r="A349" s="34"/>
      <c r="B349" s="48">
        <v>13</v>
      </c>
      <c r="C349" s="48"/>
      <c r="D349" s="88" t="s">
        <v>479</v>
      </c>
      <c r="E349" s="72" t="str">
        <f>+VLOOKUP(D349,'材料表 '!C:F,2,0)</f>
        <v>kg</v>
      </c>
      <c r="F349" s="77">
        <f>R329</f>
        <v>23.5625</v>
      </c>
      <c r="G349" s="89">
        <f>+VLOOKUP(D349,'材料表 '!C:F,4,0)</f>
        <v>0.03</v>
      </c>
      <c r="H349" s="74">
        <f t="shared" si="42"/>
        <v>24.269375</v>
      </c>
      <c r="I349" s="74">
        <f>+VLOOKUP(D349,'材料表 '!C:F,3,0)</f>
        <v>14.1592920353982</v>
      </c>
      <c r="J349" s="95">
        <f t="shared" si="41"/>
        <v>343.637168141592</v>
      </c>
      <c r="K349" s="60">
        <f ca="1">H349*K324</f>
        <v>292.87742969875</v>
      </c>
      <c r="L349" s="92"/>
      <c r="M349" s="44"/>
      <c r="N349" s="44"/>
      <c r="O349" s="44"/>
      <c r="P349" s="44"/>
      <c r="Q349" s="44"/>
      <c r="R349" s="84"/>
      <c r="S349" s="47"/>
      <c r="T349" s="47"/>
    </row>
    <row r="350" s="27" customFormat="1" ht="18" customHeight="1" spans="1:20">
      <c r="A350" s="34"/>
      <c r="B350" s="48">
        <v>14</v>
      </c>
      <c r="C350" s="48"/>
      <c r="D350" s="88" t="s">
        <v>112</v>
      </c>
      <c r="E350" s="72" t="str">
        <f>+VLOOKUP(D350,'材料表 '!C:F,2,0)</f>
        <v>m2</v>
      </c>
      <c r="F350" s="77">
        <v>1</v>
      </c>
      <c r="G350" s="89">
        <f>+VLOOKUP(D350,'材料表 '!C:F,4,0)</f>
        <v>0.05</v>
      </c>
      <c r="H350" s="74">
        <f t="shared" si="42"/>
        <v>1.05</v>
      </c>
      <c r="I350" s="74">
        <f>+VLOOKUP(D350,'材料表 '!C:F,3,0)</f>
        <v>1305.30973451327</v>
      </c>
      <c r="J350" s="95">
        <f t="shared" si="41"/>
        <v>1370.57522123893</v>
      </c>
      <c r="K350" s="60">
        <f ca="1">H350*K324</f>
        <v>12.6711669</v>
      </c>
      <c r="L350" s="92"/>
      <c r="M350" s="44"/>
      <c r="N350" s="44"/>
      <c r="O350" s="44"/>
      <c r="P350" s="44"/>
      <c r="Q350" s="44"/>
      <c r="R350" s="84"/>
      <c r="S350" s="47"/>
      <c r="T350" s="47"/>
    </row>
    <row r="351" s="27" customFormat="1" ht="18" customHeight="1" spans="1:20">
      <c r="A351" s="34"/>
      <c r="B351" s="48">
        <v>15</v>
      </c>
      <c r="C351" s="48"/>
      <c r="D351" s="88"/>
      <c r="E351" s="72"/>
      <c r="F351" s="77"/>
      <c r="G351" s="89"/>
      <c r="H351" s="74"/>
      <c r="I351" s="74"/>
      <c r="J351" s="95"/>
      <c r="K351" s="92"/>
      <c r="L351" s="92"/>
      <c r="M351" s="44"/>
      <c r="N351" s="44"/>
      <c r="O351" s="44"/>
      <c r="P351" s="44"/>
      <c r="Q351" s="44"/>
      <c r="R351" s="84"/>
      <c r="S351" s="47"/>
      <c r="T351" s="47"/>
    </row>
    <row r="352" s="27" customFormat="1" ht="18" customHeight="1" spans="1:20">
      <c r="A352" s="34"/>
      <c r="B352" s="48">
        <v>16</v>
      </c>
      <c r="C352" s="48"/>
      <c r="D352" s="88"/>
      <c r="E352" s="72"/>
      <c r="F352" s="77"/>
      <c r="G352" s="89"/>
      <c r="H352" s="74"/>
      <c r="I352" s="74"/>
      <c r="J352" s="95"/>
      <c r="K352" s="92"/>
      <c r="L352" s="92"/>
      <c r="M352" s="44"/>
      <c r="N352" s="44"/>
      <c r="O352" s="44"/>
      <c r="P352" s="44"/>
      <c r="Q352" s="44"/>
      <c r="R352" s="84"/>
      <c r="S352" s="47"/>
      <c r="T352" s="47"/>
    </row>
    <row r="353" s="27" customFormat="1" ht="18" customHeight="1" spans="1:20">
      <c r="A353" s="34"/>
      <c r="B353" s="48">
        <v>17</v>
      </c>
      <c r="C353" s="48"/>
      <c r="D353" s="121"/>
      <c r="E353" s="72"/>
      <c r="F353" s="77"/>
      <c r="G353" s="89"/>
      <c r="H353" s="74"/>
      <c r="I353" s="74"/>
      <c r="J353" s="95"/>
      <c r="K353" s="92"/>
      <c r="L353" s="92"/>
      <c r="M353" s="44"/>
      <c r="N353" s="44"/>
      <c r="O353" s="44"/>
      <c r="P353" s="44"/>
      <c r="Q353" s="101"/>
      <c r="R353" s="84"/>
      <c r="S353" s="47"/>
      <c r="T353" s="47"/>
    </row>
    <row r="354" s="27" customFormat="1" ht="18" customHeight="1" spans="1:20">
      <c r="A354" s="34"/>
      <c r="B354" s="48">
        <v>18</v>
      </c>
      <c r="C354" s="48"/>
      <c r="D354" s="88"/>
      <c r="E354" s="72"/>
      <c r="F354" s="77"/>
      <c r="G354" s="89"/>
      <c r="H354" s="74"/>
      <c r="I354" s="74"/>
      <c r="J354" s="95"/>
      <c r="K354" s="92"/>
      <c r="L354" s="92"/>
      <c r="M354" s="44"/>
      <c r="N354" s="44"/>
      <c r="O354" s="44"/>
      <c r="P354" s="44"/>
      <c r="Q354" s="44"/>
      <c r="R354" s="84"/>
      <c r="S354" s="47"/>
      <c r="T354" s="47"/>
    </row>
    <row r="355" s="27" customFormat="1" ht="18" customHeight="1" spans="1:20">
      <c r="A355" s="34"/>
      <c r="B355" s="48">
        <v>19</v>
      </c>
      <c r="C355" s="48"/>
      <c r="D355" s="27"/>
      <c r="E355" s="72"/>
      <c r="F355" s="77"/>
      <c r="G355" s="89"/>
      <c r="H355" s="74"/>
      <c r="I355" s="74"/>
      <c r="J355" s="95"/>
      <c r="K355" s="92"/>
      <c r="L355" s="92"/>
      <c r="M355" s="44"/>
      <c r="N355" s="44"/>
      <c r="O355" s="44"/>
      <c r="P355" s="44"/>
      <c r="Q355" s="44"/>
      <c r="R355" s="84"/>
      <c r="S355" s="47"/>
      <c r="T355" s="47"/>
    </row>
    <row r="356" s="27" customFormat="1" ht="18" customHeight="1" spans="1:20">
      <c r="A356" s="34"/>
      <c r="B356" s="48">
        <v>20</v>
      </c>
      <c r="C356" s="48"/>
      <c r="D356" s="88"/>
      <c r="E356" s="72"/>
      <c r="F356" s="77"/>
      <c r="G356" s="89"/>
      <c r="H356" s="74"/>
      <c r="I356" s="74"/>
      <c r="J356" s="95"/>
      <c r="K356" s="92"/>
      <c r="L356" s="92"/>
      <c r="M356" s="44"/>
      <c r="N356" s="44"/>
      <c r="O356" s="44"/>
      <c r="P356" s="44"/>
      <c r="Q356" s="44"/>
      <c r="R356" s="84"/>
      <c r="S356" s="47"/>
      <c r="T356" s="47"/>
    </row>
    <row r="357" s="27" customFormat="1" ht="18" customHeight="1" spans="1:20">
      <c r="A357" s="34"/>
      <c r="B357" s="48">
        <v>21</v>
      </c>
      <c r="C357" s="48"/>
      <c r="D357" s="88"/>
      <c r="E357" s="72"/>
      <c r="F357" s="77"/>
      <c r="G357" s="89"/>
      <c r="H357" s="74"/>
      <c r="I357" s="74"/>
      <c r="J357" s="95"/>
      <c r="K357" s="92"/>
      <c r="L357" s="92"/>
      <c r="M357" s="44"/>
      <c r="N357" s="44"/>
      <c r="O357" s="44"/>
      <c r="P357" s="44"/>
      <c r="Q357" s="44"/>
      <c r="R357" s="84"/>
      <c r="S357" s="47"/>
      <c r="T357" s="47"/>
    </row>
    <row r="358" s="27" customFormat="1" ht="18" customHeight="1" spans="1:20">
      <c r="A358" s="34"/>
      <c r="B358" s="48">
        <v>22</v>
      </c>
      <c r="C358" s="48"/>
      <c r="D358" s="27"/>
      <c r="E358" s="72"/>
      <c r="F358" s="77"/>
      <c r="G358" s="72"/>
      <c r="H358" s="74"/>
      <c r="I358" s="74"/>
      <c r="J358" s="95"/>
      <c r="K358" s="92"/>
      <c r="L358" s="92"/>
      <c r="M358" s="44"/>
      <c r="N358" s="44"/>
      <c r="O358" s="44"/>
      <c r="P358" s="44"/>
      <c r="Q358" s="44"/>
      <c r="R358" s="62"/>
      <c r="S358" s="47"/>
      <c r="T358" s="47"/>
    </row>
    <row r="359" s="27" customFormat="1" ht="18" customHeight="1" spans="1:20">
      <c r="A359" s="34"/>
      <c r="B359" s="48">
        <v>23</v>
      </c>
      <c r="C359" s="48"/>
      <c r="D359" s="88"/>
      <c r="E359" s="72"/>
      <c r="F359" s="77"/>
      <c r="G359" s="89"/>
      <c r="H359" s="74"/>
      <c r="I359" s="74"/>
      <c r="J359" s="95"/>
      <c r="K359" s="92"/>
      <c r="L359" s="92"/>
      <c r="M359" s="44"/>
      <c r="N359" s="44"/>
      <c r="O359" s="44"/>
      <c r="P359" s="44"/>
      <c r="Q359" s="44"/>
      <c r="R359" s="62"/>
      <c r="S359" s="47"/>
      <c r="T359" s="47"/>
    </row>
    <row r="360" s="27" customFormat="1" ht="18" customHeight="1" spans="1:20">
      <c r="A360" s="34"/>
      <c r="B360" s="48">
        <v>24</v>
      </c>
      <c r="C360" s="48"/>
      <c r="D360" s="88" t="s">
        <v>478</v>
      </c>
      <c r="E360" s="72" t="s">
        <v>43</v>
      </c>
      <c r="F360" s="77"/>
      <c r="G360" s="72">
        <v>1</v>
      </c>
      <c r="H360" s="74">
        <v>1</v>
      </c>
      <c r="I360" s="74">
        <f>+辅材及安装费!$E$8</f>
        <v>10</v>
      </c>
      <c r="J360" s="95">
        <f t="shared" ref="J359:J362" si="44">H360*I360</f>
        <v>10</v>
      </c>
      <c r="K360" s="92"/>
      <c r="L360" s="92"/>
      <c r="M360" s="44"/>
      <c r="N360" s="44"/>
      <c r="O360" s="44"/>
      <c r="P360" s="44"/>
      <c r="Q360" s="44"/>
      <c r="R360" s="62"/>
      <c r="S360" s="47"/>
      <c r="T360" s="47"/>
    </row>
    <row r="361" s="27" customFormat="1" ht="18" customHeight="1" spans="1:20">
      <c r="A361" s="34"/>
      <c r="B361" s="48">
        <v>25</v>
      </c>
      <c r="C361" s="48"/>
      <c r="D361" s="93" t="s">
        <v>442</v>
      </c>
      <c r="E361" s="72"/>
      <c r="F361" s="77"/>
      <c r="G361" s="72"/>
      <c r="H361" s="74"/>
      <c r="I361" s="74"/>
      <c r="J361" s="95">
        <f>SUM(J338:J360)</f>
        <v>2062.02581132998</v>
      </c>
      <c r="K361" s="92"/>
      <c r="L361" s="94"/>
      <c r="M361" s="27"/>
      <c r="N361" s="83"/>
      <c r="O361" s="83"/>
      <c r="P361" s="83"/>
      <c r="Q361" s="83"/>
      <c r="R361" s="87"/>
      <c r="S361" s="47"/>
      <c r="T361" s="47"/>
    </row>
    <row r="362" s="27" customFormat="1" ht="18" customHeight="1" spans="1:20">
      <c r="A362" s="34"/>
      <c r="B362" s="48">
        <v>1</v>
      </c>
      <c r="C362" s="48" t="s">
        <v>443</v>
      </c>
      <c r="D362" s="48" t="s">
        <v>444</v>
      </c>
      <c r="E362" s="72" t="s">
        <v>43</v>
      </c>
      <c r="F362" s="50"/>
      <c r="G362" s="48"/>
      <c r="H362" s="51">
        <v>1</v>
      </c>
      <c r="I362" s="74">
        <f>+辅材及安装费!$F$8</f>
        <v>5</v>
      </c>
      <c r="J362" s="95">
        <f t="shared" si="44"/>
        <v>5</v>
      </c>
      <c r="K362" s="118"/>
      <c r="L362" s="96"/>
      <c r="M362" s="97"/>
      <c r="N362" s="98"/>
      <c r="O362" s="98"/>
      <c r="P362" s="98"/>
      <c r="Q362" s="98"/>
      <c r="R362" s="99"/>
      <c r="S362" s="47"/>
      <c r="T362" s="47"/>
    </row>
    <row r="363" s="26" customFormat="1" ht="30" customHeight="1" spans="1:20">
      <c r="A363" s="28"/>
      <c r="B363" s="29" t="s">
        <v>386</v>
      </c>
      <c r="C363" s="29"/>
      <c r="D363" s="29"/>
      <c r="E363" s="29"/>
      <c r="F363" s="29"/>
      <c r="G363" s="29"/>
      <c r="H363" s="29"/>
      <c r="I363" s="29"/>
      <c r="J363" s="29"/>
      <c r="K363" s="29"/>
      <c r="L363" s="30"/>
      <c r="M363" s="31"/>
      <c r="N363" s="31"/>
      <c r="O363" s="31"/>
      <c r="P363" s="31"/>
      <c r="Q363" s="31"/>
      <c r="R363" s="32"/>
      <c r="S363" s="33"/>
      <c r="T363" s="33"/>
    </row>
    <row r="364" s="27" customFormat="1" ht="33.75" customHeight="1" spans="1:20">
      <c r="A364" s="34">
        <v>8</v>
      </c>
      <c r="B364" s="35" t="s">
        <v>1</v>
      </c>
      <c r="C364" s="35" t="s">
        <v>387</v>
      </c>
      <c r="D364" s="36" t="str">
        <f>+A372</f>
        <v>50㎜蓝眼睛石材（光面）</v>
      </c>
      <c r="E364" s="37"/>
      <c r="F364" s="38" t="s">
        <v>99</v>
      </c>
      <c r="G364" s="39"/>
      <c r="H364" s="35" t="s">
        <v>388</v>
      </c>
      <c r="I364" s="40" t="s">
        <v>389</v>
      </c>
      <c r="J364" s="41" t="s">
        <v>37</v>
      </c>
      <c r="K364" s="42">
        <f ca="1">VLOOKUP(A364,排屋工程量清单!$A$49:$D$57,4,)</f>
        <v>1.8606</v>
      </c>
      <c r="L364" s="43"/>
      <c r="M364" s="44"/>
      <c r="N364" s="44"/>
      <c r="O364" s="44"/>
      <c r="P364" s="45"/>
      <c r="Q364" s="44"/>
      <c r="R364" s="46"/>
      <c r="S364" s="47"/>
      <c r="T364" s="47"/>
    </row>
    <row r="365" s="27" customFormat="1" ht="18" customHeight="1" spans="1:20">
      <c r="A365" s="34"/>
      <c r="B365" s="48">
        <v>1</v>
      </c>
      <c r="C365" s="49" t="s">
        <v>390</v>
      </c>
      <c r="D365" s="48" t="s">
        <v>391</v>
      </c>
      <c r="E365" s="48"/>
      <c r="F365" s="50"/>
      <c r="G365" s="48"/>
      <c r="H365" s="51"/>
      <c r="I365" s="52">
        <f>J377</f>
        <v>210</v>
      </c>
      <c r="J365" s="53" t="s">
        <v>392</v>
      </c>
      <c r="K365" s="54"/>
      <c r="L365" s="55" t="s">
        <v>114</v>
      </c>
      <c r="M365" s="56" t="s">
        <v>488</v>
      </c>
      <c r="N365" s="57"/>
      <c r="O365" s="57">
        <v>0.38</v>
      </c>
      <c r="P365" s="57">
        <v>3.61</v>
      </c>
      <c r="Q365" s="57">
        <v>1</v>
      </c>
      <c r="R365" s="58">
        <f>+Q365*P365*O365</f>
        <v>1.3718</v>
      </c>
      <c r="S365" s="47"/>
      <c r="T365" s="47"/>
    </row>
    <row r="366" s="27" customFormat="1" ht="18" customHeight="1" spans="1:20">
      <c r="A366" s="34"/>
      <c r="B366" s="48">
        <v>2</v>
      </c>
      <c r="C366" s="59"/>
      <c r="D366" s="48" t="s">
        <v>394</v>
      </c>
      <c r="E366" s="48"/>
      <c r="F366" s="50"/>
      <c r="G366" s="48"/>
      <c r="H366" s="51"/>
      <c r="I366" s="52">
        <f>J401</f>
        <v>1022.55533414531</v>
      </c>
      <c r="J366" s="53" t="s">
        <v>392</v>
      </c>
      <c r="K366" s="60"/>
      <c r="L366" s="61" t="s">
        <v>99</v>
      </c>
      <c r="M366" s="44"/>
      <c r="N366" s="44"/>
      <c r="O366" s="44"/>
      <c r="P366" s="44"/>
      <c r="Q366" s="44"/>
      <c r="R366" s="62"/>
      <c r="S366" s="47"/>
      <c r="T366" s="47"/>
    </row>
    <row r="367" s="27" customFormat="1" ht="18" customHeight="1" spans="1:20">
      <c r="A367" s="34"/>
      <c r="B367" s="48">
        <v>3</v>
      </c>
      <c r="C367" s="63"/>
      <c r="D367" s="48" t="s">
        <v>395</v>
      </c>
      <c r="E367" s="48"/>
      <c r="F367" s="50"/>
      <c r="G367" s="48"/>
      <c r="H367" s="51"/>
      <c r="I367" s="52">
        <f>J402</f>
        <v>5</v>
      </c>
      <c r="J367" s="53" t="s">
        <v>392</v>
      </c>
      <c r="K367" s="60"/>
      <c r="L367" s="60"/>
      <c r="M367" s="64" t="s">
        <v>396</v>
      </c>
      <c r="N367" s="65" t="s">
        <v>397</v>
      </c>
      <c r="O367" s="65" t="s">
        <v>398</v>
      </c>
      <c r="P367" s="65" t="s">
        <v>399</v>
      </c>
      <c r="Q367" s="65" t="s">
        <v>400</v>
      </c>
      <c r="R367" s="66" t="s">
        <v>401</v>
      </c>
      <c r="S367" s="47"/>
      <c r="T367" s="47"/>
    </row>
    <row r="368" s="27" customFormat="1" ht="18" customHeight="1" spans="1:20">
      <c r="A368" s="34"/>
      <c r="B368" s="48">
        <v>4</v>
      </c>
      <c r="C368" s="48" t="s">
        <v>402</v>
      </c>
      <c r="D368" s="67" t="s">
        <v>403</v>
      </c>
      <c r="E368" s="67"/>
      <c r="F368" s="50"/>
      <c r="G368" s="67"/>
      <c r="H368" s="68"/>
      <c r="I368" s="52">
        <f>SUM(I365:I367)</f>
        <v>1237.55533414531</v>
      </c>
      <c r="J368" s="53" t="s">
        <v>392</v>
      </c>
      <c r="K368" s="60"/>
      <c r="L368" s="69" t="s">
        <v>431</v>
      </c>
      <c r="M368" s="34" t="s">
        <v>460</v>
      </c>
      <c r="N368" s="102">
        <v>10.21</v>
      </c>
      <c r="O368" s="34">
        <f>P365</f>
        <v>3.61</v>
      </c>
      <c r="P368" s="34">
        <v>1</v>
      </c>
      <c r="Q368" s="44">
        <f t="shared" ref="Q368:Q372" si="45">+P368*O368*N368</f>
        <v>36.8581</v>
      </c>
      <c r="R368" s="71">
        <f>+Q368/R365</f>
        <v>26.8684210526316</v>
      </c>
      <c r="S368" s="47"/>
      <c r="T368" s="47"/>
    </row>
    <row r="369" s="27" customFormat="1" ht="28" customHeight="1" spans="1:20">
      <c r="A369" s="34"/>
      <c r="B369" s="48">
        <v>5</v>
      </c>
      <c r="C369" s="72" t="s">
        <v>406</v>
      </c>
      <c r="D369" s="48" t="s">
        <v>407</v>
      </c>
      <c r="E369" s="48"/>
      <c r="F369" s="50"/>
      <c r="G369" s="48"/>
      <c r="H369" s="73">
        <f>+'材料表 '!$E$178</f>
        <v>0</v>
      </c>
      <c r="I369" s="52">
        <f>H369*I368</f>
        <v>0</v>
      </c>
      <c r="J369" s="53" t="s">
        <v>392</v>
      </c>
      <c r="K369" s="60"/>
      <c r="L369" s="69" t="s">
        <v>461</v>
      </c>
      <c r="M369" s="34" t="s">
        <v>462</v>
      </c>
      <c r="N369" s="34">
        <v>3.77</v>
      </c>
      <c r="O369" s="34">
        <f>+O365</f>
        <v>0.38</v>
      </c>
      <c r="P369" s="34">
        <v>6</v>
      </c>
      <c r="Q369" s="44">
        <f t="shared" si="45"/>
        <v>8.5956</v>
      </c>
      <c r="R369" s="71">
        <f>+Q369/R365</f>
        <v>6.26592797783934</v>
      </c>
      <c r="S369" s="47"/>
      <c r="T369" s="47"/>
    </row>
    <row r="370" s="27" customFormat="1" ht="18" customHeight="1" spans="1:20">
      <c r="A370" s="34"/>
      <c r="B370" s="48">
        <v>6</v>
      </c>
      <c r="C370" s="48" t="s">
        <v>409</v>
      </c>
      <c r="D370" s="48" t="s">
        <v>410</v>
      </c>
      <c r="E370" s="48"/>
      <c r="F370" s="50"/>
      <c r="G370" s="48"/>
      <c r="H370" s="73">
        <f>+'材料表 '!$E$179</f>
        <v>0</v>
      </c>
      <c r="I370" s="52">
        <f>H370*I368</f>
        <v>0</v>
      </c>
      <c r="J370" s="53" t="s">
        <v>392</v>
      </c>
      <c r="K370" s="60"/>
      <c r="L370" s="69" t="s">
        <v>463</v>
      </c>
      <c r="M370" s="34" t="s">
        <v>464</v>
      </c>
      <c r="N370" s="34">
        <f>0.15*0.2*7.85*10</f>
        <v>2.355</v>
      </c>
      <c r="O370" s="34">
        <f>1</f>
        <v>1</v>
      </c>
      <c r="P370" s="34">
        <f>+P368</f>
        <v>1</v>
      </c>
      <c r="Q370" s="44">
        <f t="shared" si="45"/>
        <v>2.355</v>
      </c>
      <c r="R370" s="71">
        <f>+Q370/R365</f>
        <v>1.71672255430821</v>
      </c>
      <c r="S370" s="47"/>
      <c r="T370" s="47"/>
    </row>
    <row r="371" s="27" customFormat="1" ht="18" customHeight="1" spans="1:20">
      <c r="A371" s="34"/>
      <c r="B371" s="48">
        <v>7</v>
      </c>
      <c r="C371" s="48" t="s">
        <v>412</v>
      </c>
      <c r="D371" s="72" t="s">
        <v>413</v>
      </c>
      <c r="E371" s="72"/>
      <c r="F371" s="77"/>
      <c r="G371" s="72"/>
      <c r="H371" s="73">
        <f>+'材料表 '!$E$180</f>
        <v>0.09</v>
      </c>
      <c r="I371" s="52">
        <f>(I368+I369+I370)*H371</f>
        <v>111.379980073078</v>
      </c>
      <c r="J371" s="53" t="s">
        <v>392</v>
      </c>
      <c r="K371" s="60"/>
      <c r="L371" s="69" t="s">
        <v>465</v>
      </c>
      <c r="M371" s="34" t="s">
        <v>482</v>
      </c>
      <c r="N371" s="100">
        <f>3.77</f>
        <v>3.77</v>
      </c>
      <c r="O371" s="34">
        <v>0.265</v>
      </c>
      <c r="P371" s="34">
        <v>0</v>
      </c>
      <c r="Q371" s="44">
        <f t="shared" si="45"/>
        <v>0</v>
      </c>
      <c r="R371" s="71">
        <f>+Q371/R365</f>
        <v>0</v>
      </c>
      <c r="S371" s="47"/>
      <c r="T371" s="47"/>
    </row>
    <row r="372" s="27" customFormat="1" ht="18" customHeight="1" spans="1:20">
      <c r="A372" s="105" t="s">
        <v>113</v>
      </c>
      <c r="B372" s="48">
        <v>8</v>
      </c>
      <c r="C372" s="48" t="s">
        <v>363</v>
      </c>
      <c r="D372" s="106" t="s">
        <v>415</v>
      </c>
      <c r="E372" s="107"/>
      <c r="F372" s="108"/>
      <c r="G372" s="107"/>
      <c r="H372" s="51"/>
      <c r="I372" s="74">
        <f>SUM(I368:I371)</f>
        <v>1348.93531421838</v>
      </c>
      <c r="J372" s="53" t="s">
        <v>416</v>
      </c>
      <c r="K372" s="60"/>
      <c r="L372" s="69" t="s">
        <v>465</v>
      </c>
      <c r="M372" s="44" t="s">
        <v>487</v>
      </c>
      <c r="N372" s="126">
        <v>5.778</v>
      </c>
      <c r="O372" s="44">
        <v>0.06</v>
      </c>
      <c r="P372" s="44">
        <f>+P368*2</f>
        <v>2</v>
      </c>
      <c r="Q372" s="44">
        <f t="shared" si="45"/>
        <v>0.69336</v>
      </c>
      <c r="R372" s="84">
        <f>+Q372/R365</f>
        <v>0.505438110511736</v>
      </c>
      <c r="S372" s="79"/>
      <c r="T372" s="47"/>
    </row>
    <row r="373" s="27" customFormat="1" ht="18" customHeight="1" spans="1:20">
      <c r="A373" s="34"/>
      <c r="B373" s="109" t="s">
        <v>418</v>
      </c>
      <c r="C373" s="110"/>
      <c r="D373" s="110"/>
      <c r="E373" s="110"/>
      <c r="F373" s="110"/>
      <c r="G373" s="110"/>
      <c r="H373" s="110"/>
      <c r="I373" s="110"/>
      <c r="J373" s="110"/>
      <c r="K373" s="80"/>
      <c r="L373" s="90" t="s">
        <v>469</v>
      </c>
      <c r="M373" s="44"/>
      <c r="N373" s="82"/>
      <c r="O373" s="44">
        <f>3*4</f>
        <v>12</v>
      </c>
      <c r="P373" s="44">
        <v>1</v>
      </c>
      <c r="Q373" s="44">
        <f>+P373*O373</f>
        <v>12</v>
      </c>
      <c r="R373" s="84">
        <f>+Q373/R365</f>
        <v>8.74763084997813</v>
      </c>
      <c r="S373" s="47"/>
      <c r="T373" s="47"/>
    </row>
    <row r="374" s="27" customFormat="1" ht="18" customHeight="1" spans="1:20">
      <c r="A374" s="34"/>
      <c r="B374" s="48">
        <v>1</v>
      </c>
      <c r="C374" s="48" t="s">
        <v>391</v>
      </c>
      <c r="D374" s="48" t="s">
        <v>396</v>
      </c>
      <c r="E374" s="48" t="s">
        <v>37</v>
      </c>
      <c r="F374" s="50"/>
      <c r="G374" s="48"/>
      <c r="H374" s="51" t="s">
        <v>399</v>
      </c>
      <c r="I374" s="51" t="s">
        <v>420</v>
      </c>
      <c r="J374" s="95" t="s">
        <v>421</v>
      </c>
      <c r="K374" s="92"/>
      <c r="L374" s="90"/>
      <c r="M374" s="44"/>
      <c r="N374" s="82"/>
      <c r="O374" s="44"/>
      <c r="P374" s="44"/>
      <c r="Q374" s="44"/>
      <c r="R374" s="84"/>
      <c r="S374" s="47"/>
      <c r="T374" s="47"/>
    </row>
    <row r="375" s="27" customFormat="1" ht="18" customHeight="1" spans="1:20">
      <c r="A375" s="34"/>
      <c r="B375" s="48">
        <v>2</v>
      </c>
      <c r="C375" s="48"/>
      <c r="D375" s="111" t="s">
        <v>470</v>
      </c>
      <c r="E375" s="49" t="s">
        <v>423</v>
      </c>
      <c r="F375" s="112"/>
      <c r="G375" s="111"/>
      <c r="H375" s="113">
        <v>1</v>
      </c>
      <c r="I375" s="113">
        <f>+辅材及安装费!$G$8</f>
        <v>210</v>
      </c>
      <c r="J375" s="114">
        <f t="shared" ref="J375:J388" si="46">H375*I375</f>
        <v>210</v>
      </c>
      <c r="K375" s="92"/>
      <c r="L375" s="90" t="s">
        <v>471</v>
      </c>
      <c r="M375" s="44"/>
      <c r="N375" s="82"/>
      <c r="O375" s="44"/>
      <c r="P375" s="44"/>
      <c r="Q375" s="44">
        <f>+Q373</f>
        <v>12</v>
      </c>
      <c r="R375" s="84">
        <f>+Q375/R365</f>
        <v>8.74763084997813</v>
      </c>
      <c r="S375" s="47"/>
      <c r="T375" s="47"/>
    </row>
    <row r="376" s="27" customFormat="1" ht="18" customHeight="1" spans="1:20">
      <c r="A376" s="34"/>
      <c r="B376" s="48">
        <v>3</v>
      </c>
      <c r="C376" s="48"/>
      <c r="D376" s="115"/>
      <c r="E376" s="63"/>
      <c r="F376" s="116"/>
      <c r="G376" s="115"/>
      <c r="H376" s="117"/>
      <c r="I376" s="117"/>
      <c r="J376" s="118"/>
      <c r="K376" s="92"/>
      <c r="L376" s="90" t="s">
        <v>472</v>
      </c>
      <c r="M376" s="44"/>
      <c r="N376" s="82"/>
      <c r="O376" s="44"/>
      <c r="P376" s="44">
        <f>O370*P370*2</f>
        <v>2</v>
      </c>
      <c r="Q376" s="44">
        <v>1</v>
      </c>
      <c r="R376" s="84">
        <f>+Q376/R365</f>
        <v>0.728969237498178</v>
      </c>
      <c r="S376" s="47"/>
      <c r="T376" s="47"/>
    </row>
    <row r="377" s="27" customFormat="1" ht="18" customHeight="1" spans="1:20">
      <c r="A377" s="34"/>
      <c r="B377" s="48">
        <v>4</v>
      </c>
      <c r="C377" s="48"/>
      <c r="D377" s="85" t="s">
        <v>426</v>
      </c>
      <c r="E377" s="48" t="s">
        <v>392</v>
      </c>
      <c r="F377" s="50"/>
      <c r="G377" s="48"/>
      <c r="H377" s="86"/>
      <c r="I377" s="86"/>
      <c r="J377" s="95">
        <f>SUM(J375:J375)</f>
        <v>210</v>
      </c>
      <c r="K377" s="92"/>
      <c r="L377" s="90" t="s">
        <v>473</v>
      </c>
      <c r="M377" s="44"/>
      <c r="N377" s="82"/>
      <c r="O377" s="44"/>
      <c r="P377" s="44"/>
      <c r="Q377" s="44">
        <f>+(Q373)*3</f>
        <v>36</v>
      </c>
      <c r="R377" s="84">
        <f>+Q377/R365</f>
        <v>26.2428925499344</v>
      </c>
      <c r="S377" s="47"/>
      <c r="T377" s="47"/>
    </row>
    <row r="378" s="27" customFormat="1" ht="24" customHeight="1" spans="1:20">
      <c r="A378" s="34"/>
      <c r="B378" s="48">
        <v>1</v>
      </c>
      <c r="C378" s="48" t="s">
        <v>394</v>
      </c>
      <c r="D378" s="88" t="s">
        <v>431</v>
      </c>
      <c r="E378" s="72" t="str">
        <f>+VLOOKUP(D378,'材料表 '!C:F,2,0)</f>
        <v>kg</v>
      </c>
      <c r="F378" s="77">
        <f>+SUMIF($L$365:$L$402,D378,$R$365:$R$402)</f>
        <v>26.8684210526316</v>
      </c>
      <c r="G378" s="89">
        <f>+VLOOKUP(D378,'材料表 '!C:F,4,0)</f>
        <v>0.03</v>
      </c>
      <c r="H378" s="74">
        <f t="shared" ref="H378:H388" si="47">F378*(G378+1)</f>
        <v>27.6744736842106</v>
      </c>
      <c r="I378" s="74">
        <f>+VLOOKUP(D378,'材料表 '!C:F,3,0)</f>
        <v>3.80530973451327</v>
      </c>
      <c r="J378" s="95">
        <f t="shared" si="46"/>
        <v>105.309944108058</v>
      </c>
      <c r="K378" s="60">
        <f ca="1">H378*K364</f>
        <v>51.4911257368422</v>
      </c>
      <c r="L378" s="90"/>
      <c r="M378" s="44"/>
      <c r="N378" s="82"/>
      <c r="O378" s="44"/>
      <c r="P378" s="44"/>
      <c r="Q378" s="44"/>
      <c r="R378" s="84"/>
      <c r="S378" s="47"/>
      <c r="T378" s="47"/>
    </row>
    <row r="379" s="27" customFormat="1" ht="18" customHeight="1" spans="1:20">
      <c r="A379" s="34"/>
      <c r="B379" s="48">
        <v>2</v>
      </c>
      <c r="C379" s="48"/>
      <c r="D379" s="88" t="s">
        <v>461</v>
      </c>
      <c r="E379" s="72" t="str">
        <f>+VLOOKUP(D379,'材料表 '!C:F,2,0)</f>
        <v>kg</v>
      </c>
      <c r="F379" s="77">
        <f t="shared" ref="F379:F388" si="48">+SUMIF($L$365:$L$402,D379,$R$365:$R$402)</f>
        <v>6.26592797783934</v>
      </c>
      <c r="G379" s="89">
        <f>+VLOOKUP(D379,'材料表 '!C:F,4,0)</f>
        <v>0.03</v>
      </c>
      <c r="H379" s="74">
        <f t="shared" si="47"/>
        <v>6.45390581717452</v>
      </c>
      <c r="I379" s="74">
        <f>+VLOOKUP(D379,'材料表 '!C:F,3,0)</f>
        <v>3.53982300884956</v>
      </c>
      <c r="J379" s="95">
        <f t="shared" si="46"/>
        <v>22.8456843085824</v>
      </c>
      <c r="K379" s="60">
        <f ca="1">H379*K364</f>
        <v>12.0081371634349</v>
      </c>
      <c r="L379" s="90"/>
      <c r="M379" s="44"/>
      <c r="N379" s="82"/>
      <c r="O379" s="44"/>
      <c r="P379" s="44"/>
      <c r="Q379" s="44"/>
      <c r="R379" s="84"/>
      <c r="S379" s="47"/>
      <c r="T379" s="47"/>
    </row>
    <row r="380" s="27" customFormat="1" ht="18" customHeight="1" spans="1:20">
      <c r="A380" s="34"/>
      <c r="B380" s="48">
        <v>3</v>
      </c>
      <c r="C380" s="48"/>
      <c r="D380" s="88" t="s">
        <v>465</v>
      </c>
      <c r="E380" s="72" t="str">
        <f>+VLOOKUP(D380,'材料表 '!C:F,2,0)</f>
        <v>kg</v>
      </c>
      <c r="F380" s="77">
        <f t="shared" si="48"/>
        <v>0.505438110511736</v>
      </c>
      <c r="G380" s="89">
        <f>+VLOOKUP(D380,'材料表 '!C:F,4,0)</f>
        <v>0.03</v>
      </c>
      <c r="H380" s="74">
        <f t="shared" si="47"/>
        <v>0.520601253827088</v>
      </c>
      <c r="I380" s="74">
        <f>+VLOOKUP(D380,'材料表 '!C:F,3,0)</f>
        <v>6.01769911504425</v>
      </c>
      <c r="J380" s="95">
        <f t="shared" si="46"/>
        <v>3.13282170444619</v>
      </c>
      <c r="K380" s="60">
        <f ca="1">H380*K364</f>
        <v>0.96863069287068</v>
      </c>
      <c r="L380" s="90" t="s">
        <v>474</v>
      </c>
      <c r="M380" s="44"/>
      <c r="N380" s="82"/>
      <c r="O380" s="44"/>
      <c r="P380" s="44"/>
      <c r="Q380" s="44">
        <f>+O370*P370*4</f>
        <v>4</v>
      </c>
      <c r="R380" s="84">
        <f>+Q380/R365</f>
        <v>2.91587694999271</v>
      </c>
      <c r="S380" s="47"/>
      <c r="T380" s="47"/>
    </row>
    <row r="381" s="27" customFormat="1" ht="18" customHeight="1" spans="1:20">
      <c r="A381" s="34"/>
      <c r="B381" s="48">
        <v>4</v>
      </c>
      <c r="C381" s="48"/>
      <c r="D381" s="88" t="s">
        <v>463</v>
      </c>
      <c r="E381" s="72" t="str">
        <f>+VLOOKUP(D381,'材料表 '!C:F,2,0)</f>
        <v>kg</v>
      </c>
      <c r="F381" s="77">
        <f t="shared" si="48"/>
        <v>1.71672255430821</v>
      </c>
      <c r="G381" s="89">
        <f>+VLOOKUP(D381,'材料表 '!C:F,4,0)</f>
        <v>0.03</v>
      </c>
      <c r="H381" s="74">
        <f t="shared" si="47"/>
        <v>1.76822423093746</v>
      </c>
      <c r="I381" s="74">
        <f>+VLOOKUP(D381,'材料表 '!C:F,3,0)</f>
        <v>6.01769911504425</v>
      </c>
      <c r="J381" s="95">
        <f t="shared" si="46"/>
        <v>10.6406413897121</v>
      </c>
      <c r="K381" s="60">
        <f ca="1">H381*K364</f>
        <v>3.28995800408224</v>
      </c>
      <c r="L381" s="90" t="s">
        <v>475</v>
      </c>
      <c r="M381" s="44"/>
      <c r="N381" s="83"/>
      <c r="O381" s="82"/>
      <c r="P381" s="44"/>
      <c r="Q381" s="44"/>
      <c r="R381" s="84"/>
      <c r="S381" s="47"/>
      <c r="T381" s="47"/>
    </row>
    <row r="382" s="27" customFormat="1" ht="18" customHeight="1" spans="1:20">
      <c r="A382" s="34"/>
      <c r="B382" s="48">
        <v>5</v>
      </c>
      <c r="C382" s="48"/>
      <c r="D382" s="88" t="s">
        <v>469</v>
      </c>
      <c r="E382" s="72" t="str">
        <f>+VLOOKUP(D382,'材料表 '!C:F,2,0)</f>
        <v>套</v>
      </c>
      <c r="F382" s="77">
        <f t="shared" si="48"/>
        <v>8.74763084997813</v>
      </c>
      <c r="G382" s="89">
        <f>+VLOOKUP(D382,'材料表 '!C:F,4,0)</f>
        <v>0</v>
      </c>
      <c r="H382" s="74">
        <f t="shared" si="47"/>
        <v>8.74763084997813</v>
      </c>
      <c r="I382" s="74">
        <f>+VLOOKUP(D382,'材料表 '!C:F,3,0)</f>
        <v>5.30973451327434</v>
      </c>
      <c r="J382" s="95">
        <f t="shared" si="46"/>
        <v>46.4475974335122</v>
      </c>
      <c r="K382" s="60">
        <f ca="1">H382*K364</f>
        <v>16.2758419594693</v>
      </c>
      <c r="L382" s="92" t="s">
        <v>476</v>
      </c>
      <c r="M382" s="44"/>
      <c r="N382" s="82"/>
      <c r="O382" s="44"/>
      <c r="P382" s="44"/>
      <c r="Q382" s="44">
        <f>6*6*(O365*2+P365*2)/500</f>
        <v>0.57456</v>
      </c>
      <c r="R382" s="84">
        <f>+Q382/R365</f>
        <v>0.418836565096953</v>
      </c>
      <c r="S382" s="47"/>
      <c r="T382" s="47"/>
    </row>
    <row r="383" s="27" customFormat="1" ht="18" customHeight="1" spans="1:20">
      <c r="A383" s="34"/>
      <c r="B383" s="48">
        <v>7</v>
      </c>
      <c r="C383" s="48"/>
      <c r="D383" s="88" t="s">
        <v>471</v>
      </c>
      <c r="E383" s="72" t="str">
        <f>+VLOOKUP(D383,'材料表 '!C:F,2,0)</f>
        <v>套</v>
      </c>
      <c r="F383" s="77">
        <f t="shared" si="48"/>
        <v>8.74763084997813</v>
      </c>
      <c r="G383" s="89">
        <f>+VLOOKUP(D383,'材料表 '!C:F,4,0)</f>
        <v>0</v>
      </c>
      <c r="H383" s="74">
        <f t="shared" si="47"/>
        <v>8.74763084997813</v>
      </c>
      <c r="I383" s="74">
        <f>+VLOOKUP(D383,'材料表 '!C:F,3,0)</f>
        <v>1.32743362831858</v>
      </c>
      <c r="J383" s="95">
        <f t="shared" si="46"/>
        <v>11.611899358378</v>
      </c>
      <c r="K383" s="60">
        <f ca="1">H383*K364</f>
        <v>16.2758419594693</v>
      </c>
      <c r="L383" s="92"/>
      <c r="M383" s="44"/>
      <c r="N383" s="82"/>
      <c r="O383" s="44"/>
      <c r="P383" s="44"/>
      <c r="Q383" s="44"/>
      <c r="R383" s="84">
        <f>+Q383/R365</f>
        <v>0</v>
      </c>
      <c r="S383" s="47"/>
      <c r="T383" s="47"/>
    </row>
    <row r="384" s="27" customFormat="1" ht="18" customHeight="1" spans="1:20">
      <c r="A384" s="34"/>
      <c r="B384" s="48">
        <v>8</v>
      </c>
      <c r="C384" s="48"/>
      <c r="D384" s="88" t="s">
        <v>472</v>
      </c>
      <c r="E384" s="72" t="str">
        <f>+VLOOKUP(D384,'材料表 '!C:F,2,0)</f>
        <v>套</v>
      </c>
      <c r="F384" s="77">
        <f t="shared" si="48"/>
        <v>0.728969237498178</v>
      </c>
      <c r="G384" s="89">
        <f>+VLOOKUP(D384,'材料表 '!C:F,4,0)</f>
        <v>0</v>
      </c>
      <c r="H384" s="74">
        <f t="shared" si="47"/>
        <v>0.728969237498178</v>
      </c>
      <c r="I384" s="74">
        <f>+VLOOKUP(D384,'材料表 '!C:F,3,0)</f>
        <v>2.47787610619469</v>
      </c>
      <c r="J384" s="95">
        <f t="shared" si="46"/>
        <v>1.8062954557477</v>
      </c>
      <c r="K384" s="60">
        <f ca="1">H384*K364</f>
        <v>1.35632016328911</v>
      </c>
      <c r="L384" s="92"/>
      <c r="M384" s="44"/>
      <c r="N384" s="82"/>
      <c r="O384" s="44"/>
      <c r="P384" s="44"/>
      <c r="Q384" s="44"/>
      <c r="R384" s="84"/>
      <c r="S384" s="47"/>
      <c r="T384" s="47"/>
    </row>
    <row r="385" s="27" customFormat="1" ht="18" customHeight="1" spans="1:20">
      <c r="A385" s="34"/>
      <c r="B385" s="48">
        <v>9</v>
      </c>
      <c r="C385" s="48"/>
      <c r="D385" s="88" t="s">
        <v>473</v>
      </c>
      <c r="E385" s="72" t="str">
        <f>+VLOOKUP(D385,'材料表 '!C:F,2,0)</f>
        <v>套</v>
      </c>
      <c r="F385" s="77">
        <f t="shared" si="48"/>
        <v>26.2428925499344</v>
      </c>
      <c r="G385" s="89">
        <f>+VLOOKUP(D385,'材料表 '!C:F,4,0)</f>
        <v>0</v>
      </c>
      <c r="H385" s="74">
        <f t="shared" si="47"/>
        <v>26.2428925499344</v>
      </c>
      <c r="I385" s="74">
        <f>+VLOOKUP(D385,'材料表 '!C:F,3,0)</f>
        <v>0.247787610619469</v>
      </c>
      <c r="J385" s="95">
        <f t="shared" si="46"/>
        <v>6.50266364069171</v>
      </c>
      <c r="K385" s="60">
        <f ca="1">H385*K364</f>
        <v>48.8275258784079</v>
      </c>
      <c r="L385" s="90"/>
      <c r="M385" s="44"/>
      <c r="N385" s="82"/>
      <c r="O385" s="34"/>
      <c r="P385" s="44"/>
      <c r="Q385" s="44"/>
      <c r="R385" s="119"/>
      <c r="S385" s="47"/>
      <c r="T385" s="47"/>
    </row>
    <row r="386" s="27" customFormat="1" ht="18" customHeight="1" spans="1:20">
      <c r="A386" s="34"/>
      <c r="B386" s="48">
        <v>10</v>
      </c>
      <c r="C386" s="48"/>
      <c r="D386" s="88" t="s">
        <v>474</v>
      </c>
      <c r="E386" s="72" t="str">
        <f>+VLOOKUP(D386,'材料表 '!C:F,2,0)</f>
        <v>套</v>
      </c>
      <c r="F386" s="77">
        <f t="shared" si="48"/>
        <v>2.91587694999271</v>
      </c>
      <c r="G386" s="89">
        <f>+VLOOKUP(D386,'材料表 '!C:F,4,0)</f>
        <v>0</v>
      </c>
      <c r="H386" s="74">
        <f t="shared" si="47"/>
        <v>2.91587694999271</v>
      </c>
      <c r="I386" s="74">
        <f>+VLOOKUP(D386,'材料表 '!C:F,3,0)</f>
        <v>2.21238938053097</v>
      </c>
      <c r="J386" s="95">
        <f t="shared" si="46"/>
        <v>6.45105519909891</v>
      </c>
      <c r="K386" s="60">
        <f ca="1">H386*K364</f>
        <v>5.42528065315644</v>
      </c>
      <c r="L386" s="92"/>
      <c r="M386" s="120"/>
      <c r="N386" s="82"/>
      <c r="O386" s="44"/>
      <c r="P386" s="44"/>
      <c r="Q386" s="44"/>
      <c r="R386" s="84"/>
      <c r="S386" s="47"/>
      <c r="T386" s="47"/>
    </row>
    <row r="387" s="27" customFormat="1" ht="18" customHeight="1" spans="1:20">
      <c r="A387" s="34"/>
      <c r="B387" s="48">
        <v>11</v>
      </c>
      <c r="C387" s="48"/>
      <c r="D387" s="88" t="s">
        <v>477</v>
      </c>
      <c r="E387" s="72" t="str">
        <f>+VLOOKUP(D387,'材料表 '!C:F,2,0)</f>
        <v>kg</v>
      </c>
      <c r="F387" s="77">
        <v>0.2</v>
      </c>
      <c r="G387" s="89">
        <f>+VLOOKUP(D387,'材料表 '!C:F,4,0)</f>
        <v>0.15</v>
      </c>
      <c r="H387" s="74">
        <f t="shared" si="47"/>
        <v>0.23</v>
      </c>
      <c r="I387" s="74">
        <f>+VLOOKUP(D387,'材料表 '!C:F,3,0)</f>
        <v>10.6194690265487</v>
      </c>
      <c r="J387" s="95">
        <f t="shared" si="46"/>
        <v>2.4424778761062</v>
      </c>
      <c r="K387" s="60">
        <f ca="1">H387*K364</f>
        <v>0.427938</v>
      </c>
      <c r="L387" s="92"/>
      <c r="M387" s="44"/>
      <c r="N387" s="82"/>
      <c r="O387" s="44"/>
      <c r="P387" s="44"/>
      <c r="Q387" s="44"/>
      <c r="R387" s="84"/>
      <c r="S387" s="47"/>
      <c r="T387" s="47"/>
    </row>
    <row r="388" s="27" customFormat="1" ht="18" customHeight="1" spans="1:20">
      <c r="A388" s="34"/>
      <c r="B388" s="48">
        <v>12</v>
      </c>
      <c r="C388" s="48"/>
      <c r="D388" s="88" t="s">
        <v>476</v>
      </c>
      <c r="E388" s="72" t="str">
        <f>+VLOOKUP(D388,'材料表 '!C:F,2,0)</f>
        <v>支</v>
      </c>
      <c r="F388" s="77">
        <f t="shared" si="48"/>
        <v>0.418836565096953</v>
      </c>
      <c r="G388" s="89">
        <f>+VLOOKUP(D388,'材料表 '!C:F,4,0)</f>
        <v>0.15</v>
      </c>
      <c r="H388" s="74">
        <f t="shared" si="47"/>
        <v>0.481662049861496</v>
      </c>
      <c r="I388" s="74">
        <f>+VLOOKUP(D388,'材料表 '!C:F,3,0)</f>
        <v>11.5044247787611</v>
      </c>
      <c r="J388" s="95">
        <f t="shared" si="46"/>
        <v>5.54124482141546</v>
      </c>
      <c r="K388" s="60">
        <f ca="1">H388*K364</f>
        <v>0.896180409972299</v>
      </c>
      <c r="L388" s="92"/>
      <c r="M388" s="44"/>
      <c r="N388" s="44"/>
      <c r="O388" s="44"/>
      <c r="P388" s="44"/>
      <c r="Q388" s="44"/>
      <c r="R388" s="84"/>
      <c r="S388" s="47"/>
      <c r="T388" s="47"/>
    </row>
    <row r="389" s="27" customFormat="1" ht="18" customHeight="1" spans="1:20">
      <c r="A389" s="34"/>
      <c r="B389" s="48">
        <v>13</v>
      </c>
      <c r="C389" s="48"/>
      <c r="D389" s="88"/>
      <c r="E389" s="72"/>
      <c r="F389" s="77"/>
      <c r="G389" s="89"/>
      <c r="H389" s="74"/>
      <c r="I389" s="74"/>
      <c r="J389" s="95"/>
      <c r="K389" s="60">
        <f ca="1">H389*K364</f>
        <v>0</v>
      </c>
      <c r="L389" s="92"/>
      <c r="M389" s="44"/>
      <c r="N389" s="44"/>
      <c r="O389" s="44"/>
      <c r="P389" s="44"/>
      <c r="Q389" s="44"/>
      <c r="R389" s="84"/>
      <c r="S389" s="47"/>
      <c r="T389" s="47"/>
    </row>
    <row r="390" s="27" customFormat="1" ht="18" customHeight="1" spans="1:20">
      <c r="A390" s="34"/>
      <c r="B390" s="48">
        <v>14</v>
      </c>
      <c r="C390" s="48"/>
      <c r="D390" s="88" t="s">
        <v>113</v>
      </c>
      <c r="E390" s="72" t="str">
        <f>+VLOOKUP(D390,'材料表 '!C:F,2,0)</f>
        <v>m2</v>
      </c>
      <c r="F390" s="77">
        <v>1</v>
      </c>
      <c r="G390" s="89">
        <f>+VLOOKUP(D390,'材料表 '!C:F,4,0)</f>
        <v>0.02</v>
      </c>
      <c r="H390" s="74">
        <f>F390*(G390+1)</f>
        <v>1.02</v>
      </c>
      <c r="I390" s="74">
        <f>+VLOOKUP(D390,'材料表 '!C:F,3,0)</f>
        <v>774.336283185841</v>
      </c>
      <c r="J390" s="95">
        <f>H390*I390</f>
        <v>789.823008849558</v>
      </c>
      <c r="K390" s="60">
        <f ca="1">H390*K364</f>
        <v>1.897812</v>
      </c>
      <c r="L390" s="92"/>
      <c r="M390" s="44"/>
      <c r="N390" s="44"/>
      <c r="O390" s="44"/>
      <c r="P390" s="44"/>
      <c r="Q390" s="44"/>
      <c r="R390" s="84"/>
      <c r="S390" s="47"/>
      <c r="T390" s="47"/>
    </row>
    <row r="391" s="27" customFormat="1" ht="18" customHeight="1" spans="1:20">
      <c r="A391" s="34"/>
      <c r="B391" s="48">
        <v>15</v>
      </c>
      <c r="C391" s="48"/>
      <c r="D391" s="88"/>
      <c r="E391" s="72"/>
      <c r="F391" s="77"/>
      <c r="G391" s="89"/>
      <c r="H391" s="74"/>
      <c r="I391" s="74"/>
      <c r="J391" s="95"/>
      <c r="K391" s="92"/>
      <c r="L391" s="92"/>
      <c r="M391" s="44"/>
      <c r="N391" s="44"/>
      <c r="O391" s="44"/>
      <c r="P391" s="44"/>
      <c r="Q391" s="44"/>
      <c r="R391" s="84"/>
      <c r="S391" s="47"/>
      <c r="T391" s="47"/>
    </row>
    <row r="392" s="27" customFormat="1" ht="18" customHeight="1" spans="1:20">
      <c r="A392" s="34"/>
      <c r="B392" s="48">
        <v>16</v>
      </c>
      <c r="C392" s="48"/>
      <c r="D392" s="88"/>
      <c r="E392" s="72"/>
      <c r="F392" s="77"/>
      <c r="G392" s="89"/>
      <c r="H392" s="74"/>
      <c r="I392" s="74"/>
      <c r="J392" s="95"/>
      <c r="K392" s="92"/>
      <c r="L392" s="92"/>
      <c r="M392" s="44"/>
      <c r="N392" s="44"/>
      <c r="O392" s="44"/>
      <c r="P392" s="44"/>
      <c r="Q392" s="44"/>
      <c r="R392" s="84"/>
      <c r="S392" s="47"/>
      <c r="T392" s="47"/>
    </row>
    <row r="393" s="27" customFormat="1" ht="18" customHeight="1" spans="1:20">
      <c r="A393" s="34"/>
      <c r="B393" s="48">
        <v>17</v>
      </c>
      <c r="C393" s="48"/>
      <c r="D393" s="121"/>
      <c r="E393" s="72"/>
      <c r="F393" s="77"/>
      <c r="G393" s="89"/>
      <c r="H393" s="74"/>
      <c r="I393" s="74"/>
      <c r="J393" s="95"/>
      <c r="K393" s="92"/>
      <c r="L393" s="92"/>
      <c r="M393" s="44"/>
      <c r="N393" s="44"/>
      <c r="O393" s="44"/>
      <c r="P393" s="44"/>
      <c r="Q393" s="101"/>
      <c r="R393" s="84"/>
      <c r="S393" s="47"/>
      <c r="T393" s="47"/>
    </row>
    <row r="394" s="27" customFormat="1" ht="18" customHeight="1" spans="1:20">
      <c r="A394" s="34"/>
      <c r="B394" s="48">
        <v>18</v>
      </c>
      <c r="C394" s="48"/>
      <c r="D394" s="88"/>
      <c r="E394" s="72"/>
      <c r="F394" s="77"/>
      <c r="G394" s="89"/>
      <c r="H394" s="74"/>
      <c r="I394" s="74"/>
      <c r="J394" s="95"/>
      <c r="K394" s="92"/>
      <c r="L394" s="92"/>
      <c r="M394" s="44"/>
      <c r="N394" s="44"/>
      <c r="O394" s="44"/>
      <c r="P394" s="44"/>
      <c r="Q394" s="44"/>
      <c r="R394" s="84"/>
      <c r="S394" s="47"/>
      <c r="T394" s="47"/>
    </row>
    <row r="395" s="27" customFormat="1" ht="18" customHeight="1" spans="1:20">
      <c r="A395" s="34"/>
      <c r="B395" s="48">
        <v>19</v>
      </c>
      <c r="C395" s="48"/>
      <c r="D395" s="27"/>
      <c r="E395" s="72"/>
      <c r="F395" s="77"/>
      <c r="G395" s="89"/>
      <c r="H395" s="74"/>
      <c r="I395" s="74"/>
      <c r="J395" s="95"/>
      <c r="K395" s="92"/>
      <c r="L395" s="92"/>
      <c r="M395" s="44"/>
      <c r="N395" s="44"/>
      <c r="O395" s="44"/>
      <c r="P395" s="44"/>
      <c r="Q395" s="44"/>
      <c r="R395" s="84"/>
      <c r="S395" s="47"/>
      <c r="T395" s="47"/>
    </row>
    <row r="396" s="27" customFormat="1" ht="18" customHeight="1" spans="1:20">
      <c r="A396" s="34"/>
      <c r="B396" s="48">
        <v>20</v>
      </c>
      <c r="C396" s="48"/>
      <c r="D396" s="88"/>
      <c r="E396" s="72"/>
      <c r="F396" s="77"/>
      <c r="G396" s="89"/>
      <c r="H396" s="74"/>
      <c r="I396" s="74"/>
      <c r="J396" s="95"/>
      <c r="K396" s="92"/>
      <c r="L396" s="92"/>
      <c r="M396" s="44"/>
      <c r="N396" s="44"/>
      <c r="O396" s="44"/>
      <c r="P396" s="44"/>
      <c r="Q396" s="44"/>
      <c r="R396" s="84"/>
      <c r="S396" s="47"/>
      <c r="T396" s="47"/>
    </row>
    <row r="397" s="27" customFormat="1" ht="18" customHeight="1" spans="1:20">
      <c r="A397" s="34"/>
      <c r="B397" s="48">
        <v>21</v>
      </c>
      <c r="C397" s="48"/>
      <c r="D397" s="88"/>
      <c r="E397" s="72"/>
      <c r="F397" s="77"/>
      <c r="G397" s="89"/>
      <c r="H397" s="74"/>
      <c r="I397" s="74"/>
      <c r="J397" s="95"/>
      <c r="K397" s="92"/>
      <c r="L397" s="92"/>
      <c r="M397" s="44"/>
      <c r="N397" s="44"/>
      <c r="O397" s="44"/>
      <c r="P397" s="44"/>
      <c r="Q397" s="44"/>
      <c r="R397" s="84"/>
      <c r="S397" s="47"/>
      <c r="T397" s="47"/>
    </row>
    <row r="398" s="27" customFormat="1" ht="18" customHeight="1" spans="1:20">
      <c r="A398" s="34"/>
      <c r="B398" s="48">
        <v>22</v>
      </c>
      <c r="C398" s="48"/>
      <c r="D398" s="27"/>
      <c r="E398" s="72"/>
      <c r="F398" s="77"/>
      <c r="G398" s="72"/>
      <c r="H398" s="74"/>
      <c r="I398" s="74"/>
      <c r="J398" s="95"/>
      <c r="K398" s="92"/>
      <c r="L398" s="92"/>
      <c r="M398" s="44"/>
      <c r="N398" s="44"/>
      <c r="O398" s="44"/>
      <c r="P398" s="44"/>
      <c r="Q398" s="44"/>
      <c r="R398" s="62"/>
      <c r="S398" s="47"/>
      <c r="T398" s="47"/>
    </row>
    <row r="399" s="27" customFormat="1" ht="18" customHeight="1" spans="1:20">
      <c r="A399" s="34"/>
      <c r="B399" s="48">
        <v>23</v>
      </c>
      <c r="C399" s="48"/>
      <c r="D399" s="88"/>
      <c r="E399" s="72"/>
      <c r="F399" s="77"/>
      <c r="G399" s="89"/>
      <c r="H399" s="74"/>
      <c r="I399" s="74"/>
      <c r="J399" s="95"/>
      <c r="K399" s="92"/>
      <c r="L399" s="92"/>
      <c r="M399" s="44"/>
      <c r="N399" s="44"/>
      <c r="O399" s="44"/>
      <c r="P399" s="44"/>
      <c r="Q399" s="44"/>
      <c r="R399" s="62"/>
      <c r="S399" s="47"/>
      <c r="T399" s="47"/>
    </row>
    <row r="400" s="27" customFormat="1" ht="18" customHeight="1" spans="1:20">
      <c r="A400" s="34"/>
      <c r="B400" s="48">
        <v>24</v>
      </c>
      <c r="C400" s="48"/>
      <c r="D400" s="88" t="s">
        <v>478</v>
      </c>
      <c r="E400" s="72" t="s">
        <v>43</v>
      </c>
      <c r="F400" s="77"/>
      <c r="G400" s="72">
        <v>1</v>
      </c>
      <c r="H400" s="74">
        <v>1</v>
      </c>
      <c r="I400" s="74">
        <f>+辅材及安装费!$E$8</f>
        <v>10</v>
      </c>
      <c r="J400" s="95">
        <f t="shared" ref="J399:J402" si="49">H400*I400</f>
        <v>10</v>
      </c>
      <c r="K400" s="92"/>
      <c r="L400" s="92"/>
      <c r="M400" s="44"/>
      <c r="N400" s="44"/>
      <c r="O400" s="44"/>
      <c r="P400" s="44"/>
      <c r="Q400" s="44"/>
      <c r="R400" s="62"/>
      <c r="S400" s="47"/>
      <c r="T400" s="47"/>
    </row>
    <row r="401" s="27" customFormat="1" ht="18" customHeight="1" spans="1:20">
      <c r="A401" s="34"/>
      <c r="B401" s="48">
        <v>25</v>
      </c>
      <c r="C401" s="48"/>
      <c r="D401" s="93" t="s">
        <v>442</v>
      </c>
      <c r="E401" s="72"/>
      <c r="F401" s="77"/>
      <c r="G401" s="72"/>
      <c r="H401" s="74"/>
      <c r="I401" s="74"/>
      <c r="J401" s="95">
        <f>SUM(J378:J400)</f>
        <v>1022.55533414531</v>
      </c>
      <c r="K401" s="92"/>
      <c r="L401" s="94"/>
      <c r="M401" s="27"/>
      <c r="N401" s="83"/>
      <c r="O401" s="83"/>
      <c r="P401" s="83"/>
      <c r="Q401" s="83"/>
      <c r="R401" s="87"/>
      <c r="S401" s="47"/>
      <c r="T401" s="47"/>
    </row>
    <row r="402" s="27" customFormat="1" ht="18" customHeight="1" spans="1:20">
      <c r="B402" s="48">
        <v>1</v>
      </c>
      <c r="C402" s="48" t="s">
        <v>443</v>
      </c>
      <c r="D402" s="48" t="s">
        <v>444</v>
      </c>
      <c r="E402" s="72" t="s">
        <v>43</v>
      </c>
      <c r="F402" s="50"/>
      <c r="G402" s="48"/>
      <c r="H402" s="51">
        <v>1</v>
      </c>
      <c r="I402" s="74">
        <f>+辅材及安装费!$F$8</f>
        <v>5</v>
      </c>
      <c r="J402" s="95">
        <f t="shared" si="49"/>
        <v>5</v>
      </c>
      <c r="K402" s="118"/>
      <c r="L402" s="96"/>
      <c r="M402" s="97"/>
      <c r="N402" s="98"/>
      <c r="O402" s="98"/>
      <c r="P402" s="98"/>
      <c r="Q402" s="98"/>
      <c r="R402" s="99"/>
      <c r="S402" s="47"/>
      <c r="T402" s="47"/>
    </row>
    <row r="403" s="26" customFormat="1" ht="30" customHeight="1" spans="1:20">
      <c r="A403" s="28"/>
      <c r="B403" s="29" t="s">
        <v>386</v>
      </c>
      <c r="C403" s="29"/>
      <c r="D403" s="29"/>
      <c r="E403" s="29"/>
      <c r="F403" s="29"/>
      <c r="G403" s="29"/>
      <c r="H403" s="29"/>
      <c r="I403" s="29"/>
      <c r="J403" s="29"/>
      <c r="K403" s="29"/>
      <c r="L403" s="30"/>
      <c r="M403" s="31"/>
      <c r="N403" s="31"/>
      <c r="O403" s="31"/>
      <c r="P403" s="31"/>
      <c r="Q403" s="31"/>
      <c r="R403" s="32"/>
      <c r="S403" s="33"/>
      <c r="T403" s="33"/>
    </row>
    <row r="404" s="27" customFormat="1" ht="33.75" customHeight="1" spans="1:20">
      <c r="A404" s="34">
        <v>9</v>
      </c>
      <c r="B404" s="35" t="s">
        <v>1</v>
      </c>
      <c r="C404" s="35" t="s">
        <v>387</v>
      </c>
      <c r="D404" s="36" t="str">
        <f>+A412</f>
        <v>25㎜葡萄牙灰石材（下沉小院）</v>
      </c>
      <c r="E404" s="37"/>
      <c r="F404" s="38" t="s">
        <v>99</v>
      </c>
      <c r="G404" s="39"/>
      <c r="H404" s="35" t="s">
        <v>388</v>
      </c>
      <c r="I404" s="40" t="s">
        <v>389</v>
      </c>
      <c r="J404" s="41" t="s">
        <v>37</v>
      </c>
      <c r="K404" s="42">
        <f ca="1">VLOOKUP(A404,排屋工程量清单!$A$49:$D$57,4,)</f>
        <v>90.38733</v>
      </c>
      <c r="L404" s="43"/>
      <c r="M404" s="44"/>
      <c r="N404" s="44"/>
      <c r="O404" s="44"/>
      <c r="P404" s="45"/>
      <c r="Q404" s="44"/>
      <c r="R404" s="46"/>
      <c r="S404" s="47"/>
      <c r="T404" s="47"/>
    </row>
    <row r="405" s="27" customFormat="1" ht="18" customHeight="1" spans="1:20">
      <c r="A405" s="34"/>
      <c r="B405" s="48">
        <v>1</v>
      </c>
      <c r="C405" s="49" t="s">
        <v>390</v>
      </c>
      <c r="D405" s="48" t="s">
        <v>391</v>
      </c>
      <c r="E405" s="48"/>
      <c r="F405" s="50"/>
      <c r="G405" s="48"/>
      <c r="H405" s="51"/>
      <c r="I405" s="52">
        <f>J417</f>
        <v>210</v>
      </c>
      <c r="J405" s="53" t="s">
        <v>392</v>
      </c>
      <c r="K405" s="54"/>
      <c r="L405" s="55" t="s">
        <v>116</v>
      </c>
      <c r="M405" s="56"/>
      <c r="N405" s="57"/>
      <c r="O405" s="57">
        <v>3.02</v>
      </c>
      <c r="P405" s="57">
        <v>1.65</v>
      </c>
      <c r="Q405" s="57">
        <v>1</v>
      </c>
      <c r="R405" s="58">
        <f>+Q405*P405*O405</f>
        <v>4.983</v>
      </c>
      <c r="S405" s="47"/>
      <c r="T405" s="47"/>
    </row>
    <row r="406" s="27" customFormat="1" ht="18" customHeight="1" spans="1:20">
      <c r="A406" s="34"/>
      <c r="B406" s="48">
        <v>2</v>
      </c>
      <c r="C406" s="59"/>
      <c r="D406" s="48" t="s">
        <v>394</v>
      </c>
      <c r="E406" s="48"/>
      <c r="F406" s="50"/>
      <c r="G406" s="48"/>
      <c r="H406" s="51"/>
      <c r="I406" s="52">
        <f>J441</f>
        <v>884.410160094765</v>
      </c>
      <c r="J406" s="53" t="s">
        <v>392</v>
      </c>
      <c r="K406" s="60"/>
      <c r="L406" s="61" t="s">
        <v>99</v>
      </c>
      <c r="M406" s="44"/>
      <c r="N406" s="44"/>
      <c r="O406" s="44"/>
      <c r="P406" s="44"/>
      <c r="Q406" s="44"/>
      <c r="R406" s="62"/>
      <c r="S406" s="47"/>
      <c r="T406" s="47"/>
    </row>
    <row r="407" s="27" customFormat="1" ht="18" customHeight="1" spans="1:20">
      <c r="A407" s="34"/>
      <c r="B407" s="48">
        <v>3</v>
      </c>
      <c r="C407" s="63"/>
      <c r="D407" s="48" t="s">
        <v>395</v>
      </c>
      <c r="E407" s="48"/>
      <c r="F407" s="50"/>
      <c r="G407" s="48"/>
      <c r="H407" s="51"/>
      <c r="I407" s="52">
        <f>J442</f>
        <v>5</v>
      </c>
      <c r="J407" s="53" t="s">
        <v>392</v>
      </c>
      <c r="K407" s="60"/>
      <c r="L407" s="60"/>
      <c r="M407" s="64" t="s">
        <v>396</v>
      </c>
      <c r="N407" s="65" t="s">
        <v>397</v>
      </c>
      <c r="O407" s="65" t="s">
        <v>398</v>
      </c>
      <c r="P407" s="65" t="s">
        <v>399</v>
      </c>
      <c r="Q407" s="65" t="s">
        <v>400</v>
      </c>
      <c r="R407" s="66" t="s">
        <v>401</v>
      </c>
      <c r="S407" s="47"/>
      <c r="T407" s="47"/>
    </row>
    <row r="408" s="27" customFormat="1" ht="18" customHeight="1" spans="1:20">
      <c r="A408" s="34"/>
      <c r="B408" s="48">
        <v>4</v>
      </c>
      <c r="C408" s="48" t="s">
        <v>402</v>
      </c>
      <c r="D408" s="67" t="s">
        <v>403</v>
      </c>
      <c r="E408" s="67"/>
      <c r="F408" s="50"/>
      <c r="G408" s="67"/>
      <c r="H408" s="68"/>
      <c r="I408" s="52">
        <f>SUM(I405:I407)</f>
        <v>1099.41016009477</v>
      </c>
      <c r="J408" s="53" t="s">
        <v>392</v>
      </c>
      <c r="K408" s="60"/>
      <c r="L408" s="69" t="s">
        <v>431</v>
      </c>
      <c r="M408" s="34" t="s">
        <v>460</v>
      </c>
      <c r="N408" s="102">
        <v>10.21</v>
      </c>
      <c r="O408" s="34">
        <f>P405</f>
        <v>1.65</v>
      </c>
      <c r="P408" s="34">
        <v>4</v>
      </c>
      <c r="Q408" s="44">
        <f t="shared" ref="Q408:Q412" si="50">+P408*O408*N408</f>
        <v>67.386</v>
      </c>
      <c r="R408" s="71">
        <f>+Q408/R405</f>
        <v>13.523178807947</v>
      </c>
      <c r="S408" s="47"/>
      <c r="T408" s="47"/>
    </row>
    <row r="409" s="27" customFormat="1" ht="28" customHeight="1" spans="1:20">
      <c r="A409" s="34"/>
      <c r="B409" s="48">
        <v>5</v>
      </c>
      <c r="C409" s="72" t="s">
        <v>406</v>
      </c>
      <c r="D409" s="48" t="s">
        <v>407</v>
      </c>
      <c r="E409" s="48"/>
      <c r="F409" s="50"/>
      <c r="G409" s="48"/>
      <c r="H409" s="73">
        <f>+'材料表 '!$E$178</f>
        <v>0</v>
      </c>
      <c r="I409" s="52">
        <f>H409*I408</f>
        <v>0</v>
      </c>
      <c r="J409" s="53" t="s">
        <v>392</v>
      </c>
      <c r="K409" s="60"/>
      <c r="L409" s="69" t="s">
        <v>461</v>
      </c>
      <c r="M409" s="34" t="s">
        <v>462</v>
      </c>
      <c r="N409" s="34">
        <v>3.77</v>
      </c>
      <c r="O409" s="34">
        <f>+O405</f>
        <v>3.02</v>
      </c>
      <c r="P409" s="34">
        <v>4</v>
      </c>
      <c r="Q409" s="44">
        <f t="shared" si="50"/>
        <v>45.5416</v>
      </c>
      <c r="R409" s="71">
        <f>+Q409/R405</f>
        <v>9.13939393939394</v>
      </c>
      <c r="S409" s="47"/>
      <c r="T409" s="47"/>
    </row>
    <row r="410" s="27" customFormat="1" ht="18" customHeight="1" spans="1:20">
      <c r="A410" s="34"/>
      <c r="B410" s="48">
        <v>6</v>
      </c>
      <c r="C410" s="48" t="s">
        <v>409</v>
      </c>
      <c r="D410" s="48" t="s">
        <v>410</v>
      </c>
      <c r="E410" s="48"/>
      <c r="F410" s="50"/>
      <c r="G410" s="48"/>
      <c r="H410" s="73">
        <f>+'材料表 '!$E$179</f>
        <v>0</v>
      </c>
      <c r="I410" s="52">
        <f>H410*I408</f>
        <v>0</v>
      </c>
      <c r="J410" s="53" t="s">
        <v>392</v>
      </c>
      <c r="K410" s="60"/>
      <c r="L410" s="69" t="s">
        <v>463</v>
      </c>
      <c r="M410" s="34" t="s">
        <v>464</v>
      </c>
      <c r="N410" s="34">
        <f>0.15*0.2*7.85*10</f>
        <v>2.355</v>
      </c>
      <c r="O410" s="34">
        <f>1</f>
        <v>1</v>
      </c>
      <c r="P410" s="34">
        <f>+P408</f>
        <v>4</v>
      </c>
      <c r="Q410" s="44">
        <f t="shared" si="50"/>
        <v>9.42</v>
      </c>
      <c r="R410" s="71">
        <f>+Q410/R405</f>
        <v>1.89042745334136</v>
      </c>
      <c r="S410" s="47"/>
      <c r="T410" s="47"/>
    </row>
    <row r="411" s="27" customFormat="1" ht="18" customHeight="1" spans="1:20">
      <c r="A411" s="34"/>
      <c r="B411" s="48">
        <v>7</v>
      </c>
      <c r="C411" s="48" t="s">
        <v>412</v>
      </c>
      <c r="D411" s="72" t="s">
        <v>413</v>
      </c>
      <c r="E411" s="72"/>
      <c r="F411" s="77"/>
      <c r="G411" s="72"/>
      <c r="H411" s="73">
        <f>+'材料表 '!$E$180</f>
        <v>0.09</v>
      </c>
      <c r="I411" s="52">
        <f>(I408+I409+I410)*H411</f>
        <v>98.9469144085289</v>
      </c>
      <c r="J411" s="53" t="s">
        <v>392</v>
      </c>
      <c r="K411" s="60"/>
      <c r="L411" s="69" t="s">
        <v>465</v>
      </c>
      <c r="M411" s="34" t="s">
        <v>482</v>
      </c>
      <c r="N411" s="100">
        <f>3.77</f>
        <v>3.77</v>
      </c>
      <c r="O411" s="34">
        <v>0.265</v>
      </c>
      <c r="P411" s="34">
        <f>4*2</f>
        <v>8</v>
      </c>
      <c r="Q411" s="44">
        <f t="shared" si="50"/>
        <v>7.9924</v>
      </c>
      <c r="R411" s="71">
        <f>+Q411/R405</f>
        <v>1.6039333734698</v>
      </c>
      <c r="S411" s="47"/>
      <c r="T411" s="47"/>
    </row>
    <row r="412" s="27" customFormat="1" ht="18" customHeight="1" spans="1:20">
      <c r="A412" s="105" t="s">
        <v>115</v>
      </c>
      <c r="B412" s="48">
        <v>8</v>
      </c>
      <c r="C412" s="48" t="s">
        <v>363</v>
      </c>
      <c r="D412" s="106" t="s">
        <v>415</v>
      </c>
      <c r="E412" s="107"/>
      <c r="F412" s="108"/>
      <c r="G412" s="107"/>
      <c r="H412" s="51"/>
      <c r="I412" s="74">
        <f>SUM(I408:I411)</f>
        <v>1198.35707450329</v>
      </c>
      <c r="J412" s="53" t="s">
        <v>416</v>
      </c>
      <c r="K412" s="60"/>
      <c r="L412" s="69" t="s">
        <v>465</v>
      </c>
      <c r="M412" s="44" t="s">
        <v>487</v>
      </c>
      <c r="N412" s="126">
        <v>5.778</v>
      </c>
      <c r="O412" s="44">
        <v>0.06</v>
      </c>
      <c r="P412" s="44">
        <f>+P408*2</f>
        <v>8</v>
      </c>
      <c r="Q412" s="44">
        <f t="shared" si="50"/>
        <v>2.77344</v>
      </c>
      <c r="R412" s="84">
        <f>+Q412/R405</f>
        <v>0.556580373269115</v>
      </c>
      <c r="S412" s="79"/>
      <c r="T412" s="47"/>
    </row>
    <row r="413" s="27" customFormat="1" ht="18" customHeight="1" spans="1:20">
      <c r="A413" s="34"/>
      <c r="B413" s="109" t="s">
        <v>418</v>
      </c>
      <c r="C413" s="110"/>
      <c r="D413" s="110"/>
      <c r="E413" s="110"/>
      <c r="F413" s="110"/>
      <c r="G413" s="110"/>
      <c r="H413" s="110"/>
      <c r="I413" s="110"/>
      <c r="J413" s="110"/>
      <c r="K413" s="80"/>
      <c r="L413" s="90" t="s">
        <v>469</v>
      </c>
      <c r="M413" s="44"/>
      <c r="N413" s="82"/>
      <c r="O413" s="44">
        <f>19*4</f>
        <v>76</v>
      </c>
      <c r="P413" s="44">
        <v>1</v>
      </c>
      <c r="Q413" s="44">
        <f>+P413*O413</f>
        <v>76</v>
      </c>
      <c r="R413" s="84">
        <f>+Q413/R405</f>
        <v>15.251856311459</v>
      </c>
      <c r="S413" s="47"/>
      <c r="T413" s="47"/>
    </row>
    <row r="414" s="27" customFormat="1" ht="18" customHeight="1" spans="1:20">
      <c r="A414" s="34"/>
      <c r="B414" s="48">
        <v>1</v>
      </c>
      <c r="C414" s="48" t="s">
        <v>391</v>
      </c>
      <c r="D414" s="48" t="s">
        <v>396</v>
      </c>
      <c r="E414" s="48" t="s">
        <v>37</v>
      </c>
      <c r="F414" s="50"/>
      <c r="G414" s="48"/>
      <c r="H414" s="51" t="s">
        <v>399</v>
      </c>
      <c r="I414" s="51" t="s">
        <v>420</v>
      </c>
      <c r="J414" s="95" t="s">
        <v>421</v>
      </c>
      <c r="K414" s="92"/>
      <c r="L414" s="90"/>
      <c r="M414" s="44"/>
      <c r="N414" s="82"/>
      <c r="O414" s="44"/>
      <c r="P414" s="44"/>
      <c r="Q414" s="44"/>
      <c r="R414" s="84"/>
      <c r="S414" s="47"/>
      <c r="T414" s="47"/>
    </row>
    <row r="415" s="27" customFormat="1" ht="18" customHeight="1" spans="1:20">
      <c r="A415" s="34"/>
      <c r="B415" s="48">
        <v>2</v>
      </c>
      <c r="C415" s="48"/>
      <c r="D415" s="111" t="s">
        <v>470</v>
      </c>
      <c r="E415" s="49" t="s">
        <v>423</v>
      </c>
      <c r="F415" s="112"/>
      <c r="G415" s="111"/>
      <c r="H415" s="113">
        <v>1</v>
      </c>
      <c r="I415" s="113">
        <f>+辅材及安装费!$G$8</f>
        <v>210</v>
      </c>
      <c r="J415" s="114">
        <f t="shared" ref="J415:J428" si="51">H415*I415</f>
        <v>210</v>
      </c>
      <c r="K415" s="92"/>
      <c r="L415" s="90" t="s">
        <v>471</v>
      </c>
      <c r="M415" s="44"/>
      <c r="N415" s="82"/>
      <c r="O415" s="44"/>
      <c r="P415" s="44"/>
      <c r="Q415" s="44">
        <f>+Q413</f>
        <v>76</v>
      </c>
      <c r="R415" s="84">
        <f>+Q415/R405</f>
        <v>15.251856311459</v>
      </c>
      <c r="S415" s="47"/>
      <c r="T415" s="47"/>
    </row>
    <row r="416" s="27" customFormat="1" ht="18" customHeight="1" spans="1:20">
      <c r="A416" s="34"/>
      <c r="B416" s="48">
        <v>3</v>
      </c>
      <c r="C416" s="48"/>
      <c r="D416" s="115"/>
      <c r="E416" s="63"/>
      <c r="F416" s="116"/>
      <c r="G416" s="115"/>
      <c r="H416" s="117"/>
      <c r="I416" s="117"/>
      <c r="J416" s="118"/>
      <c r="K416" s="92"/>
      <c r="L416" s="90" t="s">
        <v>472</v>
      </c>
      <c r="M416" s="44"/>
      <c r="N416" s="82"/>
      <c r="O416" s="44"/>
      <c r="P416" s="44">
        <f>O410*P410*2</f>
        <v>8</v>
      </c>
      <c r="Q416" s="44">
        <v>1</v>
      </c>
      <c r="R416" s="84">
        <f>+Q416/R405</f>
        <v>0.200682319887618</v>
      </c>
      <c r="S416" s="47"/>
      <c r="T416" s="47"/>
    </row>
    <row r="417" s="27" customFormat="1" ht="18" customHeight="1" spans="1:20">
      <c r="A417" s="34"/>
      <c r="B417" s="48">
        <v>4</v>
      </c>
      <c r="C417" s="48"/>
      <c r="D417" s="85" t="s">
        <v>426</v>
      </c>
      <c r="E417" s="48" t="s">
        <v>392</v>
      </c>
      <c r="F417" s="50"/>
      <c r="G417" s="48"/>
      <c r="H417" s="86"/>
      <c r="I417" s="86"/>
      <c r="J417" s="95">
        <f>SUM(J415:J415)</f>
        <v>210</v>
      </c>
      <c r="K417" s="92"/>
      <c r="L417" s="90" t="s">
        <v>473</v>
      </c>
      <c r="M417" s="44"/>
      <c r="N417" s="82"/>
      <c r="O417" s="44"/>
      <c r="P417" s="44"/>
      <c r="Q417" s="44">
        <f>+(Q413)*3</f>
        <v>228</v>
      </c>
      <c r="R417" s="84">
        <f>+Q417/R405</f>
        <v>45.7555689343769</v>
      </c>
      <c r="S417" s="47"/>
      <c r="T417" s="47"/>
    </row>
    <row r="418" s="27" customFormat="1" ht="24" customHeight="1" spans="1:20">
      <c r="A418" s="34"/>
      <c r="B418" s="48">
        <v>1</v>
      </c>
      <c r="C418" s="48" t="s">
        <v>394</v>
      </c>
      <c r="D418" s="88" t="s">
        <v>431</v>
      </c>
      <c r="E418" s="72" t="str">
        <f>+VLOOKUP(D418,'材料表 '!C:F,2,0)</f>
        <v>kg</v>
      </c>
      <c r="F418" s="77">
        <f>+SUMIF($L$405:$L$442,D418,$R$405:$R$442)</f>
        <v>13.523178807947</v>
      </c>
      <c r="G418" s="89">
        <f>+VLOOKUP(D418,'材料表 '!C:F,4,0)</f>
        <v>0.03</v>
      </c>
      <c r="H418" s="74">
        <f t="shared" ref="H418:H428" si="52">F418*(G418+1)</f>
        <v>13.9288741721854</v>
      </c>
      <c r="I418" s="74">
        <f>+VLOOKUP(D418,'材料表 '!C:F,3,0)</f>
        <v>3.80530973451327</v>
      </c>
      <c r="J418" s="95">
        <f t="shared" si="51"/>
        <v>53.0036804782276</v>
      </c>
      <c r="K418" s="60">
        <f ca="1">H418*K404</f>
        <v>1258.9937463298</v>
      </c>
      <c r="L418" s="90"/>
      <c r="M418" s="44"/>
      <c r="N418" s="82"/>
      <c r="O418" s="44"/>
      <c r="P418" s="44"/>
      <c r="Q418" s="44"/>
      <c r="R418" s="84"/>
      <c r="S418" s="47"/>
      <c r="T418" s="47"/>
    </row>
    <row r="419" s="27" customFormat="1" ht="18" customHeight="1" spans="1:20">
      <c r="A419" s="34"/>
      <c r="B419" s="48">
        <v>2</v>
      </c>
      <c r="C419" s="48"/>
      <c r="D419" s="88" t="s">
        <v>461</v>
      </c>
      <c r="E419" s="72" t="str">
        <f>+VLOOKUP(D419,'材料表 '!C:F,2,0)</f>
        <v>kg</v>
      </c>
      <c r="F419" s="77">
        <f t="shared" ref="F419:F428" si="53">+SUMIF($L$405:$L$442,D419,$R$405:$R$442)</f>
        <v>9.13939393939394</v>
      </c>
      <c r="G419" s="89">
        <f>+VLOOKUP(D419,'材料表 '!C:F,4,0)</f>
        <v>0.03</v>
      </c>
      <c r="H419" s="74">
        <f t="shared" si="52"/>
        <v>9.41357575757576</v>
      </c>
      <c r="I419" s="74">
        <f>+VLOOKUP(D419,'材料表 '!C:F,3,0)</f>
        <v>3.53982300884956</v>
      </c>
      <c r="J419" s="95">
        <f t="shared" si="51"/>
        <v>33.3223920622151</v>
      </c>
      <c r="K419" s="60">
        <f ca="1">H419*K404</f>
        <v>850.86797848</v>
      </c>
      <c r="L419" s="90"/>
      <c r="M419" s="44"/>
      <c r="N419" s="82"/>
      <c r="O419" s="44"/>
      <c r="P419" s="44"/>
      <c r="Q419" s="44"/>
      <c r="R419" s="84"/>
      <c r="S419" s="47"/>
      <c r="T419" s="47"/>
    </row>
    <row r="420" s="27" customFormat="1" ht="18" customHeight="1" spans="1:20">
      <c r="A420" s="34"/>
      <c r="B420" s="48">
        <v>3</v>
      </c>
      <c r="C420" s="48"/>
      <c r="D420" s="88" t="s">
        <v>465</v>
      </c>
      <c r="E420" s="72" t="str">
        <f>+VLOOKUP(D420,'材料表 '!C:F,2,0)</f>
        <v>kg</v>
      </c>
      <c r="F420" s="77">
        <f t="shared" si="53"/>
        <v>2.16051374673891</v>
      </c>
      <c r="G420" s="89">
        <f>+VLOOKUP(D420,'材料表 '!C:F,4,0)</f>
        <v>0.03</v>
      </c>
      <c r="H420" s="74">
        <f t="shared" si="52"/>
        <v>2.22532915914108</v>
      </c>
      <c r="I420" s="74">
        <f>+VLOOKUP(D420,'材料表 '!C:F,3,0)</f>
        <v>6.01769911504425</v>
      </c>
      <c r="J420" s="95">
        <f t="shared" si="51"/>
        <v>13.3913613116454</v>
      </c>
      <c r="K420" s="60">
        <f ca="1">H420*K404</f>
        <v>201.141561065907</v>
      </c>
      <c r="L420" s="90" t="s">
        <v>474</v>
      </c>
      <c r="M420" s="44"/>
      <c r="N420" s="82"/>
      <c r="O420" s="44"/>
      <c r="P420" s="44"/>
      <c r="Q420" s="44">
        <f>+O410*P410*4</f>
        <v>16</v>
      </c>
      <c r="R420" s="84">
        <f>+Q420/R405</f>
        <v>3.21091711820189</v>
      </c>
      <c r="S420" s="47"/>
      <c r="T420" s="47"/>
    </row>
    <row r="421" s="27" customFormat="1" ht="18" customHeight="1" spans="1:20">
      <c r="A421" s="34"/>
      <c r="B421" s="48">
        <v>4</v>
      </c>
      <c r="C421" s="48"/>
      <c r="D421" s="88" t="s">
        <v>463</v>
      </c>
      <c r="E421" s="72" t="str">
        <f>+VLOOKUP(D421,'材料表 '!C:F,2,0)</f>
        <v>kg</v>
      </c>
      <c r="F421" s="77">
        <f t="shared" si="53"/>
        <v>1.89042745334136</v>
      </c>
      <c r="G421" s="89">
        <f>+VLOOKUP(D421,'材料表 '!C:F,4,0)</f>
        <v>0.03</v>
      </c>
      <c r="H421" s="74">
        <f t="shared" si="52"/>
        <v>1.9471402769416</v>
      </c>
      <c r="I421" s="74">
        <f>+VLOOKUP(D421,'材料表 '!C:F,3,0)</f>
        <v>6.01769911504425</v>
      </c>
      <c r="J421" s="95">
        <f t="shared" si="51"/>
        <v>11.7173043214185</v>
      </c>
      <c r="K421" s="60">
        <f ca="1">H421*K404</f>
        <v>175.996810768212</v>
      </c>
      <c r="L421" s="90" t="s">
        <v>475</v>
      </c>
      <c r="M421" s="44"/>
      <c r="N421" s="83"/>
      <c r="O421" s="82"/>
      <c r="P421" s="44"/>
      <c r="Q421" s="44"/>
      <c r="R421" s="84"/>
      <c r="S421" s="47"/>
      <c r="T421" s="47"/>
    </row>
    <row r="422" s="27" customFormat="1" ht="18" customHeight="1" spans="1:20">
      <c r="A422" s="34"/>
      <c r="B422" s="48">
        <v>5</v>
      </c>
      <c r="C422" s="48"/>
      <c r="D422" s="88" t="s">
        <v>469</v>
      </c>
      <c r="E422" s="72" t="str">
        <f>+VLOOKUP(D422,'材料表 '!C:F,2,0)</f>
        <v>套</v>
      </c>
      <c r="F422" s="77">
        <f t="shared" si="53"/>
        <v>15.251856311459</v>
      </c>
      <c r="G422" s="89">
        <f>+VLOOKUP(D422,'材料表 '!C:F,4,0)</f>
        <v>0</v>
      </c>
      <c r="H422" s="74">
        <f t="shared" si="52"/>
        <v>15.251856311459</v>
      </c>
      <c r="I422" s="74">
        <f>+VLOOKUP(D422,'材料表 '!C:F,3,0)</f>
        <v>5.30973451327434</v>
      </c>
      <c r="J422" s="95">
        <f t="shared" si="51"/>
        <v>80.9833078484549</v>
      </c>
      <c r="K422" s="60">
        <f ca="1">H422*K404</f>
        <v>1378.57456953643</v>
      </c>
      <c r="L422" s="92" t="s">
        <v>476</v>
      </c>
      <c r="M422" s="44"/>
      <c r="N422" s="82"/>
      <c r="O422" s="44"/>
      <c r="P422" s="44"/>
      <c r="Q422" s="44">
        <f>6*6*(O405*2+P405*9)/500</f>
        <v>1.50408</v>
      </c>
      <c r="R422" s="84">
        <f>+Q422/R405</f>
        <v>0.301842263696568</v>
      </c>
      <c r="S422" s="47"/>
      <c r="T422" s="47"/>
    </row>
    <row r="423" s="27" customFormat="1" ht="18" customHeight="1" spans="1:20">
      <c r="A423" s="34"/>
      <c r="B423" s="48">
        <v>7</v>
      </c>
      <c r="C423" s="48"/>
      <c r="D423" s="88" t="s">
        <v>471</v>
      </c>
      <c r="E423" s="72" t="str">
        <f>+VLOOKUP(D423,'材料表 '!C:F,2,0)</f>
        <v>套</v>
      </c>
      <c r="F423" s="77">
        <f t="shared" si="53"/>
        <v>15.251856311459</v>
      </c>
      <c r="G423" s="89">
        <f>+VLOOKUP(D423,'材料表 '!C:F,4,0)</f>
        <v>0</v>
      </c>
      <c r="H423" s="74">
        <f t="shared" si="52"/>
        <v>15.251856311459</v>
      </c>
      <c r="I423" s="74">
        <f>+VLOOKUP(D423,'材料表 '!C:F,3,0)</f>
        <v>1.32743362831858</v>
      </c>
      <c r="J423" s="95">
        <f t="shared" si="51"/>
        <v>20.2458269621137</v>
      </c>
      <c r="K423" s="60">
        <f ca="1">H423*K404</f>
        <v>1378.57456953643</v>
      </c>
      <c r="L423" s="92"/>
      <c r="M423" s="44"/>
      <c r="N423" s="82"/>
      <c r="O423" s="44"/>
      <c r="P423" s="44"/>
      <c r="Q423" s="44"/>
      <c r="R423" s="84">
        <f>+Q423/R405</f>
        <v>0</v>
      </c>
      <c r="S423" s="47"/>
      <c r="T423" s="47"/>
    </row>
    <row r="424" s="27" customFormat="1" ht="18" customHeight="1" spans="1:20">
      <c r="A424" s="34"/>
      <c r="B424" s="48">
        <v>8</v>
      </c>
      <c r="C424" s="48"/>
      <c r="D424" s="88" t="s">
        <v>472</v>
      </c>
      <c r="E424" s="72" t="str">
        <f>+VLOOKUP(D424,'材料表 '!C:F,2,0)</f>
        <v>套</v>
      </c>
      <c r="F424" s="77">
        <f t="shared" si="53"/>
        <v>0.200682319887618</v>
      </c>
      <c r="G424" s="89">
        <f>+VLOOKUP(D424,'材料表 '!C:F,4,0)</f>
        <v>0</v>
      </c>
      <c r="H424" s="74">
        <f t="shared" si="52"/>
        <v>0.200682319887618</v>
      </c>
      <c r="I424" s="74">
        <f>+VLOOKUP(D424,'材料表 '!C:F,3,0)</f>
        <v>2.47787610619469</v>
      </c>
      <c r="J424" s="95">
        <f t="shared" si="51"/>
        <v>0.497265925385248</v>
      </c>
      <c r="K424" s="60">
        <f ca="1">H424*K404</f>
        <v>18.1391390728477</v>
      </c>
      <c r="L424" s="92"/>
      <c r="M424" s="44"/>
      <c r="N424" s="82"/>
      <c r="O424" s="44"/>
      <c r="P424" s="44"/>
      <c r="Q424" s="44"/>
      <c r="R424" s="84"/>
      <c r="S424" s="47"/>
      <c r="T424" s="47"/>
    </row>
    <row r="425" s="27" customFormat="1" ht="18" customHeight="1" spans="1:20">
      <c r="A425" s="34"/>
      <c r="B425" s="48">
        <v>9</v>
      </c>
      <c r="C425" s="48"/>
      <c r="D425" s="88" t="s">
        <v>473</v>
      </c>
      <c r="E425" s="72" t="str">
        <f>+VLOOKUP(D425,'材料表 '!C:F,2,0)</f>
        <v>套</v>
      </c>
      <c r="F425" s="77">
        <f t="shared" si="53"/>
        <v>45.7555689343769</v>
      </c>
      <c r="G425" s="89">
        <f>+VLOOKUP(D425,'材料表 '!C:F,4,0)</f>
        <v>0</v>
      </c>
      <c r="H425" s="74">
        <f t="shared" si="52"/>
        <v>45.7555689343769</v>
      </c>
      <c r="I425" s="74">
        <f>+VLOOKUP(D425,'材料表 '!C:F,3,0)</f>
        <v>0.247787610619469</v>
      </c>
      <c r="J425" s="95">
        <f t="shared" si="51"/>
        <v>11.3376630987837</v>
      </c>
      <c r="K425" s="60">
        <f ca="1">H425*K404</f>
        <v>4135.72370860927</v>
      </c>
      <c r="L425" s="90"/>
      <c r="M425" s="44"/>
      <c r="N425" s="82"/>
      <c r="O425" s="34"/>
      <c r="P425" s="44"/>
      <c r="Q425" s="44"/>
      <c r="R425" s="119"/>
      <c r="S425" s="47"/>
      <c r="T425" s="47"/>
    </row>
    <row r="426" s="27" customFormat="1" ht="18" customHeight="1" spans="1:20">
      <c r="A426" s="34"/>
      <c r="B426" s="48">
        <v>10</v>
      </c>
      <c r="C426" s="48"/>
      <c r="D426" s="88" t="s">
        <v>474</v>
      </c>
      <c r="E426" s="72" t="str">
        <f>+VLOOKUP(D426,'材料表 '!C:F,2,0)</f>
        <v>套</v>
      </c>
      <c r="F426" s="77">
        <f t="shared" si="53"/>
        <v>3.21091711820189</v>
      </c>
      <c r="G426" s="89">
        <f>+VLOOKUP(D426,'材料表 '!C:F,4,0)</f>
        <v>0</v>
      </c>
      <c r="H426" s="74">
        <f t="shared" si="52"/>
        <v>3.21091711820189</v>
      </c>
      <c r="I426" s="74">
        <f>+VLOOKUP(D426,'材料表 '!C:F,3,0)</f>
        <v>2.21238938053097</v>
      </c>
      <c r="J426" s="95">
        <f t="shared" si="51"/>
        <v>7.10379893407497</v>
      </c>
      <c r="K426" s="60">
        <f ca="1">H426*K404</f>
        <v>290.226225165563</v>
      </c>
      <c r="L426" s="92"/>
      <c r="M426" s="120"/>
      <c r="N426" s="82"/>
      <c r="O426" s="44"/>
      <c r="P426" s="44"/>
      <c r="Q426" s="44"/>
      <c r="R426" s="84"/>
      <c r="S426" s="47"/>
      <c r="T426" s="47"/>
    </row>
    <row r="427" s="27" customFormat="1" ht="18" customHeight="1" spans="1:20">
      <c r="A427" s="34"/>
      <c r="B427" s="48">
        <v>11</v>
      </c>
      <c r="C427" s="48"/>
      <c r="D427" s="88" t="s">
        <v>477</v>
      </c>
      <c r="E427" s="72" t="str">
        <f>+VLOOKUP(D427,'材料表 '!C:F,2,0)</f>
        <v>kg</v>
      </c>
      <c r="F427" s="77">
        <v>0.2</v>
      </c>
      <c r="G427" s="89">
        <f>+VLOOKUP(D427,'材料表 '!C:F,4,0)</f>
        <v>0.15</v>
      </c>
      <c r="H427" s="74">
        <f t="shared" si="52"/>
        <v>0.23</v>
      </c>
      <c r="I427" s="74">
        <f>+VLOOKUP(D427,'材料表 '!C:F,3,0)</f>
        <v>10.6194690265487</v>
      </c>
      <c r="J427" s="95">
        <f t="shared" si="51"/>
        <v>2.4424778761062</v>
      </c>
      <c r="K427" s="60">
        <f ca="1">H427*K404</f>
        <v>20.7890859</v>
      </c>
      <c r="L427" s="92"/>
      <c r="M427" s="44"/>
      <c r="N427" s="82"/>
      <c r="O427" s="44"/>
      <c r="P427" s="44"/>
      <c r="Q427" s="44"/>
      <c r="R427" s="84"/>
      <c r="S427" s="47"/>
      <c r="T427" s="47"/>
    </row>
    <row r="428" s="27" customFormat="1" ht="18" customHeight="1" spans="1:20">
      <c r="A428" s="34"/>
      <c r="B428" s="48">
        <v>12</v>
      </c>
      <c r="C428" s="48"/>
      <c r="D428" s="88" t="s">
        <v>476</v>
      </c>
      <c r="E428" s="72" t="str">
        <f>+VLOOKUP(D428,'材料表 '!C:F,2,0)</f>
        <v>支</v>
      </c>
      <c r="F428" s="77">
        <f t="shared" si="53"/>
        <v>0.301842263696568</v>
      </c>
      <c r="G428" s="89">
        <f>+VLOOKUP(D428,'材料表 '!C:F,4,0)</f>
        <v>0.15</v>
      </c>
      <c r="H428" s="74">
        <f t="shared" si="52"/>
        <v>0.347118603251053</v>
      </c>
      <c r="I428" s="74">
        <f>+VLOOKUP(D428,'材料表 '!C:F,3,0)</f>
        <v>11.5044247787611</v>
      </c>
      <c r="J428" s="95">
        <f t="shared" si="51"/>
        <v>3.99339986041036</v>
      </c>
      <c r="K428" s="60">
        <f ca="1">H428*K404</f>
        <v>31.375123741192</v>
      </c>
      <c r="L428" s="92"/>
      <c r="M428" s="44"/>
      <c r="N428" s="44"/>
      <c r="O428" s="44"/>
      <c r="P428" s="44"/>
      <c r="Q428" s="44"/>
      <c r="R428" s="84"/>
      <c r="S428" s="47"/>
      <c r="T428" s="47"/>
    </row>
    <row r="429" s="27" customFormat="1" ht="18" customHeight="1" spans="1:20">
      <c r="A429" s="34"/>
      <c r="B429" s="48">
        <v>13</v>
      </c>
      <c r="C429" s="48"/>
      <c r="D429" s="88"/>
      <c r="E429" s="72"/>
      <c r="F429" s="77"/>
      <c r="G429" s="89"/>
      <c r="H429" s="74"/>
      <c r="I429" s="74"/>
      <c r="J429" s="95"/>
      <c r="K429" s="60">
        <f ca="1">H429*K404</f>
        <v>0</v>
      </c>
      <c r="L429" s="92"/>
      <c r="M429" s="44"/>
      <c r="N429" s="44"/>
      <c r="O429" s="44"/>
      <c r="P429" s="44"/>
      <c r="Q429" s="44"/>
      <c r="R429" s="84"/>
      <c r="S429" s="47"/>
      <c r="T429" s="47"/>
    </row>
    <row r="430" s="27" customFormat="1" ht="18" customHeight="1" spans="1:20">
      <c r="A430" s="34"/>
      <c r="B430" s="48">
        <v>14</v>
      </c>
      <c r="C430" s="48"/>
      <c r="D430" s="88" t="s">
        <v>467</v>
      </c>
      <c r="E430" s="72" t="str">
        <f>+VLOOKUP(D430,'材料表 '!C:F,2,0)</f>
        <v>m2</v>
      </c>
      <c r="F430" s="77">
        <v>1</v>
      </c>
      <c r="G430" s="89">
        <f>+VLOOKUP(D430,'材料表 '!C:F,4,0)</f>
        <v>0.02</v>
      </c>
      <c r="H430" s="74">
        <f>F430*(G430+1)</f>
        <v>1.02</v>
      </c>
      <c r="I430" s="74">
        <f>+VLOOKUP(D430,'材料表 '!C:F,3,0)</f>
        <v>623.893805309735</v>
      </c>
      <c r="J430" s="95">
        <f>H430*I430</f>
        <v>636.37168141593</v>
      </c>
      <c r="K430" s="60">
        <f ca="1">H430*K404</f>
        <v>92.1950766</v>
      </c>
      <c r="L430" s="92"/>
      <c r="M430" s="44"/>
      <c r="N430" s="44"/>
      <c r="O430" s="44"/>
      <c r="P430" s="44"/>
      <c r="Q430" s="44"/>
      <c r="R430" s="84"/>
      <c r="S430" s="47"/>
      <c r="T430" s="47"/>
    </row>
    <row r="431" s="27" customFormat="1" ht="18" customHeight="1" spans="1:20">
      <c r="A431" s="34"/>
      <c r="B431" s="48">
        <v>15</v>
      </c>
      <c r="C431" s="48"/>
      <c r="D431" s="88"/>
      <c r="E431" s="72"/>
      <c r="F431" s="77"/>
      <c r="G431" s="89"/>
      <c r="H431" s="74"/>
      <c r="I431" s="74"/>
      <c r="J431" s="95"/>
      <c r="K431" s="92"/>
      <c r="L431" s="92"/>
      <c r="M431" s="44"/>
      <c r="N431" s="44"/>
      <c r="O431" s="44"/>
      <c r="P431" s="44"/>
      <c r="Q431" s="44"/>
      <c r="R431" s="84"/>
      <c r="S431" s="47"/>
      <c r="T431" s="47"/>
    </row>
    <row r="432" s="27" customFormat="1" ht="18" customHeight="1" spans="1:20">
      <c r="A432" s="34"/>
      <c r="B432" s="48">
        <v>16</v>
      </c>
      <c r="C432" s="48"/>
      <c r="D432" s="88"/>
      <c r="E432" s="72"/>
      <c r="F432" s="77"/>
      <c r="G432" s="89"/>
      <c r="H432" s="74"/>
      <c r="I432" s="74"/>
      <c r="J432" s="95"/>
      <c r="K432" s="92"/>
      <c r="L432" s="92"/>
      <c r="M432" s="44"/>
      <c r="N432" s="44"/>
      <c r="O432" s="44"/>
      <c r="P432" s="44"/>
      <c r="Q432" s="44"/>
      <c r="R432" s="84"/>
      <c r="S432" s="47"/>
      <c r="T432" s="47"/>
    </row>
    <row r="433" s="27" customFormat="1" ht="18" customHeight="1" spans="1:20">
      <c r="A433" s="34"/>
      <c r="B433" s="48">
        <v>17</v>
      </c>
      <c r="C433" s="48"/>
      <c r="D433" s="121"/>
      <c r="E433" s="72"/>
      <c r="F433" s="77"/>
      <c r="G433" s="89"/>
      <c r="H433" s="74"/>
      <c r="I433" s="74"/>
      <c r="J433" s="95"/>
      <c r="K433" s="92"/>
      <c r="L433" s="92"/>
      <c r="M433" s="44"/>
      <c r="N433" s="44"/>
      <c r="O433" s="44"/>
      <c r="P433" s="44"/>
      <c r="Q433" s="101"/>
      <c r="R433" s="84"/>
      <c r="S433" s="47"/>
      <c r="T433" s="47"/>
    </row>
    <row r="434" s="27" customFormat="1" ht="18" customHeight="1" spans="1:20">
      <c r="A434" s="34"/>
      <c r="B434" s="48">
        <v>18</v>
      </c>
      <c r="C434" s="48"/>
      <c r="D434" s="88"/>
      <c r="E434" s="72"/>
      <c r="F434" s="77"/>
      <c r="G434" s="89"/>
      <c r="H434" s="74"/>
      <c r="I434" s="74"/>
      <c r="J434" s="95"/>
      <c r="K434" s="92"/>
      <c r="L434" s="92"/>
      <c r="M434" s="44"/>
      <c r="N434" s="44"/>
      <c r="O434" s="44"/>
      <c r="P434" s="44"/>
      <c r="Q434" s="44"/>
      <c r="R434" s="84"/>
      <c r="S434" s="47"/>
      <c r="T434" s="47"/>
    </row>
    <row r="435" s="27" customFormat="1" ht="18" customHeight="1" spans="1:20">
      <c r="A435" s="34"/>
      <c r="B435" s="48">
        <v>19</v>
      </c>
      <c r="C435" s="48"/>
      <c r="D435" s="27"/>
      <c r="E435" s="72"/>
      <c r="F435" s="77"/>
      <c r="G435" s="89"/>
      <c r="H435" s="74"/>
      <c r="I435" s="74"/>
      <c r="J435" s="95"/>
      <c r="K435" s="92"/>
      <c r="L435" s="92"/>
      <c r="M435" s="44"/>
      <c r="N435" s="44"/>
      <c r="O435" s="44"/>
      <c r="P435" s="44"/>
      <c r="Q435" s="44"/>
      <c r="R435" s="84"/>
      <c r="S435" s="47"/>
      <c r="T435" s="47"/>
    </row>
    <row r="436" s="27" customFormat="1" ht="18" customHeight="1" spans="1:20">
      <c r="A436" s="34"/>
      <c r="B436" s="48">
        <v>20</v>
      </c>
      <c r="C436" s="48"/>
      <c r="D436" s="88"/>
      <c r="E436" s="72"/>
      <c r="F436" s="77"/>
      <c r="G436" s="89"/>
      <c r="H436" s="74"/>
      <c r="I436" s="74"/>
      <c r="J436" s="95"/>
      <c r="K436" s="92"/>
      <c r="L436" s="92"/>
      <c r="M436" s="44"/>
      <c r="N436" s="44"/>
      <c r="O436" s="44"/>
      <c r="P436" s="44"/>
      <c r="Q436" s="44"/>
      <c r="R436" s="84"/>
      <c r="S436" s="47"/>
      <c r="T436" s="47"/>
    </row>
    <row r="437" s="27" customFormat="1" ht="18" customHeight="1" spans="1:20">
      <c r="A437" s="34"/>
      <c r="B437" s="48">
        <v>21</v>
      </c>
      <c r="C437" s="48"/>
      <c r="D437" s="88"/>
      <c r="E437" s="72"/>
      <c r="F437" s="77"/>
      <c r="G437" s="89"/>
      <c r="H437" s="74"/>
      <c r="I437" s="74"/>
      <c r="J437" s="95"/>
      <c r="K437" s="92"/>
      <c r="L437" s="92"/>
      <c r="M437" s="44"/>
      <c r="N437" s="44"/>
      <c r="O437" s="44"/>
      <c r="P437" s="44"/>
      <c r="Q437" s="44"/>
      <c r="R437" s="84"/>
      <c r="S437" s="47"/>
      <c r="T437" s="47"/>
    </row>
    <row r="438" s="27" customFormat="1" ht="18" customHeight="1" spans="1:20">
      <c r="A438" s="34"/>
      <c r="B438" s="48">
        <v>22</v>
      </c>
      <c r="C438" s="48"/>
      <c r="D438" s="27"/>
      <c r="E438" s="72"/>
      <c r="F438" s="77"/>
      <c r="G438" s="72"/>
      <c r="H438" s="74"/>
      <c r="I438" s="74"/>
      <c r="J438" s="95"/>
      <c r="K438" s="92"/>
      <c r="L438" s="92"/>
      <c r="M438" s="44"/>
      <c r="N438" s="44"/>
      <c r="O438" s="44"/>
      <c r="P438" s="44"/>
      <c r="Q438" s="44"/>
      <c r="R438" s="62"/>
      <c r="S438" s="47"/>
      <c r="T438" s="47"/>
    </row>
    <row r="439" s="27" customFormat="1" ht="18" customHeight="1" spans="1:20">
      <c r="A439" s="34"/>
      <c r="B439" s="48">
        <v>23</v>
      </c>
      <c r="C439" s="48"/>
      <c r="D439" s="88"/>
      <c r="E439" s="72"/>
      <c r="F439" s="77"/>
      <c r="G439" s="89"/>
      <c r="H439" s="74"/>
      <c r="I439" s="74"/>
      <c r="J439" s="95"/>
      <c r="K439" s="92"/>
      <c r="L439" s="92"/>
      <c r="M439" s="44"/>
      <c r="N439" s="44"/>
      <c r="O439" s="44"/>
      <c r="P439" s="44"/>
      <c r="Q439" s="44"/>
      <c r="R439" s="62"/>
      <c r="S439" s="47"/>
      <c r="T439" s="47"/>
    </row>
    <row r="440" s="27" customFormat="1" ht="18" customHeight="1" spans="1:20">
      <c r="A440" s="34"/>
      <c r="B440" s="48">
        <v>24</v>
      </c>
      <c r="C440" s="48"/>
      <c r="D440" s="88" t="s">
        <v>478</v>
      </c>
      <c r="E440" s="72" t="s">
        <v>43</v>
      </c>
      <c r="F440" s="77"/>
      <c r="G440" s="72">
        <v>1</v>
      </c>
      <c r="H440" s="74">
        <v>1</v>
      </c>
      <c r="I440" s="74">
        <f>+辅材及安装费!$E$8</f>
        <v>10</v>
      </c>
      <c r="J440" s="95">
        <f t="shared" ref="J439:J442" si="54">H440*I440</f>
        <v>10</v>
      </c>
      <c r="K440" s="92"/>
      <c r="L440" s="92"/>
      <c r="M440" s="44"/>
      <c r="N440" s="44"/>
      <c r="O440" s="44"/>
      <c r="P440" s="44"/>
      <c r="Q440" s="44"/>
      <c r="R440" s="62"/>
      <c r="S440" s="47"/>
      <c r="T440" s="47"/>
    </row>
    <row r="441" s="27" customFormat="1" ht="18" customHeight="1" spans="1:20">
      <c r="A441" s="34"/>
      <c r="B441" s="48">
        <v>25</v>
      </c>
      <c r="C441" s="48"/>
      <c r="D441" s="93" t="s">
        <v>442</v>
      </c>
      <c r="E441" s="72"/>
      <c r="F441" s="77"/>
      <c r="G441" s="72"/>
      <c r="H441" s="74"/>
      <c r="I441" s="74"/>
      <c r="J441" s="95">
        <f>SUM(J418:J440)</f>
        <v>884.410160094765</v>
      </c>
      <c r="K441" s="92"/>
      <c r="L441" s="94"/>
      <c r="M441" s="27"/>
      <c r="N441" s="83"/>
      <c r="O441" s="83"/>
      <c r="P441" s="83"/>
      <c r="Q441" s="83"/>
      <c r="R441" s="87"/>
      <c r="S441" s="47"/>
      <c r="T441" s="47"/>
    </row>
    <row r="442" s="27" customFormat="1" ht="18" customHeight="1" spans="1:20">
      <c r="B442" s="48">
        <v>1</v>
      </c>
      <c r="C442" s="48" t="s">
        <v>443</v>
      </c>
      <c r="D442" s="48" t="s">
        <v>444</v>
      </c>
      <c r="E442" s="72" t="s">
        <v>43</v>
      </c>
      <c r="F442" s="50"/>
      <c r="G442" s="48"/>
      <c r="H442" s="51">
        <v>1</v>
      </c>
      <c r="I442" s="74">
        <f>+辅材及安装费!$F$8</f>
        <v>5</v>
      </c>
      <c r="J442" s="95">
        <f t="shared" si="54"/>
        <v>5</v>
      </c>
      <c r="K442" s="118"/>
      <c r="L442" s="96"/>
      <c r="M442" s="97"/>
      <c r="N442" s="98"/>
      <c r="O442" s="98"/>
      <c r="P442" s="98"/>
      <c r="Q442" s="98"/>
      <c r="R442" s="99"/>
      <c r="S442" s="47"/>
      <c r="T442" s="47"/>
    </row>
    <row r="443" s="26" customFormat="1" ht="30" customHeight="1" spans="1:20">
      <c r="A443" s="28"/>
      <c r="B443" s="29" t="s">
        <v>386</v>
      </c>
      <c r="C443" s="29"/>
      <c r="D443" s="29"/>
      <c r="E443" s="29"/>
      <c r="F443" s="29"/>
      <c r="G443" s="29"/>
      <c r="H443" s="29"/>
      <c r="I443" s="29"/>
      <c r="J443" s="29"/>
      <c r="K443" s="29"/>
      <c r="L443" s="30"/>
      <c r="M443" s="31"/>
      <c r="N443" s="31"/>
      <c r="O443" s="31"/>
      <c r="P443" s="31"/>
      <c r="Q443" s="31"/>
      <c r="R443" s="32"/>
      <c r="S443" s="33"/>
      <c r="T443" s="33"/>
    </row>
    <row r="444" s="27" customFormat="1" ht="33.75" customHeight="1" spans="1:20">
      <c r="A444" s="34">
        <v>1</v>
      </c>
      <c r="B444" s="35" t="s">
        <v>1</v>
      </c>
      <c r="C444" s="35" t="s">
        <v>387</v>
      </c>
      <c r="D444" s="36" t="str">
        <f>+A452</f>
        <v>2.5㎜中灰色铝板1</v>
      </c>
      <c r="E444" s="37"/>
      <c r="F444" s="38" t="s">
        <v>119</v>
      </c>
      <c r="G444" s="39"/>
      <c r="H444" s="35" t="s">
        <v>388</v>
      </c>
      <c r="I444" s="40" t="s">
        <v>389</v>
      </c>
      <c r="J444" s="41" t="s">
        <v>37</v>
      </c>
      <c r="K444" s="42">
        <f ca="1">VLOOKUP(A444,排屋工程量清单!$A$59:$D$86,4,)</f>
        <v>140.882568</v>
      </c>
      <c r="L444" s="43"/>
      <c r="M444" s="44"/>
      <c r="N444" s="44"/>
      <c r="O444" s="44"/>
      <c r="P444" s="45"/>
      <c r="Q444" s="44"/>
      <c r="R444" s="46"/>
      <c r="S444" s="47"/>
      <c r="T444" s="47"/>
    </row>
    <row r="445" s="27" customFormat="1" ht="25" customHeight="1" spans="1:20">
      <c r="A445" s="34"/>
      <c r="B445" s="48">
        <v>1</v>
      </c>
      <c r="C445" s="49" t="s">
        <v>390</v>
      </c>
      <c r="D445" s="48" t="s">
        <v>391</v>
      </c>
      <c r="E445" s="48"/>
      <c r="F445" s="50"/>
      <c r="G445" s="48"/>
      <c r="H445" s="51"/>
      <c r="I445" s="52">
        <f>J457</f>
        <v>165</v>
      </c>
      <c r="J445" s="53" t="s">
        <v>392</v>
      </c>
      <c r="K445" s="54"/>
      <c r="L445" s="55" t="s">
        <v>313</v>
      </c>
      <c r="M445" s="56" t="s">
        <v>489</v>
      </c>
      <c r="N445" s="57"/>
      <c r="O445" s="57">
        <v>6.2</v>
      </c>
      <c r="P445" s="57">
        <v>0.2</v>
      </c>
      <c r="Q445" s="57">
        <v>1</v>
      </c>
      <c r="R445" s="58">
        <f>+Q445*P445*O445</f>
        <v>1.24</v>
      </c>
      <c r="S445" s="47"/>
      <c r="T445" s="47"/>
    </row>
    <row r="446" s="27" customFormat="1" ht="18" customHeight="1" spans="1:20">
      <c r="A446" s="34"/>
      <c r="B446" s="48">
        <v>2</v>
      </c>
      <c r="C446" s="59"/>
      <c r="D446" s="48" t="s">
        <v>394</v>
      </c>
      <c r="E446" s="48"/>
      <c r="F446" s="50"/>
      <c r="G446" s="48"/>
      <c r="H446" s="51"/>
      <c r="I446" s="52">
        <f>J482</f>
        <v>490.276817855267</v>
      </c>
      <c r="J446" s="53" t="s">
        <v>392</v>
      </c>
      <c r="K446" s="60"/>
      <c r="L446" s="61" t="s">
        <v>119</v>
      </c>
      <c r="M446" s="44"/>
      <c r="N446" s="44"/>
      <c r="O446" s="44"/>
      <c r="P446" s="44"/>
      <c r="Q446" s="44"/>
      <c r="R446" s="62"/>
      <c r="S446" s="47"/>
      <c r="T446" s="47"/>
    </row>
    <row r="447" s="27" customFormat="1" ht="18" customHeight="1" spans="1:20">
      <c r="A447" s="34"/>
      <c r="B447" s="48">
        <v>3</v>
      </c>
      <c r="C447" s="63"/>
      <c r="D447" s="48" t="s">
        <v>395</v>
      </c>
      <c r="E447" s="48"/>
      <c r="F447" s="50"/>
      <c r="G447" s="48"/>
      <c r="H447" s="51"/>
      <c r="I447" s="52">
        <f>J483</f>
        <v>5</v>
      </c>
      <c r="J447" s="53" t="s">
        <v>392</v>
      </c>
      <c r="K447" s="60"/>
      <c r="L447" s="60"/>
      <c r="M447" s="65" t="s">
        <v>396</v>
      </c>
      <c r="N447" s="65" t="s">
        <v>397</v>
      </c>
      <c r="O447" s="65" t="s">
        <v>398</v>
      </c>
      <c r="P447" s="65" t="s">
        <v>399</v>
      </c>
      <c r="Q447" s="65" t="s">
        <v>400</v>
      </c>
      <c r="R447" s="66" t="s">
        <v>401</v>
      </c>
      <c r="S447" s="47"/>
      <c r="T447" s="47"/>
    </row>
    <row r="448" s="27" customFormat="1" ht="18" customHeight="1" spans="1:20">
      <c r="A448" s="34"/>
      <c r="B448" s="48">
        <v>4</v>
      </c>
      <c r="C448" s="48" t="s">
        <v>402</v>
      </c>
      <c r="D448" s="67" t="s">
        <v>403</v>
      </c>
      <c r="E448" s="67"/>
      <c r="F448" s="50"/>
      <c r="G448" s="67"/>
      <c r="H448" s="68"/>
      <c r="I448" s="52">
        <f>SUM(I445:I447)</f>
        <v>660.276817855267</v>
      </c>
      <c r="J448" s="53" t="s">
        <v>392</v>
      </c>
      <c r="K448" s="60"/>
      <c r="L448" s="69" t="s">
        <v>431</v>
      </c>
      <c r="M448" s="34" t="s">
        <v>460</v>
      </c>
      <c r="N448" s="34">
        <v>10.21</v>
      </c>
      <c r="O448" s="34">
        <v>7.045</v>
      </c>
      <c r="P448" s="34">
        <v>0</v>
      </c>
      <c r="Q448" s="44">
        <f t="shared" ref="Q448:Q454" si="55">+P448*O448*N448</f>
        <v>0</v>
      </c>
      <c r="R448" s="71">
        <f>+Q448/R445</f>
        <v>0</v>
      </c>
      <c r="S448" s="47"/>
      <c r="T448" s="47"/>
    </row>
    <row r="449" s="27" customFormat="1" ht="28" customHeight="1" spans="1:20">
      <c r="A449" s="34"/>
      <c r="B449" s="48">
        <v>5</v>
      </c>
      <c r="C449" s="72" t="s">
        <v>406</v>
      </c>
      <c r="D449" s="48" t="s">
        <v>407</v>
      </c>
      <c r="E449" s="48"/>
      <c r="F449" s="50"/>
      <c r="G449" s="48"/>
      <c r="H449" s="73">
        <f>+'材料表 '!$E$178</f>
        <v>0</v>
      </c>
      <c r="I449" s="52">
        <f>H449*I448</f>
        <v>0</v>
      </c>
      <c r="J449" s="53" t="s">
        <v>392</v>
      </c>
      <c r="K449" s="60"/>
      <c r="L449" s="69" t="s">
        <v>461</v>
      </c>
      <c r="M449" s="34" t="s">
        <v>462</v>
      </c>
      <c r="N449" s="34">
        <v>3.77</v>
      </c>
      <c r="O449" s="34">
        <f>+O445</f>
        <v>6.2</v>
      </c>
      <c r="P449" s="34">
        <v>0.5</v>
      </c>
      <c r="Q449" s="44">
        <f t="shared" si="55"/>
        <v>11.687</v>
      </c>
      <c r="R449" s="71">
        <f>+Q449/R445</f>
        <v>9.425</v>
      </c>
      <c r="S449" s="47"/>
      <c r="T449" s="47"/>
    </row>
    <row r="450" s="27" customFormat="1" ht="18" customHeight="1" spans="1:20">
      <c r="A450" s="34"/>
      <c r="B450" s="48">
        <v>6</v>
      </c>
      <c r="C450" s="48" t="s">
        <v>409</v>
      </c>
      <c r="D450" s="48" t="s">
        <v>410</v>
      </c>
      <c r="E450" s="48"/>
      <c r="F450" s="50"/>
      <c r="G450" s="48"/>
      <c r="H450" s="73">
        <f>+'材料表 '!$E$179</f>
        <v>0</v>
      </c>
      <c r="I450" s="52">
        <f>H450*I448</f>
        <v>0</v>
      </c>
      <c r="J450" s="53" t="s">
        <v>392</v>
      </c>
      <c r="K450" s="60"/>
      <c r="L450" s="69" t="s">
        <v>461</v>
      </c>
      <c r="M450" s="34" t="s">
        <v>462</v>
      </c>
      <c r="N450" s="34">
        <v>3.77</v>
      </c>
      <c r="O450" s="34">
        <f>0.18</f>
        <v>0.18</v>
      </c>
      <c r="P450" s="34">
        <v>8</v>
      </c>
      <c r="Q450" s="44">
        <f t="shared" si="55"/>
        <v>5.4288</v>
      </c>
      <c r="R450" s="71">
        <f>+Q450/R445</f>
        <v>4.37806451612903</v>
      </c>
      <c r="S450" s="47"/>
      <c r="T450" s="47"/>
    </row>
    <row r="451" s="27" customFormat="1" ht="18" customHeight="1" spans="1:20">
      <c r="A451" s="34"/>
      <c r="B451" s="48">
        <v>7</v>
      </c>
      <c r="C451" s="48" t="s">
        <v>412</v>
      </c>
      <c r="D451" s="72" t="s">
        <v>413</v>
      </c>
      <c r="E451" s="72"/>
      <c r="F451" s="77"/>
      <c r="G451" s="72"/>
      <c r="H451" s="73">
        <f>+'材料表 '!$E$180</f>
        <v>0.09</v>
      </c>
      <c r="I451" s="52">
        <f>(I448+I449+I450)*H451</f>
        <v>59.424913606974</v>
      </c>
      <c r="J451" s="53" t="s">
        <v>392</v>
      </c>
      <c r="K451" s="60"/>
      <c r="L451" s="69" t="s">
        <v>463</v>
      </c>
      <c r="M451" s="34" t="s">
        <v>490</v>
      </c>
      <c r="N451" s="34">
        <f>0.3*0.2*7.85*10</f>
        <v>4.71</v>
      </c>
      <c r="O451" s="34">
        <v>3</v>
      </c>
      <c r="P451" s="34">
        <f>+P448</f>
        <v>0</v>
      </c>
      <c r="Q451" s="44">
        <f t="shared" si="55"/>
        <v>0</v>
      </c>
      <c r="R451" s="71">
        <f>+Q451/R445</f>
        <v>0</v>
      </c>
      <c r="S451" s="47"/>
      <c r="T451" s="47"/>
    </row>
    <row r="452" s="27" customFormat="1" ht="18" customHeight="1" spans="1:20">
      <c r="A452" s="34" t="s">
        <v>121</v>
      </c>
      <c r="B452" s="48">
        <v>8</v>
      </c>
      <c r="C452" s="48" t="s">
        <v>363</v>
      </c>
      <c r="D452" s="106" t="s">
        <v>415</v>
      </c>
      <c r="E452" s="107"/>
      <c r="F452" s="108"/>
      <c r="G452" s="107"/>
      <c r="H452" s="51"/>
      <c r="I452" s="74">
        <f>SUM(I448:I451)</f>
        <v>719.701731462241</v>
      </c>
      <c r="J452" s="53" t="s">
        <v>416</v>
      </c>
      <c r="K452" s="60"/>
      <c r="L452" s="69" t="s">
        <v>465</v>
      </c>
      <c r="M452" s="34" t="s">
        <v>466</v>
      </c>
      <c r="N452" s="100">
        <f>1.2789*7.85</f>
        <v>10.039365</v>
      </c>
      <c r="O452" s="34">
        <f>35/1000</f>
        <v>0.035</v>
      </c>
      <c r="P452" s="44">
        <f>+P451*O451*2</f>
        <v>0</v>
      </c>
      <c r="Q452" s="44">
        <f t="shared" si="55"/>
        <v>0</v>
      </c>
      <c r="R452" s="84">
        <f>+Q452/R445</f>
        <v>0</v>
      </c>
      <c r="S452" s="79"/>
      <c r="T452" s="47"/>
    </row>
    <row r="453" s="27" customFormat="1" ht="18" customHeight="1" spans="1:20">
      <c r="A453" s="34"/>
      <c r="B453" s="109" t="s">
        <v>418</v>
      </c>
      <c r="C453" s="110"/>
      <c r="D453" s="110"/>
      <c r="E453" s="110"/>
      <c r="F453" s="110"/>
      <c r="G453" s="110"/>
      <c r="H453" s="110"/>
      <c r="I453" s="110"/>
      <c r="J453" s="110"/>
      <c r="K453" s="80"/>
      <c r="L453" s="69" t="s">
        <v>433</v>
      </c>
      <c r="M453" s="44"/>
      <c r="N453" s="82">
        <f>0.056*3*2.71+0.0675*3*2.71</f>
        <v>1.004055</v>
      </c>
      <c r="O453" s="44">
        <f>O445</f>
        <v>6.2</v>
      </c>
      <c r="P453" s="44">
        <v>1</v>
      </c>
      <c r="Q453" s="44">
        <f t="shared" si="55"/>
        <v>6.225141</v>
      </c>
      <c r="R453" s="84">
        <f>+Q453/R445</f>
        <v>5.020275</v>
      </c>
      <c r="S453" s="47">
        <f>0.16*P453*O453/R445</f>
        <v>0.8</v>
      </c>
      <c r="T453" s="47"/>
    </row>
    <row r="454" s="27" customFormat="1" ht="18" customHeight="1" spans="1:20">
      <c r="A454" s="34"/>
      <c r="B454" s="48">
        <v>1</v>
      </c>
      <c r="C454" s="48" t="s">
        <v>391</v>
      </c>
      <c r="D454" s="48" t="s">
        <v>396</v>
      </c>
      <c r="E454" s="48" t="s">
        <v>37</v>
      </c>
      <c r="F454" s="50"/>
      <c r="G454" s="48"/>
      <c r="H454" s="51" t="s">
        <v>399</v>
      </c>
      <c r="I454" s="51" t="s">
        <v>420</v>
      </c>
      <c r="J454" s="95" t="s">
        <v>421</v>
      </c>
      <c r="K454" s="92"/>
      <c r="L454" s="69" t="s">
        <v>433</v>
      </c>
      <c r="M454" s="44"/>
      <c r="N454" s="82">
        <f>0.056*3*2.71+0.0675*3*2.71</f>
        <v>1.004055</v>
      </c>
      <c r="O454" s="44">
        <f>P445</f>
        <v>0.2</v>
      </c>
      <c r="P454" s="44">
        <v>5</v>
      </c>
      <c r="Q454" s="44">
        <f t="shared" si="55"/>
        <v>1.004055</v>
      </c>
      <c r="R454" s="84">
        <f>+Q454/R445</f>
        <v>0.809721774193549</v>
      </c>
      <c r="S454" s="47"/>
      <c r="T454" s="47"/>
    </row>
    <row r="455" s="27" customFormat="1" ht="18" customHeight="1" spans="1:20">
      <c r="A455" s="34"/>
      <c r="B455" s="48">
        <v>2</v>
      </c>
      <c r="C455" s="48"/>
      <c r="D455" s="111" t="s">
        <v>491</v>
      </c>
      <c r="E455" s="49" t="s">
        <v>423</v>
      </c>
      <c r="F455" s="112"/>
      <c r="G455" s="111"/>
      <c r="H455" s="113">
        <v>1</v>
      </c>
      <c r="I455" s="113">
        <f>+辅材及安装费!$G$3</f>
        <v>165</v>
      </c>
      <c r="J455" s="114">
        <f t="shared" ref="J455:J469" si="56">H455*I455</f>
        <v>165</v>
      </c>
      <c r="K455" s="92"/>
      <c r="L455" s="90"/>
      <c r="M455" s="44"/>
      <c r="N455" s="82"/>
      <c r="O455" s="44"/>
      <c r="P455" s="44"/>
      <c r="Q455" s="44">
        <v>0</v>
      </c>
      <c r="R455" s="84">
        <f>+Q455/R445</f>
        <v>0</v>
      </c>
      <c r="S455" s="47"/>
      <c r="T455" s="47"/>
    </row>
    <row r="456" s="27" customFormat="1" ht="18" customHeight="1" spans="1:20">
      <c r="A456" s="34"/>
      <c r="B456" s="48">
        <v>3</v>
      </c>
      <c r="C456" s="48"/>
      <c r="D456" s="115"/>
      <c r="E456" s="63"/>
      <c r="F456" s="116"/>
      <c r="G456" s="115"/>
      <c r="H456" s="117"/>
      <c r="I456" s="117"/>
      <c r="J456" s="118"/>
      <c r="K456" s="92"/>
      <c r="L456" s="90" t="s">
        <v>472</v>
      </c>
      <c r="M456" s="44"/>
      <c r="N456" s="82"/>
      <c r="O456" s="44"/>
      <c r="P456" s="44">
        <f>+P452</f>
        <v>0</v>
      </c>
      <c r="Q456" s="44">
        <f>+P456</f>
        <v>0</v>
      </c>
      <c r="R456" s="84">
        <f>+Q456/R445</f>
        <v>0</v>
      </c>
      <c r="S456" s="47"/>
      <c r="T456" s="47"/>
    </row>
    <row r="457" s="27" customFormat="1" ht="18" customHeight="1" spans="1:20">
      <c r="A457" s="34"/>
      <c r="B457" s="48">
        <v>4</v>
      </c>
      <c r="C457" s="48"/>
      <c r="D457" s="85" t="s">
        <v>426</v>
      </c>
      <c r="E457" s="48" t="s">
        <v>392</v>
      </c>
      <c r="F457" s="50"/>
      <c r="G457" s="48"/>
      <c r="H457" s="86"/>
      <c r="I457" s="86"/>
      <c r="J457" s="95">
        <f>SUM(J455:J455)</f>
        <v>165</v>
      </c>
      <c r="K457" s="92"/>
      <c r="L457" s="90" t="s">
        <v>473</v>
      </c>
      <c r="M457" s="44"/>
      <c r="N457" s="82"/>
      <c r="O457" s="44"/>
      <c r="P457" s="44"/>
      <c r="Q457" s="44">
        <f>+(Q454)*2</f>
        <v>2.00811</v>
      </c>
      <c r="R457" s="84">
        <f>+Q457/R445</f>
        <v>1.6194435483871</v>
      </c>
      <c r="S457" s="47"/>
      <c r="T457" s="47"/>
    </row>
    <row r="458" s="27" customFormat="1" ht="27" customHeight="1" spans="1:20">
      <c r="A458" s="34"/>
      <c r="B458" s="48">
        <v>1</v>
      </c>
      <c r="C458" s="48" t="s">
        <v>394</v>
      </c>
      <c r="D458" s="88" t="s">
        <v>431</v>
      </c>
      <c r="E458" s="72" t="str">
        <f>+VLOOKUP(D458,'材料表 '!C:F,2,0)</f>
        <v>kg</v>
      </c>
      <c r="F458" s="77">
        <f>+SUMIF($L$445:$L$483,D458,$R$445:$R$483)</f>
        <v>0</v>
      </c>
      <c r="G458" s="89">
        <f>+VLOOKUP(D458,'材料表 '!C:F,4,0)</f>
        <v>0.03</v>
      </c>
      <c r="H458" s="74">
        <f t="shared" ref="H458:H469" si="57">F458*(G458+1)</f>
        <v>0</v>
      </c>
      <c r="I458" s="74">
        <f>+VLOOKUP(D458,'材料表 '!C:F,3,0)</f>
        <v>3.80530973451327</v>
      </c>
      <c r="J458" s="95">
        <f t="shared" si="56"/>
        <v>0</v>
      </c>
      <c r="K458" s="92">
        <f ca="1">H458*K444</f>
        <v>0</v>
      </c>
      <c r="L458" s="90"/>
      <c r="M458" s="44"/>
      <c r="N458" s="82"/>
      <c r="O458" s="44"/>
      <c r="P458" s="44"/>
      <c r="Q458" s="44"/>
      <c r="R458" s="84"/>
      <c r="S458" s="47"/>
      <c r="T458" s="47"/>
    </row>
    <row r="459" s="27" customFormat="1" ht="18" customHeight="1" spans="1:20">
      <c r="A459" s="34"/>
      <c r="B459" s="48">
        <v>2</v>
      </c>
      <c r="C459" s="48"/>
      <c r="D459" s="88" t="s">
        <v>461</v>
      </c>
      <c r="E459" s="72" t="str">
        <f>+VLOOKUP(D459,'材料表 '!C:F,2,0)</f>
        <v>kg</v>
      </c>
      <c r="F459" s="77">
        <f t="shared" ref="F459:F466" si="58">+SUMIF($L$445:$L$483,D459,$R$445:$R$483)</f>
        <v>13.803064516129</v>
      </c>
      <c r="G459" s="89">
        <f>+VLOOKUP(D459,'材料表 '!C:F,4,0)</f>
        <v>0.03</v>
      </c>
      <c r="H459" s="74">
        <f t="shared" si="57"/>
        <v>14.2171564516129</v>
      </c>
      <c r="I459" s="74">
        <f>+VLOOKUP(D459,'材料表 '!C:F,3,0)</f>
        <v>3.53982300884956</v>
      </c>
      <c r="J459" s="95">
        <f t="shared" si="56"/>
        <v>50.3262175278332</v>
      </c>
      <c r="K459" s="92">
        <f ca="1">H459*K444</f>
        <v>2002.94951056099</v>
      </c>
      <c r="L459" s="90"/>
      <c r="M459" s="44"/>
      <c r="N459" s="82"/>
      <c r="O459" s="44"/>
      <c r="P459" s="44"/>
      <c r="Q459" s="44"/>
      <c r="R459" s="84"/>
      <c r="S459" s="47"/>
      <c r="T459" s="47"/>
    </row>
    <row r="460" s="27" customFormat="1" ht="18" customHeight="1" spans="1:20">
      <c r="A460" s="34"/>
      <c r="B460" s="48">
        <v>3</v>
      </c>
      <c r="C460" s="48"/>
      <c r="D460" s="88" t="s">
        <v>465</v>
      </c>
      <c r="E460" s="72" t="str">
        <f>+VLOOKUP(D460,'材料表 '!C:F,2,0)</f>
        <v>kg</v>
      </c>
      <c r="F460" s="77">
        <f t="shared" si="58"/>
        <v>0</v>
      </c>
      <c r="G460" s="89">
        <f>+VLOOKUP(D460,'材料表 '!C:F,4,0)</f>
        <v>0.03</v>
      </c>
      <c r="H460" s="74">
        <f t="shared" si="57"/>
        <v>0</v>
      </c>
      <c r="I460" s="74">
        <f>+VLOOKUP(D460,'材料表 '!C:F,3,0)</f>
        <v>6.01769911504425</v>
      </c>
      <c r="J460" s="95">
        <f t="shared" si="56"/>
        <v>0</v>
      </c>
      <c r="K460" s="92">
        <f ca="1">H460*K444</f>
        <v>0</v>
      </c>
      <c r="L460" s="90"/>
      <c r="M460" s="44"/>
      <c r="N460" s="82"/>
      <c r="O460" s="44"/>
      <c r="P460" s="44"/>
      <c r="Q460" s="44">
        <f>+P460*O460</f>
        <v>0</v>
      </c>
      <c r="R460" s="84">
        <f>+Q460/R445</f>
        <v>0</v>
      </c>
      <c r="S460" s="47"/>
      <c r="T460" s="47"/>
    </row>
    <row r="461" s="27" customFormat="1" ht="18" customHeight="1" spans="1:20">
      <c r="A461" s="34"/>
      <c r="B461" s="48">
        <v>4</v>
      </c>
      <c r="C461" s="48"/>
      <c r="D461" s="88" t="s">
        <v>463</v>
      </c>
      <c r="E461" s="72" t="str">
        <f>+VLOOKUP(D461,'材料表 '!C:F,2,0)</f>
        <v>kg</v>
      </c>
      <c r="F461" s="77">
        <f t="shared" si="58"/>
        <v>0</v>
      </c>
      <c r="G461" s="89">
        <f>+VLOOKUP(D461,'材料表 '!C:F,4,0)</f>
        <v>0.03</v>
      </c>
      <c r="H461" s="74">
        <f t="shared" si="57"/>
        <v>0</v>
      </c>
      <c r="I461" s="74">
        <f>+VLOOKUP(D461,'材料表 '!C:F,3,0)</f>
        <v>6.01769911504425</v>
      </c>
      <c r="J461" s="95">
        <f t="shared" si="56"/>
        <v>0</v>
      </c>
      <c r="K461" s="92">
        <f ca="1">H461*K444</f>
        <v>0</v>
      </c>
      <c r="L461" s="90" t="s">
        <v>474</v>
      </c>
      <c r="M461" s="44"/>
      <c r="N461" s="82"/>
      <c r="O461" s="44"/>
      <c r="P461" s="44"/>
      <c r="Q461" s="44">
        <f>+O451*P451*4</f>
        <v>0</v>
      </c>
      <c r="R461" s="84">
        <f>+Q461/R445</f>
        <v>0</v>
      </c>
      <c r="S461" s="47"/>
      <c r="T461" s="47"/>
    </row>
    <row r="462" s="27" customFormat="1" ht="18" customHeight="1" spans="1:20">
      <c r="A462" s="34"/>
      <c r="B462" s="48">
        <v>5</v>
      </c>
      <c r="C462" s="48"/>
      <c r="D462" s="88" t="s">
        <v>433</v>
      </c>
      <c r="E462" s="72" t="str">
        <f>+VLOOKUP(D462,'材料表 '!C:F,2,0)</f>
        <v>kg</v>
      </c>
      <c r="F462" s="77">
        <f t="shared" si="58"/>
        <v>5.82999677419355</v>
      </c>
      <c r="G462" s="89">
        <f>+VLOOKUP(D462,'材料表 '!C:F,4,0)</f>
        <v>0.03</v>
      </c>
      <c r="H462" s="74">
        <f t="shared" si="57"/>
        <v>6.00489667741936</v>
      </c>
      <c r="I462" s="74">
        <f>+VLOOKUP(D462,'材料表 '!C:F,3,0)</f>
        <v>26.1150442477876</v>
      </c>
      <c r="J462" s="95">
        <f t="shared" si="56"/>
        <v>156.818142434199</v>
      </c>
      <c r="K462" s="92">
        <f ca="1">H462*K444</f>
        <v>845.985264489507</v>
      </c>
      <c r="L462" s="92" t="s">
        <v>476</v>
      </c>
      <c r="M462" s="44"/>
      <c r="N462" s="82"/>
      <c r="O462" s="44"/>
      <c r="P462" s="44"/>
      <c r="Q462" s="44">
        <f>15*8*(O445*1+P445*8)/500</f>
        <v>1.872</v>
      </c>
      <c r="R462" s="84">
        <f>+Q462/R445</f>
        <v>1.50967741935484</v>
      </c>
      <c r="S462" s="47"/>
      <c r="T462" s="47"/>
    </row>
    <row r="463" s="27" customFormat="1" ht="18" customHeight="1" spans="1:20">
      <c r="A463" s="34"/>
      <c r="B463" s="48">
        <v>6</v>
      </c>
      <c r="C463" s="48"/>
      <c r="D463" s="88" t="s">
        <v>434</v>
      </c>
      <c r="E463" s="72" t="str">
        <f>+VLOOKUP(D463,'材料表 '!C:F,2,0)</f>
        <v>m2</v>
      </c>
      <c r="F463" s="77">
        <f t="shared" si="58"/>
        <v>0</v>
      </c>
      <c r="G463" s="89">
        <f>+VLOOKUP(D463,'材料表 '!C:F,4,0)</f>
        <v>0</v>
      </c>
      <c r="H463" s="74">
        <f t="shared" si="57"/>
        <v>0</v>
      </c>
      <c r="I463" s="74">
        <f>+VLOOKUP(D463,'材料表 '!C:F,3,0)</f>
        <v>49.5575221238938</v>
      </c>
      <c r="J463" s="95">
        <f t="shared" si="56"/>
        <v>0</v>
      </c>
      <c r="K463" s="92">
        <f ca="1">H463*K444</f>
        <v>0</v>
      </c>
      <c r="L463" s="92" t="s">
        <v>475</v>
      </c>
      <c r="M463" s="44"/>
      <c r="N463" s="82"/>
      <c r="O463" s="44"/>
      <c r="P463" s="44"/>
      <c r="Q463" s="44"/>
      <c r="R463" s="84"/>
      <c r="S463" s="47"/>
      <c r="T463" s="47"/>
    </row>
    <row r="464" s="27" customFormat="1" ht="18" customHeight="1" spans="1:20">
      <c r="A464" s="34"/>
      <c r="B464" s="48">
        <v>7</v>
      </c>
      <c r="C464" s="48"/>
      <c r="D464" s="88" t="s">
        <v>472</v>
      </c>
      <c r="E464" s="72" t="str">
        <f>+VLOOKUP(D464,'材料表 '!C:F,2,0)</f>
        <v>套</v>
      </c>
      <c r="F464" s="77">
        <f t="shared" si="58"/>
        <v>0</v>
      </c>
      <c r="G464" s="89">
        <f>+VLOOKUP(D464,'材料表 '!C:F,4,0)</f>
        <v>0</v>
      </c>
      <c r="H464" s="74">
        <f t="shared" si="57"/>
        <v>0</v>
      </c>
      <c r="I464" s="74">
        <f>+VLOOKUP(D464,'材料表 '!C:F,3,0)</f>
        <v>2.47787610619469</v>
      </c>
      <c r="J464" s="95">
        <f t="shared" si="56"/>
        <v>0</v>
      </c>
      <c r="K464" s="92">
        <f ca="1">H464*K444</f>
        <v>0</v>
      </c>
      <c r="L464" s="92" t="s">
        <v>492</v>
      </c>
      <c r="M464" s="44"/>
      <c r="N464" s="82"/>
      <c r="O464" s="44"/>
      <c r="P464" s="44"/>
      <c r="Q464" s="44"/>
      <c r="R464" s="84"/>
      <c r="S464" s="47"/>
      <c r="T464" s="47"/>
    </row>
    <row r="465" s="27" customFormat="1" ht="18" customHeight="1" spans="1:20">
      <c r="A465" s="34"/>
      <c r="B465" s="48">
        <v>8</v>
      </c>
      <c r="C465" s="48"/>
      <c r="D465" s="88" t="s">
        <v>474</v>
      </c>
      <c r="E465" s="72" t="str">
        <f>+VLOOKUP(D465,'材料表 '!C:F,2,0)</f>
        <v>套</v>
      </c>
      <c r="F465" s="77">
        <f t="shared" si="58"/>
        <v>0</v>
      </c>
      <c r="G465" s="89">
        <f>+VLOOKUP(D465,'材料表 '!C:F,4,0)</f>
        <v>0</v>
      </c>
      <c r="H465" s="74">
        <f t="shared" si="57"/>
        <v>0</v>
      </c>
      <c r="I465" s="74">
        <f>+VLOOKUP(D465,'材料表 '!C:F,3,0)</f>
        <v>2.21238938053097</v>
      </c>
      <c r="J465" s="95">
        <f t="shared" si="56"/>
        <v>0</v>
      </c>
      <c r="K465" s="92">
        <f ca="1">H465*K444</f>
        <v>0</v>
      </c>
      <c r="L465" s="92"/>
      <c r="M465" s="44"/>
      <c r="N465" s="82"/>
      <c r="O465" s="44"/>
      <c r="P465" s="44"/>
      <c r="Q465" s="44"/>
      <c r="R465" s="84"/>
      <c r="S465" s="47"/>
      <c r="T465" s="47"/>
    </row>
    <row r="466" s="27" customFormat="1" ht="18" customHeight="1" spans="1:20">
      <c r="A466" s="34"/>
      <c r="B466" s="48">
        <v>9</v>
      </c>
      <c r="C466" s="48"/>
      <c r="D466" s="88" t="s">
        <v>476</v>
      </c>
      <c r="E466" s="72" t="str">
        <f>+VLOOKUP(D466,'材料表 '!C:F,2,0)</f>
        <v>支</v>
      </c>
      <c r="F466" s="77">
        <f t="shared" si="58"/>
        <v>1.50967741935484</v>
      </c>
      <c r="G466" s="89">
        <f>+VLOOKUP(D466,'材料表 '!C:F,4,0)</f>
        <v>0.15</v>
      </c>
      <c r="H466" s="74">
        <f t="shared" si="57"/>
        <v>1.73612903225807</v>
      </c>
      <c r="I466" s="74">
        <f>+VLOOKUP(D466,'材料表 '!C:F,3,0)</f>
        <v>11.5044247787611</v>
      </c>
      <c r="J466" s="95">
        <f t="shared" si="56"/>
        <v>19.9731658578362</v>
      </c>
      <c r="K466" s="92">
        <f ca="1">H466*K444</f>
        <v>244.590316443872</v>
      </c>
      <c r="L466" s="90"/>
      <c r="M466" s="44"/>
      <c r="N466" s="82"/>
      <c r="O466" s="34"/>
      <c r="P466" s="44"/>
      <c r="Q466" s="44"/>
      <c r="R466" s="119"/>
      <c r="S466" s="47"/>
      <c r="T466" s="47"/>
    </row>
    <row r="467" s="27" customFormat="1" ht="18" customHeight="1" spans="1:20">
      <c r="A467" s="34"/>
      <c r="B467" s="48">
        <v>10</v>
      </c>
      <c r="C467" s="48"/>
      <c r="D467" s="88"/>
      <c r="E467" s="72"/>
      <c r="F467" s="77"/>
      <c r="G467" s="89"/>
      <c r="H467" s="74"/>
      <c r="I467" s="74"/>
      <c r="J467" s="95">
        <f t="shared" si="56"/>
        <v>0</v>
      </c>
      <c r="K467" s="92">
        <f ca="1">H467*K444</f>
        <v>0</v>
      </c>
      <c r="L467" s="92"/>
      <c r="M467" s="120"/>
      <c r="N467" s="82"/>
      <c r="O467" s="44"/>
      <c r="P467" s="44"/>
      <c r="Q467" s="44"/>
      <c r="R467" s="84"/>
      <c r="S467" s="47"/>
      <c r="T467" s="47"/>
    </row>
    <row r="468" s="27" customFormat="1" ht="18" customHeight="1" spans="1:20">
      <c r="A468" s="34"/>
      <c r="B468" s="48">
        <v>11</v>
      </c>
      <c r="C468" s="48"/>
      <c r="D468" s="88"/>
      <c r="E468" s="72"/>
      <c r="F468" s="77"/>
      <c r="G468" s="89"/>
      <c r="H468" s="74"/>
      <c r="I468" s="74"/>
      <c r="J468" s="95">
        <f t="shared" si="56"/>
        <v>0</v>
      </c>
      <c r="K468" s="92">
        <f ca="1">H468*K444</f>
        <v>0</v>
      </c>
      <c r="L468" s="92"/>
      <c r="M468" s="44"/>
      <c r="N468" s="82"/>
      <c r="O468" s="44"/>
      <c r="P468" s="44"/>
      <c r="Q468" s="44"/>
      <c r="R468" s="84"/>
      <c r="S468" s="47"/>
      <c r="T468" s="47"/>
    </row>
    <row r="469" s="27" customFormat="1" ht="18" customHeight="1" spans="1:20">
      <c r="A469" s="34"/>
      <c r="B469" s="48">
        <v>12</v>
      </c>
      <c r="C469" s="48"/>
      <c r="D469" s="88" t="s">
        <v>493</v>
      </c>
      <c r="E469" s="72" t="str">
        <f>+VLOOKUP(D469,'材料表 '!C:F,2,0)</f>
        <v>m2</v>
      </c>
      <c r="F469" s="77">
        <v>1</v>
      </c>
      <c r="G469" s="89">
        <f>+VLOOKUP(D469,'材料表 '!C:F,4,0)</f>
        <v>0.02</v>
      </c>
      <c r="H469" s="74">
        <f t="shared" si="57"/>
        <v>1.02</v>
      </c>
      <c r="I469" s="74">
        <f>+VLOOKUP(D469,'材料表 '!C:F,3,0)</f>
        <v>253.097345132743</v>
      </c>
      <c r="J469" s="95">
        <f t="shared" si="56"/>
        <v>258.159292035398</v>
      </c>
      <c r="K469" s="92">
        <f ca="1">H469*K444</f>
        <v>143.70021936</v>
      </c>
      <c r="L469" s="92"/>
      <c r="M469" s="44"/>
      <c r="N469" s="44"/>
      <c r="O469" s="44"/>
      <c r="P469" s="44"/>
      <c r="Q469" s="44"/>
      <c r="R469" s="84"/>
      <c r="S469" s="47"/>
      <c r="T469" s="47"/>
    </row>
    <row r="470" s="27" customFormat="1" ht="18" customHeight="1" spans="1:20">
      <c r="A470" s="34"/>
      <c r="B470" s="48">
        <v>13</v>
      </c>
      <c r="C470" s="48"/>
      <c r="D470" s="88"/>
      <c r="E470" s="72"/>
      <c r="F470" s="77"/>
      <c r="G470" s="89"/>
      <c r="H470" s="74"/>
      <c r="I470" s="74"/>
      <c r="J470" s="95"/>
      <c r="K470" s="92">
        <f ca="1">H470*K444</f>
        <v>0</v>
      </c>
      <c r="L470" s="92"/>
      <c r="M470" s="44"/>
      <c r="N470" s="44"/>
      <c r="O470" s="44"/>
      <c r="P470" s="44"/>
      <c r="Q470" s="44"/>
      <c r="R470" s="84"/>
      <c r="S470" s="47"/>
      <c r="T470" s="47"/>
    </row>
    <row r="471" s="27" customFormat="1" ht="24" customHeight="1" spans="1:20">
      <c r="A471" s="34"/>
      <c r="B471" s="48">
        <v>14</v>
      </c>
      <c r="C471" s="48"/>
      <c r="D471" s="88"/>
      <c r="E471" s="72"/>
      <c r="F471" s="77"/>
      <c r="G471" s="89"/>
      <c r="H471" s="74"/>
      <c r="I471" s="74"/>
      <c r="J471" s="95"/>
      <c r="K471" s="92">
        <f ca="1">H471*K444</f>
        <v>0</v>
      </c>
      <c r="L471" s="92"/>
      <c r="M471" s="44"/>
      <c r="N471" s="44"/>
      <c r="O471" s="44"/>
      <c r="P471" s="44"/>
      <c r="Q471" s="44"/>
      <c r="R471" s="84"/>
      <c r="S471" s="47"/>
      <c r="T471" s="47"/>
    </row>
    <row r="472" s="27" customFormat="1" ht="18" customHeight="1" spans="1:20">
      <c r="A472" s="34"/>
      <c r="B472" s="48">
        <v>15</v>
      </c>
      <c r="C472" s="48"/>
      <c r="D472" s="88"/>
      <c r="E472" s="72"/>
      <c r="F472" s="77"/>
      <c r="G472" s="89"/>
      <c r="H472" s="74"/>
      <c r="I472" s="74"/>
      <c r="J472" s="95"/>
      <c r="K472" s="92"/>
      <c r="L472" s="92"/>
      <c r="M472" s="44"/>
      <c r="N472" s="44"/>
      <c r="O472" s="44"/>
      <c r="P472" s="44"/>
      <c r="Q472" s="44"/>
      <c r="R472" s="84"/>
      <c r="S472" s="47"/>
      <c r="T472" s="47"/>
    </row>
    <row r="473" s="27" customFormat="1" ht="18" customHeight="1" spans="1:20">
      <c r="A473" s="34"/>
      <c r="B473" s="48">
        <v>16</v>
      </c>
      <c r="C473" s="48"/>
      <c r="D473" s="88"/>
      <c r="E473" s="72"/>
      <c r="F473" s="77"/>
      <c r="G473" s="89"/>
      <c r="H473" s="74"/>
      <c r="I473" s="74"/>
      <c r="J473" s="95"/>
      <c r="K473" s="92"/>
      <c r="L473" s="92"/>
      <c r="M473" s="44"/>
      <c r="N473" s="44"/>
      <c r="O473" s="44"/>
      <c r="P473" s="44"/>
      <c r="Q473" s="44"/>
      <c r="R473" s="84"/>
      <c r="S473" s="47"/>
      <c r="T473" s="47"/>
    </row>
    <row r="474" s="27" customFormat="1" ht="18" customHeight="1" spans="1:20">
      <c r="A474" s="34"/>
      <c r="B474" s="48">
        <v>17</v>
      </c>
      <c r="C474" s="48"/>
      <c r="D474" s="121"/>
      <c r="E474" s="72"/>
      <c r="F474" s="77"/>
      <c r="G474" s="89"/>
      <c r="H474" s="74"/>
      <c r="I474" s="74"/>
      <c r="J474" s="95"/>
      <c r="K474" s="92"/>
      <c r="L474" s="92"/>
      <c r="M474" s="44"/>
      <c r="N474" s="44"/>
      <c r="O474" s="44"/>
      <c r="P474" s="44"/>
      <c r="Q474" s="101"/>
      <c r="R474" s="84"/>
      <c r="S474" s="47"/>
      <c r="T474" s="47"/>
    </row>
    <row r="475" s="27" customFormat="1" ht="18" customHeight="1" spans="1:20">
      <c r="A475" s="34"/>
      <c r="B475" s="48">
        <v>18</v>
      </c>
      <c r="C475" s="48"/>
      <c r="D475" s="88"/>
      <c r="E475" s="72"/>
      <c r="F475" s="77"/>
      <c r="G475" s="89"/>
      <c r="H475" s="74"/>
      <c r="I475" s="74"/>
      <c r="J475" s="95"/>
      <c r="K475" s="92"/>
      <c r="L475" s="92"/>
      <c r="M475" s="44"/>
      <c r="N475" s="44"/>
      <c r="O475" s="44"/>
      <c r="P475" s="44"/>
      <c r="Q475" s="44"/>
      <c r="R475" s="84"/>
      <c r="S475" s="47"/>
      <c r="T475" s="47"/>
    </row>
    <row r="476" s="27" customFormat="1" ht="18" customHeight="1" spans="1:20">
      <c r="A476" s="34"/>
      <c r="B476" s="48">
        <v>19</v>
      </c>
      <c r="C476" s="48"/>
      <c r="D476" s="27"/>
      <c r="E476" s="72"/>
      <c r="F476" s="77"/>
      <c r="G476" s="89"/>
      <c r="H476" s="74"/>
      <c r="I476" s="74"/>
      <c r="J476" s="95"/>
      <c r="K476" s="92"/>
      <c r="L476" s="92"/>
      <c r="M476" s="44"/>
      <c r="N476" s="44"/>
      <c r="O476" s="44"/>
      <c r="P476" s="44"/>
      <c r="Q476" s="44"/>
      <c r="R476" s="84"/>
      <c r="S476" s="47"/>
      <c r="T476" s="47"/>
    </row>
    <row r="477" s="27" customFormat="1" ht="18" customHeight="1" spans="1:20">
      <c r="A477" s="34"/>
      <c r="B477" s="48">
        <v>20</v>
      </c>
      <c r="C477" s="48"/>
      <c r="D477" s="88"/>
      <c r="E477" s="72"/>
      <c r="F477" s="77"/>
      <c r="G477" s="89"/>
      <c r="H477" s="74"/>
      <c r="I477" s="74"/>
      <c r="J477" s="95"/>
      <c r="K477" s="92"/>
      <c r="L477" s="92"/>
      <c r="M477" s="44"/>
      <c r="N477" s="44"/>
      <c r="O477" s="44"/>
      <c r="P477" s="44"/>
      <c r="Q477" s="44"/>
      <c r="R477" s="84"/>
      <c r="S477" s="47"/>
      <c r="T477" s="47"/>
    </row>
    <row r="478" s="27" customFormat="1" ht="18" customHeight="1" spans="1:20">
      <c r="A478" s="34"/>
      <c r="B478" s="48">
        <v>21</v>
      </c>
      <c r="C478" s="48"/>
      <c r="D478" s="88"/>
      <c r="E478" s="72"/>
      <c r="F478" s="77"/>
      <c r="G478" s="89"/>
      <c r="H478" s="74"/>
      <c r="I478" s="74"/>
      <c r="J478" s="95"/>
      <c r="K478" s="92"/>
      <c r="L478" s="92"/>
      <c r="M478" s="44"/>
      <c r="N478" s="44"/>
      <c r="O478" s="44"/>
      <c r="P478" s="44"/>
      <c r="Q478" s="44"/>
      <c r="R478" s="84"/>
      <c r="S478" s="47"/>
      <c r="T478" s="47"/>
    </row>
    <row r="479" s="27" customFormat="1" ht="18" customHeight="1" spans="1:20">
      <c r="A479" s="34"/>
      <c r="B479" s="48">
        <v>22</v>
      </c>
      <c r="C479" s="48"/>
      <c r="D479" s="27"/>
      <c r="E479" s="72"/>
      <c r="F479" s="77"/>
      <c r="G479" s="72"/>
      <c r="H479" s="74"/>
      <c r="I479" s="74"/>
      <c r="J479" s="95"/>
      <c r="K479" s="92"/>
      <c r="L479" s="92"/>
      <c r="M479" s="44"/>
      <c r="N479" s="44"/>
      <c r="O479" s="44"/>
      <c r="P479" s="44"/>
      <c r="Q479" s="44"/>
      <c r="R479" s="62"/>
      <c r="S479" s="47"/>
      <c r="T479" s="47"/>
    </row>
    <row r="480" s="27" customFormat="1" ht="18" customHeight="1" spans="1:20">
      <c r="A480" s="34"/>
      <c r="B480" s="48">
        <v>23</v>
      </c>
      <c r="C480" s="48"/>
      <c r="D480" s="88"/>
      <c r="E480" s="72"/>
      <c r="F480" s="77"/>
      <c r="G480" s="89"/>
      <c r="H480" s="74"/>
      <c r="I480" s="74"/>
      <c r="J480" s="95"/>
      <c r="K480" s="92"/>
      <c r="L480" s="92"/>
      <c r="M480" s="44"/>
      <c r="N480" s="44"/>
      <c r="O480" s="44"/>
      <c r="P480" s="44"/>
      <c r="Q480" s="44"/>
      <c r="R480" s="62"/>
      <c r="S480" s="47"/>
      <c r="T480" s="47"/>
    </row>
    <row r="481" s="27" customFormat="1" ht="18" customHeight="1" spans="1:20">
      <c r="A481" s="34"/>
      <c r="B481" s="48">
        <v>24</v>
      </c>
      <c r="C481" s="48"/>
      <c r="D481" s="88" t="s">
        <v>478</v>
      </c>
      <c r="E481" s="72" t="s">
        <v>43</v>
      </c>
      <c r="F481" s="77"/>
      <c r="G481" s="72">
        <v>1</v>
      </c>
      <c r="H481" s="74">
        <v>1</v>
      </c>
      <c r="I481" s="74">
        <f>+辅材及安装费!$E$3</f>
        <v>5</v>
      </c>
      <c r="J481" s="95">
        <f t="shared" ref="J480:J483" si="59">H481*I481</f>
        <v>5</v>
      </c>
      <c r="K481" s="92"/>
      <c r="L481" s="92"/>
      <c r="M481" s="44"/>
      <c r="N481" s="44"/>
      <c r="O481" s="44"/>
      <c r="P481" s="44"/>
      <c r="Q481" s="44"/>
      <c r="R481" s="62"/>
      <c r="S481" s="47"/>
      <c r="T481" s="47"/>
    </row>
    <row r="482" s="27" customFormat="1" ht="18" customHeight="1" spans="1:20">
      <c r="A482" s="34"/>
      <c r="B482" s="48">
        <v>25</v>
      </c>
      <c r="C482" s="48"/>
      <c r="D482" s="93" t="s">
        <v>442</v>
      </c>
      <c r="E482" s="72"/>
      <c r="F482" s="77"/>
      <c r="G482" s="72"/>
      <c r="H482" s="74"/>
      <c r="I482" s="74"/>
      <c r="J482" s="95">
        <f>SUM(J458:J481)</f>
        <v>490.276817855267</v>
      </c>
      <c r="K482" s="92"/>
      <c r="L482" s="94"/>
      <c r="M482" s="27"/>
      <c r="N482" s="83"/>
      <c r="O482" s="83"/>
      <c r="P482" s="83"/>
      <c r="Q482" s="83"/>
      <c r="R482" s="87"/>
      <c r="S482" s="47"/>
      <c r="T482" s="47"/>
    </row>
    <row r="483" s="27" customFormat="1" ht="18" customHeight="1" spans="1:20">
      <c r="A483" s="34"/>
      <c r="B483" s="48">
        <v>1</v>
      </c>
      <c r="C483" s="48" t="s">
        <v>443</v>
      </c>
      <c r="D483" s="48" t="s">
        <v>444</v>
      </c>
      <c r="E483" s="72" t="s">
        <v>43</v>
      </c>
      <c r="F483" s="50"/>
      <c r="G483" s="48"/>
      <c r="H483" s="51">
        <v>1</v>
      </c>
      <c r="I483" s="74">
        <f>+辅材及安装费!$F$3</f>
        <v>5</v>
      </c>
      <c r="J483" s="95">
        <f t="shared" si="59"/>
        <v>5</v>
      </c>
      <c r="K483" s="118"/>
      <c r="L483" s="96"/>
      <c r="M483" s="97"/>
      <c r="N483" s="98"/>
      <c r="O483" s="98"/>
      <c r="P483" s="98"/>
      <c r="Q483" s="98"/>
      <c r="R483" s="99"/>
      <c r="S483" s="47"/>
      <c r="T483" s="47"/>
    </row>
    <row r="484" s="26" customFormat="1" ht="30" customHeight="1" spans="1:20">
      <c r="A484" s="28"/>
      <c r="B484" s="29" t="s">
        <v>386</v>
      </c>
      <c r="C484" s="29"/>
      <c r="D484" s="29"/>
      <c r="E484" s="29"/>
      <c r="F484" s="29"/>
      <c r="G484" s="29"/>
      <c r="H484" s="29"/>
      <c r="I484" s="29"/>
      <c r="J484" s="29"/>
      <c r="K484" s="29"/>
      <c r="L484" s="30"/>
      <c r="M484" s="31"/>
      <c r="N484" s="31"/>
      <c r="O484" s="31"/>
      <c r="P484" s="31"/>
      <c r="Q484" s="31"/>
      <c r="R484" s="32"/>
      <c r="S484" s="33"/>
      <c r="T484" s="33"/>
    </row>
    <row r="485" s="27" customFormat="1" ht="33.75" customHeight="1" spans="1:20">
      <c r="A485" s="34">
        <v>2</v>
      </c>
      <c r="B485" s="35" t="s">
        <v>1</v>
      </c>
      <c r="C485" s="35" t="s">
        <v>387</v>
      </c>
      <c r="D485" s="36" t="str">
        <f>+A493</f>
        <v>2.5㎜浅灰色铝板2（带弧形造型）</v>
      </c>
      <c r="E485" s="37"/>
      <c r="F485" s="38" t="s">
        <v>119</v>
      </c>
      <c r="G485" s="39"/>
      <c r="H485" s="35" t="s">
        <v>388</v>
      </c>
      <c r="I485" s="40" t="s">
        <v>389</v>
      </c>
      <c r="J485" s="41" t="s">
        <v>37</v>
      </c>
      <c r="K485" s="42">
        <f ca="1">VLOOKUP(A485,排屋工程量清单!$A$59:$D$86,4,)</f>
        <v>120.571704</v>
      </c>
      <c r="L485" s="43"/>
      <c r="M485" s="44"/>
      <c r="N485" s="44"/>
      <c r="O485" s="44"/>
      <c r="P485" s="45"/>
      <c r="Q485" s="44"/>
      <c r="R485" s="46"/>
      <c r="S485" s="47"/>
      <c r="T485" s="47"/>
    </row>
    <row r="486" s="27" customFormat="1" ht="25" customHeight="1" spans="1:20">
      <c r="A486" s="34"/>
      <c r="B486" s="48">
        <v>1</v>
      </c>
      <c r="C486" s="49" t="s">
        <v>390</v>
      </c>
      <c r="D486" s="48" t="s">
        <v>391</v>
      </c>
      <c r="E486" s="48"/>
      <c r="F486" s="50"/>
      <c r="G486" s="48"/>
      <c r="H486" s="51"/>
      <c r="I486" s="52">
        <f>J498</f>
        <v>165</v>
      </c>
      <c r="J486" s="53" t="s">
        <v>392</v>
      </c>
      <c r="K486" s="54"/>
      <c r="L486" s="55" t="s">
        <v>313</v>
      </c>
      <c r="M486" s="56" t="s">
        <v>494</v>
      </c>
      <c r="N486" s="57"/>
      <c r="O486" s="57">
        <v>11</v>
      </c>
      <c r="P486" s="57">
        <v>1.6</v>
      </c>
      <c r="Q486" s="57">
        <v>1</v>
      </c>
      <c r="R486" s="58">
        <f>+Q486*P486*O486</f>
        <v>17.6</v>
      </c>
      <c r="S486" s="47"/>
      <c r="T486" s="47"/>
    </row>
    <row r="487" s="27" customFormat="1" ht="18" customHeight="1" spans="1:20">
      <c r="A487" s="34"/>
      <c r="B487" s="48">
        <v>2</v>
      </c>
      <c r="C487" s="59"/>
      <c r="D487" s="48" t="s">
        <v>394</v>
      </c>
      <c r="E487" s="48"/>
      <c r="F487" s="50"/>
      <c r="G487" s="48"/>
      <c r="H487" s="51"/>
      <c r="I487" s="52">
        <f>J523</f>
        <v>346.639644095484</v>
      </c>
      <c r="J487" s="53" t="s">
        <v>392</v>
      </c>
      <c r="K487" s="60"/>
      <c r="L487" s="61" t="s">
        <v>119</v>
      </c>
      <c r="M487" s="44"/>
      <c r="N487" s="44"/>
      <c r="O487" s="44"/>
      <c r="P487" s="44"/>
      <c r="Q487" s="44"/>
      <c r="R487" s="62"/>
      <c r="S487" s="47"/>
      <c r="T487" s="47"/>
    </row>
    <row r="488" s="27" customFormat="1" ht="18" customHeight="1" spans="1:20">
      <c r="A488" s="34"/>
      <c r="B488" s="48">
        <v>3</v>
      </c>
      <c r="C488" s="63"/>
      <c r="D488" s="48" t="s">
        <v>395</v>
      </c>
      <c r="E488" s="48"/>
      <c r="F488" s="50"/>
      <c r="G488" s="48"/>
      <c r="H488" s="51"/>
      <c r="I488" s="52">
        <f>J524</f>
        <v>5</v>
      </c>
      <c r="J488" s="53" t="s">
        <v>392</v>
      </c>
      <c r="K488" s="60"/>
      <c r="L488" s="60"/>
      <c r="M488" s="65" t="s">
        <v>396</v>
      </c>
      <c r="N488" s="65" t="s">
        <v>397</v>
      </c>
      <c r="O488" s="65" t="s">
        <v>398</v>
      </c>
      <c r="P488" s="65" t="s">
        <v>399</v>
      </c>
      <c r="Q488" s="65" t="s">
        <v>400</v>
      </c>
      <c r="R488" s="66" t="s">
        <v>401</v>
      </c>
      <c r="S488" s="47"/>
      <c r="T488" s="47"/>
    </row>
    <row r="489" s="27" customFormat="1" ht="18" customHeight="1" spans="1:20">
      <c r="A489" s="34"/>
      <c r="B489" s="48">
        <v>4</v>
      </c>
      <c r="C489" s="48" t="s">
        <v>402</v>
      </c>
      <c r="D489" s="67" t="s">
        <v>403</v>
      </c>
      <c r="E489" s="67"/>
      <c r="F489" s="50"/>
      <c r="G489" s="67"/>
      <c r="H489" s="68"/>
      <c r="I489" s="52">
        <f>SUM(I486:I488)</f>
        <v>516.639644095484</v>
      </c>
      <c r="J489" s="53" t="s">
        <v>392</v>
      </c>
      <c r="K489" s="60"/>
      <c r="L489" s="69" t="s">
        <v>431</v>
      </c>
      <c r="M489" s="34" t="s">
        <v>495</v>
      </c>
      <c r="N489" s="126">
        <v>7.034</v>
      </c>
      <c r="O489" s="34">
        <v>0.615</v>
      </c>
      <c r="P489" s="34">
        <v>5</v>
      </c>
      <c r="Q489" s="44">
        <f t="shared" ref="Q489:Q496" si="60">+P489*O489*N489</f>
        <v>21.62955</v>
      </c>
      <c r="R489" s="71">
        <f>+Q489/R486</f>
        <v>1.22895170454545</v>
      </c>
      <c r="S489" s="47"/>
      <c r="T489" s="47"/>
    </row>
    <row r="490" s="27" customFormat="1" ht="28" customHeight="1" spans="1:20">
      <c r="A490" s="34"/>
      <c r="B490" s="48">
        <v>5</v>
      </c>
      <c r="C490" s="72" t="s">
        <v>406</v>
      </c>
      <c r="D490" s="48" t="s">
        <v>407</v>
      </c>
      <c r="E490" s="48"/>
      <c r="F490" s="50"/>
      <c r="G490" s="48"/>
      <c r="H490" s="73">
        <f>+'材料表 '!$E$178</f>
        <v>0</v>
      </c>
      <c r="I490" s="52">
        <f>H490*I489</f>
        <v>0</v>
      </c>
      <c r="J490" s="53" t="s">
        <v>392</v>
      </c>
      <c r="K490" s="60"/>
      <c r="L490" s="69" t="s">
        <v>461</v>
      </c>
      <c r="M490" s="34" t="s">
        <v>462</v>
      </c>
      <c r="N490" s="34">
        <v>3.77</v>
      </c>
      <c r="O490" s="34">
        <f>+O486</f>
        <v>11</v>
      </c>
      <c r="P490" s="34">
        <v>1</v>
      </c>
      <c r="Q490" s="44">
        <f t="shared" si="60"/>
        <v>41.47</v>
      </c>
      <c r="R490" s="71">
        <f>+Q490/R486</f>
        <v>2.35625</v>
      </c>
      <c r="S490" s="47"/>
      <c r="T490" s="47"/>
    </row>
    <row r="491" s="27" customFormat="1" ht="18" customHeight="1" spans="1:20">
      <c r="A491" s="34"/>
      <c r="B491" s="48">
        <v>6</v>
      </c>
      <c r="C491" s="48" t="s">
        <v>409</v>
      </c>
      <c r="D491" s="48" t="s">
        <v>410</v>
      </c>
      <c r="E491" s="48"/>
      <c r="F491" s="50"/>
      <c r="G491" s="48"/>
      <c r="H491" s="73">
        <f>+'材料表 '!$E$179</f>
        <v>0</v>
      </c>
      <c r="I491" s="52">
        <f>H491*I489</f>
        <v>0</v>
      </c>
      <c r="J491" s="53" t="s">
        <v>392</v>
      </c>
      <c r="K491" s="60"/>
      <c r="L491" s="69" t="s">
        <v>461</v>
      </c>
      <c r="M491" s="34" t="s">
        <v>462</v>
      </c>
      <c r="N491" s="34">
        <v>3.77</v>
      </c>
      <c r="O491" s="34">
        <f>0.18</f>
        <v>0.18</v>
      </c>
      <c r="P491" s="34">
        <v>8</v>
      </c>
      <c r="Q491" s="44">
        <f t="shared" si="60"/>
        <v>5.4288</v>
      </c>
      <c r="R491" s="71">
        <f>+Q491/R486</f>
        <v>0.308454545454545</v>
      </c>
      <c r="S491" s="47"/>
      <c r="T491" s="47"/>
    </row>
    <row r="492" s="27" customFormat="1" ht="18" customHeight="1" spans="1:20">
      <c r="A492" s="34"/>
      <c r="B492" s="48">
        <v>7</v>
      </c>
      <c r="C492" s="48" t="s">
        <v>412</v>
      </c>
      <c r="D492" s="72" t="s">
        <v>413</v>
      </c>
      <c r="E492" s="72"/>
      <c r="F492" s="77"/>
      <c r="G492" s="72"/>
      <c r="H492" s="73">
        <f>+'材料表 '!$E$180</f>
        <v>0.09</v>
      </c>
      <c r="I492" s="52">
        <f>(I489+I490+I491)*H492</f>
        <v>46.4975679685936</v>
      </c>
      <c r="J492" s="53" t="s">
        <v>392</v>
      </c>
      <c r="K492" s="60"/>
      <c r="L492" s="69" t="s">
        <v>463</v>
      </c>
      <c r="M492" s="34" t="s">
        <v>464</v>
      </c>
      <c r="N492" s="34">
        <f>0.15*0.2*7.85*10</f>
        <v>2.355</v>
      </c>
      <c r="O492" s="34">
        <v>1</v>
      </c>
      <c r="P492" s="34">
        <f>+P489</f>
        <v>5</v>
      </c>
      <c r="Q492" s="44">
        <f t="shared" si="60"/>
        <v>11.775</v>
      </c>
      <c r="R492" s="71">
        <f>+Q492/R486</f>
        <v>0.669034090909091</v>
      </c>
      <c r="S492" s="47"/>
      <c r="T492" s="47"/>
    </row>
    <row r="493" s="27" customFormat="1" ht="18" customHeight="1" spans="1:20">
      <c r="A493" s="105" t="s">
        <v>123</v>
      </c>
      <c r="B493" s="48">
        <v>8</v>
      </c>
      <c r="C493" s="48" t="s">
        <v>363</v>
      </c>
      <c r="D493" s="106" t="s">
        <v>415</v>
      </c>
      <c r="E493" s="107"/>
      <c r="F493" s="108"/>
      <c r="G493" s="107"/>
      <c r="H493" s="51"/>
      <c r="I493" s="74">
        <f>SUM(I489:I492)</f>
        <v>563.137212064078</v>
      </c>
      <c r="J493" s="53" t="s">
        <v>416</v>
      </c>
      <c r="K493" s="60"/>
      <c r="L493" s="69" t="s">
        <v>465</v>
      </c>
      <c r="M493" s="34" t="s">
        <v>496</v>
      </c>
      <c r="N493" s="126">
        <v>7.034</v>
      </c>
      <c r="O493" s="34">
        <f>85/1000</f>
        <v>0.085</v>
      </c>
      <c r="P493" s="44">
        <f>+P492*O492*1</f>
        <v>5</v>
      </c>
      <c r="Q493" s="44">
        <f t="shared" si="60"/>
        <v>2.98945</v>
      </c>
      <c r="R493" s="84">
        <f>+Q493/R486</f>
        <v>0.169855113636364</v>
      </c>
      <c r="S493" s="79"/>
      <c r="T493" s="47"/>
    </row>
    <row r="494" s="27" customFormat="1" ht="18" customHeight="1" spans="1:20">
      <c r="A494" s="34"/>
      <c r="B494" s="109" t="s">
        <v>418</v>
      </c>
      <c r="C494" s="110"/>
      <c r="D494" s="110"/>
      <c r="E494" s="110"/>
      <c r="F494" s="110"/>
      <c r="G494" s="110"/>
      <c r="H494" s="110"/>
      <c r="I494" s="110"/>
      <c r="J494" s="110"/>
      <c r="K494" s="80"/>
      <c r="L494" s="69" t="s">
        <v>433</v>
      </c>
      <c r="M494" s="44" t="s">
        <v>497</v>
      </c>
      <c r="N494" s="82">
        <f>0.049*3*2.71</f>
        <v>0.39837</v>
      </c>
      <c r="O494" s="44">
        <f>O486</f>
        <v>11</v>
      </c>
      <c r="P494" s="44">
        <v>1</v>
      </c>
      <c r="Q494" s="44">
        <f t="shared" si="60"/>
        <v>4.38207</v>
      </c>
      <c r="R494" s="84">
        <f>+Q494/R486</f>
        <v>0.24898125</v>
      </c>
      <c r="S494" s="47">
        <f>0.16*P494*O494/R486</f>
        <v>0.1</v>
      </c>
      <c r="T494" s="47"/>
    </row>
    <row r="495" s="27" customFormat="1" ht="18" customHeight="1" spans="1:20">
      <c r="A495" s="34"/>
      <c r="B495" s="48">
        <v>1</v>
      </c>
      <c r="C495" s="48" t="s">
        <v>391</v>
      </c>
      <c r="D495" s="48" t="s">
        <v>396</v>
      </c>
      <c r="E495" s="48" t="s">
        <v>37</v>
      </c>
      <c r="F495" s="50"/>
      <c r="G495" s="48"/>
      <c r="H495" s="51" t="s">
        <v>399</v>
      </c>
      <c r="I495" s="51" t="s">
        <v>420</v>
      </c>
      <c r="J495" s="95" t="s">
        <v>421</v>
      </c>
      <c r="K495" s="92"/>
      <c r="L495" s="69" t="s">
        <v>433</v>
      </c>
      <c r="M495" s="44" t="s">
        <v>498</v>
      </c>
      <c r="N495" s="82">
        <f>0.045*3*2.71</f>
        <v>0.36585</v>
      </c>
      <c r="O495" s="44">
        <f>+O494</f>
        <v>11</v>
      </c>
      <c r="P495" s="44">
        <v>2</v>
      </c>
      <c r="Q495" s="44">
        <f t="shared" si="60"/>
        <v>8.0487</v>
      </c>
      <c r="R495" s="84">
        <f>+Q495/R486</f>
        <v>0.4573125</v>
      </c>
      <c r="S495" s="47"/>
      <c r="T495" s="47"/>
    </row>
    <row r="496" s="27" customFormat="1" ht="18" customHeight="1" spans="1:20">
      <c r="A496" s="34"/>
      <c r="B496" s="48">
        <v>2</v>
      </c>
      <c r="C496" s="48"/>
      <c r="D496" s="111" t="s">
        <v>491</v>
      </c>
      <c r="E496" s="49" t="s">
        <v>423</v>
      </c>
      <c r="F496" s="112"/>
      <c r="G496" s="111"/>
      <c r="H496" s="113">
        <v>1</v>
      </c>
      <c r="I496" s="113">
        <f>+辅材及安装费!$G$3</f>
        <v>165</v>
      </c>
      <c r="J496" s="114">
        <f t="shared" ref="J496:J510" si="61">H496*I496</f>
        <v>165</v>
      </c>
      <c r="K496" s="92"/>
      <c r="L496" s="69" t="s">
        <v>433</v>
      </c>
      <c r="M496" s="44" t="s">
        <v>498</v>
      </c>
      <c r="N496" s="82">
        <f>0.045*3*2.71</f>
        <v>0.36585</v>
      </c>
      <c r="O496" s="44">
        <f>P486</f>
        <v>1.6</v>
      </c>
      <c r="P496" s="44">
        <v>5</v>
      </c>
      <c r="Q496" s="44">
        <f t="shared" si="60"/>
        <v>2.9268</v>
      </c>
      <c r="R496" s="84">
        <f>+Q496/R486</f>
        <v>0.166295454545455</v>
      </c>
      <c r="S496" s="47"/>
      <c r="T496" s="47"/>
    </row>
    <row r="497" s="27" customFormat="1" ht="18" customHeight="1" spans="1:20">
      <c r="A497" s="34"/>
      <c r="B497" s="48">
        <v>3</v>
      </c>
      <c r="C497" s="48"/>
      <c r="D497" s="115"/>
      <c r="E497" s="63"/>
      <c r="F497" s="116"/>
      <c r="G497" s="115"/>
      <c r="H497" s="117"/>
      <c r="I497" s="117"/>
      <c r="J497" s="118"/>
      <c r="K497" s="92"/>
      <c r="L497" s="90" t="s">
        <v>472</v>
      </c>
      <c r="M497" s="44"/>
      <c r="N497" s="82"/>
      <c r="O497" s="44"/>
      <c r="P497" s="44">
        <f>+P493</f>
        <v>5</v>
      </c>
      <c r="Q497" s="44">
        <f>+P497</f>
        <v>5</v>
      </c>
      <c r="R497" s="84">
        <f>+Q497/R486</f>
        <v>0.284090909090909</v>
      </c>
      <c r="S497" s="47"/>
      <c r="T497" s="47"/>
    </row>
    <row r="498" s="27" customFormat="1" ht="18" customHeight="1" spans="1:20">
      <c r="A498" s="34"/>
      <c r="B498" s="48">
        <v>4</v>
      </c>
      <c r="C498" s="48"/>
      <c r="D498" s="85" t="s">
        <v>426</v>
      </c>
      <c r="E498" s="48" t="s">
        <v>392</v>
      </c>
      <c r="F498" s="50"/>
      <c r="G498" s="48"/>
      <c r="H498" s="86"/>
      <c r="I498" s="86"/>
      <c r="J498" s="95">
        <f>SUM(J496:J496)</f>
        <v>165</v>
      </c>
      <c r="K498" s="92"/>
      <c r="L498" s="90"/>
      <c r="M498" s="44"/>
      <c r="N498" s="82"/>
      <c r="O498" s="44"/>
      <c r="P498" s="44"/>
      <c r="Q498" s="44"/>
      <c r="R498" s="84"/>
      <c r="S498" s="47"/>
      <c r="T498" s="47"/>
    </row>
    <row r="499" s="27" customFormat="1" ht="22" customHeight="1" spans="1:20">
      <c r="A499" s="34"/>
      <c r="B499" s="48">
        <v>1</v>
      </c>
      <c r="C499" s="48" t="s">
        <v>394</v>
      </c>
      <c r="D499" s="88" t="s">
        <v>431</v>
      </c>
      <c r="E499" s="72" t="str">
        <f>+VLOOKUP(D499,'材料表 '!C:F,2,0)</f>
        <v>kg</v>
      </c>
      <c r="F499" s="77">
        <f>+SUMIF($L$486:$L$524,D499,$R$486:$R$524)</f>
        <v>1.22895170454545</v>
      </c>
      <c r="G499" s="89">
        <f>+VLOOKUP(D499,'材料表 '!C:F,4,0)</f>
        <v>0.03</v>
      </c>
      <c r="H499" s="74">
        <f t="shared" ref="H499:H510" si="62">F499*(G499+1)</f>
        <v>1.26582025568181</v>
      </c>
      <c r="I499" s="74">
        <f>+VLOOKUP(D499,'材料表 '!C:F,3,0)</f>
        <v>3.80530973451327</v>
      </c>
      <c r="J499" s="95">
        <f t="shared" si="61"/>
        <v>4.81683814109008</v>
      </c>
      <c r="K499" s="92">
        <f ca="1">H499*K485</f>
        <v>152.622105185271</v>
      </c>
      <c r="L499" s="90"/>
      <c r="M499" s="44"/>
      <c r="N499" s="82"/>
      <c r="O499" s="44"/>
      <c r="P499" s="44"/>
      <c r="Q499" s="44"/>
      <c r="R499" s="84"/>
      <c r="S499" s="47"/>
      <c r="T499" s="47"/>
    </row>
    <row r="500" s="27" customFormat="1" ht="18" customHeight="1" spans="1:20">
      <c r="A500" s="34"/>
      <c r="B500" s="48">
        <v>2</v>
      </c>
      <c r="C500" s="48"/>
      <c r="D500" s="88" t="s">
        <v>461</v>
      </c>
      <c r="E500" s="72" t="str">
        <f>+VLOOKUP(D500,'材料表 '!C:F,2,0)</f>
        <v>kg</v>
      </c>
      <c r="F500" s="77">
        <f t="shared" ref="F500:F508" si="63">+SUMIF($L$486:$L$524,D500,$R$486:$R$524)</f>
        <v>2.66470454545454</v>
      </c>
      <c r="G500" s="89">
        <f>+VLOOKUP(D500,'材料表 '!C:F,4,0)</f>
        <v>0.03</v>
      </c>
      <c r="H500" s="74">
        <f t="shared" si="62"/>
        <v>2.74464568181818</v>
      </c>
      <c r="I500" s="74">
        <f>+VLOOKUP(D500,'材料表 '!C:F,3,0)</f>
        <v>3.53982300884956</v>
      </c>
      <c r="J500" s="95">
        <f t="shared" si="61"/>
        <v>9.71555993563957</v>
      </c>
      <c r="K500" s="92">
        <f ca="1">H500*K485</f>
        <v>330.92660673306</v>
      </c>
      <c r="L500" s="90"/>
      <c r="M500" s="44"/>
      <c r="N500" s="82"/>
      <c r="O500" s="44"/>
      <c r="P500" s="44"/>
      <c r="Q500" s="44"/>
      <c r="R500" s="84"/>
      <c r="S500" s="47"/>
      <c r="T500" s="47"/>
    </row>
    <row r="501" s="27" customFormat="1" ht="18" customHeight="1" spans="1:20">
      <c r="A501" s="34"/>
      <c r="B501" s="48">
        <v>3</v>
      </c>
      <c r="C501" s="48"/>
      <c r="D501" s="88" t="s">
        <v>465</v>
      </c>
      <c r="E501" s="72" t="str">
        <f>+VLOOKUP(D501,'材料表 '!C:F,2,0)</f>
        <v>kg</v>
      </c>
      <c r="F501" s="77">
        <f t="shared" si="63"/>
        <v>0.169855113636364</v>
      </c>
      <c r="G501" s="89">
        <f>+VLOOKUP(D501,'材料表 '!C:F,4,0)</f>
        <v>0.03</v>
      </c>
      <c r="H501" s="74">
        <f t="shared" si="62"/>
        <v>0.174950767045455</v>
      </c>
      <c r="I501" s="74">
        <f>+VLOOKUP(D501,'材料表 '!C:F,3,0)</f>
        <v>6.01769911504425</v>
      </c>
      <c r="J501" s="95">
        <f t="shared" si="61"/>
        <v>1.05280107602575</v>
      </c>
      <c r="K501" s="92">
        <f ca="1">H501*K485</f>
        <v>21.0941120987776</v>
      </c>
      <c r="L501" s="90"/>
      <c r="M501" s="44"/>
      <c r="N501" s="82"/>
      <c r="O501" s="44"/>
      <c r="P501" s="44"/>
      <c r="Q501" s="44">
        <f>+P501*O501</f>
        <v>0</v>
      </c>
      <c r="R501" s="84">
        <f>+Q501/R486</f>
        <v>0</v>
      </c>
      <c r="S501" s="47"/>
      <c r="T501" s="47"/>
    </row>
    <row r="502" s="27" customFormat="1" ht="18" customHeight="1" spans="1:20">
      <c r="A502" s="34"/>
      <c r="B502" s="48">
        <v>4</v>
      </c>
      <c r="C502" s="48"/>
      <c r="D502" s="88" t="s">
        <v>463</v>
      </c>
      <c r="E502" s="72" t="str">
        <f>+VLOOKUP(D502,'材料表 '!C:F,2,0)</f>
        <v>kg</v>
      </c>
      <c r="F502" s="77">
        <f t="shared" si="63"/>
        <v>0.669034090909091</v>
      </c>
      <c r="G502" s="89">
        <f>+VLOOKUP(D502,'材料表 '!C:F,4,0)</f>
        <v>0.03</v>
      </c>
      <c r="H502" s="74">
        <f t="shared" si="62"/>
        <v>0.689105113636364</v>
      </c>
      <c r="I502" s="74">
        <f>+VLOOKUP(D502,'材料表 '!C:F,3,0)</f>
        <v>6.01769911504425</v>
      </c>
      <c r="J502" s="95">
        <f t="shared" si="61"/>
        <v>4.14682723250201</v>
      </c>
      <c r="K502" s="92">
        <f ca="1">H502*K485</f>
        <v>83.08657778625</v>
      </c>
      <c r="L502" s="90" t="s">
        <v>474</v>
      </c>
      <c r="M502" s="44"/>
      <c r="N502" s="82"/>
      <c r="O502" s="44"/>
      <c r="P502" s="44"/>
      <c r="Q502" s="44">
        <f>+O492*P492*4</f>
        <v>20</v>
      </c>
      <c r="R502" s="84">
        <f>+Q502/R486</f>
        <v>1.13636363636364</v>
      </c>
      <c r="S502" s="47"/>
      <c r="T502" s="47"/>
    </row>
    <row r="503" s="27" customFormat="1" ht="18" customHeight="1" spans="1:20">
      <c r="A503" s="34"/>
      <c r="B503" s="48">
        <v>5</v>
      </c>
      <c r="C503" s="48"/>
      <c r="D503" s="88" t="s">
        <v>433</v>
      </c>
      <c r="E503" s="72" t="str">
        <f>+VLOOKUP(D503,'材料表 '!C:F,2,0)</f>
        <v>kg</v>
      </c>
      <c r="F503" s="77">
        <f t="shared" si="63"/>
        <v>0.872589204545454</v>
      </c>
      <c r="G503" s="89">
        <f>+VLOOKUP(D503,'材料表 '!C:F,4,0)</f>
        <v>0.03</v>
      </c>
      <c r="H503" s="74">
        <f t="shared" si="62"/>
        <v>0.898766880681818</v>
      </c>
      <c r="I503" s="74">
        <f>+VLOOKUP(D503,'材料表 '!C:F,3,0)</f>
        <v>26.1150442477876</v>
      </c>
      <c r="J503" s="95">
        <f t="shared" si="61"/>
        <v>23.4713368574517</v>
      </c>
      <c r="K503" s="92">
        <f ca="1">H503*K485</f>
        <v>108.365854302571</v>
      </c>
      <c r="L503" s="92" t="s">
        <v>476</v>
      </c>
      <c r="M503" s="44"/>
      <c r="N503" s="82"/>
      <c r="O503" s="44"/>
      <c r="P503" s="44"/>
      <c r="Q503" s="44">
        <f>8*8*(O486*2+P486*5)/500</f>
        <v>3.84</v>
      </c>
      <c r="R503" s="84">
        <f>+Q503/R486</f>
        <v>0.218181818181818</v>
      </c>
      <c r="S503" s="47"/>
      <c r="T503" s="47"/>
    </row>
    <row r="504" s="27" customFormat="1" ht="18" customHeight="1" spans="1:20">
      <c r="A504" s="34"/>
      <c r="B504" s="48">
        <v>6</v>
      </c>
      <c r="C504" s="48"/>
      <c r="D504" s="88" t="s">
        <v>434</v>
      </c>
      <c r="E504" s="72" t="str">
        <f>+VLOOKUP(D504,'材料表 '!C:F,2,0)</f>
        <v>m2</v>
      </c>
      <c r="F504" s="77">
        <f t="shared" si="63"/>
        <v>0</v>
      </c>
      <c r="G504" s="89">
        <f>+VLOOKUP(D504,'材料表 '!C:F,4,0)</f>
        <v>0</v>
      </c>
      <c r="H504" s="74">
        <f t="shared" si="62"/>
        <v>0</v>
      </c>
      <c r="I504" s="74">
        <f>+VLOOKUP(D504,'材料表 '!C:F,3,0)</f>
        <v>49.5575221238938</v>
      </c>
      <c r="J504" s="95">
        <f t="shared" si="61"/>
        <v>0</v>
      </c>
      <c r="K504" s="92">
        <f ca="1">H504*K485</f>
        <v>0</v>
      </c>
      <c r="L504" s="92" t="s">
        <v>499</v>
      </c>
      <c r="M504" s="44"/>
      <c r="N504" s="82"/>
      <c r="O504" s="44"/>
      <c r="P504" s="44"/>
      <c r="Q504" s="44">
        <v>8</v>
      </c>
      <c r="R504" s="84">
        <f>Q504/R486</f>
        <v>0.454545454545455</v>
      </c>
      <c r="S504" s="47"/>
      <c r="T504" s="47"/>
    </row>
    <row r="505" s="27" customFormat="1" ht="18" customHeight="1" spans="1:20">
      <c r="A505" s="34"/>
      <c r="B505" s="48">
        <v>7</v>
      </c>
      <c r="C505" s="48"/>
      <c r="D505" s="88" t="s">
        <v>472</v>
      </c>
      <c r="E505" s="72" t="str">
        <f>+VLOOKUP(D505,'材料表 '!C:F,2,0)</f>
        <v>套</v>
      </c>
      <c r="F505" s="77">
        <f t="shared" si="63"/>
        <v>0.284090909090909</v>
      </c>
      <c r="G505" s="89">
        <f>+VLOOKUP(D505,'材料表 '!C:F,4,0)</f>
        <v>0</v>
      </c>
      <c r="H505" s="74">
        <f t="shared" si="62"/>
        <v>0.284090909090909</v>
      </c>
      <c r="I505" s="74">
        <f>+VLOOKUP(D505,'材料表 '!C:F,3,0)</f>
        <v>2.47787610619469</v>
      </c>
      <c r="J505" s="95">
        <f t="shared" si="61"/>
        <v>0.703942075623491</v>
      </c>
      <c r="K505" s="92">
        <f ca="1">H505*K485</f>
        <v>34.253325</v>
      </c>
      <c r="L505" s="92"/>
      <c r="M505" s="44"/>
      <c r="N505" s="82"/>
      <c r="O505" s="44"/>
      <c r="P505" s="44"/>
      <c r="Q505" s="44"/>
      <c r="R505" s="84"/>
      <c r="S505" s="47"/>
      <c r="T505" s="47"/>
    </row>
    <row r="506" s="27" customFormat="1" ht="18" customHeight="1" spans="1:20">
      <c r="A506" s="34"/>
      <c r="B506" s="48">
        <v>8</v>
      </c>
      <c r="C506" s="48"/>
      <c r="D506" s="88" t="s">
        <v>474</v>
      </c>
      <c r="E506" s="72" t="str">
        <f>+VLOOKUP(D506,'材料表 '!C:F,2,0)</f>
        <v>套</v>
      </c>
      <c r="F506" s="77">
        <f t="shared" si="63"/>
        <v>1.13636363636364</v>
      </c>
      <c r="G506" s="89">
        <f>+VLOOKUP(D506,'材料表 '!C:F,4,0)</f>
        <v>0</v>
      </c>
      <c r="H506" s="74">
        <f t="shared" si="62"/>
        <v>1.13636363636364</v>
      </c>
      <c r="I506" s="74">
        <f>+VLOOKUP(D506,'材料表 '!C:F,3,0)</f>
        <v>2.21238938053097</v>
      </c>
      <c r="J506" s="95">
        <f t="shared" si="61"/>
        <v>2.51407884151247</v>
      </c>
      <c r="K506" s="92">
        <f ca="1">H506*K485</f>
        <v>137.0133</v>
      </c>
      <c r="L506" s="92"/>
      <c r="M506" s="44"/>
      <c r="N506" s="82"/>
      <c r="O506" s="44"/>
      <c r="P506" s="44"/>
      <c r="Q506" s="44"/>
      <c r="R506" s="84"/>
      <c r="S506" s="47"/>
      <c r="T506" s="47"/>
    </row>
    <row r="507" s="27" customFormat="1" ht="18" customHeight="1" spans="1:20">
      <c r="A507" s="34"/>
      <c r="B507" s="48">
        <v>9</v>
      </c>
      <c r="C507" s="48"/>
      <c r="D507" s="88" t="s">
        <v>476</v>
      </c>
      <c r="E507" s="72" t="str">
        <f>+VLOOKUP(D507,'材料表 '!C:F,2,0)</f>
        <v>支</v>
      </c>
      <c r="F507" s="77">
        <f t="shared" si="63"/>
        <v>0.218181818181818</v>
      </c>
      <c r="G507" s="89">
        <f>+VLOOKUP(D507,'材料表 '!C:F,4,0)</f>
        <v>0.15</v>
      </c>
      <c r="H507" s="74">
        <f t="shared" si="62"/>
        <v>0.250909090909091</v>
      </c>
      <c r="I507" s="74">
        <f>+VLOOKUP(D507,'材料表 '!C:F,3,0)</f>
        <v>11.5044247787611</v>
      </c>
      <c r="J507" s="95">
        <f t="shared" si="61"/>
        <v>2.88656476267096</v>
      </c>
      <c r="K507" s="92">
        <f ca="1">H507*K485</f>
        <v>30.25253664</v>
      </c>
      <c r="L507" s="90"/>
      <c r="M507" s="44"/>
      <c r="N507" s="82"/>
      <c r="O507" s="34"/>
      <c r="P507" s="44"/>
      <c r="Q507" s="44"/>
      <c r="R507" s="119"/>
      <c r="S507" s="47"/>
      <c r="T507" s="47"/>
    </row>
    <row r="508" s="27" customFormat="1" ht="18" customHeight="1" spans="1:20">
      <c r="A508" s="34"/>
      <c r="B508" s="48">
        <v>10</v>
      </c>
      <c r="C508" s="48"/>
      <c r="D508" s="88" t="s">
        <v>499</v>
      </c>
      <c r="E508" s="72" t="str">
        <f>+VLOOKUP(D508,'材料表 '!C:F,2,0)</f>
        <v>套</v>
      </c>
      <c r="F508" s="77">
        <f t="shared" si="63"/>
        <v>0.454545454545455</v>
      </c>
      <c r="G508" s="89">
        <f>+VLOOKUP(D508,'材料表 '!C:F,4,0)</f>
        <v>0</v>
      </c>
      <c r="H508" s="74">
        <f t="shared" si="62"/>
        <v>0.454545454545455</v>
      </c>
      <c r="I508" s="74">
        <f>+VLOOKUP(D508,'材料表 '!C:F,3,0)</f>
        <v>1.32743362831858</v>
      </c>
      <c r="J508" s="95">
        <f t="shared" si="61"/>
        <v>0.603378921962991</v>
      </c>
      <c r="K508" s="92">
        <f ca="1">H508*K485</f>
        <v>54.8053200000001</v>
      </c>
      <c r="L508" s="92"/>
      <c r="M508" s="120"/>
      <c r="N508" s="82"/>
      <c r="O508" s="44"/>
      <c r="P508" s="44"/>
      <c r="Q508" s="44"/>
      <c r="R508" s="84"/>
      <c r="S508" s="47"/>
      <c r="T508" s="47"/>
    </row>
    <row r="509" s="27" customFormat="1" ht="18" customHeight="1" spans="1:20">
      <c r="A509" s="34"/>
      <c r="B509" s="48">
        <v>11</v>
      </c>
      <c r="C509" s="48"/>
      <c r="D509" s="124" t="s">
        <v>500</v>
      </c>
      <c r="E509" s="72" t="str">
        <f>+VLOOKUP(D509,'材料表 '!C:F,2,0)</f>
        <v>kg</v>
      </c>
      <c r="F509" s="77">
        <f>F503</f>
        <v>0.872589204545454</v>
      </c>
      <c r="G509" s="89">
        <f>+VLOOKUP(D509,'材料表 '!C:F,4,0)</f>
        <v>0.03</v>
      </c>
      <c r="H509" s="74">
        <f t="shared" si="62"/>
        <v>0.898766880681818</v>
      </c>
      <c r="I509" s="74">
        <f>+VLOOKUP(D509,'材料表 '!C:F,3,0)</f>
        <v>14.1592920353982</v>
      </c>
      <c r="J509" s="95">
        <f t="shared" si="61"/>
        <v>12.7259027353177</v>
      </c>
      <c r="K509" s="92">
        <f ca="1">H509*K485</f>
        <v>108.365854302571</v>
      </c>
      <c r="L509" s="92"/>
      <c r="M509" s="44"/>
      <c r="N509" s="82"/>
      <c r="O509" s="44"/>
      <c r="P509" s="44"/>
      <c r="Q509" s="44"/>
      <c r="R509" s="84"/>
      <c r="S509" s="47"/>
      <c r="T509" s="47"/>
    </row>
    <row r="510" s="27" customFormat="1" ht="28" customHeight="1" spans="1:20">
      <c r="A510" s="34"/>
      <c r="B510" s="48">
        <v>12</v>
      </c>
      <c r="C510" s="48"/>
      <c r="D510" s="88" t="s">
        <v>501</v>
      </c>
      <c r="E510" s="72" t="str">
        <f>+VLOOKUP(D510,'材料表 '!C:F,2,0)</f>
        <v>m2</v>
      </c>
      <c r="F510" s="77">
        <f>1.6/1.584</f>
        <v>1.01010101010101</v>
      </c>
      <c r="G510" s="89">
        <f>+VLOOKUP(D510,'材料表 '!C:F,4,0)</f>
        <v>0.02</v>
      </c>
      <c r="H510" s="74">
        <f t="shared" si="62"/>
        <v>1.03030303030303</v>
      </c>
      <c r="I510" s="74">
        <f>+VLOOKUP(D510,'材料表 '!C:F,3,0)</f>
        <v>270.796460176991</v>
      </c>
      <c r="J510" s="95">
        <f t="shared" si="61"/>
        <v>279.002413515688</v>
      </c>
      <c r="K510" s="92">
        <f ca="1">H510*K485</f>
        <v>124.225392</v>
      </c>
      <c r="L510" s="92"/>
      <c r="M510" s="44"/>
      <c r="N510" s="44"/>
      <c r="O510" s="44"/>
      <c r="P510" s="44"/>
      <c r="Q510" s="44"/>
      <c r="R510" s="84"/>
      <c r="S510" s="47"/>
      <c r="T510" s="47"/>
    </row>
    <row r="511" s="27" customFormat="1" ht="18" customHeight="1" spans="1:20">
      <c r="A511" s="34"/>
      <c r="B511" s="48">
        <v>13</v>
      </c>
      <c r="C511" s="48"/>
      <c r="D511" s="88"/>
      <c r="E511" s="72"/>
      <c r="F511" s="77"/>
      <c r="G511" s="89"/>
      <c r="H511" s="74"/>
      <c r="I511" s="74"/>
      <c r="J511" s="95"/>
      <c r="K511" s="92">
        <f ca="1">H511*K485</f>
        <v>0</v>
      </c>
      <c r="L511" s="92"/>
      <c r="M511" s="44"/>
      <c r="N511" s="44"/>
      <c r="O511" s="44"/>
      <c r="P511" s="44"/>
      <c r="Q511" s="44"/>
      <c r="R511" s="84"/>
      <c r="S511" s="47"/>
      <c r="T511" s="47"/>
    </row>
    <row r="512" s="27" customFormat="1" ht="24" customHeight="1" spans="1:20">
      <c r="A512" s="34"/>
      <c r="B512" s="48">
        <v>14</v>
      </c>
      <c r="C512" s="48"/>
      <c r="D512" s="88"/>
      <c r="E512" s="72"/>
      <c r="F512" s="77"/>
      <c r="G512" s="89"/>
      <c r="H512" s="74"/>
      <c r="I512" s="74"/>
      <c r="J512" s="95"/>
      <c r="K512" s="92">
        <f ca="1">H512*K485</f>
        <v>0</v>
      </c>
      <c r="L512" s="92"/>
      <c r="M512" s="44"/>
      <c r="N512" s="44"/>
      <c r="O512" s="44"/>
      <c r="P512" s="44"/>
      <c r="Q512" s="44"/>
      <c r="R512" s="84"/>
      <c r="S512" s="47"/>
      <c r="T512" s="47"/>
    </row>
    <row r="513" s="27" customFormat="1" ht="18" customHeight="1" spans="1:20">
      <c r="A513" s="34"/>
      <c r="B513" s="48">
        <v>15</v>
      </c>
      <c r="C513" s="48"/>
      <c r="D513" s="88"/>
      <c r="E513" s="72"/>
      <c r="F513" s="77"/>
      <c r="G513" s="89"/>
      <c r="H513" s="74"/>
      <c r="I513" s="74"/>
      <c r="J513" s="95"/>
      <c r="K513" s="92"/>
      <c r="L513" s="92"/>
      <c r="M513" s="44"/>
      <c r="N513" s="44"/>
      <c r="O513" s="44"/>
      <c r="P513" s="44"/>
      <c r="Q513" s="44"/>
      <c r="R513" s="84"/>
      <c r="S513" s="47"/>
      <c r="T513" s="47"/>
    </row>
    <row r="514" s="27" customFormat="1" ht="18" customHeight="1" spans="1:20">
      <c r="A514" s="34"/>
      <c r="B514" s="48">
        <v>16</v>
      </c>
      <c r="C514" s="48"/>
      <c r="D514" s="88"/>
      <c r="E514" s="72"/>
      <c r="F514" s="77"/>
      <c r="G514" s="89"/>
      <c r="H514" s="74"/>
      <c r="I514" s="74"/>
      <c r="J514" s="95"/>
      <c r="K514" s="92"/>
      <c r="L514" s="92"/>
      <c r="M514" s="44"/>
      <c r="N514" s="44"/>
      <c r="O514" s="44"/>
      <c r="P514" s="44"/>
      <c r="Q514" s="44"/>
      <c r="R514" s="84"/>
      <c r="S514" s="47"/>
      <c r="T514" s="47"/>
    </row>
    <row r="515" s="27" customFormat="1" ht="18" customHeight="1" spans="1:20">
      <c r="A515" s="34"/>
      <c r="B515" s="48">
        <v>17</v>
      </c>
      <c r="C515" s="48"/>
      <c r="D515" s="121"/>
      <c r="E515" s="72"/>
      <c r="F515" s="77"/>
      <c r="G515" s="89"/>
      <c r="H515" s="74"/>
      <c r="I515" s="74"/>
      <c r="J515" s="95"/>
      <c r="K515" s="92"/>
      <c r="L515" s="92"/>
      <c r="M515" s="44"/>
      <c r="N515" s="44"/>
      <c r="O515" s="44"/>
      <c r="P515" s="44"/>
      <c r="Q515" s="101"/>
      <c r="R515" s="84"/>
      <c r="S515" s="47"/>
      <c r="T515" s="47"/>
    </row>
    <row r="516" s="27" customFormat="1" ht="18" customHeight="1" spans="1:20">
      <c r="A516" s="34"/>
      <c r="B516" s="48">
        <v>18</v>
      </c>
      <c r="C516" s="48"/>
      <c r="D516" s="88"/>
      <c r="E516" s="72"/>
      <c r="F516" s="77"/>
      <c r="G516" s="89"/>
      <c r="H516" s="74"/>
      <c r="I516" s="74"/>
      <c r="J516" s="95"/>
      <c r="K516" s="92"/>
      <c r="L516" s="92"/>
      <c r="M516" s="44"/>
      <c r="N516" s="44"/>
      <c r="O516" s="44"/>
      <c r="P516" s="44"/>
      <c r="Q516" s="44"/>
      <c r="R516" s="84"/>
      <c r="S516" s="47"/>
      <c r="T516" s="47"/>
    </row>
    <row r="517" s="27" customFormat="1" ht="18" customHeight="1" spans="1:20">
      <c r="A517" s="34"/>
      <c r="B517" s="48">
        <v>19</v>
      </c>
      <c r="C517" s="48"/>
      <c r="D517" s="27"/>
      <c r="E517" s="72"/>
      <c r="F517" s="77"/>
      <c r="G517" s="89"/>
      <c r="H517" s="74"/>
      <c r="I517" s="74"/>
      <c r="J517" s="95"/>
      <c r="K517" s="92"/>
      <c r="L517" s="92"/>
      <c r="M517" s="44"/>
      <c r="N517" s="44"/>
      <c r="O517" s="44"/>
      <c r="P517" s="44"/>
      <c r="Q517" s="44"/>
      <c r="R517" s="84"/>
      <c r="S517" s="47"/>
      <c r="T517" s="47"/>
    </row>
    <row r="518" s="27" customFormat="1" ht="18" customHeight="1" spans="1:20">
      <c r="A518" s="34"/>
      <c r="B518" s="48">
        <v>20</v>
      </c>
      <c r="C518" s="48"/>
      <c r="D518" s="88"/>
      <c r="E518" s="72"/>
      <c r="F518" s="77"/>
      <c r="G518" s="89"/>
      <c r="H518" s="74"/>
      <c r="I518" s="74"/>
      <c r="J518" s="95"/>
      <c r="K518" s="92"/>
      <c r="L518" s="92"/>
      <c r="M518" s="44"/>
      <c r="N518" s="44"/>
      <c r="O518" s="44"/>
      <c r="P518" s="44"/>
      <c r="Q518" s="44"/>
      <c r="R518" s="84"/>
      <c r="S518" s="47"/>
      <c r="T518" s="47"/>
    </row>
    <row r="519" s="27" customFormat="1" ht="18" customHeight="1" spans="1:20">
      <c r="A519" s="34"/>
      <c r="B519" s="48">
        <v>21</v>
      </c>
      <c r="C519" s="48"/>
      <c r="D519" s="88"/>
      <c r="E519" s="72"/>
      <c r="F519" s="77"/>
      <c r="G519" s="89"/>
      <c r="H519" s="74"/>
      <c r="I519" s="74"/>
      <c r="J519" s="95"/>
      <c r="K519" s="92"/>
      <c r="L519" s="92"/>
      <c r="M519" s="44"/>
      <c r="N519" s="44"/>
      <c r="O519" s="44"/>
      <c r="P519" s="44"/>
      <c r="Q519" s="44"/>
      <c r="R519" s="84"/>
      <c r="S519" s="47"/>
      <c r="T519" s="47"/>
    </row>
    <row r="520" s="27" customFormat="1" ht="18" customHeight="1" spans="1:20">
      <c r="A520" s="34"/>
      <c r="B520" s="48">
        <v>22</v>
      </c>
      <c r="C520" s="48"/>
      <c r="D520" s="27"/>
      <c r="E520" s="72"/>
      <c r="F520" s="77"/>
      <c r="G520" s="72"/>
      <c r="H520" s="74"/>
      <c r="I520" s="74"/>
      <c r="J520" s="95"/>
      <c r="K520" s="92"/>
      <c r="L520" s="92"/>
      <c r="M520" s="44"/>
      <c r="N520" s="44"/>
      <c r="O520" s="44"/>
      <c r="P520" s="44"/>
      <c r="Q520" s="44"/>
      <c r="R520" s="62"/>
      <c r="S520" s="47"/>
      <c r="T520" s="47"/>
    </row>
    <row r="521" s="27" customFormat="1" ht="18" customHeight="1" spans="1:20">
      <c r="A521" s="34"/>
      <c r="B521" s="48">
        <v>23</v>
      </c>
      <c r="C521" s="48"/>
      <c r="D521" s="88"/>
      <c r="E521" s="72"/>
      <c r="F521" s="77"/>
      <c r="G521" s="89"/>
      <c r="H521" s="74"/>
      <c r="I521" s="74"/>
      <c r="J521" s="95"/>
      <c r="K521" s="92"/>
      <c r="L521" s="92"/>
      <c r="M521" s="44"/>
      <c r="N521" s="44"/>
      <c r="O521" s="44"/>
      <c r="P521" s="44"/>
      <c r="Q521" s="44"/>
      <c r="R521" s="62"/>
      <c r="S521" s="47"/>
      <c r="T521" s="47"/>
    </row>
    <row r="522" s="27" customFormat="1" ht="18" customHeight="1" spans="1:20">
      <c r="A522" s="34"/>
      <c r="B522" s="48">
        <v>24</v>
      </c>
      <c r="C522" s="48"/>
      <c r="D522" s="88" t="s">
        <v>478</v>
      </c>
      <c r="E522" s="72" t="s">
        <v>43</v>
      </c>
      <c r="F522" s="77"/>
      <c r="G522" s="72">
        <v>1</v>
      </c>
      <c r="H522" s="74">
        <v>1</v>
      </c>
      <c r="I522" s="74">
        <f>+辅材及安装费!$E$3</f>
        <v>5</v>
      </c>
      <c r="J522" s="95">
        <f t="shared" ref="J521:J524" si="64">H522*I522</f>
        <v>5</v>
      </c>
      <c r="K522" s="92"/>
      <c r="L522" s="92"/>
      <c r="M522" s="44"/>
      <c r="N522" s="44"/>
      <c r="O522" s="44"/>
      <c r="P522" s="44"/>
      <c r="Q522" s="44"/>
      <c r="R522" s="62"/>
      <c r="S522" s="47"/>
      <c r="T522" s="47"/>
    </row>
    <row r="523" s="27" customFormat="1" ht="18" customHeight="1" spans="1:20">
      <c r="A523" s="34"/>
      <c r="B523" s="48">
        <v>25</v>
      </c>
      <c r="C523" s="48"/>
      <c r="D523" s="93" t="s">
        <v>442</v>
      </c>
      <c r="E523" s="72"/>
      <c r="F523" s="77"/>
      <c r="G523" s="72"/>
      <c r="H523" s="74"/>
      <c r="I523" s="74"/>
      <c r="J523" s="95">
        <f>SUM(J499:J522)</f>
        <v>346.639644095484</v>
      </c>
      <c r="K523" s="92"/>
      <c r="L523" s="94"/>
      <c r="M523" s="27"/>
      <c r="N523" s="83"/>
      <c r="O523" s="83"/>
      <c r="P523" s="83"/>
      <c r="Q523" s="83"/>
      <c r="R523" s="87"/>
      <c r="S523" s="47"/>
      <c r="T523" s="47"/>
    </row>
    <row r="524" s="27" customFormat="1" ht="18" customHeight="1" spans="1:20">
      <c r="A524" s="34"/>
      <c r="B524" s="48">
        <v>1</v>
      </c>
      <c r="C524" s="48" t="s">
        <v>443</v>
      </c>
      <c r="D524" s="48" t="s">
        <v>444</v>
      </c>
      <c r="E524" s="72" t="s">
        <v>43</v>
      </c>
      <c r="F524" s="50"/>
      <c r="G524" s="48"/>
      <c r="H524" s="51">
        <v>1</v>
      </c>
      <c r="I524" s="74">
        <f>+辅材及安装费!$F$3</f>
        <v>5</v>
      </c>
      <c r="J524" s="95">
        <f t="shared" si="64"/>
        <v>5</v>
      </c>
      <c r="K524" s="118"/>
      <c r="L524" s="96"/>
      <c r="M524" s="97"/>
      <c r="N524" s="98"/>
      <c r="O524" s="98"/>
      <c r="P524" s="98"/>
      <c r="Q524" s="98"/>
      <c r="R524" s="99"/>
      <c r="S524" s="47"/>
      <c r="T524" s="47"/>
    </row>
    <row r="525" s="26" customFormat="1" ht="30" customHeight="1" spans="1:20">
      <c r="A525" s="28"/>
      <c r="B525" s="29" t="s">
        <v>386</v>
      </c>
      <c r="C525" s="29"/>
      <c r="D525" s="29"/>
      <c r="E525" s="29"/>
      <c r="F525" s="29"/>
      <c r="G525" s="29"/>
      <c r="H525" s="29"/>
      <c r="I525" s="29"/>
      <c r="J525" s="29"/>
      <c r="K525" s="29"/>
      <c r="L525" s="30"/>
      <c r="M525" s="31"/>
      <c r="N525" s="31"/>
      <c r="O525" s="31"/>
      <c r="P525" s="31"/>
      <c r="Q525" s="31"/>
      <c r="R525" s="32"/>
      <c r="S525" s="33"/>
      <c r="T525" s="33"/>
    </row>
    <row r="526" s="27" customFormat="1" ht="33.75" customHeight="1" spans="1:20">
      <c r="A526" s="34">
        <v>3</v>
      </c>
      <c r="B526" s="35" t="s">
        <v>1</v>
      </c>
      <c r="C526" s="35" t="s">
        <v>387</v>
      </c>
      <c r="D526" s="36" t="str">
        <f>+A534</f>
        <v>2.5㎜浅灰色铝板3（一层墙面）</v>
      </c>
      <c r="E526" s="37"/>
      <c r="F526" s="38" t="s">
        <v>119</v>
      </c>
      <c r="G526" s="39"/>
      <c r="H526" s="35" t="s">
        <v>388</v>
      </c>
      <c r="I526" s="40" t="s">
        <v>389</v>
      </c>
      <c r="J526" s="41" t="s">
        <v>37</v>
      </c>
      <c r="K526" s="42">
        <f ca="1">VLOOKUP(A526,排屋工程量清单!$A$59:$D$86,4,)</f>
        <v>192.940272</v>
      </c>
      <c r="L526" s="43"/>
      <c r="M526" s="44"/>
      <c r="N526" s="44"/>
      <c r="O526" s="44"/>
      <c r="P526" s="45"/>
      <c r="Q526" s="44"/>
      <c r="R526" s="46"/>
      <c r="S526" s="47"/>
      <c r="T526" s="47"/>
    </row>
    <row r="527" s="27" customFormat="1" ht="25" customHeight="1" spans="1:20">
      <c r="A527" s="34"/>
      <c r="B527" s="48">
        <v>1</v>
      </c>
      <c r="C527" s="49" t="s">
        <v>390</v>
      </c>
      <c r="D527" s="48" t="s">
        <v>391</v>
      </c>
      <c r="E527" s="48"/>
      <c r="F527" s="50"/>
      <c r="G527" s="48"/>
      <c r="H527" s="51"/>
      <c r="I527" s="52">
        <f>J539</f>
        <v>165</v>
      </c>
      <c r="J527" s="53" t="s">
        <v>392</v>
      </c>
      <c r="K527" s="54"/>
      <c r="L527" s="55" t="s">
        <v>313</v>
      </c>
      <c r="M527" s="56" t="s">
        <v>502</v>
      </c>
      <c r="N527" s="57"/>
      <c r="O527" s="57">
        <v>4.3</v>
      </c>
      <c r="P527" s="57">
        <v>2.75</v>
      </c>
      <c r="Q527" s="57">
        <v>1</v>
      </c>
      <c r="R527" s="58">
        <f>+Q527*P527*O527</f>
        <v>11.825</v>
      </c>
      <c r="S527" s="47"/>
      <c r="T527" s="47"/>
    </row>
    <row r="528" s="27" customFormat="1" ht="18" customHeight="1" spans="1:20">
      <c r="A528" s="34"/>
      <c r="B528" s="48">
        <v>2</v>
      </c>
      <c r="C528" s="59"/>
      <c r="D528" s="48" t="s">
        <v>394</v>
      </c>
      <c r="E528" s="48"/>
      <c r="F528" s="50"/>
      <c r="G528" s="48"/>
      <c r="H528" s="51"/>
      <c r="I528" s="52">
        <f>J564</f>
        <v>377.05872109069</v>
      </c>
      <c r="J528" s="53" t="s">
        <v>392</v>
      </c>
      <c r="K528" s="60"/>
      <c r="L528" s="61" t="s">
        <v>119</v>
      </c>
      <c r="M528" s="44"/>
      <c r="N528" s="44"/>
      <c r="O528" s="44"/>
      <c r="P528" s="44"/>
      <c r="Q528" s="44"/>
      <c r="R528" s="62"/>
      <c r="S528" s="47"/>
      <c r="T528" s="47"/>
    </row>
    <row r="529" s="27" customFormat="1" ht="18" customHeight="1" spans="1:20">
      <c r="A529" s="34"/>
      <c r="B529" s="48">
        <v>3</v>
      </c>
      <c r="C529" s="63"/>
      <c r="D529" s="48" t="s">
        <v>395</v>
      </c>
      <c r="E529" s="48"/>
      <c r="F529" s="50"/>
      <c r="G529" s="48"/>
      <c r="H529" s="51"/>
      <c r="I529" s="52">
        <f>J565</f>
        <v>5</v>
      </c>
      <c r="J529" s="53" t="s">
        <v>392</v>
      </c>
      <c r="K529" s="60"/>
      <c r="L529" s="60"/>
      <c r="M529" s="65" t="s">
        <v>396</v>
      </c>
      <c r="N529" s="65" t="s">
        <v>397</v>
      </c>
      <c r="O529" s="65" t="s">
        <v>398</v>
      </c>
      <c r="P529" s="65" t="s">
        <v>399</v>
      </c>
      <c r="Q529" s="65" t="s">
        <v>400</v>
      </c>
      <c r="R529" s="66" t="s">
        <v>401</v>
      </c>
      <c r="S529" s="47"/>
      <c r="T529" s="47"/>
    </row>
    <row r="530" s="27" customFormat="1" ht="18" customHeight="1" spans="1:20">
      <c r="A530" s="34"/>
      <c r="B530" s="48">
        <v>4</v>
      </c>
      <c r="C530" s="48" t="s">
        <v>402</v>
      </c>
      <c r="D530" s="67" t="s">
        <v>403</v>
      </c>
      <c r="E530" s="67"/>
      <c r="F530" s="50"/>
      <c r="G530" s="67"/>
      <c r="H530" s="68"/>
      <c r="I530" s="52">
        <f>SUM(I527:I529)</f>
        <v>547.05872109069</v>
      </c>
      <c r="J530" s="53" t="s">
        <v>392</v>
      </c>
      <c r="K530" s="60"/>
      <c r="L530" s="69" t="s">
        <v>431</v>
      </c>
      <c r="M530" s="34" t="s">
        <v>460</v>
      </c>
      <c r="N530" s="34">
        <v>10.21</v>
      </c>
      <c r="O530" s="34">
        <f>P527</f>
        <v>2.75</v>
      </c>
      <c r="P530" s="34">
        <v>5</v>
      </c>
      <c r="Q530" s="44">
        <f t="shared" ref="Q530:Q536" si="65">+P530*O530*N530</f>
        <v>140.3875</v>
      </c>
      <c r="R530" s="71">
        <f>+Q530/R527</f>
        <v>11.8720930232558</v>
      </c>
      <c r="S530" s="47"/>
      <c r="T530" s="47"/>
    </row>
    <row r="531" s="27" customFormat="1" ht="28" customHeight="1" spans="1:20">
      <c r="A531" s="34"/>
      <c r="B531" s="48">
        <v>5</v>
      </c>
      <c r="C531" s="72" t="s">
        <v>406</v>
      </c>
      <c r="D531" s="48" t="s">
        <v>407</v>
      </c>
      <c r="E531" s="48"/>
      <c r="F531" s="50"/>
      <c r="G531" s="48"/>
      <c r="H531" s="73">
        <f>+'材料表 '!$E$178</f>
        <v>0</v>
      </c>
      <c r="I531" s="52">
        <f>H531*I530</f>
        <v>0</v>
      </c>
      <c r="J531" s="53" t="s">
        <v>392</v>
      </c>
      <c r="K531" s="60"/>
      <c r="L531" s="69" t="s">
        <v>461</v>
      </c>
      <c r="M531" s="34" t="s">
        <v>462</v>
      </c>
      <c r="N531" s="34">
        <v>3.77</v>
      </c>
      <c r="O531" s="34">
        <f>+O527</f>
        <v>4.3</v>
      </c>
      <c r="P531" s="34">
        <v>2</v>
      </c>
      <c r="Q531" s="44">
        <f t="shared" si="65"/>
        <v>32.422</v>
      </c>
      <c r="R531" s="71">
        <f>+Q531/R527</f>
        <v>2.74181818181818</v>
      </c>
      <c r="S531" s="47"/>
      <c r="T531" s="47"/>
    </row>
    <row r="532" s="27" customFormat="1" ht="18" customHeight="1" spans="1:20">
      <c r="A532" s="34"/>
      <c r="B532" s="48">
        <v>6</v>
      </c>
      <c r="C532" s="48" t="s">
        <v>409</v>
      </c>
      <c r="D532" s="48" t="s">
        <v>410</v>
      </c>
      <c r="E532" s="48"/>
      <c r="F532" s="50"/>
      <c r="G532" s="48"/>
      <c r="H532" s="73">
        <f>+'材料表 '!$E$179</f>
        <v>0</v>
      </c>
      <c r="I532" s="52">
        <f>H532*I530</f>
        <v>0</v>
      </c>
      <c r="J532" s="53" t="s">
        <v>392</v>
      </c>
      <c r="K532" s="60"/>
      <c r="L532" s="69" t="s">
        <v>461</v>
      </c>
      <c r="M532" s="34" t="s">
        <v>462</v>
      </c>
      <c r="N532" s="34">
        <v>3.77</v>
      </c>
      <c r="O532" s="34">
        <f>0.18</f>
        <v>0.18</v>
      </c>
      <c r="P532" s="34">
        <v>0</v>
      </c>
      <c r="Q532" s="44">
        <f t="shared" si="65"/>
        <v>0</v>
      </c>
      <c r="R532" s="71">
        <f>+Q532/R527</f>
        <v>0</v>
      </c>
      <c r="S532" s="47"/>
      <c r="T532" s="47"/>
    </row>
    <row r="533" s="27" customFormat="1" ht="18" customHeight="1" spans="1:20">
      <c r="A533" s="34"/>
      <c r="B533" s="48">
        <v>7</v>
      </c>
      <c r="C533" s="48" t="s">
        <v>412</v>
      </c>
      <c r="D533" s="72" t="s">
        <v>413</v>
      </c>
      <c r="E533" s="72"/>
      <c r="F533" s="77"/>
      <c r="G533" s="72"/>
      <c r="H533" s="73">
        <f>+'材料表 '!$E$180</f>
        <v>0.09</v>
      </c>
      <c r="I533" s="52">
        <f>(I530+I531+I532)*H533</f>
        <v>49.2352848981621</v>
      </c>
      <c r="J533" s="53" t="s">
        <v>392</v>
      </c>
      <c r="K533" s="60"/>
      <c r="L533" s="69" t="s">
        <v>463</v>
      </c>
      <c r="M533" s="34" t="s">
        <v>464</v>
      </c>
      <c r="N533" s="34">
        <f>0.15*0.2*7.85*10</f>
        <v>2.355</v>
      </c>
      <c r="O533" s="34">
        <v>1</v>
      </c>
      <c r="P533" s="34">
        <f>+P530</f>
        <v>5</v>
      </c>
      <c r="Q533" s="44">
        <f t="shared" si="65"/>
        <v>11.775</v>
      </c>
      <c r="R533" s="71">
        <f>+Q533/R527</f>
        <v>0.995771670190275</v>
      </c>
      <c r="S533" s="47"/>
      <c r="T533" s="47"/>
    </row>
    <row r="534" s="27" customFormat="1" ht="18" customHeight="1" spans="1:20">
      <c r="A534" s="105" t="s">
        <v>125</v>
      </c>
      <c r="B534" s="48">
        <v>8</v>
      </c>
      <c r="C534" s="48" t="s">
        <v>363</v>
      </c>
      <c r="D534" s="106" t="s">
        <v>415</v>
      </c>
      <c r="E534" s="107"/>
      <c r="F534" s="108"/>
      <c r="G534" s="107"/>
      <c r="H534" s="51"/>
      <c r="I534" s="74">
        <f>SUM(I530:I533)</f>
        <v>596.294005988852</v>
      </c>
      <c r="J534" s="53" t="s">
        <v>416</v>
      </c>
      <c r="K534" s="60"/>
      <c r="L534" s="69" t="s">
        <v>465</v>
      </c>
      <c r="M534" s="34" t="s">
        <v>503</v>
      </c>
      <c r="N534" s="126">
        <v>7.034</v>
      </c>
      <c r="O534" s="34">
        <f>85/1000</f>
        <v>0.085</v>
      </c>
      <c r="P534" s="44">
        <f>+P533*O533*1</f>
        <v>5</v>
      </c>
      <c r="Q534" s="44">
        <f t="shared" si="65"/>
        <v>2.98945</v>
      </c>
      <c r="R534" s="84">
        <f>+Q534/R527</f>
        <v>0.252807610993658</v>
      </c>
      <c r="S534" s="79"/>
      <c r="T534" s="47"/>
    </row>
    <row r="535" s="27" customFormat="1" ht="18" customHeight="1" spans="1:20">
      <c r="A535" s="34"/>
      <c r="B535" s="109" t="s">
        <v>418</v>
      </c>
      <c r="C535" s="110"/>
      <c r="D535" s="110"/>
      <c r="E535" s="110"/>
      <c r="F535" s="110"/>
      <c r="G535" s="110"/>
      <c r="H535" s="110"/>
      <c r="I535" s="110"/>
      <c r="J535" s="110"/>
      <c r="K535" s="80"/>
      <c r="L535" s="69" t="s">
        <v>433</v>
      </c>
      <c r="M535" s="44" t="s">
        <v>504</v>
      </c>
      <c r="N535" s="82">
        <f>0.056*3*2.71+0.0675*3*2.71</f>
        <v>1.004055</v>
      </c>
      <c r="O535" s="44">
        <f>O527</f>
        <v>4.3</v>
      </c>
      <c r="P535" s="44">
        <v>1</v>
      </c>
      <c r="Q535" s="44">
        <f t="shared" si="65"/>
        <v>4.3174365</v>
      </c>
      <c r="R535" s="84">
        <f>+Q535/R527</f>
        <v>0.365110909090909</v>
      </c>
      <c r="S535" s="47">
        <f>0.16*P535*O535/R527</f>
        <v>0.0581818181818182</v>
      </c>
      <c r="T535" s="47"/>
    </row>
    <row r="536" s="27" customFormat="1" ht="18" customHeight="1" spans="1:20">
      <c r="A536" s="34"/>
      <c r="B536" s="48">
        <v>1</v>
      </c>
      <c r="C536" s="48" t="s">
        <v>391</v>
      </c>
      <c r="D536" s="48" t="s">
        <v>396</v>
      </c>
      <c r="E536" s="48" t="s">
        <v>37</v>
      </c>
      <c r="F536" s="50"/>
      <c r="G536" s="48"/>
      <c r="H536" s="51" t="s">
        <v>399</v>
      </c>
      <c r="I536" s="51" t="s">
        <v>420</v>
      </c>
      <c r="J536" s="95" t="s">
        <v>421</v>
      </c>
      <c r="K536" s="92"/>
      <c r="L536" s="69" t="s">
        <v>433</v>
      </c>
      <c r="M536" s="44" t="s">
        <v>505</v>
      </c>
      <c r="N536" s="82">
        <f>0.056*3*2.71+0.0675*3*2.71</f>
        <v>1.004055</v>
      </c>
      <c r="O536" s="44">
        <f>P527</f>
        <v>2.75</v>
      </c>
      <c r="P536" s="44">
        <v>5</v>
      </c>
      <c r="Q536" s="44">
        <f t="shared" si="65"/>
        <v>13.80575625</v>
      </c>
      <c r="R536" s="84">
        <f>+Q536/R527</f>
        <v>1.16750581395349</v>
      </c>
      <c r="S536" s="47"/>
      <c r="T536" s="47"/>
    </row>
    <row r="537" s="27" customFormat="1" ht="18" customHeight="1" spans="1:20">
      <c r="A537" s="34"/>
      <c r="B537" s="48">
        <v>2</v>
      </c>
      <c r="C537" s="48"/>
      <c r="D537" s="111" t="s">
        <v>491</v>
      </c>
      <c r="E537" s="49" t="s">
        <v>423</v>
      </c>
      <c r="F537" s="112"/>
      <c r="G537" s="111"/>
      <c r="H537" s="113">
        <v>1</v>
      </c>
      <c r="I537" s="113">
        <f>+辅材及安装费!$G$3</f>
        <v>165</v>
      </c>
      <c r="J537" s="114">
        <f t="shared" ref="J537:J551" si="66">H537*I537</f>
        <v>165</v>
      </c>
      <c r="K537" s="92"/>
      <c r="L537" s="90"/>
      <c r="M537" s="44"/>
      <c r="N537" s="82"/>
      <c r="O537" s="44"/>
      <c r="P537" s="44"/>
      <c r="Q537" s="44">
        <v>0</v>
      </c>
      <c r="R537" s="84">
        <f>+Q537/R527</f>
        <v>0</v>
      </c>
      <c r="S537" s="47"/>
      <c r="T537" s="47"/>
    </row>
    <row r="538" s="27" customFormat="1" ht="18" customHeight="1" spans="1:20">
      <c r="A538" s="34"/>
      <c r="B538" s="48">
        <v>3</v>
      </c>
      <c r="C538" s="48"/>
      <c r="D538" s="115"/>
      <c r="E538" s="63"/>
      <c r="F538" s="116"/>
      <c r="G538" s="115"/>
      <c r="H538" s="117"/>
      <c r="I538" s="117"/>
      <c r="J538" s="118"/>
      <c r="K538" s="92"/>
      <c r="L538" s="90" t="s">
        <v>472</v>
      </c>
      <c r="M538" s="44"/>
      <c r="N538" s="82"/>
      <c r="O538" s="44"/>
      <c r="P538" s="44">
        <v>0</v>
      </c>
      <c r="Q538" s="44">
        <f>+P538</f>
        <v>0</v>
      </c>
      <c r="R538" s="84">
        <f>+Q538/R527</f>
        <v>0</v>
      </c>
      <c r="S538" s="47"/>
      <c r="T538" s="47"/>
    </row>
    <row r="539" s="27" customFormat="1" ht="18" customHeight="1" spans="1:20">
      <c r="A539" s="34"/>
      <c r="B539" s="48">
        <v>4</v>
      </c>
      <c r="C539" s="48"/>
      <c r="D539" s="85" t="s">
        <v>426</v>
      </c>
      <c r="E539" s="48" t="s">
        <v>392</v>
      </c>
      <c r="F539" s="50"/>
      <c r="G539" s="48"/>
      <c r="H539" s="86"/>
      <c r="I539" s="86"/>
      <c r="J539" s="95">
        <f>SUM(J537:J537)</f>
        <v>165</v>
      </c>
      <c r="K539" s="92"/>
      <c r="L539" s="90"/>
      <c r="M539" s="44"/>
      <c r="N539" s="82"/>
      <c r="O539" s="44"/>
      <c r="P539" s="44"/>
      <c r="Q539" s="44"/>
      <c r="R539" s="84"/>
      <c r="S539" s="47"/>
      <c r="T539" s="47"/>
    </row>
    <row r="540" s="27" customFormat="1" ht="22" customHeight="1" spans="1:20">
      <c r="A540" s="34"/>
      <c r="B540" s="48">
        <v>1</v>
      </c>
      <c r="C540" s="48" t="s">
        <v>394</v>
      </c>
      <c r="D540" s="88" t="s">
        <v>431</v>
      </c>
      <c r="E540" s="72" t="str">
        <f>+VLOOKUP(D540,'材料表 '!C:F,2,0)</f>
        <v>kg</v>
      </c>
      <c r="F540" s="77">
        <f>+SUMIF($L$527:$L$565,D540,$R$527:$R$565)</f>
        <v>11.8720930232558</v>
      </c>
      <c r="G540" s="89">
        <f>+VLOOKUP(D540,'材料表 '!C:F,4,0)</f>
        <v>0.03</v>
      </c>
      <c r="H540" s="74">
        <f t="shared" ref="H540:H549" si="67">F540*(G540+1)</f>
        <v>12.2282558139535</v>
      </c>
      <c r="I540" s="74">
        <f>+VLOOKUP(D540,'材料表 '!C:F,3,0)</f>
        <v>3.80530973451327</v>
      </c>
      <c r="J540" s="95">
        <f t="shared" si="66"/>
        <v>46.5323008849556</v>
      </c>
      <c r="K540" s="92">
        <f ca="1">H540*K526</f>
        <v>2359.32300282977</v>
      </c>
      <c r="L540" s="90"/>
      <c r="M540" s="44"/>
      <c r="N540" s="82"/>
      <c r="O540" s="44"/>
      <c r="P540" s="44"/>
      <c r="Q540" s="44"/>
      <c r="R540" s="84"/>
      <c r="S540" s="47"/>
      <c r="T540" s="47"/>
    </row>
    <row r="541" s="27" customFormat="1" ht="18" customHeight="1" spans="1:20">
      <c r="A541" s="34"/>
      <c r="B541" s="48">
        <v>2</v>
      </c>
      <c r="C541" s="48"/>
      <c r="D541" s="88" t="s">
        <v>461</v>
      </c>
      <c r="E541" s="72" t="str">
        <f>+VLOOKUP(D541,'材料表 '!C:F,2,0)</f>
        <v>kg</v>
      </c>
      <c r="F541" s="77">
        <f t="shared" ref="F541:F549" si="68">+SUMIF($L$527:$L$565,D541,$R$527:$R$565)</f>
        <v>2.74181818181818</v>
      </c>
      <c r="G541" s="89">
        <f>+VLOOKUP(D541,'材料表 '!C:F,4,0)</f>
        <v>0.03</v>
      </c>
      <c r="H541" s="74">
        <f t="shared" si="67"/>
        <v>2.82407272727273</v>
      </c>
      <c r="I541" s="74">
        <f>+VLOOKUP(D541,'材料表 '!C:F,3,0)</f>
        <v>3.53982300884956</v>
      </c>
      <c r="J541" s="95">
        <f t="shared" si="66"/>
        <v>9.99671761866452</v>
      </c>
      <c r="K541" s="92">
        <f ca="1">H541*K526</f>
        <v>544.877360147782</v>
      </c>
      <c r="L541" s="90"/>
      <c r="M541" s="44"/>
      <c r="N541" s="82"/>
      <c r="O541" s="44"/>
      <c r="P541" s="44"/>
      <c r="Q541" s="44"/>
      <c r="R541" s="84"/>
      <c r="S541" s="47"/>
      <c r="T541" s="47"/>
    </row>
    <row r="542" s="27" customFormat="1" ht="18" customHeight="1" spans="1:20">
      <c r="A542" s="34"/>
      <c r="B542" s="48">
        <v>3</v>
      </c>
      <c r="C542" s="48"/>
      <c r="D542" s="88" t="s">
        <v>465</v>
      </c>
      <c r="E542" s="72" t="str">
        <f>+VLOOKUP(D542,'材料表 '!C:F,2,0)</f>
        <v>kg</v>
      </c>
      <c r="F542" s="77">
        <f t="shared" si="68"/>
        <v>0.252807610993658</v>
      </c>
      <c r="G542" s="89">
        <f>+VLOOKUP(D542,'材料表 '!C:F,4,0)</f>
        <v>0.03</v>
      </c>
      <c r="H542" s="74">
        <f t="shared" si="67"/>
        <v>0.260391839323468</v>
      </c>
      <c r="I542" s="74">
        <f>+VLOOKUP(D542,'材料表 '!C:F,3,0)</f>
        <v>6.01769911504425</v>
      </c>
      <c r="J542" s="95">
        <f t="shared" si="66"/>
        <v>1.56695974106158</v>
      </c>
      <c r="K542" s="92">
        <f ca="1">H542*K526</f>
        <v>50.2400723056502</v>
      </c>
      <c r="L542" s="90"/>
      <c r="M542" s="44"/>
      <c r="N542" s="82"/>
      <c r="O542" s="44"/>
      <c r="P542" s="44"/>
      <c r="Q542" s="44">
        <f>+P542*O542</f>
        <v>0</v>
      </c>
      <c r="R542" s="84">
        <f>+Q542/R527</f>
        <v>0</v>
      </c>
      <c r="S542" s="47"/>
      <c r="T542" s="47"/>
    </row>
    <row r="543" s="27" customFormat="1" ht="18" customHeight="1" spans="1:20">
      <c r="A543" s="34"/>
      <c r="B543" s="48">
        <v>4</v>
      </c>
      <c r="C543" s="48"/>
      <c r="D543" s="88" t="s">
        <v>463</v>
      </c>
      <c r="E543" s="72" t="str">
        <f>+VLOOKUP(D543,'材料表 '!C:F,2,0)</f>
        <v>kg</v>
      </c>
      <c r="F543" s="77">
        <f t="shared" si="68"/>
        <v>0.995771670190275</v>
      </c>
      <c r="G543" s="89">
        <f>+VLOOKUP(D543,'材料表 '!C:F,4,0)</f>
        <v>0.03</v>
      </c>
      <c r="H543" s="74">
        <f t="shared" si="67"/>
        <v>1.02564482029598</v>
      </c>
      <c r="I543" s="74">
        <f>+VLOOKUP(D543,'材料表 '!C:F,3,0)</f>
        <v>6.01769911504425</v>
      </c>
      <c r="J543" s="95">
        <f t="shared" si="66"/>
        <v>6.17202192744486</v>
      </c>
      <c r="K543" s="92">
        <f ca="1">H543*K526</f>
        <v>197.888190603297</v>
      </c>
      <c r="L543" s="90" t="s">
        <v>474</v>
      </c>
      <c r="M543" s="44"/>
      <c r="N543" s="82"/>
      <c r="O543" s="44"/>
      <c r="P543" s="44"/>
      <c r="Q543" s="44">
        <f>+O533*P533*4</f>
        <v>20</v>
      </c>
      <c r="R543" s="84">
        <f>+Q543/R527</f>
        <v>1.69133192389006</v>
      </c>
      <c r="S543" s="47"/>
      <c r="T543" s="47"/>
    </row>
    <row r="544" s="27" customFormat="1" ht="18" customHeight="1" spans="1:20">
      <c r="A544" s="34"/>
      <c r="B544" s="48">
        <v>5</v>
      </c>
      <c r="C544" s="48"/>
      <c r="D544" s="88" t="s">
        <v>433</v>
      </c>
      <c r="E544" s="72" t="str">
        <f>+VLOOKUP(D544,'材料表 '!C:F,2,0)</f>
        <v>kg</v>
      </c>
      <c r="F544" s="77">
        <f t="shared" si="68"/>
        <v>1.5326167230444</v>
      </c>
      <c r="G544" s="89">
        <f>+VLOOKUP(D544,'材料表 '!C:F,4,0)</f>
        <v>0.03</v>
      </c>
      <c r="H544" s="74">
        <f t="shared" si="67"/>
        <v>1.57859522473573</v>
      </c>
      <c r="I544" s="74">
        <f>+VLOOKUP(D544,'材料表 '!C:F,3,0)</f>
        <v>26.1150442477876</v>
      </c>
      <c r="J544" s="95">
        <f t="shared" si="66"/>
        <v>41.2250841433199</v>
      </c>
      <c r="K544" s="92">
        <f ca="1">H544*K526</f>
        <v>304.574592038413</v>
      </c>
      <c r="L544" s="92" t="s">
        <v>476</v>
      </c>
      <c r="M544" s="44"/>
      <c r="N544" s="82"/>
      <c r="O544" s="44"/>
      <c r="P544" s="44"/>
      <c r="Q544" s="44">
        <f>8*8*(O527*1+P527*8)/500</f>
        <v>3.3664</v>
      </c>
      <c r="R544" s="84">
        <f>+Q544/R527</f>
        <v>0.284684989429175</v>
      </c>
      <c r="S544" s="47"/>
      <c r="T544" s="47"/>
    </row>
    <row r="545" s="27" customFormat="1" ht="18" customHeight="1" spans="1:20">
      <c r="A545" s="34"/>
      <c r="B545" s="48">
        <v>6</v>
      </c>
      <c r="C545" s="48"/>
      <c r="D545" s="88" t="s">
        <v>434</v>
      </c>
      <c r="E545" s="72" t="str">
        <f>+VLOOKUP(D545,'材料表 '!C:F,2,0)</f>
        <v>m2</v>
      </c>
      <c r="F545" s="77">
        <f t="shared" si="68"/>
        <v>0</v>
      </c>
      <c r="G545" s="89">
        <f>+VLOOKUP(D545,'材料表 '!C:F,4,0)</f>
        <v>0</v>
      </c>
      <c r="H545" s="74">
        <f t="shared" si="67"/>
        <v>0</v>
      </c>
      <c r="I545" s="74">
        <f>+VLOOKUP(D545,'材料表 '!C:F,3,0)</f>
        <v>49.5575221238938</v>
      </c>
      <c r="J545" s="95">
        <f t="shared" si="66"/>
        <v>0</v>
      </c>
      <c r="K545" s="92">
        <f ca="1">H545*K526</f>
        <v>0</v>
      </c>
      <c r="L545" s="92" t="s">
        <v>499</v>
      </c>
      <c r="M545" s="44"/>
      <c r="N545" s="82"/>
      <c r="O545" s="44"/>
      <c r="P545" s="44"/>
      <c r="Q545" s="44">
        <v>8</v>
      </c>
      <c r="R545" s="84">
        <f>Q545/R527</f>
        <v>0.676532769556025</v>
      </c>
      <c r="S545" s="47"/>
      <c r="T545" s="47"/>
    </row>
    <row r="546" s="27" customFormat="1" ht="18" customHeight="1" spans="1:20">
      <c r="A546" s="34"/>
      <c r="B546" s="48">
        <v>7</v>
      </c>
      <c r="C546" s="48"/>
      <c r="D546" s="88" t="s">
        <v>472</v>
      </c>
      <c r="E546" s="72" t="str">
        <f>+VLOOKUP(D546,'材料表 '!C:F,2,0)</f>
        <v>套</v>
      </c>
      <c r="F546" s="77">
        <f t="shared" si="68"/>
        <v>0</v>
      </c>
      <c r="G546" s="89">
        <f>+VLOOKUP(D546,'材料表 '!C:F,4,0)</f>
        <v>0</v>
      </c>
      <c r="H546" s="74">
        <f t="shared" si="67"/>
        <v>0</v>
      </c>
      <c r="I546" s="74">
        <f>+VLOOKUP(D546,'材料表 '!C:F,3,0)</f>
        <v>2.47787610619469</v>
      </c>
      <c r="J546" s="95">
        <f t="shared" si="66"/>
        <v>0</v>
      </c>
      <c r="K546" s="92">
        <f ca="1">H546*K526</f>
        <v>0</v>
      </c>
      <c r="L546" s="92"/>
      <c r="M546" s="44"/>
      <c r="N546" s="82"/>
      <c r="O546" s="44"/>
      <c r="P546" s="44"/>
      <c r="Q546" s="44"/>
      <c r="R546" s="84"/>
      <c r="S546" s="47"/>
      <c r="T546" s="47"/>
    </row>
    <row r="547" s="27" customFormat="1" ht="18" customHeight="1" spans="1:20">
      <c r="A547" s="34"/>
      <c r="B547" s="48">
        <v>8</v>
      </c>
      <c r="C547" s="48"/>
      <c r="D547" s="88" t="s">
        <v>474</v>
      </c>
      <c r="E547" s="72" t="str">
        <f>+VLOOKUP(D547,'材料表 '!C:F,2,0)</f>
        <v>套</v>
      </c>
      <c r="F547" s="77">
        <f t="shared" si="68"/>
        <v>1.69133192389006</v>
      </c>
      <c r="G547" s="89">
        <f>+VLOOKUP(D547,'材料表 '!C:F,4,0)</f>
        <v>0</v>
      </c>
      <c r="H547" s="74">
        <f t="shared" si="67"/>
        <v>1.69133192389006</v>
      </c>
      <c r="I547" s="74">
        <f>+VLOOKUP(D547,'材料表 '!C:F,3,0)</f>
        <v>2.21238938053097</v>
      </c>
      <c r="J547" s="95">
        <f t="shared" si="66"/>
        <v>3.74188478736738</v>
      </c>
      <c r="K547" s="92">
        <f ca="1">H547*K526</f>
        <v>326.326041437631</v>
      </c>
      <c r="L547" s="92"/>
      <c r="M547" s="44"/>
      <c r="N547" s="82"/>
      <c r="O547" s="44"/>
      <c r="P547" s="44"/>
      <c r="Q547" s="44"/>
      <c r="R547" s="84"/>
      <c r="S547" s="47"/>
      <c r="T547" s="47"/>
    </row>
    <row r="548" s="27" customFormat="1" ht="18" customHeight="1" spans="1:20">
      <c r="A548" s="34"/>
      <c r="B548" s="48">
        <v>9</v>
      </c>
      <c r="C548" s="48"/>
      <c r="D548" s="88" t="s">
        <v>476</v>
      </c>
      <c r="E548" s="72" t="str">
        <f>+VLOOKUP(D548,'材料表 '!C:F,2,0)</f>
        <v>支</v>
      </c>
      <c r="F548" s="77">
        <f t="shared" si="68"/>
        <v>0.284684989429175</v>
      </c>
      <c r="G548" s="89">
        <f>+VLOOKUP(D548,'材料表 '!C:F,4,0)</f>
        <v>0.15</v>
      </c>
      <c r="H548" s="74">
        <f t="shared" si="67"/>
        <v>0.327387737843551</v>
      </c>
      <c r="I548" s="74">
        <f>+VLOOKUP(D548,'材料表 '!C:F,3,0)</f>
        <v>11.5044247787611</v>
      </c>
      <c r="J548" s="95">
        <f t="shared" si="66"/>
        <v>3.76640760350989</v>
      </c>
      <c r="K548" s="92">
        <f ca="1">H548*K526</f>
        <v>63.1662791889994</v>
      </c>
      <c r="L548" s="90"/>
      <c r="M548" s="44"/>
      <c r="N548" s="82"/>
      <c r="O548" s="34"/>
      <c r="P548" s="44"/>
      <c r="Q548" s="44"/>
      <c r="R548" s="119"/>
      <c r="S548" s="47"/>
      <c r="T548" s="47"/>
    </row>
    <row r="549" s="27" customFormat="1" ht="18" customHeight="1" spans="1:20">
      <c r="A549" s="34"/>
      <c r="B549" s="48">
        <v>10</v>
      </c>
      <c r="C549" s="48"/>
      <c r="D549" s="88" t="s">
        <v>499</v>
      </c>
      <c r="E549" s="72" t="str">
        <f>+VLOOKUP(D549,'材料表 '!C:F,2,0)</f>
        <v>套</v>
      </c>
      <c r="F549" s="77">
        <f t="shared" si="68"/>
        <v>0.676532769556025</v>
      </c>
      <c r="G549" s="89">
        <f>+VLOOKUP(D549,'材料表 '!C:F,4,0)</f>
        <v>0</v>
      </c>
      <c r="H549" s="74">
        <f t="shared" si="67"/>
        <v>0.676532769556025</v>
      </c>
      <c r="I549" s="74">
        <f>+VLOOKUP(D549,'材料表 '!C:F,3,0)</f>
        <v>1.32743362831858</v>
      </c>
      <c r="J549" s="95">
        <f t="shared" si="66"/>
        <v>0.898052348968172</v>
      </c>
      <c r="K549" s="92">
        <f ca="1">H549*K526</f>
        <v>130.530416575053</v>
      </c>
      <c r="L549" s="92"/>
      <c r="M549" s="120"/>
      <c r="N549" s="82"/>
      <c r="O549" s="44"/>
      <c r="P549" s="44"/>
      <c r="Q549" s="44"/>
      <c r="R549" s="84"/>
      <c r="S549" s="47"/>
      <c r="T549" s="47"/>
    </row>
    <row r="550" s="27" customFormat="1" ht="18" customHeight="1" spans="1:20">
      <c r="A550" s="34"/>
      <c r="B550" s="48">
        <v>11</v>
      </c>
      <c r="C550" s="48"/>
      <c r="D550" s="88"/>
      <c r="E550" s="72"/>
      <c r="F550" s="77"/>
      <c r="G550" s="89"/>
      <c r="H550" s="74"/>
      <c r="I550" s="74"/>
      <c r="J550" s="95">
        <f t="shared" si="66"/>
        <v>0</v>
      </c>
      <c r="K550" s="92">
        <f ca="1">H550*K526</f>
        <v>0</v>
      </c>
      <c r="L550" s="92"/>
      <c r="M550" s="44"/>
      <c r="N550" s="82"/>
      <c r="O550" s="44"/>
      <c r="P550" s="44"/>
      <c r="Q550" s="44"/>
      <c r="R550" s="84"/>
      <c r="S550" s="47"/>
      <c r="T550" s="47"/>
    </row>
    <row r="551" s="27" customFormat="1" ht="28" customHeight="1" spans="1:20">
      <c r="A551" s="34"/>
      <c r="B551" s="48">
        <v>12</v>
      </c>
      <c r="C551" s="48"/>
      <c r="D551" s="88" t="s">
        <v>506</v>
      </c>
      <c r="E551" s="72" t="str">
        <f>+VLOOKUP(D551,'材料表 '!C:F,2,0)</f>
        <v>m2</v>
      </c>
      <c r="F551" s="77">
        <v>1</v>
      </c>
      <c r="G551" s="89">
        <f>+VLOOKUP(D551,'材料表 '!C:F,4,0)</f>
        <v>0.02</v>
      </c>
      <c r="H551" s="74">
        <f>F551*(G551+1)</f>
        <v>1.02</v>
      </c>
      <c r="I551" s="74">
        <f>+VLOOKUP(D551,'材料表 '!C:F,3,0)</f>
        <v>253.097345132743</v>
      </c>
      <c r="J551" s="95">
        <f t="shared" si="66"/>
        <v>258.159292035398</v>
      </c>
      <c r="K551" s="92">
        <f ca="1">H551*K526</f>
        <v>196.79907744</v>
      </c>
      <c r="L551" s="92"/>
      <c r="M551" s="44"/>
      <c r="N551" s="44"/>
      <c r="O551" s="44"/>
      <c r="P551" s="44"/>
      <c r="Q551" s="44"/>
      <c r="R551" s="84"/>
      <c r="S551" s="47"/>
      <c r="T551" s="47"/>
    </row>
    <row r="552" s="27" customFormat="1" ht="18" customHeight="1" spans="1:20">
      <c r="A552" s="34"/>
      <c r="B552" s="48">
        <v>13</v>
      </c>
      <c r="C552" s="48"/>
      <c r="D552" s="88"/>
      <c r="E552" s="72"/>
      <c r="F552" s="77"/>
      <c r="G552" s="89"/>
      <c r="H552" s="74"/>
      <c r="I552" s="74"/>
      <c r="J552" s="95"/>
      <c r="K552" s="92">
        <f ca="1">H552*K526</f>
        <v>0</v>
      </c>
      <c r="L552" s="92"/>
      <c r="M552" s="44"/>
      <c r="N552" s="44"/>
      <c r="O552" s="44"/>
      <c r="P552" s="44"/>
      <c r="Q552" s="44"/>
      <c r="R552" s="84"/>
      <c r="S552" s="47"/>
      <c r="T552" s="47"/>
    </row>
    <row r="553" s="27" customFormat="1" ht="24" customHeight="1" spans="1:20">
      <c r="A553" s="34"/>
      <c r="B553" s="48">
        <v>14</v>
      </c>
      <c r="C553" s="48"/>
      <c r="D553" s="88"/>
      <c r="E553" s="72"/>
      <c r="F553" s="77"/>
      <c r="G553" s="89"/>
      <c r="H553" s="74"/>
      <c r="I553" s="74"/>
      <c r="J553" s="95"/>
      <c r="K553" s="92">
        <f ca="1">H553*K526</f>
        <v>0</v>
      </c>
      <c r="L553" s="92"/>
      <c r="M553" s="44"/>
      <c r="N553" s="44"/>
      <c r="O553" s="44"/>
      <c r="P553" s="44"/>
      <c r="Q553" s="44"/>
      <c r="R553" s="84"/>
      <c r="S553" s="47"/>
      <c r="T553" s="47"/>
    </row>
    <row r="554" s="27" customFormat="1" ht="18" customHeight="1" spans="1:20">
      <c r="A554" s="34"/>
      <c r="B554" s="48">
        <v>15</v>
      </c>
      <c r="C554" s="48"/>
      <c r="D554" s="88"/>
      <c r="E554" s="72"/>
      <c r="F554" s="77"/>
      <c r="G554" s="89"/>
      <c r="H554" s="74"/>
      <c r="I554" s="74"/>
      <c r="J554" s="95"/>
      <c r="K554" s="92"/>
      <c r="L554" s="92"/>
      <c r="M554" s="44"/>
      <c r="N554" s="44"/>
      <c r="O554" s="44"/>
      <c r="P554" s="44"/>
      <c r="Q554" s="44"/>
      <c r="R554" s="84"/>
      <c r="S554" s="47"/>
      <c r="T554" s="47"/>
    </row>
    <row r="555" s="27" customFormat="1" ht="18" customHeight="1" spans="1:20">
      <c r="A555" s="34"/>
      <c r="B555" s="48">
        <v>16</v>
      </c>
      <c r="C555" s="48"/>
      <c r="D555" s="88"/>
      <c r="E555" s="72"/>
      <c r="F555" s="77"/>
      <c r="G555" s="89"/>
      <c r="H555" s="74"/>
      <c r="I555" s="74"/>
      <c r="J555" s="95"/>
      <c r="K555" s="92"/>
      <c r="L555" s="92"/>
      <c r="M555" s="44"/>
      <c r="N555" s="44"/>
      <c r="O555" s="44"/>
      <c r="P555" s="44"/>
      <c r="Q555" s="44"/>
      <c r="R555" s="84"/>
      <c r="S555" s="47"/>
      <c r="T555" s="47"/>
    </row>
    <row r="556" s="27" customFormat="1" ht="18" customHeight="1" spans="1:20">
      <c r="A556" s="34"/>
      <c r="B556" s="48">
        <v>17</v>
      </c>
      <c r="C556" s="48"/>
      <c r="D556" s="121"/>
      <c r="E556" s="72"/>
      <c r="F556" s="77"/>
      <c r="G556" s="89"/>
      <c r="H556" s="74"/>
      <c r="I556" s="74"/>
      <c r="J556" s="95"/>
      <c r="K556" s="92"/>
      <c r="L556" s="92"/>
      <c r="M556" s="44"/>
      <c r="N556" s="44"/>
      <c r="O556" s="44"/>
      <c r="P556" s="44"/>
      <c r="Q556" s="101"/>
      <c r="R556" s="84"/>
      <c r="S556" s="47"/>
      <c r="T556" s="47"/>
    </row>
    <row r="557" s="27" customFormat="1" ht="18" customHeight="1" spans="1:20">
      <c r="A557" s="34"/>
      <c r="B557" s="48">
        <v>18</v>
      </c>
      <c r="C557" s="48"/>
      <c r="D557" s="88"/>
      <c r="E557" s="72"/>
      <c r="F557" s="77"/>
      <c r="G557" s="89"/>
      <c r="H557" s="74"/>
      <c r="I557" s="74"/>
      <c r="J557" s="95"/>
      <c r="K557" s="92"/>
      <c r="L557" s="92"/>
      <c r="M557" s="44"/>
      <c r="N557" s="44"/>
      <c r="O557" s="44"/>
      <c r="P557" s="44"/>
      <c r="Q557" s="44"/>
      <c r="R557" s="84"/>
      <c r="S557" s="47"/>
      <c r="T557" s="47"/>
    </row>
    <row r="558" s="27" customFormat="1" ht="18" customHeight="1" spans="1:20">
      <c r="A558" s="34"/>
      <c r="B558" s="48">
        <v>19</v>
      </c>
      <c r="C558" s="48"/>
      <c r="D558" s="27"/>
      <c r="E558" s="72"/>
      <c r="F558" s="77"/>
      <c r="G558" s="89"/>
      <c r="H558" s="74"/>
      <c r="I558" s="74"/>
      <c r="J558" s="95"/>
      <c r="K558" s="92"/>
      <c r="L558" s="92"/>
      <c r="M558" s="44"/>
      <c r="N558" s="44"/>
      <c r="O558" s="44"/>
      <c r="P558" s="44"/>
      <c r="Q558" s="44"/>
      <c r="R558" s="84"/>
      <c r="S558" s="47"/>
      <c r="T558" s="47"/>
    </row>
    <row r="559" s="27" customFormat="1" ht="18" customHeight="1" spans="1:20">
      <c r="A559" s="34"/>
      <c r="B559" s="48">
        <v>20</v>
      </c>
      <c r="C559" s="48"/>
      <c r="D559" s="88"/>
      <c r="E559" s="72"/>
      <c r="F559" s="77"/>
      <c r="G559" s="89"/>
      <c r="H559" s="74"/>
      <c r="I559" s="74"/>
      <c r="J559" s="95"/>
      <c r="K559" s="92"/>
      <c r="L559" s="92"/>
      <c r="M559" s="44"/>
      <c r="N559" s="44"/>
      <c r="O559" s="44"/>
      <c r="P559" s="44"/>
      <c r="Q559" s="44"/>
      <c r="R559" s="84"/>
      <c r="S559" s="47"/>
      <c r="T559" s="47"/>
    </row>
    <row r="560" s="27" customFormat="1" ht="18" customHeight="1" spans="1:20">
      <c r="A560" s="34"/>
      <c r="B560" s="48">
        <v>21</v>
      </c>
      <c r="C560" s="48"/>
      <c r="D560" s="88"/>
      <c r="E560" s="72"/>
      <c r="F560" s="77"/>
      <c r="G560" s="89"/>
      <c r="H560" s="74"/>
      <c r="I560" s="74"/>
      <c r="J560" s="95"/>
      <c r="K560" s="92"/>
      <c r="L560" s="92"/>
      <c r="M560" s="44"/>
      <c r="N560" s="44"/>
      <c r="O560" s="44"/>
      <c r="P560" s="44"/>
      <c r="Q560" s="44"/>
      <c r="R560" s="84"/>
      <c r="S560" s="47"/>
      <c r="T560" s="47"/>
    </row>
    <row r="561" s="27" customFormat="1" ht="18" customHeight="1" spans="1:20">
      <c r="A561" s="34"/>
      <c r="B561" s="48">
        <v>22</v>
      </c>
      <c r="C561" s="48"/>
      <c r="D561" s="27"/>
      <c r="E561" s="72"/>
      <c r="F561" s="77"/>
      <c r="G561" s="72"/>
      <c r="H561" s="74"/>
      <c r="I561" s="74"/>
      <c r="J561" s="95"/>
      <c r="K561" s="92"/>
      <c r="L561" s="92"/>
      <c r="M561" s="44"/>
      <c r="N561" s="44"/>
      <c r="O561" s="44"/>
      <c r="P561" s="44"/>
      <c r="Q561" s="44"/>
      <c r="R561" s="62"/>
      <c r="S561" s="47"/>
      <c r="T561" s="47"/>
    </row>
    <row r="562" s="27" customFormat="1" ht="18" customHeight="1" spans="1:20">
      <c r="A562" s="34"/>
      <c r="B562" s="48">
        <v>23</v>
      </c>
      <c r="C562" s="48"/>
      <c r="D562" s="88"/>
      <c r="E562" s="72"/>
      <c r="F562" s="77"/>
      <c r="G562" s="89"/>
      <c r="H562" s="74"/>
      <c r="I562" s="74"/>
      <c r="J562" s="95"/>
      <c r="K562" s="92"/>
      <c r="L562" s="92"/>
      <c r="M562" s="44"/>
      <c r="N562" s="44"/>
      <c r="O562" s="44"/>
      <c r="P562" s="44"/>
      <c r="Q562" s="44"/>
      <c r="R562" s="62"/>
      <c r="S562" s="47"/>
      <c r="T562" s="47"/>
    </row>
    <row r="563" s="27" customFormat="1" ht="18" customHeight="1" spans="1:20">
      <c r="A563" s="34"/>
      <c r="B563" s="48">
        <v>24</v>
      </c>
      <c r="C563" s="48"/>
      <c r="D563" s="88" t="s">
        <v>478</v>
      </c>
      <c r="E563" s="72" t="s">
        <v>43</v>
      </c>
      <c r="F563" s="77"/>
      <c r="G563" s="72">
        <v>1</v>
      </c>
      <c r="H563" s="74">
        <v>1</v>
      </c>
      <c r="I563" s="74">
        <f>+辅材及安装费!$E$3</f>
        <v>5</v>
      </c>
      <c r="J563" s="95">
        <f t="shared" ref="J562:J565" si="69">H563*I563</f>
        <v>5</v>
      </c>
      <c r="K563" s="92"/>
      <c r="L563" s="92"/>
      <c r="M563" s="44"/>
      <c r="N563" s="44"/>
      <c r="O563" s="44"/>
      <c r="P563" s="44"/>
      <c r="Q563" s="44"/>
      <c r="R563" s="62"/>
      <c r="S563" s="47"/>
      <c r="T563" s="47"/>
    </row>
    <row r="564" s="27" customFormat="1" ht="18" customHeight="1" spans="1:20">
      <c r="A564" s="34"/>
      <c r="B564" s="48">
        <v>25</v>
      </c>
      <c r="C564" s="48"/>
      <c r="D564" s="93" t="s">
        <v>442</v>
      </c>
      <c r="E564" s="72"/>
      <c r="F564" s="77"/>
      <c r="G564" s="72"/>
      <c r="H564" s="74"/>
      <c r="I564" s="74"/>
      <c r="J564" s="95">
        <f>SUM(J540:J563)</f>
        <v>377.05872109069</v>
      </c>
      <c r="K564" s="92"/>
      <c r="L564" s="94"/>
      <c r="M564" s="27"/>
      <c r="N564" s="83"/>
      <c r="O564" s="83"/>
      <c r="P564" s="83"/>
      <c r="Q564" s="83"/>
      <c r="R564" s="87"/>
      <c r="S564" s="47"/>
      <c r="T564" s="47"/>
    </row>
    <row r="565" s="27" customFormat="1" ht="18" customHeight="1" spans="1:20">
      <c r="A565" s="34"/>
      <c r="B565" s="48">
        <v>1</v>
      </c>
      <c r="C565" s="48" t="s">
        <v>443</v>
      </c>
      <c r="D565" s="48" t="s">
        <v>444</v>
      </c>
      <c r="E565" s="72" t="s">
        <v>43</v>
      </c>
      <c r="F565" s="50"/>
      <c r="G565" s="48"/>
      <c r="H565" s="51">
        <v>1</v>
      </c>
      <c r="I565" s="74">
        <f>+辅材及安装费!$F$3</f>
        <v>5</v>
      </c>
      <c r="J565" s="95">
        <f t="shared" si="69"/>
        <v>5</v>
      </c>
      <c r="K565" s="118"/>
      <c r="L565" s="96"/>
      <c r="M565" s="97"/>
      <c r="N565" s="98"/>
      <c r="O565" s="98"/>
      <c r="P565" s="98"/>
      <c r="Q565" s="98"/>
      <c r="R565" s="99"/>
      <c r="S565" s="47"/>
      <c r="T565" s="47"/>
    </row>
    <row r="566" s="26" customFormat="1" ht="30" customHeight="1" spans="1:20">
      <c r="A566" s="28"/>
      <c r="B566" s="29" t="s">
        <v>386</v>
      </c>
      <c r="C566" s="29"/>
      <c r="D566" s="29"/>
      <c r="E566" s="29"/>
      <c r="F566" s="29"/>
      <c r="G566" s="29"/>
      <c r="H566" s="29"/>
      <c r="I566" s="29"/>
      <c r="J566" s="29"/>
      <c r="K566" s="29"/>
      <c r="L566" s="30"/>
      <c r="M566" s="31"/>
      <c r="N566" s="31"/>
      <c r="O566" s="31"/>
      <c r="P566" s="31"/>
      <c r="Q566" s="31"/>
      <c r="R566" s="32"/>
      <c r="S566" s="33"/>
      <c r="T566" s="33"/>
    </row>
    <row r="567" s="27" customFormat="1" ht="33.75" customHeight="1" spans="1:20">
      <c r="A567" s="34">
        <v>4</v>
      </c>
      <c r="B567" s="35" t="s">
        <v>1</v>
      </c>
      <c r="C567" s="35" t="s">
        <v>387</v>
      </c>
      <c r="D567" s="36" t="str">
        <f>+A575</f>
        <v>2.5㎜银灰色铝板（线条造型）</v>
      </c>
      <c r="E567" s="37"/>
      <c r="F567" s="38" t="s">
        <v>119</v>
      </c>
      <c r="G567" s="39"/>
      <c r="H567" s="35" t="s">
        <v>388</v>
      </c>
      <c r="I567" s="40" t="s">
        <v>389</v>
      </c>
      <c r="J567" s="41" t="s">
        <v>37</v>
      </c>
      <c r="K567" s="42">
        <f ca="1">VLOOKUP(A567,排屋工程量清单!$A$59:$D$86,4,)</f>
        <v>392.160804</v>
      </c>
      <c r="L567" s="43"/>
      <c r="M567" s="44"/>
      <c r="N567" s="44"/>
      <c r="O567" s="44"/>
      <c r="P567" s="45"/>
      <c r="Q567" s="44"/>
      <c r="R567" s="46"/>
      <c r="S567" s="47"/>
      <c r="T567" s="47"/>
    </row>
    <row r="568" s="27" customFormat="1" ht="25" customHeight="1" spans="1:20">
      <c r="A568" s="34"/>
      <c r="B568" s="48">
        <v>1</v>
      </c>
      <c r="C568" s="49" t="s">
        <v>390</v>
      </c>
      <c r="D568" s="48" t="s">
        <v>391</v>
      </c>
      <c r="E568" s="48"/>
      <c r="F568" s="50"/>
      <c r="G568" s="48"/>
      <c r="H568" s="51"/>
      <c r="I568" s="52">
        <f>J580</f>
        <v>165</v>
      </c>
      <c r="J568" s="53" t="s">
        <v>392</v>
      </c>
      <c r="K568" s="54"/>
      <c r="L568" s="55" t="s">
        <v>507</v>
      </c>
      <c r="M568" s="56" t="s">
        <v>508</v>
      </c>
      <c r="N568" s="57"/>
      <c r="O568" s="57">
        <v>7.05</v>
      </c>
      <c r="P568" s="57">
        <v>0.53</v>
      </c>
      <c r="Q568" s="57">
        <v>1</v>
      </c>
      <c r="R568" s="58">
        <f>+Q568*P568*O568</f>
        <v>3.7365</v>
      </c>
      <c r="S568" s="47"/>
      <c r="T568" s="47"/>
    </row>
    <row r="569" s="27" customFormat="1" ht="18" customHeight="1" spans="1:20">
      <c r="A569" s="34"/>
      <c r="B569" s="48">
        <v>2</v>
      </c>
      <c r="C569" s="59"/>
      <c r="D569" s="48" t="s">
        <v>394</v>
      </c>
      <c r="E569" s="48"/>
      <c r="F569" s="50"/>
      <c r="G569" s="48"/>
      <c r="H569" s="51"/>
      <c r="I569" s="52">
        <f>J605</f>
        <v>414.330474004838</v>
      </c>
      <c r="J569" s="53" t="s">
        <v>392</v>
      </c>
      <c r="K569" s="60"/>
      <c r="L569" s="61" t="s">
        <v>119</v>
      </c>
      <c r="M569" s="44"/>
      <c r="N569" s="44"/>
      <c r="O569" s="44"/>
      <c r="P569" s="44"/>
      <c r="Q569" s="44"/>
      <c r="R569" s="62"/>
      <c r="S569" s="47"/>
      <c r="T569" s="47"/>
    </row>
    <row r="570" s="27" customFormat="1" ht="18" customHeight="1" spans="1:20">
      <c r="A570" s="34"/>
      <c r="B570" s="48">
        <v>3</v>
      </c>
      <c r="C570" s="63"/>
      <c r="D570" s="48" t="s">
        <v>395</v>
      </c>
      <c r="E570" s="48"/>
      <c r="F570" s="50"/>
      <c r="G570" s="48"/>
      <c r="H570" s="51"/>
      <c r="I570" s="52">
        <f>J606</f>
        <v>5</v>
      </c>
      <c r="J570" s="53" t="s">
        <v>392</v>
      </c>
      <c r="K570" s="60"/>
      <c r="L570" s="60"/>
      <c r="M570" s="65" t="s">
        <v>396</v>
      </c>
      <c r="N570" s="65" t="s">
        <v>397</v>
      </c>
      <c r="O570" s="65" t="s">
        <v>398</v>
      </c>
      <c r="P570" s="65" t="s">
        <v>399</v>
      </c>
      <c r="Q570" s="65" t="s">
        <v>400</v>
      </c>
      <c r="R570" s="66" t="s">
        <v>401</v>
      </c>
      <c r="S570" s="47"/>
      <c r="T570" s="47"/>
    </row>
    <row r="571" s="27" customFormat="1" ht="18" customHeight="1" spans="1:20">
      <c r="A571" s="34"/>
      <c r="B571" s="48">
        <v>4</v>
      </c>
      <c r="C571" s="48" t="s">
        <v>402</v>
      </c>
      <c r="D571" s="67" t="s">
        <v>403</v>
      </c>
      <c r="E571" s="67"/>
      <c r="F571" s="50"/>
      <c r="G571" s="67"/>
      <c r="H571" s="68"/>
      <c r="I571" s="52">
        <f>SUM(I568:I570)</f>
        <v>584.330474004838</v>
      </c>
      <c r="J571" s="53" t="s">
        <v>392</v>
      </c>
      <c r="K571" s="60"/>
      <c r="L571" s="69" t="s">
        <v>431</v>
      </c>
      <c r="M571" s="34" t="s">
        <v>509</v>
      </c>
      <c r="N571" s="102">
        <v>10.21</v>
      </c>
      <c r="O571" s="34">
        <f>O568</f>
        <v>7.05</v>
      </c>
      <c r="P571" s="34">
        <v>1</v>
      </c>
      <c r="Q571" s="44">
        <f t="shared" ref="Q571:Q577" si="70">+P571*O571*N571</f>
        <v>71.9805</v>
      </c>
      <c r="R571" s="71">
        <f>+Q571/R568</f>
        <v>19.2641509433962</v>
      </c>
      <c r="S571" s="47"/>
      <c r="T571" s="47"/>
    </row>
    <row r="572" s="27" customFormat="1" ht="28" customHeight="1" spans="1:20">
      <c r="A572" s="34"/>
      <c r="B572" s="48">
        <v>5</v>
      </c>
      <c r="C572" s="72" t="s">
        <v>406</v>
      </c>
      <c r="D572" s="48" t="s">
        <v>407</v>
      </c>
      <c r="E572" s="48"/>
      <c r="F572" s="50"/>
      <c r="G572" s="48"/>
      <c r="H572" s="73">
        <f>+'材料表 '!$E$178</f>
        <v>0</v>
      </c>
      <c r="I572" s="52">
        <f>H572*I571</f>
        <v>0</v>
      </c>
      <c r="J572" s="53" t="s">
        <v>392</v>
      </c>
      <c r="K572" s="60"/>
      <c r="L572" s="69" t="s">
        <v>431</v>
      </c>
      <c r="M572" s="34" t="s">
        <v>509</v>
      </c>
      <c r="N572" s="102">
        <v>10.21</v>
      </c>
      <c r="O572" s="34">
        <f>0.19</f>
        <v>0.19</v>
      </c>
      <c r="P572" s="34">
        <v>3</v>
      </c>
      <c r="Q572" s="44">
        <f t="shared" si="70"/>
        <v>5.8197</v>
      </c>
      <c r="R572" s="71">
        <f>+Q572/R568</f>
        <v>1.55752709755118</v>
      </c>
      <c r="S572" s="47"/>
      <c r="T572" s="47"/>
    </row>
    <row r="573" s="27" customFormat="1" ht="18" customHeight="1" spans="1:20">
      <c r="A573" s="34"/>
      <c r="B573" s="48">
        <v>6</v>
      </c>
      <c r="C573" s="48" t="s">
        <v>409</v>
      </c>
      <c r="D573" s="48" t="s">
        <v>410</v>
      </c>
      <c r="E573" s="48"/>
      <c r="F573" s="50"/>
      <c r="G573" s="48"/>
      <c r="H573" s="73">
        <f>+'材料表 '!$E$179</f>
        <v>0</v>
      </c>
      <c r="I573" s="52">
        <f>H573*I571</f>
        <v>0</v>
      </c>
      <c r="J573" s="53" t="s">
        <v>392</v>
      </c>
      <c r="K573" s="60"/>
      <c r="L573" s="69" t="s">
        <v>461</v>
      </c>
      <c r="M573" s="34" t="s">
        <v>462</v>
      </c>
      <c r="N573" s="34">
        <v>3.77</v>
      </c>
      <c r="O573" s="34">
        <f>0.18</f>
        <v>0.18</v>
      </c>
      <c r="P573" s="34">
        <v>0</v>
      </c>
      <c r="Q573" s="44">
        <f t="shared" si="70"/>
        <v>0</v>
      </c>
      <c r="R573" s="71">
        <f>+Q573/R568</f>
        <v>0</v>
      </c>
      <c r="S573" s="47"/>
      <c r="T573" s="47"/>
    </row>
    <row r="574" s="27" customFormat="1" ht="18" customHeight="1" spans="1:20">
      <c r="A574" s="34"/>
      <c r="B574" s="48">
        <v>7</v>
      </c>
      <c r="C574" s="48" t="s">
        <v>412</v>
      </c>
      <c r="D574" s="72" t="s">
        <v>413</v>
      </c>
      <c r="E574" s="72"/>
      <c r="F574" s="77"/>
      <c r="G574" s="72"/>
      <c r="H574" s="73">
        <f>+'材料表 '!$E$180</f>
        <v>0.09</v>
      </c>
      <c r="I574" s="52">
        <f>(I571+I572+I573)*H574</f>
        <v>52.5897426604354</v>
      </c>
      <c r="J574" s="53" t="s">
        <v>392</v>
      </c>
      <c r="K574" s="60"/>
      <c r="L574" s="69" t="s">
        <v>463</v>
      </c>
      <c r="M574" s="34" t="s">
        <v>464</v>
      </c>
      <c r="N574" s="34">
        <f>0.15*0.2*7.85*10</f>
        <v>2.355</v>
      </c>
      <c r="O574" s="34">
        <v>1</v>
      </c>
      <c r="P574" s="34">
        <v>0</v>
      </c>
      <c r="Q574" s="44">
        <f t="shared" si="70"/>
        <v>0</v>
      </c>
      <c r="R574" s="71">
        <f>+Q574/R568</f>
        <v>0</v>
      </c>
      <c r="S574" s="47"/>
      <c r="T574" s="47"/>
    </row>
    <row r="575" s="27" customFormat="1" ht="18" customHeight="1" spans="1:20">
      <c r="A575" s="105" t="s">
        <v>127</v>
      </c>
      <c r="B575" s="48">
        <v>8</v>
      </c>
      <c r="C575" s="48" t="s">
        <v>363</v>
      </c>
      <c r="D575" s="106" t="s">
        <v>415</v>
      </c>
      <c r="E575" s="107"/>
      <c r="F575" s="108"/>
      <c r="G575" s="107"/>
      <c r="H575" s="51"/>
      <c r="I575" s="74">
        <f>SUM(I571:I574)</f>
        <v>636.920216665274</v>
      </c>
      <c r="J575" s="53" t="s">
        <v>416</v>
      </c>
      <c r="K575" s="60"/>
      <c r="L575" s="69" t="s">
        <v>465</v>
      </c>
      <c r="M575" s="34" t="s">
        <v>503</v>
      </c>
      <c r="N575" s="126">
        <v>7.034</v>
      </c>
      <c r="O575" s="34">
        <f>85/1000</f>
        <v>0.085</v>
      </c>
      <c r="P575" s="44">
        <f>+P574*O574*1</f>
        <v>0</v>
      </c>
      <c r="Q575" s="44">
        <f t="shared" si="70"/>
        <v>0</v>
      </c>
      <c r="R575" s="84">
        <f>+Q575/R568</f>
        <v>0</v>
      </c>
      <c r="S575" s="79"/>
      <c r="T575" s="47"/>
    </row>
    <row r="576" s="27" customFormat="1" ht="18" customHeight="1" spans="1:20">
      <c r="A576" s="34"/>
      <c r="B576" s="109" t="s">
        <v>418</v>
      </c>
      <c r="C576" s="110"/>
      <c r="D576" s="110"/>
      <c r="E576" s="110"/>
      <c r="F576" s="110"/>
      <c r="G576" s="110"/>
      <c r="H576" s="110"/>
      <c r="I576" s="110"/>
      <c r="J576" s="110"/>
      <c r="K576" s="80"/>
      <c r="L576" s="69" t="s">
        <v>433</v>
      </c>
      <c r="M576" s="44" t="s">
        <v>504</v>
      </c>
      <c r="N576" s="82">
        <f>0.056*3*2.71+0.0675*3*2.71</f>
        <v>1.004055</v>
      </c>
      <c r="O576" s="44">
        <f>O568</f>
        <v>7.05</v>
      </c>
      <c r="P576" s="44">
        <v>1</v>
      </c>
      <c r="Q576" s="44">
        <f t="shared" si="70"/>
        <v>7.07858775</v>
      </c>
      <c r="R576" s="84">
        <f>+Q576/R568</f>
        <v>1.89444339622642</v>
      </c>
      <c r="S576" s="47">
        <f>0.16*P576*O576/R568</f>
        <v>0.30188679245283</v>
      </c>
      <c r="T576" s="47"/>
    </row>
    <row r="577" s="27" customFormat="1" ht="18" customHeight="1" spans="1:20">
      <c r="A577" s="34"/>
      <c r="B577" s="48">
        <v>1</v>
      </c>
      <c r="C577" s="48" t="s">
        <v>391</v>
      </c>
      <c r="D577" s="48" t="s">
        <v>396</v>
      </c>
      <c r="E577" s="48" t="s">
        <v>37</v>
      </c>
      <c r="F577" s="50"/>
      <c r="G577" s="48"/>
      <c r="H577" s="51" t="s">
        <v>399</v>
      </c>
      <c r="I577" s="51" t="s">
        <v>420</v>
      </c>
      <c r="J577" s="95" t="s">
        <v>421</v>
      </c>
      <c r="K577" s="92"/>
      <c r="L577" s="69" t="s">
        <v>433</v>
      </c>
      <c r="M577" s="44" t="s">
        <v>505</v>
      </c>
      <c r="N577" s="82">
        <f>0.056*3*2.71+0.0675*3*2.71</f>
        <v>1.004055</v>
      </c>
      <c r="O577" s="44">
        <f>P568</f>
        <v>0.53</v>
      </c>
      <c r="P577" s="44">
        <v>3</v>
      </c>
      <c r="Q577" s="44">
        <f t="shared" si="70"/>
        <v>1.59644745</v>
      </c>
      <c r="R577" s="84">
        <f>+Q577/R568</f>
        <v>0.427257446808511</v>
      </c>
      <c r="S577" s="47"/>
      <c r="T577" s="47"/>
    </row>
    <row r="578" s="27" customFormat="1" ht="18" customHeight="1" spans="1:20">
      <c r="A578" s="34"/>
      <c r="B578" s="48">
        <v>2</v>
      </c>
      <c r="C578" s="48"/>
      <c r="D578" s="111" t="s">
        <v>491</v>
      </c>
      <c r="E578" s="49" t="s">
        <v>423</v>
      </c>
      <c r="F578" s="112"/>
      <c r="G578" s="111"/>
      <c r="H578" s="113">
        <v>1</v>
      </c>
      <c r="I578" s="113">
        <f>+辅材及安装费!$G$3</f>
        <v>165</v>
      </c>
      <c r="J578" s="114">
        <f t="shared" ref="J578:J592" si="71">H578*I578</f>
        <v>165</v>
      </c>
      <c r="K578" s="92"/>
      <c r="L578" s="90"/>
      <c r="M578" s="44"/>
      <c r="N578" s="82"/>
      <c r="O578" s="44"/>
      <c r="P578" s="44"/>
      <c r="Q578" s="44">
        <v>0</v>
      </c>
      <c r="R578" s="84">
        <f>+Q578/R568</f>
        <v>0</v>
      </c>
      <c r="S578" s="47"/>
      <c r="T578" s="47"/>
    </row>
    <row r="579" s="27" customFormat="1" ht="18" customHeight="1" spans="1:20">
      <c r="A579" s="34"/>
      <c r="B579" s="48">
        <v>3</v>
      </c>
      <c r="C579" s="48"/>
      <c r="D579" s="115"/>
      <c r="E579" s="63"/>
      <c r="F579" s="116"/>
      <c r="G579" s="115"/>
      <c r="H579" s="117"/>
      <c r="I579" s="117"/>
      <c r="J579" s="118"/>
      <c r="K579" s="92"/>
      <c r="L579" s="90" t="s">
        <v>472</v>
      </c>
      <c r="M579" s="44"/>
      <c r="N579" s="82"/>
      <c r="O579" s="44"/>
      <c r="P579" s="44">
        <v>0</v>
      </c>
      <c r="Q579" s="44">
        <f>+P579</f>
        <v>0</v>
      </c>
      <c r="R579" s="84">
        <f>+Q579/R568</f>
        <v>0</v>
      </c>
      <c r="S579" s="47"/>
      <c r="T579" s="47"/>
    </row>
    <row r="580" s="27" customFormat="1" ht="18" customHeight="1" spans="1:20">
      <c r="A580" s="34"/>
      <c r="B580" s="48">
        <v>4</v>
      </c>
      <c r="C580" s="48"/>
      <c r="D580" s="85" t="s">
        <v>426</v>
      </c>
      <c r="E580" s="48" t="s">
        <v>392</v>
      </c>
      <c r="F580" s="50"/>
      <c r="G580" s="48"/>
      <c r="H580" s="86"/>
      <c r="I580" s="86"/>
      <c r="J580" s="95">
        <f>SUM(J578:J578)</f>
        <v>165</v>
      </c>
      <c r="K580" s="92"/>
      <c r="L580" s="90"/>
      <c r="M580" s="44"/>
      <c r="N580" s="82"/>
      <c r="O580" s="44"/>
      <c r="P580" s="44"/>
      <c r="Q580" s="44"/>
      <c r="R580" s="84"/>
      <c r="S580" s="47"/>
      <c r="T580" s="47"/>
    </row>
    <row r="581" s="27" customFormat="1" ht="22" customHeight="1" spans="1:20">
      <c r="A581" s="34"/>
      <c r="B581" s="48">
        <v>1</v>
      </c>
      <c r="C581" s="48" t="s">
        <v>394</v>
      </c>
      <c r="D581" s="88" t="s">
        <v>431</v>
      </c>
      <c r="E581" s="72" t="str">
        <f>+VLOOKUP(D581,'材料表 '!C:F,2,0)</f>
        <v>kg</v>
      </c>
      <c r="F581" s="77">
        <f>+SUMIF($L$568:$L$606,D581,$R$568:$R$606)</f>
        <v>20.8216780409474</v>
      </c>
      <c r="G581" s="89">
        <f>+VLOOKUP(D581,'材料表 '!C:F,4,0)</f>
        <v>0.03</v>
      </c>
      <c r="H581" s="74">
        <f t="shared" ref="H581:H590" si="72">F581*(G581+1)</f>
        <v>21.4463283821758</v>
      </c>
      <c r="I581" s="74">
        <f>+VLOOKUP(D581,'材料表 '!C:F,3,0)</f>
        <v>3.80530973451327</v>
      </c>
      <c r="J581" s="95">
        <f t="shared" si="71"/>
        <v>81.6099221622619</v>
      </c>
      <c r="K581" s="92">
        <f ca="1">H581*K567</f>
        <v>8410.40938120208</v>
      </c>
      <c r="L581" s="90"/>
      <c r="M581" s="44"/>
      <c r="N581" s="82"/>
      <c r="O581" s="44"/>
      <c r="P581" s="44"/>
      <c r="Q581" s="44"/>
      <c r="R581" s="84"/>
      <c r="S581" s="47"/>
      <c r="T581" s="47"/>
    </row>
    <row r="582" s="27" customFormat="1" ht="18" customHeight="1" spans="1:20">
      <c r="A582" s="34"/>
      <c r="B582" s="48">
        <v>2</v>
      </c>
      <c r="C582" s="48"/>
      <c r="D582" s="88" t="s">
        <v>461</v>
      </c>
      <c r="E582" s="72" t="str">
        <f>+VLOOKUP(D582,'材料表 '!C:F,2,0)</f>
        <v>kg</v>
      </c>
      <c r="F582" s="77">
        <f t="shared" ref="F582:F590" si="73">+SUMIF($L$568:$L$606,D582,$R$568:$R$606)</f>
        <v>0</v>
      </c>
      <c r="G582" s="89">
        <f>+VLOOKUP(D582,'材料表 '!C:F,4,0)</f>
        <v>0.03</v>
      </c>
      <c r="H582" s="74">
        <f t="shared" si="72"/>
        <v>0</v>
      </c>
      <c r="I582" s="74">
        <f>+VLOOKUP(D582,'材料表 '!C:F,3,0)</f>
        <v>3.53982300884956</v>
      </c>
      <c r="J582" s="95">
        <f t="shared" si="71"/>
        <v>0</v>
      </c>
      <c r="K582" s="92">
        <f ca="1">H582*K567</f>
        <v>0</v>
      </c>
      <c r="L582" s="90"/>
      <c r="M582" s="44"/>
      <c r="N582" s="82"/>
      <c r="O582" s="44"/>
      <c r="P582" s="44"/>
      <c r="Q582" s="44"/>
      <c r="R582" s="84"/>
      <c r="S582" s="47"/>
      <c r="T582" s="47"/>
    </row>
    <row r="583" s="27" customFormat="1" ht="18" customHeight="1" spans="1:20">
      <c r="A583" s="34"/>
      <c r="B583" s="48">
        <v>3</v>
      </c>
      <c r="C583" s="48"/>
      <c r="D583" s="88" t="s">
        <v>465</v>
      </c>
      <c r="E583" s="72" t="str">
        <f>+VLOOKUP(D583,'材料表 '!C:F,2,0)</f>
        <v>kg</v>
      </c>
      <c r="F583" s="77">
        <f t="shared" si="73"/>
        <v>0</v>
      </c>
      <c r="G583" s="89">
        <f>+VLOOKUP(D583,'材料表 '!C:F,4,0)</f>
        <v>0.03</v>
      </c>
      <c r="H583" s="74">
        <f t="shared" si="72"/>
        <v>0</v>
      </c>
      <c r="I583" s="74">
        <f>+VLOOKUP(D583,'材料表 '!C:F,3,0)</f>
        <v>6.01769911504425</v>
      </c>
      <c r="J583" s="95">
        <f t="shared" si="71"/>
        <v>0</v>
      </c>
      <c r="K583" s="92">
        <f ca="1">H583*K567</f>
        <v>0</v>
      </c>
      <c r="L583" s="90"/>
      <c r="M583" s="44"/>
      <c r="N583" s="82"/>
      <c r="O583" s="44"/>
      <c r="P583" s="44"/>
      <c r="Q583" s="44">
        <f>+P583*O583</f>
        <v>0</v>
      </c>
      <c r="R583" s="84">
        <f>+Q583/R568</f>
        <v>0</v>
      </c>
      <c r="S583" s="47"/>
      <c r="T583" s="47"/>
    </row>
    <row r="584" s="27" customFormat="1" ht="18" customHeight="1" spans="1:20">
      <c r="A584" s="34"/>
      <c r="B584" s="48">
        <v>4</v>
      </c>
      <c r="C584" s="48"/>
      <c r="D584" s="88" t="s">
        <v>463</v>
      </c>
      <c r="E584" s="72" t="str">
        <f>+VLOOKUP(D584,'材料表 '!C:F,2,0)</f>
        <v>kg</v>
      </c>
      <c r="F584" s="77">
        <f t="shared" si="73"/>
        <v>0</v>
      </c>
      <c r="G584" s="89">
        <f>+VLOOKUP(D584,'材料表 '!C:F,4,0)</f>
        <v>0.03</v>
      </c>
      <c r="H584" s="74">
        <f t="shared" si="72"/>
        <v>0</v>
      </c>
      <c r="I584" s="74">
        <f>+VLOOKUP(D584,'材料表 '!C:F,3,0)</f>
        <v>6.01769911504425</v>
      </c>
      <c r="J584" s="95">
        <f t="shared" si="71"/>
        <v>0</v>
      </c>
      <c r="K584" s="92">
        <f ca="1">H584*K567</f>
        <v>0</v>
      </c>
      <c r="L584" s="90" t="s">
        <v>474</v>
      </c>
      <c r="M584" s="44"/>
      <c r="N584" s="82"/>
      <c r="O584" s="44"/>
      <c r="P584" s="44"/>
      <c r="Q584" s="44">
        <f>+O574*P574*4</f>
        <v>0</v>
      </c>
      <c r="R584" s="84">
        <f>+Q584/R568</f>
        <v>0</v>
      </c>
      <c r="S584" s="47"/>
      <c r="T584" s="47"/>
    </row>
    <row r="585" s="27" customFormat="1" ht="18" customHeight="1" spans="1:20">
      <c r="A585" s="34"/>
      <c r="B585" s="48">
        <v>5</v>
      </c>
      <c r="C585" s="48"/>
      <c r="D585" s="88" t="s">
        <v>433</v>
      </c>
      <c r="E585" s="72" t="str">
        <f>+VLOOKUP(D585,'材料表 '!C:F,2,0)</f>
        <v>kg</v>
      </c>
      <c r="F585" s="77">
        <f t="shared" si="73"/>
        <v>2.32170084303493</v>
      </c>
      <c r="G585" s="89">
        <f>+VLOOKUP(D585,'材料表 '!C:F,4,0)</f>
        <v>0.03</v>
      </c>
      <c r="H585" s="74">
        <f t="shared" si="72"/>
        <v>2.39135186832598</v>
      </c>
      <c r="I585" s="74">
        <f>+VLOOKUP(D585,'材料表 '!C:F,3,0)</f>
        <v>26.1150442477876</v>
      </c>
      <c r="J585" s="95">
        <f t="shared" si="71"/>
        <v>62.4502598533625</v>
      </c>
      <c r="K585" s="92">
        <f ca="1">H585*K567</f>
        <v>937.794471329618</v>
      </c>
      <c r="L585" s="92" t="s">
        <v>476</v>
      </c>
      <c r="M585" s="44"/>
      <c r="N585" s="82"/>
      <c r="O585" s="44"/>
      <c r="P585" s="44"/>
      <c r="Q585" s="44">
        <f>8*8*(O568*2+P568*3)/500</f>
        <v>2.00832</v>
      </c>
      <c r="R585" s="84">
        <f>+Q585/R568</f>
        <v>0.537486953030911</v>
      </c>
      <c r="S585" s="47"/>
      <c r="T585" s="47"/>
    </row>
    <row r="586" s="27" customFormat="1" ht="18" customHeight="1" spans="1:20">
      <c r="A586" s="34"/>
      <c r="B586" s="48">
        <v>6</v>
      </c>
      <c r="C586" s="48"/>
      <c r="D586" s="88" t="s">
        <v>434</v>
      </c>
      <c r="E586" s="72" t="str">
        <f>+VLOOKUP(D586,'材料表 '!C:F,2,0)</f>
        <v>m2</v>
      </c>
      <c r="F586" s="77">
        <f t="shared" si="73"/>
        <v>0</v>
      </c>
      <c r="G586" s="89">
        <f>+VLOOKUP(D586,'材料表 '!C:F,4,0)</f>
        <v>0</v>
      </c>
      <c r="H586" s="74">
        <f t="shared" si="72"/>
        <v>0</v>
      </c>
      <c r="I586" s="74">
        <f>+VLOOKUP(D586,'材料表 '!C:F,3,0)</f>
        <v>49.5575221238938</v>
      </c>
      <c r="J586" s="95">
        <f t="shared" si="71"/>
        <v>0</v>
      </c>
      <c r="K586" s="92">
        <f ca="1">H586*K567</f>
        <v>0</v>
      </c>
      <c r="L586" s="92" t="s">
        <v>499</v>
      </c>
      <c r="M586" s="44"/>
      <c r="N586" s="82"/>
      <c r="O586" s="44"/>
      <c r="P586" s="44"/>
      <c r="Q586" s="44">
        <v>0</v>
      </c>
      <c r="R586" s="84">
        <f>Q586/R568</f>
        <v>0</v>
      </c>
      <c r="S586" s="47"/>
      <c r="T586" s="47"/>
    </row>
    <row r="587" s="27" customFormat="1" ht="18" customHeight="1" spans="1:20">
      <c r="A587" s="34"/>
      <c r="B587" s="48">
        <v>7</v>
      </c>
      <c r="C587" s="48"/>
      <c r="D587" s="88" t="s">
        <v>472</v>
      </c>
      <c r="E587" s="72" t="str">
        <f>+VLOOKUP(D587,'材料表 '!C:F,2,0)</f>
        <v>套</v>
      </c>
      <c r="F587" s="77">
        <f t="shared" si="73"/>
        <v>0</v>
      </c>
      <c r="G587" s="89">
        <f>+VLOOKUP(D587,'材料表 '!C:F,4,0)</f>
        <v>0</v>
      </c>
      <c r="H587" s="74">
        <f t="shared" si="72"/>
        <v>0</v>
      </c>
      <c r="I587" s="74">
        <f>+VLOOKUP(D587,'材料表 '!C:F,3,0)</f>
        <v>2.47787610619469</v>
      </c>
      <c r="J587" s="95">
        <f t="shared" si="71"/>
        <v>0</v>
      </c>
      <c r="K587" s="92">
        <f ca="1">H587*K567</f>
        <v>0</v>
      </c>
      <c r="L587" s="92"/>
      <c r="M587" s="44"/>
      <c r="N587" s="82"/>
      <c r="O587" s="44"/>
      <c r="P587" s="44"/>
      <c r="Q587" s="44"/>
      <c r="R587" s="84"/>
      <c r="S587" s="47"/>
      <c r="T587" s="47"/>
    </row>
    <row r="588" s="27" customFormat="1" ht="18" customHeight="1" spans="1:20">
      <c r="A588" s="34"/>
      <c r="B588" s="48">
        <v>8</v>
      </c>
      <c r="C588" s="48"/>
      <c r="D588" s="88" t="s">
        <v>474</v>
      </c>
      <c r="E588" s="72" t="str">
        <f>+VLOOKUP(D588,'材料表 '!C:F,2,0)</f>
        <v>套</v>
      </c>
      <c r="F588" s="77">
        <f t="shared" si="73"/>
        <v>0</v>
      </c>
      <c r="G588" s="89">
        <f>+VLOOKUP(D588,'材料表 '!C:F,4,0)</f>
        <v>0</v>
      </c>
      <c r="H588" s="74">
        <f t="shared" si="72"/>
        <v>0</v>
      </c>
      <c r="I588" s="74">
        <f>+VLOOKUP(D588,'材料表 '!C:F,3,0)</f>
        <v>2.21238938053097</v>
      </c>
      <c r="J588" s="95">
        <f t="shared" si="71"/>
        <v>0</v>
      </c>
      <c r="K588" s="92">
        <f ca="1">H588*K567</f>
        <v>0</v>
      </c>
      <c r="L588" s="92"/>
      <c r="M588" s="44"/>
      <c r="N588" s="82"/>
      <c r="O588" s="44"/>
      <c r="P588" s="44"/>
      <c r="Q588" s="44"/>
      <c r="R588" s="84"/>
      <c r="S588" s="47"/>
      <c r="T588" s="47"/>
    </row>
    <row r="589" s="27" customFormat="1" ht="18" customHeight="1" spans="1:20">
      <c r="A589" s="34"/>
      <c r="B589" s="48">
        <v>9</v>
      </c>
      <c r="C589" s="48"/>
      <c r="D589" s="88" t="s">
        <v>476</v>
      </c>
      <c r="E589" s="72" t="str">
        <f>+VLOOKUP(D589,'材料表 '!C:F,2,0)</f>
        <v>支</v>
      </c>
      <c r="F589" s="77">
        <f t="shared" si="73"/>
        <v>0.537486953030911</v>
      </c>
      <c r="G589" s="89">
        <f>+VLOOKUP(D589,'材料表 '!C:F,4,0)</f>
        <v>0.15</v>
      </c>
      <c r="H589" s="74">
        <f t="shared" si="72"/>
        <v>0.618109995985548</v>
      </c>
      <c r="I589" s="74">
        <f>+VLOOKUP(D589,'材料表 '!C:F,3,0)</f>
        <v>11.5044247787611</v>
      </c>
      <c r="J589" s="95">
        <f t="shared" si="71"/>
        <v>7.11099995381606</v>
      </c>
      <c r="K589" s="92">
        <f ca="1">H589*K567</f>
        <v>242.398512986129</v>
      </c>
      <c r="L589" s="90"/>
      <c r="M589" s="44"/>
      <c r="N589" s="82"/>
      <c r="O589" s="34"/>
      <c r="P589" s="44"/>
      <c r="Q589" s="44"/>
      <c r="R589" s="119"/>
      <c r="S589" s="47"/>
      <c r="T589" s="47"/>
    </row>
    <row r="590" s="27" customFormat="1" ht="18" customHeight="1" spans="1:20">
      <c r="A590" s="34"/>
      <c r="B590" s="48">
        <v>10</v>
      </c>
      <c r="C590" s="48"/>
      <c r="D590" s="88" t="s">
        <v>499</v>
      </c>
      <c r="E590" s="72" t="str">
        <f>+VLOOKUP(D590,'材料表 '!C:F,2,0)</f>
        <v>套</v>
      </c>
      <c r="F590" s="77">
        <f t="shared" si="73"/>
        <v>0</v>
      </c>
      <c r="G590" s="89">
        <f>+VLOOKUP(D590,'材料表 '!C:F,4,0)</f>
        <v>0</v>
      </c>
      <c r="H590" s="74">
        <f t="shared" si="72"/>
        <v>0</v>
      </c>
      <c r="I590" s="74">
        <f>+VLOOKUP(D590,'材料表 '!C:F,3,0)</f>
        <v>1.32743362831858</v>
      </c>
      <c r="J590" s="95">
        <f t="shared" si="71"/>
        <v>0</v>
      </c>
      <c r="K590" s="92">
        <f ca="1">H590*K567</f>
        <v>0</v>
      </c>
      <c r="L590" s="92"/>
      <c r="M590" s="120"/>
      <c r="N590" s="82"/>
      <c r="O590" s="44"/>
      <c r="P590" s="44"/>
      <c r="Q590" s="44"/>
      <c r="R590" s="84"/>
      <c r="S590" s="47"/>
      <c r="T590" s="47"/>
    </row>
    <row r="591" s="27" customFormat="1" ht="18" customHeight="1" spans="1:20">
      <c r="A591" s="34"/>
      <c r="B591" s="48">
        <v>11</v>
      </c>
      <c r="C591" s="48"/>
      <c r="D591" s="88"/>
      <c r="E591" s="72"/>
      <c r="F591" s="77"/>
      <c r="G591" s="89"/>
      <c r="H591" s="74"/>
      <c r="I591" s="74"/>
      <c r="J591" s="95">
        <f t="shared" si="71"/>
        <v>0</v>
      </c>
      <c r="K591" s="92">
        <f ca="1">H591*K567</f>
        <v>0</v>
      </c>
      <c r="L591" s="92"/>
      <c r="M591" s="44"/>
      <c r="N591" s="82"/>
      <c r="O591" s="44"/>
      <c r="P591" s="44"/>
      <c r="Q591" s="44"/>
      <c r="R591" s="84"/>
      <c r="S591" s="47"/>
      <c r="T591" s="47"/>
    </row>
    <row r="592" s="27" customFormat="1" ht="28" customHeight="1" spans="1:20">
      <c r="A592" s="34"/>
      <c r="B592" s="48">
        <v>12</v>
      </c>
      <c r="C592" s="48"/>
      <c r="D592" s="210" t="s">
        <v>510</v>
      </c>
      <c r="E592" s="72" t="str">
        <f>+VLOOKUP(D592,'材料表 '!C:F,2,0)</f>
        <v>m2</v>
      </c>
      <c r="F592" s="77">
        <v>1</v>
      </c>
      <c r="G592" s="89">
        <f>+VLOOKUP(D592,'材料表 '!C:F,4,0)</f>
        <v>0.02</v>
      </c>
      <c r="H592" s="74">
        <f>F592*(G592+1)</f>
        <v>1.02</v>
      </c>
      <c r="I592" s="74">
        <f>+VLOOKUP(D592,'材料表 '!C:F,3,0)</f>
        <v>253.097345132743</v>
      </c>
      <c r="J592" s="95">
        <f t="shared" si="71"/>
        <v>258.159292035398</v>
      </c>
      <c r="K592" s="92">
        <f ca="1">H592*K567</f>
        <v>400.00402008</v>
      </c>
      <c r="L592" s="92"/>
      <c r="M592" s="44"/>
      <c r="N592" s="44"/>
      <c r="O592" s="44"/>
      <c r="P592" s="44"/>
      <c r="Q592" s="44"/>
      <c r="R592" s="84"/>
      <c r="S592" s="47"/>
      <c r="T592" s="47"/>
    </row>
    <row r="593" s="27" customFormat="1" ht="18" customHeight="1" spans="1:20">
      <c r="A593" s="34"/>
      <c r="B593" s="48">
        <v>13</v>
      </c>
      <c r="C593" s="48"/>
      <c r="D593" s="88"/>
      <c r="E593" s="72"/>
      <c r="F593" s="77"/>
      <c r="G593" s="89"/>
      <c r="H593" s="74"/>
      <c r="I593" s="74"/>
      <c r="J593" s="95"/>
      <c r="K593" s="92">
        <f ca="1">H593*K567</f>
        <v>0</v>
      </c>
      <c r="L593" s="92"/>
      <c r="M593" s="44"/>
      <c r="N593" s="44"/>
      <c r="O593" s="44"/>
      <c r="P593" s="44"/>
      <c r="Q593" s="44"/>
      <c r="R593" s="84"/>
      <c r="S593" s="47"/>
      <c r="T593" s="47"/>
    </row>
    <row r="594" s="27" customFormat="1" ht="24" customHeight="1" spans="1:20">
      <c r="A594" s="34"/>
      <c r="B594" s="48">
        <v>14</v>
      </c>
      <c r="C594" s="48"/>
      <c r="D594" s="88"/>
      <c r="E594" s="72"/>
      <c r="F594" s="77"/>
      <c r="G594" s="89"/>
      <c r="H594" s="74"/>
      <c r="I594" s="74"/>
      <c r="J594" s="95"/>
      <c r="K594" s="92">
        <f ca="1">H594*K567</f>
        <v>0</v>
      </c>
      <c r="L594" s="92"/>
      <c r="M594" s="44"/>
      <c r="N594" s="44"/>
      <c r="O594" s="44"/>
      <c r="P594" s="44"/>
      <c r="Q594" s="44"/>
      <c r="R594" s="84"/>
      <c r="S594" s="47"/>
      <c r="T594" s="47"/>
    </row>
    <row r="595" s="27" customFormat="1" ht="18" customHeight="1" spans="1:20">
      <c r="A595" s="34"/>
      <c r="B595" s="48">
        <v>15</v>
      </c>
      <c r="C595" s="48"/>
      <c r="D595" s="88"/>
      <c r="E595" s="72"/>
      <c r="F595" s="77"/>
      <c r="G595" s="89"/>
      <c r="H595" s="74"/>
      <c r="I595" s="74"/>
      <c r="J595" s="95"/>
      <c r="K595" s="92"/>
      <c r="L595" s="92"/>
      <c r="M595" s="44"/>
      <c r="N595" s="44"/>
      <c r="O595" s="44"/>
      <c r="P595" s="44"/>
      <c r="Q595" s="44"/>
      <c r="R595" s="84"/>
      <c r="S595" s="47"/>
      <c r="T595" s="47"/>
    </row>
    <row r="596" s="27" customFormat="1" ht="18" customHeight="1" spans="1:20">
      <c r="A596" s="34"/>
      <c r="B596" s="48">
        <v>16</v>
      </c>
      <c r="C596" s="48"/>
      <c r="D596" s="88"/>
      <c r="E596" s="72"/>
      <c r="F596" s="77"/>
      <c r="G596" s="89"/>
      <c r="H596" s="74"/>
      <c r="I596" s="74"/>
      <c r="J596" s="95"/>
      <c r="K596" s="92"/>
      <c r="L596" s="92"/>
      <c r="M596" s="44"/>
      <c r="N596" s="44"/>
      <c r="O596" s="44"/>
      <c r="P596" s="44"/>
      <c r="Q596" s="44"/>
      <c r="R596" s="84"/>
      <c r="S596" s="47"/>
      <c r="T596" s="47"/>
    </row>
    <row r="597" s="27" customFormat="1" ht="18" customHeight="1" spans="1:20">
      <c r="A597" s="34"/>
      <c r="B597" s="48">
        <v>17</v>
      </c>
      <c r="C597" s="48"/>
      <c r="D597" s="121"/>
      <c r="E597" s="72"/>
      <c r="F597" s="77"/>
      <c r="G597" s="89"/>
      <c r="H597" s="74"/>
      <c r="I597" s="74"/>
      <c r="J597" s="95"/>
      <c r="K597" s="92"/>
      <c r="L597" s="92"/>
      <c r="M597" s="44"/>
      <c r="N597" s="44"/>
      <c r="O597" s="44"/>
      <c r="P597" s="44"/>
      <c r="Q597" s="101"/>
      <c r="R597" s="84"/>
      <c r="S597" s="47"/>
      <c r="T597" s="47"/>
    </row>
    <row r="598" s="27" customFormat="1" ht="18" customHeight="1" spans="1:20">
      <c r="A598" s="34"/>
      <c r="B598" s="48">
        <v>18</v>
      </c>
      <c r="C598" s="48"/>
      <c r="D598" s="88"/>
      <c r="E598" s="72"/>
      <c r="F598" s="77"/>
      <c r="G598" s="89"/>
      <c r="H598" s="74"/>
      <c r="I598" s="74"/>
      <c r="J598" s="95"/>
      <c r="K598" s="92"/>
      <c r="L598" s="92"/>
      <c r="M598" s="44"/>
      <c r="N598" s="44"/>
      <c r="O598" s="44"/>
      <c r="P598" s="44"/>
      <c r="Q598" s="44"/>
      <c r="R598" s="84"/>
      <c r="S598" s="47"/>
      <c r="T598" s="47"/>
    </row>
    <row r="599" s="27" customFormat="1" ht="18" customHeight="1" spans="1:20">
      <c r="A599" s="34"/>
      <c r="B599" s="48">
        <v>19</v>
      </c>
      <c r="C599" s="48"/>
      <c r="D599" s="27"/>
      <c r="E599" s="72"/>
      <c r="F599" s="77"/>
      <c r="G599" s="89"/>
      <c r="H599" s="74"/>
      <c r="I599" s="74"/>
      <c r="J599" s="95"/>
      <c r="K599" s="92"/>
      <c r="L599" s="92"/>
      <c r="M599" s="44"/>
      <c r="N599" s="44"/>
      <c r="O599" s="44"/>
      <c r="P599" s="44"/>
      <c r="Q599" s="44"/>
      <c r="R599" s="84"/>
      <c r="S599" s="47"/>
      <c r="T599" s="47"/>
    </row>
    <row r="600" s="27" customFormat="1" ht="18" customHeight="1" spans="1:20">
      <c r="A600" s="34"/>
      <c r="B600" s="48">
        <v>20</v>
      </c>
      <c r="C600" s="48"/>
      <c r="D600" s="88"/>
      <c r="E600" s="72"/>
      <c r="F600" s="77"/>
      <c r="G600" s="89"/>
      <c r="H600" s="74"/>
      <c r="I600" s="74"/>
      <c r="J600" s="95"/>
      <c r="K600" s="92"/>
      <c r="L600" s="92"/>
      <c r="M600" s="44"/>
      <c r="N600" s="44"/>
      <c r="O600" s="44"/>
      <c r="P600" s="44"/>
      <c r="Q600" s="44"/>
      <c r="R600" s="84"/>
      <c r="S600" s="47"/>
      <c r="T600" s="47"/>
    </row>
    <row r="601" s="27" customFormat="1" ht="18" customHeight="1" spans="1:20">
      <c r="A601" s="34"/>
      <c r="B601" s="48">
        <v>21</v>
      </c>
      <c r="C601" s="48"/>
      <c r="D601" s="88"/>
      <c r="E601" s="72"/>
      <c r="F601" s="77"/>
      <c r="G601" s="89"/>
      <c r="H601" s="74"/>
      <c r="I601" s="74"/>
      <c r="J601" s="95"/>
      <c r="K601" s="92"/>
      <c r="L601" s="92"/>
      <c r="M601" s="44"/>
      <c r="N601" s="44"/>
      <c r="O601" s="44"/>
      <c r="P601" s="44"/>
      <c r="Q601" s="44"/>
      <c r="R601" s="84"/>
      <c r="S601" s="47"/>
      <c r="T601" s="47"/>
    </row>
    <row r="602" s="27" customFormat="1" ht="18" customHeight="1" spans="1:20">
      <c r="A602" s="34"/>
      <c r="B602" s="48">
        <v>22</v>
      </c>
      <c r="C602" s="48"/>
      <c r="D602" s="27"/>
      <c r="E602" s="72"/>
      <c r="F602" s="77"/>
      <c r="G602" s="72"/>
      <c r="H602" s="74"/>
      <c r="I602" s="74"/>
      <c r="J602" s="95"/>
      <c r="K602" s="92"/>
      <c r="L602" s="92"/>
      <c r="M602" s="44"/>
      <c r="N602" s="44"/>
      <c r="O602" s="44"/>
      <c r="P602" s="44"/>
      <c r="Q602" s="44"/>
      <c r="R602" s="62"/>
      <c r="S602" s="47"/>
      <c r="T602" s="47"/>
    </row>
    <row r="603" s="27" customFormat="1" ht="18" customHeight="1" spans="1:20">
      <c r="A603" s="34"/>
      <c r="B603" s="48">
        <v>23</v>
      </c>
      <c r="C603" s="48"/>
      <c r="D603" s="88"/>
      <c r="E603" s="72"/>
      <c r="F603" s="77"/>
      <c r="G603" s="89"/>
      <c r="H603" s="74"/>
      <c r="I603" s="74"/>
      <c r="J603" s="95"/>
      <c r="K603" s="92"/>
      <c r="L603" s="92"/>
      <c r="M603" s="44"/>
      <c r="N603" s="44"/>
      <c r="O603" s="44"/>
      <c r="P603" s="44"/>
      <c r="Q603" s="44"/>
      <c r="R603" s="62"/>
      <c r="S603" s="47"/>
      <c r="T603" s="47"/>
    </row>
    <row r="604" s="27" customFormat="1" ht="18" customHeight="1" spans="1:20">
      <c r="A604" s="34"/>
      <c r="B604" s="48">
        <v>24</v>
      </c>
      <c r="C604" s="48"/>
      <c r="D604" s="88" t="s">
        <v>478</v>
      </c>
      <c r="E604" s="72" t="s">
        <v>43</v>
      </c>
      <c r="F604" s="77"/>
      <c r="G604" s="72">
        <v>1</v>
      </c>
      <c r="H604" s="74">
        <v>1</v>
      </c>
      <c r="I604" s="74">
        <f>+辅材及安装费!$E$3</f>
        <v>5</v>
      </c>
      <c r="J604" s="95">
        <f t="shared" ref="J603:J606" si="74">H604*I604</f>
        <v>5</v>
      </c>
      <c r="K604" s="92"/>
      <c r="L604" s="92"/>
      <c r="M604" s="44"/>
      <c r="N604" s="44"/>
      <c r="O604" s="44"/>
      <c r="P604" s="44"/>
      <c r="Q604" s="44"/>
      <c r="R604" s="62"/>
      <c r="S604" s="47"/>
      <c r="T604" s="47"/>
    </row>
    <row r="605" s="27" customFormat="1" ht="18" customHeight="1" spans="1:20">
      <c r="A605" s="34"/>
      <c r="B605" s="48">
        <v>25</v>
      </c>
      <c r="C605" s="48"/>
      <c r="D605" s="93" t="s">
        <v>442</v>
      </c>
      <c r="E605" s="72"/>
      <c r="F605" s="77"/>
      <c r="G605" s="72"/>
      <c r="H605" s="74"/>
      <c r="I605" s="74"/>
      <c r="J605" s="95">
        <f>SUM(J581:J604)</f>
        <v>414.330474004838</v>
      </c>
      <c r="K605" s="92"/>
      <c r="L605" s="94"/>
      <c r="M605" s="27"/>
      <c r="N605" s="83"/>
      <c r="O605" s="83"/>
      <c r="P605" s="83"/>
      <c r="Q605" s="83"/>
      <c r="R605" s="87"/>
      <c r="S605" s="47"/>
      <c r="T605" s="47"/>
    </row>
    <row r="606" s="27" customFormat="1" ht="18" customHeight="1" spans="1:20">
      <c r="A606" s="34"/>
      <c r="B606" s="48">
        <v>1</v>
      </c>
      <c r="C606" s="48" t="s">
        <v>443</v>
      </c>
      <c r="D606" s="48" t="s">
        <v>444</v>
      </c>
      <c r="E606" s="72" t="s">
        <v>43</v>
      </c>
      <c r="F606" s="50"/>
      <c r="G606" s="48"/>
      <c r="H606" s="51">
        <v>1</v>
      </c>
      <c r="I606" s="74">
        <f>+辅材及安装费!$F$3</f>
        <v>5</v>
      </c>
      <c r="J606" s="95">
        <f t="shared" si="74"/>
        <v>5</v>
      </c>
      <c r="K606" s="118"/>
      <c r="L606" s="96"/>
      <c r="M606" s="97"/>
      <c r="N606" s="98"/>
      <c r="O606" s="98"/>
      <c r="P606" s="98"/>
      <c r="Q606" s="98"/>
      <c r="R606" s="99"/>
      <c r="S606" s="47"/>
      <c r="T606" s="47"/>
    </row>
    <row r="607" s="26" customFormat="1" ht="30" customHeight="1" spans="1:20">
      <c r="A607" s="28"/>
      <c r="B607" s="29" t="s">
        <v>386</v>
      </c>
      <c r="C607" s="29"/>
      <c r="D607" s="29"/>
      <c r="E607" s="29"/>
      <c r="F607" s="29"/>
      <c r="G607" s="29"/>
      <c r="H607" s="29"/>
      <c r="I607" s="29"/>
      <c r="J607" s="29"/>
      <c r="K607" s="29"/>
      <c r="L607" s="30"/>
      <c r="M607" s="31"/>
      <c r="N607" s="31"/>
      <c r="O607" s="31"/>
      <c r="P607" s="31"/>
      <c r="Q607" s="31"/>
      <c r="R607" s="32"/>
      <c r="S607" s="33"/>
      <c r="T607" s="33"/>
    </row>
    <row r="608" s="27" customFormat="1" ht="33.75" customHeight="1" spans="1:20">
      <c r="A608" s="34">
        <v>5</v>
      </c>
      <c r="B608" s="35" t="s">
        <v>1</v>
      </c>
      <c r="C608" s="35" t="s">
        <v>387</v>
      </c>
      <c r="D608" s="36" t="str">
        <f>+A616</f>
        <v>2.5㎜银灰色铝板（弧形线条造型）</v>
      </c>
      <c r="E608" s="37"/>
      <c r="F608" s="38" t="s">
        <v>119</v>
      </c>
      <c r="G608" s="39"/>
      <c r="H608" s="35" t="s">
        <v>388</v>
      </c>
      <c r="I608" s="40" t="s">
        <v>389</v>
      </c>
      <c r="J608" s="41" t="s">
        <v>37</v>
      </c>
      <c r="K608" s="42">
        <f ca="1">VLOOKUP(A608,排屋工程量清单!$A$59:$D$86,4,)</f>
        <v>44.403168</v>
      </c>
      <c r="L608" s="43"/>
      <c r="M608" s="44"/>
      <c r="N608" s="44"/>
      <c r="O608" s="44"/>
      <c r="P608" s="45"/>
      <c r="Q608" s="44"/>
      <c r="R608" s="46"/>
      <c r="S608" s="47"/>
      <c r="T608" s="47"/>
    </row>
    <row r="609" s="27" customFormat="1" ht="25" customHeight="1" spans="1:20">
      <c r="A609" s="34"/>
      <c r="B609" s="48">
        <v>1</v>
      </c>
      <c r="C609" s="49" t="s">
        <v>390</v>
      </c>
      <c r="D609" s="48" t="s">
        <v>391</v>
      </c>
      <c r="E609" s="48"/>
      <c r="F609" s="50"/>
      <c r="G609" s="48"/>
      <c r="H609" s="51"/>
      <c r="I609" s="52">
        <f>J621</f>
        <v>165</v>
      </c>
      <c r="J609" s="53" t="s">
        <v>392</v>
      </c>
      <c r="K609" s="54"/>
      <c r="L609" s="55" t="s">
        <v>507</v>
      </c>
      <c r="M609" s="56" t="s">
        <v>508</v>
      </c>
      <c r="N609" s="57"/>
      <c r="O609" s="57">
        <v>0.628</v>
      </c>
      <c r="P609" s="57">
        <v>0.53</v>
      </c>
      <c r="Q609" s="57">
        <v>1</v>
      </c>
      <c r="R609" s="58">
        <f>+Q609*P609*O609</f>
        <v>0.33284</v>
      </c>
      <c r="S609" s="47"/>
      <c r="T609" s="47"/>
    </row>
    <row r="610" s="27" customFormat="1" ht="18" customHeight="1" spans="1:20">
      <c r="A610" s="34"/>
      <c r="B610" s="48">
        <v>2</v>
      </c>
      <c r="C610" s="59"/>
      <c r="D610" s="48" t="s">
        <v>394</v>
      </c>
      <c r="E610" s="48"/>
      <c r="F610" s="50"/>
      <c r="G610" s="48"/>
      <c r="H610" s="51"/>
      <c r="I610" s="52">
        <f>J646</f>
        <v>840.546455242909</v>
      </c>
      <c r="J610" s="53" t="s">
        <v>392</v>
      </c>
      <c r="K610" s="60"/>
      <c r="L610" s="61" t="s">
        <v>119</v>
      </c>
      <c r="M610" s="44"/>
      <c r="N610" s="44"/>
      <c r="O610" s="44"/>
      <c r="P610" s="44"/>
      <c r="Q610" s="44"/>
      <c r="R610" s="62"/>
      <c r="S610" s="47"/>
      <c r="T610" s="47"/>
    </row>
    <row r="611" s="27" customFormat="1" ht="18" customHeight="1" spans="1:20">
      <c r="A611" s="34"/>
      <c r="B611" s="48">
        <v>3</v>
      </c>
      <c r="C611" s="63"/>
      <c r="D611" s="48" t="s">
        <v>395</v>
      </c>
      <c r="E611" s="48"/>
      <c r="F611" s="50"/>
      <c r="G611" s="48"/>
      <c r="H611" s="51"/>
      <c r="I611" s="52">
        <f>J647</f>
        <v>5</v>
      </c>
      <c r="J611" s="53" t="s">
        <v>392</v>
      </c>
      <c r="K611" s="60"/>
      <c r="L611" s="60"/>
      <c r="M611" s="65" t="s">
        <v>396</v>
      </c>
      <c r="N611" s="65" t="s">
        <v>397</v>
      </c>
      <c r="O611" s="65" t="s">
        <v>398</v>
      </c>
      <c r="P611" s="65" t="s">
        <v>399</v>
      </c>
      <c r="Q611" s="65" t="s">
        <v>400</v>
      </c>
      <c r="R611" s="66" t="s">
        <v>401</v>
      </c>
      <c r="S611" s="47"/>
      <c r="T611" s="47"/>
    </row>
    <row r="612" s="27" customFormat="1" ht="18" customHeight="1" spans="1:20">
      <c r="A612" s="34"/>
      <c r="B612" s="48">
        <v>4</v>
      </c>
      <c r="C612" s="48" t="s">
        <v>402</v>
      </c>
      <c r="D612" s="67" t="s">
        <v>403</v>
      </c>
      <c r="E612" s="67"/>
      <c r="F612" s="50"/>
      <c r="G612" s="67"/>
      <c r="H612" s="68"/>
      <c r="I612" s="52">
        <f>SUM(I609:I611)</f>
        <v>1010.54645524291</v>
      </c>
      <c r="J612" s="53" t="s">
        <v>392</v>
      </c>
      <c r="K612" s="60"/>
      <c r="L612" s="69" t="s">
        <v>431</v>
      </c>
      <c r="M612" s="34" t="s">
        <v>509</v>
      </c>
      <c r="N612" s="102">
        <v>10.21</v>
      </c>
      <c r="O612" s="34">
        <f>O609</f>
        <v>0.628</v>
      </c>
      <c r="P612" s="34">
        <v>1</v>
      </c>
      <c r="Q612" s="44">
        <f t="shared" ref="Q612:Q618" si="75">+P612*O612*N612</f>
        <v>6.41188</v>
      </c>
      <c r="R612" s="71">
        <f>+Q612/R609</f>
        <v>19.2641509433962</v>
      </c>
      <c r="S612" s="47"/>
      <c r="T612" s="47"/>
    </row>
    <row r="613" s="27" customFormat="1" ht="28" customHeight="1" spans="1:20">
      <c r="A613" s="34"/>
      <c r="B613" s="48">
        <v>5</v>
      </c>
      <c r="C613" s="72" t="s">
        <v>406</v>
      </c>
      <c r="D613" s="48" t="s">
        <v>407</v>
      </c>
      <c r="E613" s="48"/>
      <c r="F613" s="50"/>
      <c r="G613" s="48"/>
      <c r="H613" s="73">
        <f>+'材料表 '!$E$178</f>
        <v>0</v>
      </c>
      <c r="I613" s="52">
        <f>H613*I612</f>
        <v>0</v>
      </c>
      <c r="J613" s="53" t="s">
        <v>392</v>
      </c>
      <c r="K613" s="60"/>
      <c r="L613" s="69" t="s">
        <v>431</v>
      </c>
      <c r="M613" s="34" t="s">
        <v>509</v>
      </c>
      <c r="N613" s="102">
        <v>10.21</v>
      </c>
      <c r="O613" s="34">
        <f>0.19</f>
        <v>0.19</v>
      </c>
      <c r="P613" s="34">
        <v>1</v>
      </c>
      <c r="Q613" s="44">
        <f t="shared" si="75"/>
        <v>1.9399</v>
      </c>
      <c r="R613" s="71">
        <f>+Q613/R609</f>
        <v>5.8283259223651</v>
      </c>
      <c r="S613" s="47"/>
      <c r="T613" s="47"/>
    </row>
    <row r="614" s="27" customFormat="1" ht="18" customHeight="1" spans="1:20">
      <c r="A614" s="34"/>
      <c r="B614" s="48">
        <v>6</v>
      </c>
      <c r="C614" s="48" t="s">
        <v>409</v>
      </c>
      <c r="D614" s="48" t="s">
        <v>410</v>
      </c>
      <c r="E614" s="48"/>
      <c r="F614" s="50"/>
      <c r="G614" s="48"/>
      <c r="H614" s="73">
        <f>+'材料表 '!$E$179</f>
        <v>0</v>
      </c>
      <c r="I614" s="52">
        <f>H614*I612</f>
        <v>0</v>
      </c>
      <c r="J614" s="53" t="s">
        <v>392</v>
      </c>
      <c r="K614" s="60"/>
      <c r="L614" s="69" t="s">
        <v>461</v>
      </c>
      <c r="M614" s="34" t="s">
        <v>462</v>
      </c>
      <c r="N614" s="34">
        <v>3.77</v>
      </c>
      <c r="O614" s="34">
        <f>0.18</f>
        <v>0.18</v>
      </c>
      <c r="P614" s="34">
        <v>0</v>
      </c>
      <c r="Q614" s="44">
        <f t="shared" si="75"/>
        <v>0</v>
      </c>
      <c r="R614" s="71">
        <f>+Q614/R609</f>
        <v>0</v>
      </c>
      <c r="S614" s="47"/>
      <c r="T614" s="47"/>
    </row>
    <row r="615" s="27" customFormat="1" ht="18" customHeight="1" spans="1:20">
      <c r="A615" s="34"/>
      <c r="B615" s="48">
        <v>7</v>
      </c>
      <c r="C615" s="48" t="s">
        <v>412</v>
      </c>
      <c r="D615" s="72" t="s">
        <v>413</v>
      </c>
      <c r="E615" s="72"/>
      <c r="F615" s="77"/>
      <c r="G615" s="72"/>
      <c r="H615" s="73">
        <f>+'材料表 '!$E$180</f>
        <v>0.09</v>
      </c>
      <c r="I615" s="52">
        <f>(I612+I613+I614)*H615</f>
        <v>90.9491809718618</v>
      </c>
      <c r="J615" s="53" t="s">
        <v>392</v>
      </c>
      <c r="K615" s="60"/>
      <c r="L615" s="69" t="s">
        <v>463</v>
      </c>
      <c r="M615" s="34" t="s">
        <v>464</v>
      </c>
      <c r="N615" s="34">
        <f>0.15*0.2*7.85*10</f>
        <v>2.355</v>
      </c>
      <c r="O615" s="34">
        <v>1</v>
      </c>
      <c r="P615" s="34">
        <v>0</v>
      </c>
      <c r="Q615" s="44">
        <f t="shared" si="75"/>
        <v>0</v>
      </c>
      <c r="R615" s="71">
        <f>+Q615/R609</f>
        <v>0</v>
      </c>
      <c r="S615" s="47"/>
      <c r="T615" s="47"/>
    </row>
    <row r="616" s="27" customFormat="1" ht="18" customHeight="1" spans="1:20">
      <c r="A616" s="105" t="s">
        <v>129</v>
      </c>
      <c r="B616" s="48">
        <v>8</v>
      </c>
      <c r="C616" s="48" t="s">
        <v>363</v>
      </c>
      <c r="D616" s="106" t="s">
        <v>415</v>
      </c>
      <c r="E616" s="107"/>
      <c r="F616" s="108"/>
      <c r="G616" s="107"/>
      <c r="H616" s="51"/>
      <c r="I616" s="74">
        <f>SUM(I612:I615)</f>
        <v>1101.49563621477</v>
      </c>
      <c r="J616" s="53" t="s">
        <v>416</v>
      </c>
      <c r="K616" s="60"/>
      <c r="L616" s="69" t="s">
        <v>465</v>
      </c>
      <c r="M616" s="34" t="s">
        <v>503</v>
      </c>
      <c r="N616" s="126">
        <v>7.034</v>
      </c>
      <c r="O616" s="34">
        <f>85/1000</f>
        <v>0.085</v>
      </c>
      <c r="P616" s="44">
        <f>+P615*O615*1</f>
        <v>0</v>
      </c>
      <c r="Q616" s="44">
        <f t="shared" si="75"/>
        <v>0</v>
      </c>
      <c r="R616" s="84">
        <f>+Q616/R609</f>
        <v>0</v>
      </c>
      <c r="S616" s="79"/>
      <c r="T616" s="47"/>
    </row>
    <row r="617" s="27" customFormat="1" ht="18" customHeight="1" spans="1:20">
      <c r="A617" s="34"/>
      <c r="B617" s="109" t="s">
        <v>418</v>
      </c>
      <c r="C617" s="110"/>
      <c r="D617" s="110"/>
      <c r="E617" s="110"/>
      <c r="F617" s="110"/>
      <c r="G617" s="110"/>
      <c r="H617" s="110"/>
      <c r="I617" s="110"/>
      <c r="J617" s="110"/>
      <c r="K617" s="80"/>
      <c r="L617" s="69" t="s">
        <v>433</v>
      </c>
      <c r="M617" s="44" t="s">
        <v>504</v>
      </c>
      <c r="N617" s="82">
        <f>0.056*3*2.71+0.0675*3*2.71</f>
        <v>1.004055</v>
      </c>
      <c r="O617" s="44">
        <f>O609</f>
        <v>0.628</v>
      </c>
      <c r="P617" s="44">
        <v>1</v>
      </c>
      <c r="Q617" s="44">
        <f t="shared" si="75"/>
        <v>0.63054654</v>
      </c>
      <c r="R617" s="84">
        <f>+Q617/R609</f>
        <v>1.89444339622641</v>
      </c>
      <c r="S617" s="47">
        <f>0.16*P617*O617/R609</f>
        <v>0.30188679245283</v>
      </c>
      <c r="T617" s="47"/>
    </row>
    <row r="618" s="27" customFormat="1" ht="18" customHeight="1" spans="1:20">
      <c r="A618" s="34"/>
      <c r="B618" s="48">
        <v>1</v>
      </c>
      <c r="C618" s="48" t="s">
        <v>391</v>
      </c>
      <c r="D618" s="48" t="s">
        <v>396</v>
      </c>
      <c r="E618" s="48" t="s">
        <v>37</v>
      </c>
      <c r="F618" s="50"/>
      <c r="G618" s="48"/>
      <c r="H618" s="51" t="s">
        <v>399</v>
      </c>
      <c r="I618" s="51" t="s">
        <v>420</v>
      </c>
      <c r="J618" s="95" t="s">
        <v>421</v>
      </c>
      <c r="K618" s="92"/>
      <c r="L618" s="69" t="s">
        <v>433</v>
      </c>
      <c r="M618" s="44" t="s">
        <v>505</v>
      </c>
      <c r="N618" s="82">
        <f>0.056*3*2.71+0.0675*3*2.71</f>
        <v>1.004055</v>
      </c>
      <c r="O618" s="44">
        <f>P609</f>
        <v>0.53</v>
      </c>
      <c r="P618" s="44">
        <v>3</v>
      </c>
      <c r="Q618" s="44">
        <f t="shared" si="75"/>
        <v>1.59644745</v>
      </c>
      <c r="R618" s="84">
        <f>+Q618/R609</f>
        <v>4.79644108280255</v>
      </c>
      <c r="S618" s="47"/>
      <c r="T618" s="47"/>
    </row>
    <row r="619" s="27" customFormat="1" ht="18" customHeight="1" spans="1:20">
      <c r="A619" s="34"/>
      <c r="B619" s="48">
        <v>2</v>
      </c>
      <c r="C619" s="48"/>
      <c r="D619" s="111" t="s">
        <v>491</v>
      </c>
      <c r="E619" s="49" t="s">
        <v>423</v>
      </c>
      <c r="F619" s="112"/>
      <c r="G619" s="111"/>
      <c r="H619" s="113">
        <v>1</v>
      </c>
      <c r="I619" s="113">
        <f>+辅材及安装费!$G$3</f>
        <v>165</v>
      </c>
      <c r="J619" s="114">
        <f t="shared" ref="J619:J633" si="76">H619*I619</f>
        <v>165</v>
      </c>
      <c r="K619" s="92"/>
      <c r="L619" s="90"/>
      <c r="M619" s="44"/>
      <c r="N619" s="82"/>
      <c r="O619" s="44"/>
      <c r="P619" s="44"/>
      <c r="Q619" s="44">
        <v>0</v>
      </c>
      <c r="R619" s="84">
        <f>+Q619/R609</f>
        <v>0</v>
      </c>
      <c r="S619" s="47"/>
      <c r="T619" s="47"/>
    </row>
    <row r="620" s="27" customFormat="1" ht="18" customHeight="1" spans="1:20">
      <c r="A620" s="34"/>
      <c r="B620" s="48">
        <v>3</v>
      </c>
      <c r="C620" s="48"/>
      <c r="D620" s="115"/>
      <c r="E620" s="63"/>
      <c r="F620" s="116"/>
      <c r="G620" s="115"/>
      <c r="H620" s="117"/>
      <c r="I620" s="117"/>
      <c r="J620" s="118"/>
      <c r="K620" s="92"/>
      <c r="L620" s="90" t="s">
        <v>472</v>
      </c>
      <c r="M620" s="44"/>
      <c r="N620" s="82"/>
      <c r="O620" s="44"/>
      <c r="P620" s="44">
        <v>0</v>
      </c>
      <c r="Q620" s="44">
        <f>+P620</f>
        <v>0</v>
      </c>
      <c r="R620" s="84">
        <f>+Q620/R609</f>
        <v>0</v>
      </c>
      <c r="S620" s="47"/>
      <c r="T620" s="47"/>
    </row>
    <row r="621" s="27" customFormat="1" ht="18" customHeight="1" spans="1:20">
      <c r="A621" s="34"/>
      <c r="B621" s="48">
        <v>4</v>
      </c>
      <c r="C621" s="48"/>
      <c r="D621" s="85" t="s">
        <v>426</v>
      </c>
      <c r="E621" s="48" t="s">
        <v>392</v>
      </c>
      <c r="F621" s="50"/>
      <c r="G621" s="48"/>
      <c r="H621" s="86"/>
      <c r="I621" s="86"/>
      <c r="J621" s="95">
        <f>SUM(J619:J619)</f>
        <v>165</v>
      </c>
      <c r="K621" s="92"/>
      <c r="L621" s="90"/>
      <c r="M621" s="44"/>
      <c r="N621" s="82"/>
      <c r="O621" s="44"/>
      <c r="P621" s="44"/>
      <c r="Q621" s="44"/>
      <c r="R621" s="84"/>
      <c r="S621" s="47"/>
      <c r="T621" s="47"/>
    </row>
    <row r="622" s="27" customFormat="1" ht="22" customHeight="1" spans="1:20">
      <c r="A622" s="34"/>
      <c r="B622" s="48">
        <v>1</v>
      </c>
      <c r="C622" s="48" t="s">
        <v>394</v>
      </c>
      <c r="D622" s="88" t="s">
        <v>431</v>
      </c>
      <c r="E622" s="72" t="str">
        <f>+VLOOKUP(D622,'材料表 '!C:F,2,0)</f>
        <v>kg</v>
      </c>
      <c r="F622" s="77">
        <f>+SUMIF($L$609:$L$647,D622,$R$609:$R$647)</f>
        <v>25.0924768657613</v>
      </c>
      <c r="G622" s="89">
        <f>+VLOOKUP(D622,'材料表 '!C:F,4,0)</f>
        <v>0.03</v>
      </c>
      <c r="H622" s="74">
        <f t="shared" ref="H622:H633" si="77">F622*(G622+1)</f>
        <v>25.8452511717341</v>
      </c>
      <c r="I622" s="74">
        <f>+VLOOKUP(D622,'材料表 '!C:F,3,0)</f>
        <v>3.80530973451327</v>
      </c>
      <c r="J622" s="95">
        <f t="shared" si="76"/>
        <v>98.3491858747404</v>
      </c>
      <c r="K622" s="92">
        <f ca="1">H622*K608</f>
        <v>1147.61102978071</v>
      </c>
      <c r="L622" s="90"/>
      <c r="M622" s="44"/>
      <c r="N622" s="82"/>
      <c r="O622" s="44"/>
      <c r="P622" s="44"/>
      <c r="Q622" s="44"/>
      <c r="R622" s="84"/>
      <c r="S622" s="47"/>
      <c r="T622" s="47"/>
    </row>
    <row r="623" s="27" customFormat="1" ht="18" customHeight="1" spans="1:20">
      <c r="A623" s="34"/>
      <c r="B623" s="48">
        <v>2</v>
      </c>
      <c r="C623" s="48"/>
      <c r="D623" s="88" t="s">
        <v>461</v>
      </c>
      <c r="E623" s="72" t="str">
        <f>+VLOOKUP(D623,'材料表 '!C:F,2,0)</f>
        <v>kg</v>
      </c>
      <c r="F623" s="77">
        <f t="shared" ref="F623:F632" si="78">+SUMIF($L$609:$L$647,D623,$R$609:$R$647)</f>
        <v>0</v>
      </c>
      <c r="G623" s="89">
        <f>+VLOOKUP(D623,'材料表 '!C:F,4,0)</f>
        <v>0.03</v>
      </c>
      <c r="H623" s="74">
        <f t="shared" si="77"/>
        <v>0</v>
      </c>
      <c r="I623" s="74">
        <f>+VLOOKUP(D623,'材料表 '!C:F,3,0)</f>
        <v>3.53982300884956</v>
      </c>
      <c r="J623" s="95">
        <f t="shared" si="76"/>
        <v>0</v>
      </c>
      <c r="K623" s="92">
        <f ca="1">H623*K608</f>
        <v>0</v>
      </c>
      <c r="L623" s="90"/>
      <c r="M623" s="44"/>
      <c r="N623" s="82"/>
      <c r="O623" s="44"/>
      <c r="P623" s="44"/>
      <c r="Q623" s="44"/>
      <c r="R623" s="84"/>
      <c r="S623" s="47"/>
      <c r="T623" s="47"/>
    </row>
    <row r="624" s="27" customFormat="1" ht="18" customHeight="1" spans="1:20">
      <c r="A624" s="34"/>
      <c r="B624" s="48">
        <v>3</v>
      </c>
      <c r="C624" s="48"/>
      <c r="D624" s="88" t="s">
        <v>465</v>
      </c>
      <c r="E624" s="72" t="str">
        <f>+VLOOKUP(D624,'材料表 '!C:F,2,0)</f>
        <v>kg</v>
      </c>
      <c r="F624" s="77">
        <f t="shared" si="78"/>
        <v>0</v>
      </c>
      <c r="G624" s="89">
        <f>+VLOOKUP(D624,'材料表 '!C:F,4,0)</f>
        <v>0.03</v>
      </c>
      <c r="H624" s="74">
        <f t="shared" si="77"/>
        <v>0</v>
      </c>
      <c r="I624" s="74">
        <f>+VLOOKUP(D624,'材料表 '!C:F,3,0)</f>
        <v>6.01769911504425</v>
      </c>
      <c r="J624" s="95">
        <f t="shared" si="76"/>
        <v>0</v>
      </c>
      <c r="K624" s="92">
        <f ca="1">H624*K608</f>
        <v>0</v>
      </c>
      <c r="L624" s="90"/>
      <c r="M624" s="44"/>
      <c r="N624" s="82"/>
      <c r="O624" s="44"/>
      <c r="P624" s="44"/>
      <c r="Q624" s="44">
        <f>+P624*O624</f>
        <v>0</v>
      </c>
      <c r="R624" s="84">
        <f>+Q624/R609</f>
        <v>0</v>
      </c>
      <c r="S624" s="47"/>
      <c r="T624" s="47"/>
    </row>
    <row r="625" s="27" customFormat="1" ht="18" customHeight="1" spans="1:20">
      <c r="A625" s="34"/>
      <c r="B625" s="48">
        <v>4</v>
      </c>
      <c r="C625" s="48"/>
      <c r="D625" s="88" t="s">
        <v>463</v>
      </c>
      <c r="E625" s="72" t="str">
        <f>+VLOOKUP(D625,'材料表 '!C:F,2,0)</f>
        <v>kg</v>
      </c>
      <c r="F625" s="77">
        <f t="shared" si="78"/>
        <v>0</v>
      </c>
      <c r="G625" s="89">
        <f>+VLOOKUP(D625,'材料表 '!C:F,4,0)</f>
        <v>0.03</v>
      </c>
      <c r="H625" s="74">
        <f t="shared" si="77"/>
        <v>0</v>
      </c>
      <c r="I625" s="74">
        <f>+VLOOKUP(D625,'材料表 '!C:F,3,0)</f>
        <v>6.01769911504425</v>
      </c>
      <c r="J625" s="95">
        <f t="shared" si="76"/>
        <v>0</v>
      </c>
      <c r="K625" s="92">
        <f ca="1">H625*K608</f>
        <v>0</v>
      </c>
      <c r="L625" s="90" t="s">
        <v>474</v>
      </c>
      <c r="M625" s="44"/>
      <c r="N625" s="82"/>
      <c r="O625" s="44"/>
      <c r="P625" s="44"/>
      <c r="Q625" s="44">
        <f>+O615*P615*4</f>
        <v>0</v>
      </c>
      <c r="R625" s="84">
        <f>+Q625/R609</f>
        <v>0</v>
      </c>
      <c r="S625" s="47"/>
      <c r="T625" s="47"/>
    </row>
    <row r="626" s="27" customFormat="1" ht="18" customHeight="1" spans="1:20">
      <c r="A626" s="34"/>
      <c r="B626" s="48">
        <v>5</v>
      </c>
      <c r="C626" s="48"/>
      <c r="D626" s="88" t="s">
        <v>433</v>
      </c>
      <c r="E626" s="72" t="str">
        <f>+VLOOKUP(D626,'材料表 '!C:F,2,0)</f>
        <v>kg</v>
      </c>
      <c r="F626" s="77">
        <f t="shared" si="78"/>
        <v>6.69088447902896</v>
      </c>
      <c r="G626" s="89">
        <f>+VLOOKUP(D626,'材料表 '!C:F,4,0)</f>
        <v>0.03</v>
      </c>
      <c r="H626" s="74">
        <f t="shared" si="77"/>
        <v>6.89161101339983</v>
      </c>
      <c r="I626" s="74">
        <f>+VLOOKUP(D626,'材料表 '!C:F,3,0)</f>
        <v>26.1150442477876</v>
      </c>
      <c r="J626" s="95">
        <f t="shared" si="76"/>
        <v>179.974726553477</v>
      </c>
      <c r="K626" s="92">
        <f ca="1">H626*K608</f>
        <v>306.009361618643</v>
      </c>
      <c r="L626" s="92" t="s">
        <v>476</v>
      </c>
      <c r="M626" s="44"/>
      <c r="N626" s="82"/>
      <c r="O626" s="44"/>
      <c r="P626" s="44"/>
      <c r="Q626" s="44">
        <f>8*8*(O609*2+P609*1)/500</f>
        <v>0.228608</v>
      </c>
      <c r="R626" s="84">
        <f>+Q626/R609</f>
        <v>0.686840523975484</v>
      </c>
      <c r="S626" s="47"/>
      <c r="T626" s="47"/>
    </row>
    <row r="627" s="27" customFormat="1" ht="18" customHeight="1" spans="1:20">
      <c r="A627" s="34"/>
      <c r="B627" s="48">
        <v>6</v>
      </c>
      <c r="C627" s="48"/>
      <c r="D627" s="88" t="s">
        <v>434</v>
      </c>
      <c r="E627" s="72" t="str">
        <f>+VLOOKUP(D627,'材料表 '!C:F,2,0)</f>
        <v>m2</v>
      </c>
      <c r="F627" s="77">
        <f t="shared" si="78"/>
        <v>0</v>
      </c>
      <c r="G627" s="89">
        <f>+VLOOKUP(D627,'材料表 '!C:F,4,0)</f>
        <v>0</v>
      </c>
      <c r="H627" s="74">
        <f t="shared" si="77"/>
        <v>0</v>
      </c>
      <c r="I627" s="74">
        <f>+VLOOKUP(D627,'材料表 '!C:F,3,0)</f>
        <v>49.5575221238938</v>
      </c>
      <c r="J627" s="95">
        <f t="shared" si="76"/>
        <v>0</v>
      </c>
      <c r="K627" s="92">
        <f ca="1">H627*K608</f>
        <v>0</v>
      </c>
      <c r="L627" s="92" t="s">
        <v>499</v>
      </c>
      <c r="M627" s="44"/>
      <c r="N627" s="82"/>
      <c r="O627" s="44"/>
      <c r="P627" s="44"/>
      <c r="Q627" s="44">
        <v>0</v>
      </c>
      <c r="R627" s="84">
        <f>Q627/R609</f>
        <v>0</v>
      </c>
      <c r="S627" s="47"/>
      <c r="T627" s="47"/>
    </row>
    <row r="628" s="27" customFormat="1" ht="18" customHeight="1" spans="1:20">
      <c r="A628" s="34"/>
      <c r="B628" s="48">
        <v>7</v>
      </c>
      <c r="C628" s="48"/>
      <c r="D628" s="88" t="s">
        <v>472</v>
      </c>
      <c r="E628" s="72" t="str">
        <f>+VLOOKUP(D628,'材料表 '!C:F,2,0)</f>
        <v>套</v>
      </c>
      <c r="F628" s="77">
        <f t="shared" si="78"/>
        <v>0</v>
      </c>
      <c r="G628" s="89">
        <f>+VLOOKUP(D628,'材料表 '!C:F,4,0)</f>
        <v>0</v>
      </c>
      <c r="H628" s="74">
        <f t="shared" si="77"/>
        <v>0</v>
      </c>
      <c r="I628" s="74">
        <f>+VLOOKUP(D628,'材料表 '!C:F,3,0)</f>
        <v>2.47787610619469</v>
      </c>
      <c r="J628" s="95">
        <f t="shared" si="76"/>
        <v>0</v>
      </c>
      <c r="K628" s="92">
        <f ca="1">H628*K608</f>
        <v>0</v>
      </c>
      <c r="L628" s="92"/>
      <c r="M628" s="44"/>
      <c r="N628" s="82"/>
      <c r="O628" s="44"/>
      <c r="P628" s="44"/>
      <c r="Q628" s="44"/>
      <c r="R628" s="84"/>
      <c r="S628" s="47"/>
      <c r="T628" s="47"/>
    </row>
    <row r="629" s="27" customFormat="1" ht="18" customHeight="1" spans="1:20">
      <c r="A629" s="34"/>
      <c r="B629" s="48">
        <v>8</v>
      </c>
      <c r="C629" s="48"/>
      <c r="D629" s="88" t="s">
        <v>474</v>
      </c>
      <c r="E629" s="72" t="str">
        <f>+VLOOKUP(D629,'材料表 '!C:F,2,0)</f>
        <v>套</v>
      </c>
      <c r="F629" s="77">
        <f t="shared" si="78"/>
        <v>0</v>
      </c>
      <c r="G629" s="89">
        <f>+VLOOKUP(D629,'材料表 '!C:F,4,0)</f>
        <v>0</v>
      </c>
      <c r="H629" s="74">
        <f t="shared" si="77"/>
        <v>0</v>
      </c>
      <c r="I629" s="74">
        <f>+VLOOKUP(D629,'材料表 '!C:F,3,0)</f>
        <v>2.21238938053097</v>
      </c>
      <c r="J629" s="95">
        <f t="shared" si="76"/>
        <v>0</v>
      </c>
      <c r="K629" s="92">
        <f ca="1">H629*K608</f>
        <v>0</v>
      </c>
      <c r="L629" s="92"/>
      <c r="M629" s="44"/>
      <c r="N629" s="82"/>
      <c r="O629" s="44"/>
      <c r="P629" s="44"/>
      <c r="Q629" s="44"/>
      <c r="R629" s="84"/>
      <c r="S629" s="47"/>
      <c r="T629" s="47"/>
    </row>
    <row r="630" s="27" customFormat="1" ht="18" customHeight="1" spans="1:20">
      <c r="A630" s="34"/>
      <c r="B630" s="48">
        <v>9</v>
      </c>
      <c r="C630" s="48"/>
      <c r="D630" s="88" t="s">
        <v>476</v>
      </c>
      <c r="E630" s="72" t="str">
        <f>+VLOOKUP(D630,'材料表 '!C:F,2,0)</f>
        <v>支</v>
      </c>
      <c r="F630" s="77">
        <f t="shared" si="78"/>
        <v>0.686840523975484</v>
      </c>
      <c r="G630" s="89">
        <f>+VLOOKUP(D630,'材料表 '!C:F,4,0)</f>
        <v>0.15</v>
      </c>
      <c r="H630" s="74">
        <f t="shared" si="77"/>
        <v>0.789866602571807</v>
      </c>
      <c r="I630" s="74">
        <f>+VLOOKUP(D630,'材料表 '!C:F,3,0)</f>
        <v>11.5044247787611</v>
      </c>
      <c r="J630" s="95">
        <f t="shared" si="76"/>
        <v>9.08696091454294</v>
      </c>
      <c r="K630" s="92">
        <f ca="1">H630*K608</f>
        <v>35.0725794515852</v>
      </c>
      <c r="L630" s="90"/>
      <c r="M630" s="44"/>
      <c r="N630" s="82"/>
      <c r="O630" s="34"/>
      <c r="P630" s="44"/>
      <c r="Q630" s="44"/>
      <c r="R630" s="119"/>
      <c r="S630" s="47"/>
      <c r="T630" s="47"/>
    </row>
    <row r="631" s="27" customFormat="1" ht="18" customHeight="1" spans="1:20">
      <c r="A631" s="34"/>
      <c r="B631" s="48">
        <v>10</v>
      </c>
      <c r="C631" s="48"/>
      <c r="D631" s="88" t="s">
        <v>499</v>
      </c>
      <c r="E631" s="72" t="str">
        <f>+VLOOKUP(D631,'材料表 '!C:F,2,0)</f>
        <v>套</v>
      </c>
      <c r="F631" s="77">
        <f t="shared" si="78"/>
        <v>0</v>
      </c>
      <c r="G631" s="89">
        <f>+VLOOKUP(D631,'材料表 '!C:F,4,0)</f>
        <v>0</v>
      </c>
      <c r="H631" s="74">
        <f t="shared" si="77"/>
        <v>0</v>
      </c>
      <c r="I631" s="74">
        <f>+VLOOKUP(D631,'材料表 '!C:F,3,0)</f>
        <v>1.32743362831858</v>
      </c>
      <c r="J631" s="95">
        <f t="shared" si="76"/>
        <v>0</v>
      </c>
      <c r="K631" s="92">
        <f ca="1">H631*K608</f>
        <v>0</v>
      </c>
      <c r="L631" s="92"/>
      <c r="M631" s="120"/>
      <c r="N631" s="82"/>
      <c r="O631" s="44"/>
      <c r="P631" s="44"/>
      <c r="Q631" s="44"/>
      <c r="R631" s="84"/>
      <c r="S631" s="47"/>
      <c r="T631" s="47"/>
    </row>
    <row r="632" s="27" customFormat="1" ht="18" customHeight="1" spans="1:20">
      <c r="A632" s="34"/>
      <c r="B632" s="48">
        <v>11</v>
      </c>
      <c r="C632" s="48"/>
      <c r="D632" s="88" t="s">
        <v>479</v>
      </c>
      <c r="E632" s="72" t="str">
        <f>+VLOOKUP(D632,'材料表 '!C:F,2,0)</f>
        <v>kg</v>
      </c>
      <c r="F632" s="77">
        <f>R612</f>
        <v>19.2641509433962</v>
      </c>
      <c r="G632" s="89">
        <f>+VLOOKUP(D632,'材料表 '!C:F,4,0)</f>
        <v>0.03</v>
      </c>
      <c r="H632" s="74">
        <f t="shared" si="77"/>
        <v>19.8420754716981</v>
      </c>
      <c r="I632" s="74">
        <f>+VLOOKUP(D632,'材料表 '!C:F,3,0)</f>
        <v>14.1592920353982</v>
      </c>
      <c r="J632" s="95">
        <f t="shared" si="76"/>
        <v>280.949741192185</v>
      </c>
      <c r="K632" s="92">
        <f ca="1">H632*K608</f>
        <v>881.05101063849</v>
      </c>
      <c r="L632" s="92"/>
      <c r="M632" s="44"/>
      <c r="N632" s="82"/>
      <c r="O632" s="44"/>
      <c r="P632" s="44"/>
      <c r="Q632" s="44"/>
      <c r="R632" s="84"/>
      <c r="S632" s="47"/>
      <c r="T632" s="47"/>
    </row>
    <row r="633" s="27" customFormat="1" ht="28" customHeight="1" spans="1:20">
      <c r="A633" s="34"/>
      <c r="B633" s="48">
        <v>12</v>
      </c>
      <c r="C633" s="48"/>
      <c r="D633" s="210" t="s">
        <v>511</v>
      </c>
      <c r="E633" s="72" t="str">
        <f>+VLOOKUP(D633,'材料表 '!C:F,2,0)</f>
        <v>m2</v>
      </c>
      <c r="F633" s="77">
        <v>1</v>
      </c>
      <c r="G633" s="89">
        <f>+VLOOKUP(D633,'材料表 '!C:F,4,0)</f>
        <v>0.02</v>
      </c>
      <c r="H633" s="74">
        <f t="shared" si="77"/>
        <v>1.02</v>
      </c>
      <c r="I633" s="74">
        <f>+VLOOKUP(D633,'材料表 '!C:F,3,0)</f>
        <v>261.946902654867</v>
      </c>
      <c r="J633" s="95">
        <f t="shared" si="76"/>
        <v>267.185840707964</v>
      </c>
      <c r="K633" s="92">
        <f ca="1">H633*K608</f>
        <v>45.29123136</v>
      </c>
      <c r="L633" s="92"/>
      <c r="M633" s="44"/>
      <c r="N633" s="44"/>
      <c r="O633" s="44"/>
      <c r="P633" s="44"/>
      <c r="Q633" s="44"/>
      <c r="R633" s="84"/>
      <c r="S633" s="47"/>
      <c r="T633" s="47"/>
    </row>
    <row r="634" s="27" customFormat="1" ht="18" customHeight="1" spans="1:20">
      <c r="A634" s="34"/>
      <c r="B634" s="48">
        <v>13</v>
      </c>
      <c r="C634" s="48"/>
      <c r="D634" s="88"/>
      <c r="E634" s="72"/>
      <c r="F634" s="77"/>
      <c r="G634" s="89"/>
      <c r="H634" s="74"/>
      <c r="I634" s="74"/>
      <c r="J634" s="95"/>
      <c r="K634" s="92">
        <f ca="1">H634*K608</f>
        <v>0</v>
      </c>
      <c r="L634" s="92"/>
      <c r="M634" s="44"/>
      <c r="N634" s="44"/>
      <c r="O634" s="44"/>
      <c r="P634" s="44"/>
      <c r="Q634" s="44"/>
      <c r="R634" s="84"/>
      <c r="S634" s="47"/>
      <c r="T634" s="47"/>
    </row>
    <row r="635" s="27" customFormat="1" ht="24" customHeight="1" spans="1:20">
      <c r="A635" s="34"/>
      <c r="B635" s="48">
        <v>14</v>
      </c>
      <c r="C635" s="48"/>
      <c r="D635" s="88"/>
      <c r="E635" s="72"/>
      <c r="F635" s="77"/>
      <c r="G635" s="89"/>
      <c r="H635" s="74"/>
      <c r="I635" s="74"/>
      <c r="J635" s="95"/>
      <c r="K635" s="92">
        <f ca="1">H635*K608</f>
        <v>0</v>
      </c>
      <c r="L635" s="92"/>
      <c r="M635" s="44"/>
      <c r="N635" s="44"/>
      <c r="O635" s="44"/>
      <c r="P635" s="44"/>
      <c r="Q635" s="44"/>
      <c r="R635" s="84"/>
      <c r="S635" s="47"/>
      <c r="T635" s="47"/>
    </row>
    <row r="636" s="27" customFormat="1" ht="18" customHeight="1" spans="1:20">
      <c r="A636" s="34"/>
      <c r="B636" s="48">
        <v>15</v>
      </c>
      <c r="C636" s="48"/>
      <c r="D636" s="88"/>
      <c r="E636" s="72"/>
      <c r="F636" s="77"/>
      <c r="G636" s="89"/>
      <c r="H636" s="74"/>
      <c r="I636" s="74"/>
      <c r="J636" s="95"/>
      <c r="K636" s="92"/>
      <c r="L636" s="92"/>
      <c r="M636" s="44"/>
      <c r="N636" s="44"/>
      <c r="O636" s="44"/>
      <c r="P636" s="44"/>
      <c r="Q636" s="44"/>
      <c r="R636" s="84"/>
      <c r="S636" s="47"/>
      <c r="T636" s="47"/>
    </row>
    <row r="637" s="27" customFormat="1" ht="18" customHeight="1" spans="1:20">
      <c r="A637" s="34"/>
      <c r="B637" s="48">
        <v>16</v>
      </c>
      <c r="C637" s="48"/>
      <c r="D637" s="88"/>
      <c r="E637" s="72"/>
      <c r="F637" s="77"/>
      <c r="G637" s="89"/>
      <c r="H637" s="74"/>
      <c r="I637" s="74"/>
      <c r="J637" s="95"/>
      <c r="K637" s="92"/>
      <c r="L637" s="92"/>
      <c r="M637" s="44"/>
      <c r="N637" s="44"/>
      <c r="O637" s="44"/>
      <c r="P637" s="44"/>
      <c r="Q637" s="44"/>
      <c r="R637" s="84"/>
      <c r="S637" s="47"/>
      <c r="T637" s="47"/>
    </row>
    <row r="638" s="27" customFormat="1" ht="18" customHeight="1" spans="1:20">
      <c r="A638" s="34"/>
      <c r="B638" s="48">
        <v>17</v>
      </c>
      <c r="C638" s="48"/>
      <c r="D638" s="121"/>
      <c r="E638" s="72"/>
      <c r="F638" s="77"/>
      <c r="G638" s="89"/>
      <c r="H638" s="74"/>
      <c r="I638" s="74"/>
      <c r="J638" s="95"/>
      <c r="K638" s="92"/>
      <c r="L638" s="92"/>
      <c r="M638" s="44"/>
      <c r="N638" s="44"/>
      <c r="O638" s="44"/>
      <c r="P638" s="44"/>
      <c r="Q638" s="101"/>
      <c r="R638" s="84"/>
      <c r="S638" s="47"/>
      <c r="T638" s="47"/>
    </row>
    <row r="639" s="27" customFormat="1" ht="18" customHeight="1" spans="1:20">
      <c r="A639" s="34"/>
      <c r="B639" s="48">
        <v>18</v>
      </c>
      <c r="C639" s="48"/>
      <c r="D639" s="88"/>
      <c r="E639" s="72"/>
      <c r="F639" s="77"/>
      <c r="G639" s="89"/>
      <c r="H639" s="74"/>
      <c r="I639" s="74"/>
      <c r="J639" s="95"/>
      <c r="K639" s="92"/>
      <c r="L639" s="92"/>
      <c r="M639" s="44"/>
      <c r="N639" s="44"/>
      <c r="O639" s="44"/>
      <c r="P639" s="44"/>
      <c r="Q639" s="44"/>
      <c r="R639" s="84"/>
      <c r="S639" s="47"/>
      <c r="T639" s="47"/>
    </row>
    <row r="640" s="27" customFormat="1" ht="18" customHeight="1" spans="1:20">
      <c r="A640" s="34"/>
      <c r="B640" s="48">
        <v>19</v>
      </c>
      <c r="C640" s="48"/>
      <c r="D640" s="27"/>
      <c r="E640" s="72"/>
      <c r="F640" s="77"/>
      <c r="G640" s="89"/>
      <c r="H640" s="74"/>
      <c r="I640" s="74"/>
      <c r="J640" s="95"/>
      <c r="K640" s="92"/>
      <c r="L640" s="92"/>
      <c r="M640" s="44"/>
      <c r="N640" s="44"/>
      <c r="O640" s="44"/>
      <c r="P640" s="44"/>
      <c r="Q640" s="44"/>
      <c r="R640" s="84"/>
      <c r="S640" s="47"/>
      <c r="T640" s="47"/>
    </row>
    <row r="641" s="27" customFormat="1" ht="18" customHeight="1" spans="1:20">
      <c r="A641" s="34"/>
      <c r="B641" s="48">
        <v>20</v>
      </c>
      <c r="C641" s="48"/>
      <c r="D641" s="88"/>
      <c r="E641" s="72"/>
      <c r="F641" s="77"/>
      <c r="G641" s="89"/>
      <c r="H641" s="74"/>
      <c r="I641" s="74"/>
      <c r="J641" s="95"/>
      <c r="K641" s="92"/>
      <c r="L641" s="92"/>
      <c r="M641" s="44"/>
      <c r="N641" s="44"/>
      <c r="O641" s="44"/>
      <c r="P641" s="44"/>
      <c r="Q641" s="44"/>
      <c r="R641" s="84"/>
      <c r="S641" s="47"/>
      <c r="T641" s="47"/>
    </row>
    <row r="642" s="27" customFormat="1" ht="18" customHeight="1" spans="1:20">
      <c r="A642" s="34"/>
      <c r="B642" s="48">
        <v>21</v>
      </c>
      <c r="C642" s="48"/>
      <c r="D642" s="88"/>
      <c r="E642" s="72"/>
      <c r="F642" s="77"/>
      <c r="G642" s="89"/>
      <c r="H642" s="74"/>
      <c r="I642" s="74"/>
      <c r="J642" s="95"/>
      <c r="K642" s="92"/>
      <c r="L642" s="92"/>
      <c r="M642" s="44"/>
      <c r="N642" s="44"/>
      <c r="O642" s="44"/>
      <c r="P642" s="44"/>
      <c r="Q642" s="44"/>
      <c r="R642" s="84"/>
      <c r="S642" s="47"/>
      <c r="T642" s="47"/>
    </row>
    <row r="643" s="27" customFormat="1" ht="18" customHeight="1" spans="1:20">
      <c r="A643" s="34"/>
      <c r="B643" s="48">
        <v>22</v>
      </c>
      <c r="C643" s="48"/>
      <c r="D643" s="27"/>
      <c r="E643" s="72"/>
      <c r="F643" s="77"/>
      <c r="G643" s="72"/>
      <c r="H643" s="74"/>
      <c r="I643" s="74"/>
      <c r="J643" s="95"/>
      <c r="K643" s="92"/>
      <c r="L643" s="92"/>
      <c r="M643" s="44"/>
      <c r="N643" s="44"/>
      <c r="O643" s="44"/>
      <c r="P643" s="44"/>
      <c r="Q643" s="44"/>
      <c r="R643" s="62"/>
      <c r="S643" s="47"/>
      <c r="T643" s="47"/>
    </row>
    <row r="644" s="27" customFormat="1" ht="18" customHeight="1" spans="1:20">
      <c r="A644" s="34"/>
      <c r="B644" s="48">
        <v>23</v>
      </c>
      <c r="C644" s="48"/>
      <c r="D644" s="88"/>
      <c r="E644" s="72"/>
      <c r="F644" s="77"/>
      <c r="G644" s="89"/>
      <c r="H644" s="74"/>
      <c r="I644" s="74"/>
      <c r="J644" s="95"/>
      <c r="K644" s="92"/>
      <c r="L644" s="92"/>
      <c r="M644" s="44"/>
      <c r="N644" s="44"/>
      <c r="O644" s="44"/>
      <c r="P644" s="44"/>
      <c r="Q644" s="44"/>
      <c r="R644" s="62"/>
      <c r="S644" s="47"/>
      <c r="T644" s="47"/>
    </row>
    <row r="645" s="27" customFormat="1" ht="18" customHeight="1" spans="1:20">
      <c r="A645" s="34"/>
      <c r="B645" s="48">
        <v>24</v>
      </c>
      <c r="C645" s="48"/>
      <c r="D645" s="88" t="s">
        <v>478</v>
      </c>
      <c r="E645" s="72" t="s">
        <v>43</v>
      </c>
      <c r="F645" s="77"/>
      <c r="G645" s="72">
        <v>1</v>
      </c>
      <c r="H645" s="74">
        <v>1</v>
      </c>
      <c r="I645" s="74">
        <f>+辅材及安装费!$E$3</f>
        <v>5</v>
      </c>
      <c r="J645" s="95">
        <f t="shared" ref="J644:J647" si="79">H645*I645</f>
        <v>5</v>
      </c>
      <c r="K645" s="92"/>
      <c r="L645" s="92"/>
      <c r="M645" s="44"/>
      <c r="N645" s="44"/>
      <c r="O645" s="44"/>
      <c r="P645" s="44"/>
      <c r="Q645" s="44"/>
      <c r="R645" s="62"/>
      <c r="S645" s="47"/>
      <c r="T645" s="47"/>
    </row>
    <row r="646" s="27" customFormat="1" ht="18" customHeight="1" spans="1:20">
      <c r="A646" s="34"/>
      <c r="B646" s="48">
        <v>25</v>
      </c>
      <c r="C646" s="48"/>
      <c r="D646" s="93" t="s">
        <v>442</v>
      </c>
      <c r="E646" s="72"/>
      <c r="F646" s="77"/>
      <c r="G646" s="72"/>
      <c r="H646" s="74"/>
      <c r="I646" s="74"/>
      <c r="J646" s="95">
        <f>SUM(J622:J645)</f>
        <v>840.546455242909</v>
      </c>
      <c r="K646" s="92"/>
      <c r="L646" s="94"/>
      <c r="M646" s="27"/>
      <c r="N646" s="83"/>
      <c r="O646" s="83"/>
      <c r="P646" s="83"/>
      <c r="Q646" s="83"/>
      <c r="R646" s="87"/>
      <c r="S646" s="47"/>
      <c r="T646" s="47"/>
    </row>
    <row r="647" s="27" customFormat="1" ht="18" customHeight="1" spans="1:20">
      <c r="A647" s="34"/>
      <c r="B647" s="48">
        <v>1</v>
      </c>
      <c r="C647" s="48" t="s">
        <v>443</v>
      </c>
      <c r="D647" s="48" t="s">
        <v>444</v>
      </c>
      <c r="E647" s="72" t="s">
        <v>43</v>
      </c>
      <c r="F647" s="50"/>
      <c r="G647" s="48"/>
      <c r="H647" s="51">
        <v>1</v>
      </c>
      <c r="I647" s="74">
        <f>+辅材及安装费!$F$3</f>
        <v>5</v>
      </c>
      <c r="J647" s="95">
        <f t="shared" si="79"/>
        <v>5</v>
      </c>
      <c r="K647" s="118"/>
      <c r="L647" s="96"/>
      <c r="M647" s="97"/>
      <c r="N647" s="98"/>
      <c r="O647" s="98"/>
      <c r="P647" s="98"/>
      <c r="Q647" s="98"/>
      <c r="R647" s="99"/>
      <c r="S647" s="47"/>
      <c r="T647" s="47"/>
    </row>
    <row r="648" s="26" customFormat="1" ht="30" customHeight="1" spans="1:20">
      <c r="A648" s="28"/>
      <c r="B648" s="29" t="s">
        <v>386</v>
      </c>
      <c r="C648" s="29"/>
      <c r="D648" s="29"/>
      <c r="E648" s="29"/>
      <c r="F648" s="29"/>
      <c r="G648" s="29"/>
      <c r="H648" s="29"/>
      <c r="I648" s="29"/>
      <c r="J648" s="29"/>
      <c r="K648" s="29"/>
      <c r="L648" s="30"/>
      <c r="M648" s="31"/>
      <c r="N648" s="31"/>
      <c r="O648" s="31"/>
      <c r="P648" s="31"/>
      <c r="Q648" s="31"/>
      <c r="R648" s="32"/>
      <c r="S648" s="33"/>
      <c r="T648" s="33"/>
    </row>
    <row r="649" s="27" customFormat="1" ht="33.75" customHeight="1" spans="1:20">
      <c r="A649" s="34">
        <v>6</v>
      </c>
      <c r="B649" s="35" t="s">
        <v>1</v>
      </c>
      <c r="C649" s="35" t="s">
        <v>387</v>
      </c>
      <c r="D649" s="36" t="str">
        <f>+A657</f>
        <v>2.5㎜香槟色铝单板</v>
      </c>
      <c r="E649" s="37"/>
      <c r="F649" s="38" t="s">
        <v>119</v>
      </c>
      <c r="G649" s="39"/>
      <c r="H649" s="35" t="s">
        <v>388</v>
      </c>
      <c r="I649" s="40" t="s">
        <v>389</v>
      </c>
      <c r="J649" s="41" t="s">
        <v>37</v>
      </c>
      <c r="K649" s="42">
        <f ca="1">VLOOKUP(A649,排屋工程量清单!$A$59:$D$86,4,)</f>
        <v>7.392</v>
      </c>
      <c r="L649" s="43"/>
      <c r="M649" s="44"/>
      <c r="N649" s="44"/>
      <c r="O649" s="44"/>
      <c r="P649" s="45"/>
      <c r="Q649" s="44"/>
      <c r="R649" s="46"/>
      <c r="S649" s="47"/>
      <c r="T649" s="47"/>
    </row>
    <row r="650" s="27" customFormat="1" ht="25" customHeight="1" spans="1:20">
      <c r="A650" s="34"/>
      <c r="B650" s="48">
        <v>1</v>
      </c>
      <c r="C650" s="49" t="s">
        <v>390</v>
      </c>
      <c r="D650" s="48" t="s">
        <v>391</v>
      </c>
      <c r="E650" s="48"/>
      <c r="F650" s="50"/>
      <c r="G650" s="48"/>
      <c r="H650" s="51"/>
      <c r="I650" s="52">
        <f>J662</f>
        <v>165</v>
      </c>
      <c r="J650" s="53" t="s">
        <v>392</v>
      </c>
      <c r="K650" s="54"/>
      <c r="L650" s="55" t="s">
        <v>507</v>
      </c>
      <c r="M650" s="56" t="s">
        <v>512</v>
      </c>
      <c r="N650" s="57"/>
      <c r="O650" s="57">
        <v>0.628</v>
      </c>
      <c r="P650" s="57">
        <v>0.53</v>
      </c>
      <c r="Q650" s="57">
        <v>1</v>
      </c>
      <c r="R650" s="58">
        <f>+Q650*P650*O650</f>
        <v>0.33284</v>
      </c>
      <c r="S650" s="47"/>
      <c r="T650" s="47"/>
    </row>
    <row r="651" s="27" customFormat="1" ht="18" customHeight="1" spans="1:20">
      <c r="A651" s="34"/>
      <c r="B651" s="48">
        <v>2</v>
      </c>
      <c r="C651" s="59"/>
      <c r="D651" s="48" t="s">
        <v>394</v>
      </c>
      <c r="E651" s="48"/>
      <c r="F651" s="50"/>
      <c r="G651" s="48"/>
      <c r="H651" s="51"/>
      <c r="I651" s="52">
        <f>J687</f>
        <v>590.082691155245</v>
      </c>
      <c r="J651" s="53" t="s">
        <v>392</v>
      </c>
      <c r="K651" s="60"/>
      <c r="L651" s="61" t="s">
        <v>119</v>
      </c>
      <c r="M651" s="44"/>
      <c r="N651" s="44"/>
      <c r="O651" s="44"/>
      <c r="P651" s="44"/>
      <c r="Q651" s="44"/>
      <c r="R651" s="62"/>
      <c r="S651" s="47"/>
      <c r="T651" s="47"/>
    </row>
    <row r="652" s="27" customFormat="1" ht="18" customHeight="1" spans="1:20">
      <c r="A652" s="34"/>
      <c r="B652" s="48">
        <v>3</v>
      </c>
      <c r="C652" s="63"/>
      <c r="D652" s="48" t="s">
        <v>395</v>
      </c>
      <c r="E652" s="48"/>
      <c r="F652" s="50"/>
      <c r="G652" s="48"/>
      <c r="H652" s="51"/>
      <c r="I652" s="52">
        <f>J688</f>
        <v>5</v>
      </c>
      <c r="J652" s="53" t="s">
        <v>392</v>
      </c>
      <c r="K652" s="60"/>
      <c r="L652" s="60"/>
      <c r="M652" s="65" t="s">
        <v>396</v>
      </c>
      <c r="N652" s="65" t="s">
        <v>397</v>
      </c>
      <c r="O652" s="65" t="s">
        <v>398</v>
      </c>
      <c r="P652" s="65" t="s">
        <v>399</v>
      </c>
      <c r="Q652" s="65" t="s">
        <v>400</v>
      </c>
      <c r="R652" s="66" t="s">
        <v>401</v>
      </c>
      <c r="S652" s="47"/>
      <c r="T652" s="47"/>
    </row>
    <row r="653" s="27" customFormat="1" ht="18" customHeight="1" spans="1:20">
      <c r="A653" s="34"/>
      <c r="B653" s="48">
        <v>4</v>
      </c>
      <c r="C653" s="48" t="s">
        <v>402</v>
      </c>
      <c r="D653" s="67" t="s">
        <v>403</v>
      </c>
      <c r="E653" s="67"/>
      <c r="F653" s="50"/>
      <c r="G653" s="67"/>
      <c r="H653" s="68"/>
      <c r="I653" s="52">
        <f>SUM(I650:I652)</f>
        <v>760.082691155245</v>
      </c>
      <c r="J653" s="53" t="s">
        <v>392</v>
      </c>
      <c r="K653" s="60"/>
      <c r="L653" s="69" t="s">
        <v>431</v>
      </c>
      <c r="M653" s="34" t="s">
        <v>509</v>
      </c>
      <c r="N653" s="102"/>
      <c r="O653" s="34">
        <f>O650</f>
        <v>0.628</v>
      </c>
      <c r="P653" s="34">
        <v>1</v>
      </c>
      <c r="Q653" s="44">
        <f t="shared" ref="Q653:Q659" si="80">+P653*O653*N653</f>
        <v>0</v>
      </c>
      <c r="R653" s="71">
        <f>+Q653/R650</f>
        <v>0</v>
      </c>
      <c r="S653" s="47"/>
      <c r="T653" s="47"/>
    </row>
    <row r="654" s="27" customFormat="1" ht="28" customHeight="1" spans="1:20">
      <c r="A654" s="34"/>
      <c r="B654" s="48">
        <v>5</v>
      </c>
      <c r="C654" s="72" t="s">
        <v>406</v>
      </c>
      <c r="D654" s="48" t="s">
        <v>407</v>
      </c>
      <c r="E654" s="48"/>
      <c r="F654" s="50"/>
      <c r="G654" s="48"/>
      <c r="H654" s="73">
        <f>+'材料表 '!$E$178</f>
        <v>0</v>
      </c>
      <c r="I654" s="52">
        <f>H654*I653</f>
        <v>0</v>
      </c>
      <c r="J654" s="53" t="s">
        <v>392</v>
      </c>
      <c r="K654" s="60"/>
      <c r="L654" s="69" t="s">
        <v>431</v>
      </c>
      <c r="M654" s="34" t="s">
        <v>509</v>
      </c>
      <c r="N654" s="102"/>
      <c r="O654" s="34">
        <f>0.19</f>
        <v>0.19</v>
      </c>
      <c r="P654" s="34">
        <v>1</v>
      </c>
      <c r="Q654" s="44">
        <f t="shared" si="80"/>
        <v>0</v>
      </c>
      <c r="R654" s="71">
        <f>+Q654/R650</f>
        <v>0</v>
      </c>
      <c r="S654" s="47"/>
      <c r="T654" s="47"/>
    </row>
    <row r="655" s="27" customFormat="1" ht="18" customHeight="1" spans="1:20">
      <c r="A655" s="34"/>
      <c r="B655" s="48">
        <v>6</v>
      </c>
      <c r="C655" s="48" t="s">
        <v>409</v>
      </c>
      <c r="D655" s="48" t="s">
        <v>410</v>
      </c>
      <c r="E655" s="48"/>
      <c r="F655" s="50"/>
      <c r="G655" s="48"/>
      <c r="H655" s="73">
        <f>+'材料表 '!$E$179</f>
        <v>0</v>
      </c>
      <c r="I655" s="52">
        <f>H655*I653</f>
        <v>0</v>
      </c>
      <c r="J655" s="53" t="s">
        <v>392</v>
      </c>
      <c r="K655" s="60"/>
      <c r="L655" s="69" t="s">
        <v>461</v>
      </c>
      <c r="M655" s="34" t="s">
        <v>462</v>
      </c>
      <c r="N655" s="34">
        <v>3.77</v>
      </c>
      <c r="O655" s="34">
        <f>0.18</f>
        <v>0.18</v>
      </c>
      <c r="P655" s="34">
        <v>0</v>
      </c>
      <c r="Q655" s="44">
        <f t="shared" si="80"/>
        <v>0</v>
      </c>
      <c r="R655" s="71">
        <f>+Q655/R650</f>
        <v>0</v>
      </c>
      <c r="S655" s="47"/>
      <c r="T655" s="47"/>
    </row>
    <row r="656" s="27" customFormat="1" ht="18" customHeight="1" spans="1:20">
      <c r="A656" s="34"/>
      <c r="B656" s="48">
        <v>7</v>
      </c>
      <c r="C656" s="48" t="s">
        <v>412</v>
      </c>
      <c r="D656" s="72" t="s">
        <v>413</v>
      </c>
      <c r="E656" s="72"/>
      <c r="F656" s="77"/>
      <c r="G656" s="72"/>
      <c r="H656" s="73">
        <f>+'材料表 '!$E$180</f>
        <v>0.09</v>
      </c>
      <c r="I656" s="52">
        <f>(I653+I654+I655)*H656</f>
        <v>68.4074422039721</v>
      </c>
      <c r="J656" s="53" t="s">
        <v>392</v>
      </c>
      <c r="K656" s="60"/>
      <c r="L656" s="69" t="s">
        <v>463</v>
      </c>
      <c r="M656" s="34" t="s">
        <v>464</v>
      </c>
      <c r="N656" s="34">
        <f>0.15*0.2*7.85*10</f>
        <v>2.355</v>
      </c>
      <c r="O656" s="34">
        <v>1</v>
      </c>
      <c r="P656" s="34">
        <v>0</v>
      </c>
      <c r="Q656" s="44">
        <f t="shared" si="80"/>
        <v>0</v>
      </c>
      <c r="R656" s="71">
        <f>+Q656/R650</f>
        <v>0</v>
      </c>
      <c r="S656" s="47"/>
      <c r="T656" s="47"/>
    </row>
    <row r="657" s="27" customFormat="1" ht="18" customHeight="1" spans="1:20">
      <c r="A657" s="105" t="s">
        <v>131</v>
      </c>
      <c r="B657" s="48">
        <v>8</v>
      </c>
      <c r="C657" s="48" t="s">
        <v>363</v>
      </c>
      <c r="D657" s="106" t="s">
        <v>415</v>
      </c>
      <c r="E657" s="107"/>
      <c r="F657" s="108"/>
      <c r="G657" s="107"/>
      <c r="H657" s="51"/>
      <c r="I657" s="74">
        <f>SUM(I653:I656)</f>
        <v>828.490133359217</v>
      </c>
      <c r="J657" s="53" t="s">
        <v>416</v>
      </c>
      <c r="K657" s="60"/>
      <c r="L657" s="69" t="s">
        <v>465</v>
      </c>
      <c r="M657" s="34" t="s">
        <v>503</v>
      </c>
      <c r="N657" s="126">
        <v>7.034</v>
      </c>
      <c r="O657" s="34">
        <f>85/1000</f>
        <v>0.085</v>
      </c>
      <c r="P657" s="44">
        <f>+P656*O656*1</f>
        <v>0</v>
      </c>
      <c r="Q657" s="44">
        <f t="shared" si="80"/>
        <v>0</v>
      </c>
      <c r="R657" s="84">
        <f>+Q657/R650</f>
        <v>0</v>
      </c>
      <c r="S657" s="79"/>
      <c r="T657" s="47"/>
    </row>
    <row r="658" s="27" customFormat="1" ht="18" customHeight="1" spans="1:20">
      <c r="A658" s="34"/>
      <c r="B658" s="109" t="s">
        <v>418</v>
      </c>
      <c r="C658" s="110"/>
      <c r="D658" s="110"/>
      <c r="E658" s="110"/>
      <c r="F658" s="110"/>
      <c r="G658" s="110"/>
      <c r="H658" s="110"/>
      <c r="I658" s="110"/>
      <c r="J658" s="110"/>
      <c r="K658" s="80"/>
      <c r="L658" s="69" t="s">
        <v>433</v>
      </c>
      <c r="M658" s="44" t="s">
        <v>504</v>
      </c>
      <c r="N658" s="82">
        <f>0.056*3*2.71+0.0675*3*2.71</f>
        <v>1.004055</v>
      </c>
      <c r="O658" s="44">
        <f>O650</f>
        <v>0.628</v>
      </c>
      <c r="P658" s="44">
        <v>1</v>
      </c>
      <c r="Q658" s="44">
        <f t="shared" si="80"/>
        <v>0.63054654</v>
      </c>
      <c r="R658" s="84">
        <f>+Q658/R650</f>
        <v>1.89444339622641</v>
      </c>
      <c r="S658" s="47">
        <f>0.16*P658*O658/R650</f>
        <v>0.30188679245283</v>
      </c>
      <c r="T658" s="47"/>
    </row>
    <row r="659" s="27" customFormat="1" ht="18" customHeight="1" spans="1:20">
      <c r="A659" s="34"/>
      <c r="B659" s="48">
        <v>1</v>
      </c>
      <c r="C659" s="48" t="s">
        <v>391</v>
      </c>
      <c r="D659" s="48" t="s">
        <v>396</v>
      </c>
      <c r="E659" s="48" t="s">
        <v>37</v>
      </c>
      <c r="F659" s="50"/>
      <c r="G659" s="48"/>
      <c r="H659" s="51" t="s">
        <v>399</v>
      </c>
      <c r="I659" s="51" t="s">
        <v>420</v>
      </c>
      <c r="J659" s="95" t="s">
        <v>421</v>
      </c>
      <c r="K659" s="92"/>
      <c r="L659" s="69" t="s">
        <v>433</v>
      </c>
      <c r="M659" s="44" t="s">
        <v>505</v>
      </c>
      <c r="N659" s="82">
        <f>0.056*3*2.71+0.0675*3*2.71</f>
        <v>1.004055</v>
      </c>
      <c r="O659" s="44">
        <f>P650</f>
        <v>0.53</v>
      </c>
      <c r="P659" s="44">
        <v>3</v>
      </c>
      <c r="Q659" s="44">
        <f t="shared" si="80"/>
        <v>1.59644745</v>
      </c>
      <c r="R659" s="84">
        <f>+Q659/R650</f>
        <v>4.79644108280255</v>
      </c>
      <c r="S659" s="47"/>
      <c r="T659" s="47"/>
    </row>
    <row r="660" s="27" customFormat="1" ht="18" customHeight="1" spans="1:20">
      <c r="A660" s="34"/>
      <c r="B660" s="48">
        <v>2</v>
      </c>
      <c r="C660" s="48"/>
      <c r="D660" s="111" t="s">
        <v>491</v>
      </c>
      <c r="E660" s="49" t="s">
        <v>423</v>
      </c>
      <c r="F660" s="112"/>
      <c r="G660" s="111"/>
      <c r="H660" s="113">
        <v>1</v>
      </c>
      <c r="I660" s="113">
        <f>+辅材及安装费!$G$3</f>
        <v>165</v>
      </c>
      <c r="J660" s="114">
        <f t="shared" ref="J660:J674" si="81">H660*I660</f>
        <v>165</v>
      </c>
      <c r="K660" s="92"/>
      <c r="L660" s="90"/>
      <c r="M660" s="44"/>
      <c r="N660" s="82"/>
      <c r="O660" s="44"/>
      <c r="P660" s="44"/>
      <c r="Q660" s="44">
        <v>0</v>
      </c>
      <c r="R660" s="84">
        <f>+Q660/R650</f>
        <v>0</v>
      </c>
      <c r="S660" s="47"/>
      <c r="T660" s="47"/>
    </row>
    <row r="661" s="27" customFormat="1" ht="18" customHeight="1" spans="1:20">
      <c r="A661" s="34"/>
      <c r="B661" s="48">
        <v>3</v>
      </c>
      <c r="C661" s="48"/>
      <c r="D661" s="115"/>
      <c r="E661" s="63"/>
      <c r="F661" s="116"/>
      <c r="G661" s="115"/>
      <c r="H661" s="117"/>
      <c r="I661" s="117"/>
      <c r="J661" s="118"/>
      <c r="K661" s="92"/>
      <c r="L661" s="90" t="s">
        <v>472</v>
      </c>
      <c r="M661" s="44"/>
      <c r="N661" s="82"/>
      <c r="O661" s="44"/>
      <c r="P661" s="44">
        <v>0</v>
      </c>
      <c r="Q661" s="44">
        <f>+P661</f>
        <v>0</v>
      </c>
      <c r="R661" s="84">
        <f>+Q661/R650</f>
        <v>0</v>
      </c>
      <c r="S661" s="47"/>
      <c r="T661" s="47"/>
    </row>
    <row r="662" s="27" customFormat="1" ht="18" customHeight="1" spans="1:20">
      <c r="A662" s="34"/>
      <c r="B662" s="48">
        <v>4</v>
      </c>
      <c r="C662" s="48"/>
      <c r="D662" s="85" t="s">
        <v>426</v>
      </c>
      <c r="E662" s="48" t="s">
        <v>392</v>
      </c>
      <c r="F662" s="50"/>
      <c r="G662" s="48"/>
      <c r="H662" s="86"/>
      <c r="I662" s="86"/>
      <c r="J662" s="95">
        <f>SUM(J660:J660)</f>
        <v>165</v>
      </c>
      <c r="K662" s="92"/>
      <c r="L662" s="90"/>
      <c r="M662" s="44"/>
      <c r="N662" s="82"/>
      <c r="O662" s="44"/>
      <c r="P662" s="44"/>
      <c r="Q662" s="44"/>
      <c r="R662" s="84"/>
      <c r="S662" s="47"/>
      <c r="T662" s="47"/>
    </row>
    <row r="663" s="27" customFormat="1" ht="22" customHeight="1" spans="1:20">
      <c r="A663" s="34"/>
      <c r="B663" s="48">
        <v>1</v>
      </c>
      <c r="C663" s="48" t="s">
        <v>394</v>
      </c>
      <c r="D663" s="88" t="s">
        <v>431</v>
      </c>
      <c r="E663" s="72" t="str">
        <f>+VLOOKUP(D663,'材料表 '!C:F,2,0)</f>
        <v>kg</v>
      </c>
      <c r="F663" s="77">
        <v>10</v>
      </c>
      <c r="G663" s="89">
        <f>+VLOOKUP(D663,'材料表 '!C:F,4,0)</f>
        <v>0.03</v>
      </c>
      <c r="H663" s="74">
        <f t="shared" ref="H663:H674" si="82">F663*(G663+1)</f>
        <v>10.3</v>
      </c>
      <c r="I663" s="74">
        <f>+VLOOKUP(D663,'材料表 '!C:F,3,0)</f>
        <v>3.80530973451327</v>
      </c>
      <c r="J663" s="95">
        <f t="shared" si="81"/>
        <v>39.1946902654867</v>
      </c>
      <c r="K663" s="92">
        <f ca="1">H663*K649</f>
        <v>76.1376</v>
      </c>
      <c r="L663" s="90"/>
      <c r="M663" s="44"/>
      <c r="N663" s="82"/>
      <c r="O663" s="44"/>
      <c r="P663" s="44"/>
      <c r="Q663" s="44"/>
      <c r="R663" s="84"/>
      <c r="S663" s="47"/>
      <c r="T663" s="47"/>
    </row>
    <row r="664" s="27" customFormat="1" ht="18" customHeight="1" spans="1:20">
      <c r="A664" s="34"/>
      <c r="B664" s="48">
        <v>2</v>
      </c>
      <c r="C664" s="48"/>
      <c r="D664" s="88" t="s">
        <v>461</v>
      </c>
      <c r="E664" s="72" t="str">
        <f>+VLOOKUP(D664,'材料表 '!C:F,2,0)</f>
        <v>kg</v>
      </c>
      <c r="F664" s="77">
        <v>2</v>
      </c>
      <c r="G664" s="89">
        <f>+VLOOKUP(D664,'材料表 '!C:F,4,0)</f>
        <v>0.03</v>
      </c>
      <c r="H664" s="74">
        <f t="shared" si="82"/>
        <v>2.06</v>
      </c>
      <c r="I664" s="74">
        <f>+VLOOKUP(D664,'材料表 '!C:F,3,0)</f>
        <v>3.53982300884956</v>
      </c>
      <c r="J664" s="95">
        <f t="shared" si="81"/>
        <v>7.29203539823009</v>
      </c>
      <c r="K664" s="92">
        <f ca="1">H664*K649</f>
        <v>15.22752</v>
      </c>
      <c r="L664" s="90"/>
      <c r="M664" s="44"/>
      <c r="N664" s="82"/>
      <c r="O664" s="44"/>
      <c r="P664" s="44"/>
      <c r="Q664" s="44"/>
      <c r="R664" s="84"/>
      <c r="S664" s="47"/>
      <c r="T664" s="47"/>
    </row>
    <row r="665" s="27" customFormat="1" ht="18" customHeight="1" spans="1:20">
      <c r="A665" s="34"/>
      <c r="B665" s="48">
        <v>3</v>
      </c>
      <c r="C665" s="48"/>
      <c r="D665" s="88" t="s">
        <v>465</v>
      </c>
      <c r="E665" s="72" t="str">
        <f>+VLOOKUP(D665,'材料表 '!C:F,2,0)</f>
        <v>kg</v>
      </c>
      <c r="F665" s="77">
        <v>0.5</v>
      </c>
      <c r="G665" s="89">
        <f>+VLOOKUP(D665,'材料表 '!C:F,4,0)</f>
        <v>0.03</v>
      </c>
      <c r="H665" s="74">
        <f t="shared" si="82"/>
        <v>0.515</v>
      </c>
      <c r="I665" s="74">
        <f>+VLOOKUP(D665,'材料表 '!C:F,3,0)</f>
        <v>6.01769911504425</v>
      </c>
      <c r="J665" s="95">
        <f t="shared" si="81"/>
        <v>3.09911504424779</v>
      </c>
      <c r="K665" s="92">
        <f ca="1">H665*K649</f>
        <v>3.80688</v>
      </c>
      <c r="L665" s="90"/>
      <c r="M665" s="44"/>
      <c r="N665" s="82"/>
      <c r="O665" s="44"/>
      <c r="P665" s="44"/>
      <c r="Q665" s="44">
        <f>+P665*O665</f>
        <v>0</v>
      </c>
      <c r="R665" s="84">
        <f>+Q665/R650</f>
        <v>0</v>
      </c>
      <c r="S665" s="47"/>
      <c r="T665" s="47"/>
    </row>
    <row r="666" s="27" customFormat="1" ht="18" customHeight="1" spans="1:20">
      <c r="A666" s="34"/>
      <c r="B666" s="48">
        <v>4</v>
      </c>
      <c r="C666" s="48"/>
      <c r="D666" s="88" t="s">
        <v>463</v>
      </c>
      <c r="E666" s="72" t="str">
        <f>+VLOOKUP(D666,'材料表 '!C:F,2,0)</f>
        <v>kg</v>
      </c>
      <c r="F666" s="77">
        <f t="shared" ref="F664:F673" si="83">+SUMIF($L$650:$L$688,D666,$R$650:$R$688)</f>
        <v>0</v>
      </c>
      <c r="G666" s="89">
        <f>+VLOOKUP(D666,'材料表 '!C:F,4,0)</f>
        <v>0.03</v>
      </c>
      <c r="H666" s="74">
        <f t="shared" si="82"/>
        <v>0</v>
      </c>
      <c r="I666" s="74">
        <f>+VLOOKUP(D666,'材料表 '!C:F,3,0)</f>
        <v>6.01769911504425</v>
      </c>
      <c r="J666" s="95">
        <f t="shared" si="81"/>
        <v>0</v>
      </c>
      <c r="K666" s="92">
        <f ca="1">H666*K649</f>
        <v>0</v>
      </c>
      <c r="L666" s="90" t="s">
        <v>474</v>
      </c>
      <c r="M666" s="44"/>
      <c r="N666" s="82"/>
      <c r="O666" s="44"/>
      <c r="P666" s="44"/>
      <c r="Q666" s="44">
        <f>+O656*P656*4</f>
        <v>0</v>
      </c>
      <c r="R666" s="84">
        <f>+Q666/R650</f>
        <v>0</v>
      </c>
      <c r="S666" s="47"/>
      <c r="T666" s="47"/>
    </row>
    <row r="667" s="27" customFormat="1" ht="18" customHeight="1" spans="1:20">
      <c r="A667" s="34"/>
      <c r="B667" s="48">
        <v>5</v>
      </c>
      <c r="C667" s="48"/>
      <c r="D667" s="88" t="s">
        <v>433</v>
      </c>
      <c r="E667" s="72" t="str">
        <f>+VLOOKUP(D667,'材料表 '!C:F,2,0)</f>
        <v>kg</v>
      </c>
      <c r="F667" s="77">
        <f t="shared" si="83"/>
        <v>6.69088447902896</v>
      </c>
      <c r="G667" s="89">
        <f>+VLOOKUP(D667,'材料表 '!C:F,4,0)</f>
        <v>0.03</v>
      </c>
      <c r="H667" s="74">
        <f t="shared" si="82"/>
        <v>6.89161101339983</v>
      </c>
      <c r="I667" s="74">
        <f>+VLOOKUP(D667,'材料表 '!C:F,3,0)</f>
        <v>26.1150442477876</v>
      </c>
      <c r="J667" s="95">
        <f t="shared" si="81"/>
        <v>179.974726553477</v>
      </c>
      <c r="K667" s="92">
        <f ca="1">H667*K649</f>
        <v>50.9427886110515</v>
      </c>
      <c r="L667" s="92" t="s">
        <v>476</v>
      </c>
      <c r="M667" s="44"/>
      <c r="N667" s="82"/>
      <c r="O667" s="44"/>
      <c r="P667" s="44"/>
      <c r="Q667" s="44">
        <f>8*8*(O650*2+P650*1)/500</f>
        <v>0.228608</v>
      </c>
      <c r="R667" s="84">
        <f>+Q667/R650</f>
        <v>0.686840523975484</v>
      </c>
      <c r="S667" s="47"/>
      <c r="T667" s="47"/>
    </row>
    <row r="668" s="27" customFormat="1" ht="18" customHeight="1" spans="1:20">
      <c r="A668" s="34"/>
      <c r="B668" s="48">
        <v>6</v>
      </c>
      <c r="C668" s="48"/>
      <c r="D668" s="88" t="s">
        <v>434</v>
      </c>
      <c r="E668" s="72" t="str">
        <f>+VLOOKUP(D668,'材料表 '!C:F,2,0)</f>
        <v>m2</v>
      </c>
      <c r="F668" s="77">
        <f t="shared" si="83"/>
        <v>0</v>
      </c>
      <c r="G668" s="89">
        <f>+VLOOKUP(D668,'材料表 '!C:F,4,0)</f>
        <v>0</v>
      </c>
      <c r="H668" s="74">
        <f t="shared" si="82"/>
        <v>0</v>
      </c>
      <c r="I668" s="74">
        <f>+VLOOKUP(D668,'材料表 '!C:F,3,0)</f>
        <v>49.5575221238938</v>
      </c>
      <c r="J668" s="95">
        <f t="shared" si="81"/>
        <v>0</v>
      </c>
      <c r="K668" s="92">
        <f ca="1">H668*K649</f>
        <v>0</v>
      </c>
      <c r="L668" s="92" t="s">
        <v>499</v>
      </c>
      <c r="M668" s="44"/>
      <c r="N668" s="82"/>
      <c r="O668" s="44"/>
      <c r="P668" s="44"/>
      <c r="Q668" s="44">
        <v>0</v>
      </c>
      <c r="R668" s="84">
        <f>Q668/R650</f>
        <v>0</v>
      </c>
      <c r="S668" s="47"/>
      <c r="T668" s="47"/>
    </row>
    <row r="669" s="27" customFormat="1" ht="18" customHeight="1" spans="1:20">
      <c r="A669" s="34"/>
      <c r="B669" s="48">
        <v>7</v>
      </c>
      <c r="C669" s="48"/>
      <c r="D669" s="88" t="s">
        <v>472</v>
      </c>
      <c r="E669" s="72" t="str">
        <f>+VLOOKUP(D669,'材料表 '!C:F,2,0)</f>
        <v>套</v>
      </c>
      <c r="F669" s="77">
        <f t="shared" si="83"/>
        <v>0</v>
      </c>
      <c r="G669" s="89">
        <f>+VLOOKUP(D669,'材料表 '!C:F,4,0)</f>
        <v>0</v>
      </c>
      <c r="H669" s="74">
        <f t="shared" si="82"/>
        <v>0</v>
      </c>
      <c r="I669" s="74">
        <f>+VLOOKUP(D669,'材料表 '!C:F,3,0)</f>
        <v>2.47787610619469</v>
      </c>
      <c r="J669" s="95">
        <f t="shared" si="81"/>
        <v>0</v>
      </c>
      <c r="K669" s="92">
        <f ca="1">H669*K649</f>
        <v>0</v>
      </c>
      <c r="L669" s="92"/>
      <c r="M669" s="44"/>
      <c r="N669" s="82"/>
      <c r="O669" s="44"/>
      <c r="P669" s="44"/>
      <c r="Q669" s="44"/>
      <c r="R669" s="84"/>
      <c r="S669" s="47"/>
      <c r="T669" s="47"/>
    </row>
    <row r="670" s="27" customFormat="1" ht="18" customHeight="1" spans="1:20">
      <c r="A670" s="34"/>
      <c r="B670" s="48">
        <v>8</v>
      </c>
      <c r="C670" s="48"/>
      <c r="D670" s="88" t="s">
        <v>474</v>
      </c>
      <c r="E670" s="72" t="str">
        <f>+VLOOKUP(D670,'材料表 '!C:F,2,0)</f>
        <v>套</v>
      </c>
      <c r="F670" s="77">
        <f t="shared" si="83"/>
        <v>0</v>
      </c>
      <c r="G670" s="89">
        <f>+VLOOKUP(D670,'材料表 '!C:F,4,0)</f>
        <v>0</v>
      </c>
      <c r="H670" s="74">
        <f t="shared" si="82"/>
        <v>0</v>
      </c>
      <c r="I670" s="74">
        <f>+VLOOKUP(D670,'材料表 '!C:F,3,0)</f>
        <v>2.21238938053097</v>
      </c>
      <c r="J670" s="95">
        <f t="shared" si="81"/>
        <v>0</v>
      </c>
      <c r="K670" s="92">
        <f ca="1">H670*K649</f>
        <v>0</v>
      </c>
      <c r="L670" s="92"/>
      <c r="M670" s="44"/>
      <c r="N670" s="82"/>
      <c r="O670" s="44"/>
      <c r="P670" s="44"/>
      <c r="Q670" s="44"/>
      <c r="R670" s="84"/>
      <c r="S670" s="47"/>
      <c r="T670" s="47"/>
    </row>
    <row r="671" s="27" customFormat="1" ht="18" customHeight="1" spans="1:20">
      <c r="A671" s="34"/>
      <c r="B671" s="48">
        <v>9</v>
      </c>
      <c r="C671" s="48"/>
      <c r="D671" s="88" t="s">
        <v>476</v>
      </c>
      <c r="E671" s="72" t="str">
        <f>+VLOOKUP(D671,'材料表 '!C:F,2,0)</f>
        <v>支</v>
      </c>
      <c r="F671" s="77">
        <v>0.4</v>
      </c>
      <c r="G671" s="89">
        <f>+VLOOKUP(D671,'材料表 '!C:F,4,0)</f>
        <v>0.15</v>
      </c>
      <c r="H671" s="74">
        <f t="shared" si="82"/>
        <v>0.46</v>
      </c>
      <c r="I671" s="74">
        <f>+VLOOKUP(D671,'材料表 '!C:F,3,0)</f>
        <v>11.5044247787611</v>
      </c>
      <c r="J671" s="95">
        <f t="shared" si="81"/>
        <v>5.29203539823011</v>
      </c>
      <c r="K671" s="92">
        <f ca="1">H671*K649</f>
        <v>3.40032</v>
      </c>
      <c r="L671" s="90"/>
      <c r="M671" s="44"/>
      <c r="N671" s="82"/>
      <c r="O671" s="34"/>
      <c r="P671" s="44"/>
      <c r="Q671" s="44"/>
      <c r="R671" s="119"/>
      <c r="S671" s="47"/>
      <c r="T671" s="47"/>
    </row>
    <row r="672" s="27" customFormat="1" ht="18" customHeight="1" spans="1:20">
      <c r="A672" s="34"/>
      <c r="B672" s="48">
        <v>10</v>
      </c>
      <c r="C672" s="48"/>
      <c r="D672" s="88" t="s">
        <v>499</v>
      </c>
      <c r="E672" s="72" t="str">
        <f>+VLOOKUP(D672,'材料表 '!C:F,2,0)</f>
        <v>套</v>
      </c>
      <c r="F672" s="77">
        <f t="shared" si="83"/>
        <v>0</v>
      </c>
      <c r="G672" s="89">
        <f>+VLOOKUP(D672,'材料表 '!C:F,4,0)</f>
        <v>0</v>
      </c>
      <c r="H672" s="74">
        <f t="shared" si="82"/>
        <v>0</v>
      </c>
      <c r="I672" s="74">
        <f>+VLOOKUP(D672,'材料表 '!C:F,3,0)</f>
        <v>1.32743362831858</v>
      </c>
      <c r="J672" s="95">
        <f t="shared" si="81"/>
        <v>0</v>
      </c>
      <c r="K672" s="92">
        <f ca="1">H672*K649</f>
        <v>0</v>
      </c>
      <c r="L672" s="92"/>
      <c r="M672" s="120"/>
      <c r="N672" s="82"/>
      <c r="O672" s="44"/>
      <c r="P672" s="44"/>
      <c r="Q672" s="44"/>
      <c r="R672" s="84"/>
      <c r="S672" s="47"/>
      <c r="T672" s="47"/>
    </row>
    <row r="673" s="27" customFormat="1" ht="18" customHeight="1" spans="1:20">
      <c r="A673" s="34"/>
      <c r="B673" s="48">
        <v>11</v>
      </c>
      <c r="C673" s="48"/>
      <c r="D673" s="88"/>
      <c r="E673" s="72"/>
      <c r="F673" s="77"/>
      <c r="G673" s="89"/>
      <c r="H673" s="74"/>
      <c r="I673" s="74"/>
      <c r="J673" s="95"/>
      <c r="K673" s="92">
        <f ca="1">H673*K649</f>
        <v>0</v>
      </c>
      <c r="L673" s="92"/>
      <c r="M673" s="44"/>
      <c r="N673" s="82"/>
      <c r="O673" s="44"/>
      <c r="P673" s="44"/>
      <c r="Q673" s="44"/>
      <c r="R673" s="84"/>
      <c r="S673" s="47"/>
      <c r="T673" s="47"/>
    </row>
    <row r="674" s="27" customFormat="1" ht="28" customHeight="1" spans="1:20">
      <c r="A674" s="34"/>
      <c r="B674" s="48">
        <v>12</v>
      </c>
      <c r="C674" s="48"/>
      <c r="D674" s="210" t="s">
        <v>513</v>
      </c>
      <c r="E674" s="72" t="str">
        <f>+VLOOKUP(D674,'材料表 '!C:F,2,0)</f>
        <v>m2</v>
      </c>
      <c r="F674" s="77">
        <f>(0.5*3.08)/((0.5+0.25)*3.08/2)</f>
        <v>1.33333333333333</v>
      </c>
      <c r="G674" s="89">
        <f>+VLOOKUP(D674,'材料表 '!C:F,4,0)</f>
        <v>0.02</v>
      </c>
      <c r="H674" s="74">
        <f t="shared" si="82"/>
        <v>1.36</v>
      </c>
      <c r="I674" s="74">
        <f>+VLOOKUP(D674,'材料表 '!C:F,3,0)</f>
        <v>257.522123893805</v>
      </c>
      <c r="J674" s="95">
        <f t="shared" si="81"/>
        <v>350.230088495574</v>
      </c>
      <c r="K674" s="92">
        <f ca="1">H674*K649</f>
        <v>10.05312</v>
      </c>
      <c r="L674" s="92"/>
      <c r="M674" s="44"/>
      <c r="N674" s="44"/>
      <c r="O674" s="44"/>
      <c r="P674" s="44"/>
      <c r="Q674" s="44"/>
      <c r="R674" s="84"/>
      <c r="S674" s="47"/>
      <c r="T674" s="47"/>
    </row>
    <row r="675" s="27" customFormat="1" ht="18" customHeight="1" spans="1:20">
      <c r="A675" s="34"/>
      <c r="B675" s="48">
        <v>13</v>
      </c>
      <c r="C675" s="48"/>
      <c r="D675" s="88"/>
      <c r="E675" s="72"/>
      <c r="F675" s="77"/>
      <c r="G675" s="89"/>
      <c r="H675" s="74"/>
      <c r="I675" s="74"/>
      <c r="J675" s="95"/>
      <c r="K675" s="92">
        <f ca="1">H675*K649</f>
        <v>0</v>
      </c>
      <c r="L675" s="92"/>
      <c r="M675" s="44"/>
      <c r="N675" s="44"/>
      <c r="O675" s="44"/>
      <c r="P675" s="44"/>
      <c r="Q675" s="44"/>
      <c r="R675" s="84"/>
      <c r="S675" s="47"/>
      <c r="T675" s="47"/>
    </row>
    <row r="676" s="27" customFormat="1" ht="24" customHeight="1" spans="1:20">
      <c r="A676" s="34"/>
      <c r="B676" s="48">
        <v>14</v>
      </c>
      <c r="C676" s="48"/>
      <c r="D676" s="88"/>
      <c r="E676" s="72"/>
      <c r="F676" s="77"/>
      <c r="G676" s="89"/>
      <c r="H676" s="74"/>
      <c r="I676" s="74"/>
      <c r="J676" s="95"/>
      <c r="K676" s="92">
        <f ca="1">H676*K649</f>
        <v>0</v>
      </c>
      <c r="L676" s="92"/>
      <c r="M676" s="44"/>
      <c r="N676" s="44"/>
      <c r="O676" s="44"/>
      <c r="P676" s="44"/>
      <c r="Q676" s="44"/>
      <c r="R676" s="84"/>
      <c r="S676" s="47"/>
      <c r="T676" s="47"/>
    </row>
    <row r="677" s="27" customFormat="1" ht="18" customHeight="1" spans="1:20">
      <c r="A677" s="34"/>
      <c r="B677" s="48">
        <v>15</v>
      </c>
      <c r="C677" s="48"/>
      <c r="D677" s="88"/>
      <c r="E677" s="72"/>
      <c r="F677" s="77"/>
      <c r="G677" s="89"/>
      <c r="H677" s="74"/>
      <c r="I677" s="74"/>
      <c r="J677" s="95"/>
      <c r="K677" s="92"/>
      <c r="L677" s="92"/>
      <c r="M677" s="44"/>
      <c r="N677" s="44"/>
      <c r="O677" s="44"/>
      <c r="P677" s="44"/>
      <c r="Q677" s="44"/>
      <c r="R677" s="84"/>
      <c r="S677" s="47"/>
      <c r="T677" s="47"/>
    </row>
    <row r="678" s="27" customFormat="1" ht="18" customHeight="1" spans="1:20">
      <c r="A678" s="34"/>
      <c r="B678" s="48">
        <v>16</v>
      </c>
      <c r="C678" s="48"/>
      <c r="D678" s="88"/>
      <c r="E678" s="72"/>
      <c r="F678" s="77"/>
      <c r="G678" s="89"/>
      <c r="H678" s="74"/>
      <c r="I678" s="74"/>
      <c r="J678" s="95"/>
      <c r="K678" s="92"/>
      <c r="L678" s="92"/>
      <c r="M678" s="44"/>
      <c r="N678" s="44"/>
      <c r="O678" s="44"/>
      <c r="P678" s="44"/>
      <c r="Q678" s="44"/>
      <c r="R678" s="84"/>
      <c r="S678" s="47"/>
      <c r="T678" s="47"/>
    </row>
    <row r="679" s="27" customFormat="1" ht="18" customHeight="1" spans="1:20">
      <c r="A679" s="34"/>
      <c r="B679" s="48">
        <v>17</v>
      </c>
      <c r="C679" s="48"/>
      <c r="D679" s="121"/>
      <c r="E679" s="72"/>
      <c r="F679" s="77"/>
      <c r="G679" s="89"/>
      <c r="H679" s="74"/>
      <c r="I679" s="74"/>
      <c r="J679" s="95"/>
      <c r="K679" s="92"/>
      <c r="L679" s="92"/>
      <c r="M679" s="44"/>
      <c r="N679" s="44"/>
      <c r="O679" s="44"/>
      <c r="P679" s="44"/>
      <c r="Q679" s="101"/>
      <c r="R679" s="84"/>
      <c r="S679" s="47"/>
      <c r="T679" s="47"/>
    </row>
    <row r="680" s="27" customFormat="1" ht="18" customHeight="1" spans="1:20">
      <c r="A680" s="34"/>
      <c r="B680" s="48">
        <v>18</v>
      </c>
      <c r="C680" s="48"/>
      <c r="D680" s="88"/>
      <c r="E680" s="72"/>
      <c r="F680" s="77"/>
      <c r="G680" s="89"/>
      <c r="H680" s="74"/>
      <c r="I680" s="74"/>
      <c r="J680" s="95"/>
      <c r="K680" s="92"/>
      <c r="L680" s="92"/>
      <c r="M680" s="44"/>
      <c r="N680" s="44"/>
      <c r="O680" s="44"/>
      <c r="P680" s="44"/>
      <c r="Q680" s="44"/>
      <c r="R680" s="84"/>
      <c r="S680" s="47"/>
      <c r="T680" s="47"/>
    </row>
    <row r="681" s="27" customFormat="1" ht="18" customHeight="1" spans="1:20">
      <c r="A681" s="34"/>
      <c r="B681" s="48">
        <v>19</v>
      </c>
      <c r="C681" s="48"/>
      <c r="D681" s="27"/>
      <c r="E681" s="72"/>
      <c r="F681" s="77"/>
      <c r="G681" s="89"/>
      <c r="H681" s="74"/>
      <c r="I681" s="74"/>
      <c r="J681" s="95"/>
      <c r="K681" s="92"/>
      <c r="L681" s="92"/>
      <c r="M681" s="44"/>
      <c r="N681" s="44"/>
      <c r="O681" s="44"/>
      <c r="P681" s="44"/>
      <c r="Q681" s="44"/>
      <c r="R681" s="84"/>
      <c r="S681" s="47"/>
      <c r="T681" s="47"/>
    </row>
    <row r="682" s="27" customFormat="1" ht="18" customHeight="1" spans="1:20">
      <c r="A682" s="34"/>
      <c r="B682" s="48">
        <v>20</v>
      </c>
      <c r="C682" s="48"/>
      <c r="D682" s="88"/>
      <c r="E682" s="72"/>
      <c r="F682" s="77"/>
      <c r="G682" s="89"/>
      <c r="H682" s="74"/>
      <c r="I682" s="74"/>
      <c r="J682" s="95"/>
      <c r="K682" s="92"/>
      <c r="L682" s="92"/>
      <c r="M682" s="44"/>
      <c r="N682" s="44"/>
      <c r="O682" s="44"/>
      <c r="P682" s="44"/>
      <c r="Q682" s="44"/>
      <c r="R682" s="84"/>
      <c r="S682" s="47"/>
      <c r="T682" s="47"/>
    </row>
    <row r="683" s="27" customFormat="1" ht="18" customHeight="1" spans="1:20">
      <c r="A683" s="34"/>
      <c r="B683" s="48">
        <v>21</v>
      </c>
      <c r="C683" s="48"/>
      <c r="D683" s="88"/>
      <c r="E683" s="72"/>
      <c r="F683" s="77"/>
      <c r="G683" s="89"/>
      <c r="H683" s="74"/>
      <c r="I683" s="74"/>
      <c r="J683" s="95"/>
      <c r="K683" s="92"/>
      <c r="L683" s="92"/>
      <c r="M683" s="44"/>
      <c r="N683" s="44"/>
      <c r="O683" s="44"/>
      <c r="P683" s="44"/>
      <c r="Q683" s="44"/>
      <c r="R683" s="84"/>
      <c r="S683" s="47"/>
      <c r="T683" s="47"/>
    </row>
    <row r="684" s="27" customFormat="1" ht="18" customHeight="1" spans="1:20">
      <c r="A684" s="34"/>
      <c r="B684" s="48">
        <v>22</v>
      </c>
      <c r="C684" s="48"/>
      <c r="D684" s="27"/>
      <c r="E684" s="72"/>
      <c r="F684" s="77"/>
      <c r="G684" s="72"/>
      <c r="H684" s="74"/>
      <c r="I684" s="74"/>
      <c r="J684" s="95"/>
      <c r="K684" s="92"/>
      <c r="L684" s="92"/>
      <c r="M684" s="44"/>
      <c r="N684" s="44"/>
      <c r="O684" s="44"/>
      <c r="P684" s="44"/>
      <c r="Q684" s="44"/>
      <c r="R684" s="62"/>
      <c r="S684" s="47"/>
      <c r="T684" s="47"/>
    </row>
    <row r="685" s="27" customFormat="1" ht="18" customHeight="1" spans="1:20">
      <c r="A685" s="34"/>
      <c r="B685" s="48">
        <v>23</v>
      </c>
      <c r="C685" s="48"/>
      <c r="D685" s="88"/>
      <c r="E685" s="72"/>
      <c r="F685" s="77"/>
      <c r="G685" s="89"/>
      <c r="H685" s="74"/>
      <c r="I685" s="74"/>
      <c r="J685" s="95"/>
      <c r="K685" s="92"/>
      <c r="L685" s="92"/>
      <c r="M685" s="44"/>
      <c r="N685" s="44"/>
      <c r="O685" s="44"/>
      <c r="P685" s="44"/>
      <c r="Q685" s="44"/>
      <c r="R685" s="62"/>
      <c r="S685" s="47"/>
      <c r="T685" s="47"/>
    </row>
    <row r="686" s="27" customFormat="1" ht="18" customHeight="1" spans="1:20">
      <c r="A686" s="34"/>
      <c r="B686" s="48">
        <v>24</v>
      </c>
      <c r="C686" s="48"/>
      <c r="D686" s="88" t="s">
        <v>478</v>
      </c>
      <c r="E686" s="72" t="s">
        <v>43</v>
      </c>
      <c r="F686" s="77"/>
      <c r="G686" s="72">
        <v>1</v>
      </c>
      <c r="H686" s="74">
        <v>1</v>
      </c>
      <c r="I686" s="74">
        <f>+辅材及安装费!$E$3</f>
        <v>5</v>
      </c>
      <c r="J686" s="95">
        <f t="shared" ref="J685:J688" si="84">H686*I686</f>
        <v>5</v>
      </c>
      <c r="K686" s="92"/>
      <c r="L686" s="92"/>
      <c r="M686" s="44"/>
      <c r="N686" s="44"/>
      <c r="O686" s="44"/>
      <c r="P686" s="44"/>
      <c r="Q686" s="44"/>
      <c r="R686" s="62"/>
      <c r="S686" s="47"/>
      <c r="T686" s="47"/>
    </row>
    <row r="687" s="27" customFormat="1" ht="18" customHeight="1" spans="1:20">
      <c r="A687" s="34"/>
      <c r="B687" s="48">
        <v>25</v>
      </c>
      <c r="C687" s="48"/>
      <c r="D687" s="93" t="s">
        <v>442</v>
      </c>
      <c r="E687" s="72"/>
      <c r="F687" s="77"/>
      <c r="G687" s="72"/>
      <c r="H687" s="74"/>
      <c r="I687" s="74"/>
      <c r="J687" s="95">
        <f>SUM(J663:J686)</f>
        <v>590.082691155245</v>
      </c>
      <c r="K687" s="92"/>
      <c r="L687" s="94"/>
      <c r="M687" s="27"/>
      <c r="N687" s="83"/>
      <c r="O687" s="83"/>
      <c r="P687" s="83"/>
      <c r="Q687" s="83"/>
      <c r="R687" s="87"/>
      <c r="S687" s="47"/>
      <c r="T687" s="47"/>
    </row>
    <row r="688" s="27" customFormat="1" ht="18" customHeight="1" spans="1:20">
      <c r="A688" s="34"/>
      <c r="B688" s="48">
        <v>1</v>
      </c>
      <c r="C688" s="48" t="s">
        <v>443</v>
      </c>
      <c r="D688" s="48" t="s">
        <v>444</v>
      </c>
      <c r="E688" s="72" t="s">
        <v>43</v>
      </c>
      <c r="F688" s="50"/>
      <c r="G688" s="48"/>
      <c r="H688" s="51">
        <v>1</v>
      </c>
      <c r="I688" s="74">
        <f>+辅材及安装费!$F$3</f>
        <v>5</v>
      </c>
      <c r="J688" s="95">
        <f t="shared" si="84"/>
        <v>5</v>
      </c>
      <c r="K688" s="118"/>
      <c r="L688" s="96"/>
      <c r="M688" s="97"/>
      <c r="N688" s="98"/>
      <c r="O688" s="98"/>
      <c r="P688" s="98"/>
      <c r="Q688" s="98"/>
      <c r="R688" s="99"/>
      <c r="S688" s="47"/>
      <c r="T688" s="47"/>
    </row>
    <row r="689" s="26" customFormat="1" ht="30" customHeight="1" spans="1:20">
      <c r="A689" s="28"/>
      <c r="B689" s="29" t="s">
        <v>386</v>
      </c>
      <c r="C689" s="29"/>
      <c r="D689" s="29"/>
      <c r="E689" s="29"/>
      <c r="F689" s="29"/>
      <c r="G689" s="29"/>
      <c r="H689" s="29"/>
      <c r="I689" s="29"/>
      <c r="J689" s="29"/>
      <c r="K689" s="29"/>
      <c r="L689" s="30"/>
      <c r="M689" s="31"/>
      <c r="N689" s="31"/>
      <c r="O689" s="31"/>
      <c r="P689" s="31"/>
      <c r="Q689" s="31"/>
      <c r="R689" s="32"/>
      <c r="S689" s="33"/>
      <c r="T689" s="33"/>
    </row>
    <row r="690" s="27" customFormat="1" ht="33.75" customHeight="1" spans="1:20">
      <c r="A690" s="34">
        <v>7</v>
      </c>
      <c r="B690" s="35" t="s">
        <v>1</v>
      </c>
      <c r="C690" s="35" t="s">
        <v>387</v>
      </c>
      <c r="D690" s="36" t="str">
        <f>+A698</f>
        <v>2.5㎜香槟色铝单板（弧形）</v>
      </c>
      <c r="E690" s="37"/>
      <c r="F690" s="38" t="s">
        <v>119</v>
      </c>
      <c r="G690" s="39"/>
      <c r="H690" s="35" t="s">
        <v>388</v>
      </c>
      <c r="I690" s="40" t="s">
        <v>389</v>
      </c>
      <c r="J690" s="41" t="s">
        <v>37</v>
      </c>
      <c r="K690" s="42">
        <f ca="1">VLOOKUP(A690,排屋工程量清单!$A$59:$D$86,4,)</f>
        <v>1.4304</v>
      </c>
      <c r="L690" s="43"/>
      <c r="M690" s="44"/>
      <c r="N690" s="44"/>
      <c r="O690" s="44"/>
      <c r="P690" s="45"/>
      <c r="Q690" s="44"/>
      <c r="R690" s="46"/>
      <c r="S690" s="47"/>
      <c r="T690" s="47"/>
    </row>
    <row r="691" s="27" customFormat="1" ht="25" customHeight="1" spans="1:20">
      <c r="A691" s="34"/>
      <c r="B691" s="48">
        <v>1</v>
      </c>
      <c r="C691" s="49" t="s">
        <v>390</v>
      </c>
      <c r="D691" s="48" t="s">
        <v>391</v>
      </c>
      <c r="E691" s="48"/>
      <c r="F691" s="50"/>
      <c r="G691" s="48"/>
      <c r="H691" s="51"/>
      <c r="I691" s="52">
        <f>J703</f>
        <v>165</v>
      </c>
      <c r="J691" s="53" t="s">
        <v>392</v>
      </c>
      <c r="K691" s="54"/>
      <c r="L691" s="55" t="s">
        <v>507</v>
      </c>
      <c r="M691" s="56" t="s">
        <v>512</v>
      </c>
      <c r="N691" s="57"/>
      <c r="O691" s="57">
        <v>0.628</v>
      </c>
      <c r="P691" s="57">
        <v>0.53</v>
      </c>
      <c r="Q691" s="57">
        <v>1</v>
      </c>
      <c r="R691" s="58">
        <f>+Q691*P691*O691</f>
        <v>0.33284</v>
      </c>
      <c r="S691" s="47"/>
      <c r="T691" s="47"/>
    </row>
    <row r="692" s="27" customFormat="1" ht="18" customHeight="1" spans="1:20">
      <c r="A692" s="34"/>
      <c r="B692" s="48">
        <v>2</v>
      </c>
      <c r="C692" s="59"/>
      <c r="D692" s="48" t="s">
        <v>394</v>
      </c>
      <c r="E692" s="48"/>
      <c r="F692" s="50"/>
      <c r="G692" s="48"/>
      <c r="H692" s="51"/>
      <c r="I692" s="52">
        <f>J728</f>
        <v>631.286230978254</v>
      </c>
      <c r="J692" s="53" t="s">
        <v>392</v>
      </c>
      <c r="K692" s="60"/>
      <c r="L692" s="61" t="s">
        <v>119</v>
      </c>
      <c r="M692" s="44"/>
      <c r="N692" s="44"/>
      <c r="O692" s="44"/>
      <c r="P692" s="44"/>
      <c r="Q692" s="44"/>
      <c r="R692" s="62"/>
      <c r="S692" s="47"/>
      <c r="T692" s="47"/>
    </row>
    <row r="693" s="27" customFormat="1" ht="18" customHeight="1" spans="1:20">
      <c r="A693" s="34"/>
      <c r="B693" s="48">
        <v>3</v>
      </c>
      <c r="C693" s="63"/>
      <c r="D693" s="48" t="s">
        <v>395</v>
      </c>
      <c r="E693" s="48"/>
      <c r="F693" s="50"/>
      <c r="G693" s="48"/>
      <c r="H693" s="51"/>
      <c r="I693" s="52">
        <f>J729</f>
        <v>5</v>
      </c>
      <c r="J693" s="53" t="s">
        <v>392</v>
      </c>
      <c r="K693" s="60"/>
      <c r="L693" s="60"/>
      <c r="M693" s="65" t="s">
        <v>396</v>
      </c>
      <c r="N693" s="65" t="s">
        <v>397</v>
      </c>
      <c r="O693" s="65" t="s">
        <v>398</v>
      </c>
      <c r="P693" s="65" t="s">
        <v>399</v>
      </c>
      <c r="Q693" s="65" t="s">
        <v>400</v>
      </c>
      <c r="R693" s="66" t="s">
        <v>401</v>
      </c>
      <c r="S693" s="47"/>
      <c r="T693" s="47"/>
    </row>
    <row r="694" s="27" customFormat="1" ht="18" customHeight="1" spans="1:20">
      <c r="A694" s="34"/>
      <c r="B694" s="48">
        <v>4</v>
      </c>
      <c r="C694" s="48" t="s">
        <v>402</v>
      </c>
      <c r="D694" s="67" t="s">
        <v>403</v>
      </c>
      <c r="E694" s="67"/>
      <c r="F694" s="50"/>
      <c r="G694" s="67"/>
      <c r="H694" s="68"/>
      <c r="I694" s="52">
        <f>SUM(I691:I693)</f>
        <v>801.286230978254</v>
      </c>
      <c r="J694" s="53" t="s">
        <v>392</v>
      </c>
      <c r="K694" s="60"/>
      <c r="L694" s="69" t="s">
        <v>431</v>
      </c>
      <c r="M694" s="34" t="s">
        <v>509</v>
      </c>
      <c r="N694" s="102"/>
      <c r="O694" s="34">
        <f>O691</f>
        <v>0.628</v>
      </c>
      <c r="P694" s="34">
        <v>1</v>
      </c>
      <c r="Q694" s="44">
        <f t="shared" ref="Q694:Q700" si="85">+P694*O694*N694</f>
        <v>0</v>
      </c>
      <c r="R694" s="71">
        <f>+Q694/R691</f>
        <v>0</v>
      </c>
      <c r="S694" s="47"/>
      <c r="T694" s="47"/>
    </row>
    <row r="695" s="27" customFormat="1" ht="28" customHeight="1" spans="1:20">
      <c r="A695" s="34"/>
      <c r="B695" s="48">
        <v>5</v>
      </c>
      <c r="C695" s="72" t="s">
        <v>406</v>
      </c>
      <c r="D695" s="48" t="s">
        <v>407</v>
      </c>
      <c r="E695" s="48"/>
      <c r="F695" s="50"/>
      <c r="G695" s="48"/>
      <c r="H695" s="73">
        <f>+'材料表 '!$E$178</f>
        <v>0</v>
      </c>
      <c r="I695" s="52">
        <f>H695*I694</f>
        <v>0</v>
      </c>
      <c r="J695" s="53" t="s">
        <v>392</v>
      </c>
      <c r="K695" s="60"/>
      <c r="L695" s="69" t="s">
        <v>431</v>
      </c>
      <c r="M695" s="34" t="s">
        <v>509</v>
      </c>
      <c r="N695" s="102"/>
      <c r="O695" s="34">
        <f>0.19</f>
        <v>0.19</v>
      </c>
      <c r="P695" s="34">
        <v>1</v>
      </c>
      <c r="Q695" s="44">
        <f t="shared" si="85"/>
        <v>0</v>
      </c>
      <c r="R695" s="71">
        <f>+Q695/R691</f>
        <v>0</v>
      </c>
      <c r="S695" s="47"/>
      <c r="T695" s="47"/>
    </row>
    <row r="696" s="27" customFormat="1" ht="18" customHeight="1" spans="1:20">
      <c r="A696" s="34"/>
      <c r="B696" s="48">
        <v>6</v>
      </c>
      <c r="C696" s="48" t="s">
        <v>409</v>
      </c>
      <c r="D696" s="48" t="s">
        <v>410</v>
      </c>
      <c r="E696" s="48"/>
      <c r="F696" s="50"/>
      <c r="G696" s="48"/>
      <c r="H696" s="73">
        <f>+'材料表 '!$E$179</f>
        <v>0</v>
      </c>
      <c r="I696" s="52">
        <f>H696*I694</f>
        <v>0</v>
      </c>
      <c r="J696" s="53" t="s">
        <v>392</v>
      </c>
      <c r="K696" s="60"/>
      <c r="L696" s="69" t="s">
        <v>461</v>
      </c>
      <c r="M696" s="34" t="s">
        <v>462</v>
      </c>
      <c r="N696" s="34">
        <v>3.77</v>
      </c>
      <c r="O696" s="34">
        <f>0.18</f>
        <v>0.18</v>
      </c>
      <c r="P696" s="34">
        <v>0</v>
      </c>
      <c r="Q696" s="44">
        <f t="shared" si="85"/>
        <v>0</v>
      </c>
      <c r="R696" s="71">
        <f>+Q696/R691</f>
        <v>0</v>
      </c>
      <c r="S696" s="47"/>
      <c r="T696" s="47"/>
    </row>
    <row r="697" s="27" customFormat="1" ht="18" customHeight="1" spans="1:20">
      <c r="A697" s="34"/>
      <c r="B697" s="48">
        <v>7</v>
      </c>
      <c r="C697" s="48" t="s">
        <v>412</v>
      </c>
      <c r="D697" s="72" t="s">
        <v>413</v>
      </c>
      <c r="E697" s="72"/>
      <c r="F697" s="77"/>
      <c r="G697" s="72"/>
      <c r="H697" s="73">
        <f>+'材料表 '!$E$180</f>
        <v>0.09</v>
      </c>
      <c r="I697" s="52">
        <f>(I694+I695+I696)*H697</f>
        <v>72.1157607880429</v>
      </c>
      <c r="J697" s="53" t="s">
        <v>392</v>
      </c>
      <c r="K697" s="60"/>
      <c r="L697" s="69" t="s">
        <v>463</v>
      </c>
      <c r="M697" s="34" t="s">
        <v>464</v>
      </c>
      <c r="N697" s="34">
        <f>0.15*0.2*7.85*10</f>
        <v>2.355</v>
      </c>
      <c r="O697" s="34">
        <v>1</v>
      </c>
      <c r="P697" s="34">
        <v>0</v>
      </c>
      <c r="Q697" s="44">
        <f t="shared" si="85"/>
        <v>0</v>
      </c>
      <c r="R697" s="71">
        <f>+Q697/R691</f>
        <v>0</v>
      </c>
      <c r="S697" s="47"/>
      <c r="T697" s="47"/>
    </row>
    <row r="698" s="27" customFormat="1" ht="18" customHeight="1" spans="1:20">
      <c r="A698" s="105" t="s">
        <v>133</v>
      </c>
      <c r="B698" s="48">
        <v>8</v>
      </c>
      <c r="C698" s="48" t="s">
        <v>363</v>
      </c>
      <c r="D698" s="106" t="s">
        <v>415</v>
      </c>
      <c r="E698" s="107"/>
      <c r="F698" s="108"/>
      <c r="G698" s="107"/>
      <c r="H698" s="51"/>
      <c r="I698" s="74">
        <f>SUM(I694:I697)</f>
        <v>873.401991766297</v>
      </c>
      <c r="J698" s="53" t="s">
        <v>416</v>
      </c>
      <c r="K698" s="60"/>
      <c r="L698" s="69" t="s">
        <v>465</v>
      </c>
      <c r="M698" s="34" t="s">
        <v>503</v>
      </c>
      <c r="N698" s="126">
        <v>7.034</v>
      </c>
      <c r="O698" s="34">
        <f>85/1000</f>
        <v>0.085</v>
      </c>
      <c r="P698" s="44">
        <f>+P697*O697*1</f>
        <v>0</v>
      </c>
      <c r="Q698" s="44">
        <f t="shared" si="85"/>
        <v>0</v>
      </c>
      <c r="R698" s="84">
        <f>+Q698/R691</f>
        <v>0</v>
      </c>
      <c r="S698" s="79"/>
      <c r="T698" s="47"/>
    </row>
    <row r="699" s="27" customFormat="1" ht="18" customHeight="1" spans="1:20">
      <c r="A699" s="34"/>
      <c r="B699" s="109" t="s">
        <v>418</v>
      </c>
      <c r="C699" s="110"/>
      <c r="D699" s="110"/>
      <c r="E699" s="110"/>
      <c r="F699" s="110"/>
      <c r="G699" s="110"/>
      <c r="H699" s="110"/>
      <c r="I699" s="110"/>
      <c r="J699" s="110"/>
      <c r="K699" s="80"/>
      <c r="L699" s="69" t="s">
        <v>433</v>
      </c>
      <c r="M699" s="44" t="s">
        <v>504</v>
      </c>
      <c r="N699" s="82">
        <f>0.056*3*2.71+0.0675*3*2.71</f>
        <v>1.004055</v>
      </c>
      <c r="O699" s="44">
        <f>O691</f>
        <v>0.628</v>
      </c>
      <c r="P699" s="44">
        <v>1</v>
      </c>
      <c r="Q699" s="44">
        <f t="shared" si="85"/>
        <v>0.63054654</v>
      </c>
      <c r="R699" s="84">
        <f>+Q699/R691</f>
        <v>1.89444339622641</v>
      </c>
      <c r="S699" s="47">
        <f>0.16*P699*O699/R691</f>
        <v>0.30188679245283</v>
      </c>
      <c r="T699" s="47"/>
    </row>
    <row r="700" s="27" customFormat="1" ht="18" customHeight="1" spans="1:20">
      <c r="A700" s="34"/>
      <c r="B700" s="48">
        <v>1</v>
      </c>
      <c r="C700" s="48" t="s">
        <v>391</v>
      </c>
      <c r="D700" s="48" t="s">
        <v>396</v>
      </c>
      <c r="E700" s="48" t="s">
        <v>37</v>
      </c>
      <c r="F700" s="50"/>
      <c r="G700" s="48"/>
      <c r="H700" s="51" t="s">
        <v>399</v>
      </c>
      <c r="I700" s="51" t="s">
        <v>420</v>
      </c>
      <c r="J700" s="95" t="s">
        <v>421</v>
      </c>
      <c r="K700" s="92"/>
      <c r="L700" s="69" t="s">
        <v>433</v>
      </c>
      <c r="M700" s="44" t="s">
        <v>505</v>
      </c>
      <c r="N700" s="82">
        <f>0.056*3*2.71+0.0675*3*2.71</f>
        <v>1.004055</v>
      </c>
      <c r="O700" s="44">
        <f>P691</f>
        <v>0.53</v>
      </c>
      <c r="P700" s="44">
        <v>3</v>
      </c>
      <c r="Q700" s="44">
        <f t="shared" si="85"/>
        <v>1.59644745</v>
      </c>
      <c r="R700" s="84">
        <f>+Q700/R691</f>
        <v>4.79644108280255</v>
      </c>
      <c r="S700" s="47"/>
      <c r="T700" s="47"/>
    </row>
    <row r="701" s="27" customFormat="1" ht="18" customHeight="1" spans="1:20">
      <c r="A701" s="34"/>
      <c r="B701" s="48">
        <v>2</v>
      </c>
      <c r="C701" s="48"/>
      <c r="D701" s="111" t="s">
        <v>491</v>
      </c>
      <c r="E701" s="49" t="s">
        <v>423</v>
      </c>
      <c r="F701" s="112"/>
      <c r="G701" s="111"/>
      <c r="H701" s="113">
        <v>1</v>
      </c>
      <c r="I701" s="113">
        <f>+辅材及安装费!$G$3</f>
        <v>165</v>
      </c>
      <c r="J701" s="114">
        <f t="shared" ref="J701:J715" si="86">H701*I701</f>
        <v>165</v>
      </c>
      <c r="K701" s="92"/>
      <c r="L701" s="90"/>
      <c r="M701" s="44"/>
      <c r="N701" s="82"/>
      <c r="O701" s="44"/>
      <c r="P701" s="44"/>
      <c r="Q701" s="44">
        <v>0</v>
      </c>
      <c r="R701" s="84">
        <f>+Q701/R691</f>
        <v>0</v>
      </c>
      <c r="S701" s="47"/>
      <c r="T701" s="47"/>
    </row>
    <row r="702" s="27" customFormat="1" ht="18" customHeight="1" spans="1:20">
      <c r="A702" s="34"/>
      <c r="B702" s="48">
        <v>3</v>
      </c>
      <c r="C702" s="48"/>
      <c r="D702" s="115"/>
      <c r="E702" s="63"/>
      <c r="F702" s="116"/>
      <c r="G702" s="115"/>
      <c r="H702" s="117"/>
      <c r="I702" s="117"/>
      <c r="J702" s="118"/>
      <c r="K702" s="92"/>
      <c r="L702" s="90" t="s">
        <v>472</v>
      </c>
      <c r="M702" s="44"/>
      <c r="N702" s="82"/>
      <c r="O702" s="44"/>
      <c r="P702" s="44">
        <v>0</v>
      </c>
      <c r="Q702" s="44">
        <f>+P702</f>
        <v>0</v>
      </c>
      <c r="R702" s="84">
        <f>+Q702/R691</f>
        <v>0</v>
      </c>
      <c r="S702" s="47"/>
      <c r="T702" s="47"/>
    </row>
    <row r="703" s="27" customFormat="1" ht="18" customHeight="1" spans="1:20">
      <c r="A703" s="34"/>
      <c r="B703" s="48">
        <v>4</v>
      </c>
      <c r="C703" s="48"/>
      <c r="D703" s="85" t="s">
        <v>426</v>
      </c>
      <c r="E703" s="48" t="s">
        <v>392</v>
      </c>
      <c r="F703" s="50"/>
      <c r="G703" s="48"/>
      <c r="H703" s="86"/>
      <c r="I703" s="86"/>
      <c r="J703" s="95">
        <f>SUM(J701:J701)</f>
        <v>165</v>
      </c>
      <c r="K703" s="92"/>
      <c r="L703" s="90"/>
      <c r="M703" s="44"/>
      <c r="N703" s="82"/>
      <c r="O703" s="44"/>
      <c r="P703" s="44"/>
      <c r="Q703" s="44"/>
      <c r="R703" s="84"/>
      <c r="S703" s="47"/>
      <c r="T703" s="47"/>
    </row>
    <row r="704" s="27" customFormat="1" ht="22" customHeight="1" spans="1:20">
      <c r="A704" s="34"/>
      <c r="B704" s="48">
        <v>1</v>
      </c>
      <c r="C704" s="48" t="s">
        <v>394</v>
      </c>
      <c r="D704" s="88" t="s">
        <v>431</v>
      </c>
      <c r="E704" s="72" t="str">
        <f>+VLOOKUP(D704,'材料表 '!C:F,2,0)</f>
        <v>kg</v>
      </c>
      <c r="F704" s="77">
        <v>10</v>
      </c>
      <c r="G704" s="89">
        <f>+VLOOKUP(D704,'材料表 '!C:F,4,0)</f>
        <v>0.03</v>
      </c>
      <c r="H704" s="74">
        <f t="shared" ref="H704:H715" si="87">F704*(G704+1)</f>
        <v>10.3</v>
      </c>
      <c r="I704" s="74">
        <f>+VLOOKUP(D704,'材料表 '!C:F,3,0)</f>
        <v>3.80530973451327</v>
      </c>
      <c r="J704" s="95">
        <f t="shared" si="86"/>
        <v>39.1946902654867</v>
      </c>
      <c r="K704" s="92">
        <f ca="1">H704*K690</f>
        <v>14.73312</v>
      </c>
      <c r="L704" s="90"/>
      <c r="M704" s="44"/>
      <c r="N704" s="82"/>
      <c r="O704" s="44"/>
      <c r="P704" s="44"/>
      <c r="Q704" s="44"/>
      <c r="R704" s="84"/>
      <c r="S704" s="47"/>
      <c r="T704" s="47"/>
    </row>
    <row r="705" s="27" customFormat="1" ht="18" customHeight="1" spans="1:20">
      <c r="A705" s="34"/>
      <c r="B705" s="48">
        <v>2</v>
      </c>
      <c r="C705" s="48"/>
      <c r="D705" s="88" t="s">
        <v>461</v>
      </c>
      <c r="E705" s="72" t="str">
        <f>+VLOOKUP(D705,'材料表 '!C:F,2,0)</f>
        <v>kg</v>
      </c>
      <c r="F705" s="77">
        <v>2</v>
      </c>
      <c r="G705" s="89">
        <f>+VLOOKUP(D705,'材料表 '!C:F,4,0)</f>
        <v>0.03</v>
      </c>
      <c r="H705" s="74">
        <f t="shared" si="87"/>
        <v>2.06</v>
      </c>
      <c r="I705" s="74">
        <f>+VLOOKUP(D705,'材料表 '!C:F,3,0)</f>
        <v>3.53982300884956</v>
      </c>
      <c r="J705" s="95">
        <f t="shared" si="86"/>
        <v>7.29203539823009</v>
      </c>
      <c r="K705" s="92">
        <f ca="1">H705*K690</f>
        <v>2.946624</v>
      </c>
      <c r="L705" s="90"/>
      <c r="M705" s="44"/>
      <c r="N705" s="82"/>
      <c r="O705" s="44"/>
      <c r="P705" s="44"/>
      <c r="Q705" s="44"/>
      <c r="R705" s="84"/>
      <c r="S705" s="47"/>
      <c r="T705" s="47"/>
    </row>
    <row r="706" s="27" customFormat="1" ht="18" customHeight="1" spans="1:20">
      <c r="A706" s="34"/>
      <c r="B706" s="48">
        <v>3</v>
      </c>
      <c r="C706" s="48"/>
      <c r="D706" s="88" t="s">
        <v>465</v>
      </c>
      <c r="E706" s="72" t="str">
        <f>+VLOOKUP(D706,'材料表 '!C:F,2,0)</f>
        <v>kg</v>
      </c>
      <c r="F706" s="77">
        <v>0.5</v>
      </c>
      <c r="G706" s="89">
        <f>+VLOOKUP(D706,'材料表 '!C:F,4,0)</f>
        <v>0.03</v>
      </c>
      <c r="H706" s="74">
        <f t="shared" si="87"/>
        <v>0.515</v>
      </c>
      <c r="I706" s="74">
        <f>+VLOOKUP(D706,'材料表 '!C:F,3,0)</f>
        <v>6.01769911504425</v>
      </c>
      <c r="J706" s="95">
        <f t="shared" si="86"/>
        <v>3.09911504424779</v>
      </c>
      <c r="K706" s="92">
        <f ca="1">H706*K690</f>
        <v>0.736656</v>
      </c>
      <c r="L706" s="90"/>
      <c r="M706" s="44"/>
      <c r="N706" s="82"/>
      <c r="O706" s="44"/>
      <c r="P706" s="44"/>
      <c r="Q706" s="44">
        <f>+P706*O706</f>
        <v>0</v>
      </c>
      <c r="R706" s="84">
        <f>+Q706/R691</f>
        <v>0</v>
      </c>
      <c r="S706" s="47"/>
      <c r="T706" s="47"/>
    </row>
    <row r="707" s="27" customFormat="1" ht="18" customHeight="1" spans="1:20">
      <c r="A707" s="34"/>
      <c r="B707" s="48">
        <v>4</v>
      </c>
      <c r="C707" s="48"/>
      <c r="D707" s="88" t="s">
        <v>463</v>
      </c>
      <c r="E707" s="72" t="str">
        <f>+VLOOKUP(D707,'材料表 '!C:F,2,0)</f>
        <v>kg</v>
      </c>
      <c r="F707" s="77">
        <f t="shared" ref="F707:F711" si="88">+SUMIF($L$650:$L$688,D707,$R$650:$R$688)</f>
        <v>0</v>
      </c>
      <c r="G707" s="89">
        <f>+VLOOKUP(D707,'材料表 '!C:F,4,0)</f>
        <v>0.03</v>
      </c>
      <c r="H707" s="74">
        <f t="shared" si="87"/>
        <v>0</v>
      </c>
      <c r="I707" s="74">
        <f>+VLOOKUP(D707,'材料表 '!C:F,3,0)</f>
        <v>6.01769911504425</v>
      </c>
      <c r="J707" s="95">
        <f t="shared" si="86"/>
        <v>0</v>
      </c>
      <c r="K707" s="92">
        <f ca="1">H707*K690</f>
        <v>0</v>
      </c>
      <c r="L707" s="90" t="s">
        <v>474</v>
      </c>
      <c r="M707" s="44"/>
      <c r="N707" s="82"/>
      <c r="O707" s="44"/>
      <c r="P707" s="44"/>
      <c r="Q707" s="44">
        <f>+O697*P697*4</f>
        <v>0</v>
      </c>
      <c r="R707" s="84">
        <f>+Q707/R691</f>
        <v>0</v>
      </c>
      <c r="S707" s="47"/>
      <c r="T707" s="47"/>
    </row>
    <row r="708" s="27" customFormat="1" ht="18" customHeight="1" spans="1:20">
      <c r="A708" s="34"/>
      <c r="B708" s="48">
        <v>5</v>
      </c>
      <c r="C708" s="48"/>
      <c r="D708" s="88" t="s">
        <v>433</v>
      </c>
      <c r="E708" s="72" t="str">
        <f>+VLOOKUP(D708,'材料表 '!C:F,2,0)</f>
        <v>kg</v>
      </c>
      <c r="F708" s="77">
        <f t="shared" si="88"/>
        <v>6.69088447902896</v>
      </c>
      <c r="G708" s="89">
        <f>+VLOOKUP(D708,'材料表 '!C:F,4,0)</f>
        <v>0.03</v>
      </c>
      <c r="H708" s="74">
        <f t="shared" si="87"/>
        <v>6.89161101339983</v>
      </c>
      <c r="I708" s="74">
        <f>+VLOOKUP(D708,'材料表 '!C:F,3,0)</f>
        <v>26.1150442477876</v>
      </c>
      <c r="J708" s="95">
        <f t="shared" si="86"/>
        <v>179.974726553477</v>
      </c>
      <c r="K708" s="92">
        <f ca="1">H708*K690</f>
        <v>9.85776039356712</v>
      </c>
      <c r="L708" s="92" t="s">
        <v>476</v>
      </c>
      <c r="M708" s="44"/>
      <c r="N708" s="82"/>
      <c r="O708" s="44"/>
      <c r="P708" s="44"/>
      <c r="Q708" s="44">
        <f>8*8*(O691*2+P691*1)/500</f>
        <v>0.228608</v>
      </c>
      <c r="R708" s="84">
        <f>+Q708/R691</f>
        <v>0.686840523975484</v>
      </c>
      <c r="S708" s="47"/>
      <c r="T708" s="47"/>
    </row>
    <row r="709" s="27" customFormat="1" ht="18" customHeight="1" spans="1:20">
      <c r="A709" s="34"/>
      <c r="B709" s="48">
        <v>6</v>
      </c>
      <c r="C709" s="48"/>
      <c r="D709" s="88" t="s">
        <v>434</v>
      </c>
      <c r="E709" s="72" t="str">
        <f>+VLOOKUP(D709,'材料表 '!C:F,2,0)</f>
        <v>m2</v>
      </c>
      <c r="F709" s="77">
        <f t="shared" si="88"/>
        <v>0</v>
      </c>
      <c r="G709" s="89">
        <f>+VLOOKUP(D709,'材料表 '!C:F,4,0)</f>
        <v>0</v>
      </c>
      <c r="H709" s="74">
        <f t="shared" si="87"/>
        <v>0</v>
      </c>
      <c r="I709" s="74">
        <f>+VLOOKUP(D709,'材料表 '!C:F,3,0)</f>
        <v>49.5575221238938</v>
      </c>
      <c r="J709" s="95">
        <f t="shared" si="86"/>
        <v>0</v>
      </c>
      <c r="K709" s="92">
        <f ca="1">H709*K690</f>
        <v>0</v>
      </c>
      <c r="L709" s="92" t="s">
        <v>499</v>
      </c>
      <c r="M709" s="44"/>
      <c r="N709" s="82"/>
      <c r="O709" s="44"/>
      <c r="P709" s="44"/>
      <c r="Q709" s="44">
        <v>0</v>
      </c>
      <c r="R709" s="84">
        <f>Q709/R691</f>
        <v>0</v>
      </c>
      <c r="S709" s="47"/>
      <c r="T709" s="47"/>
    </row>
    <row r="710" s="27" customFormat="1" ht="18" customHeight="1" spans="1:20">
      <c r="A710" s="34"/>
      <c r="B710" s="48">
        <v>7</v>
      </c>
      <c r="C710" s="48"/>
      <c r="D710" s="88" t="s">
        <v>472</v>
      </c>
      <c r="E710" s="72" t="str">
        <f>+VLOOKUP(D710,'材料表 '!C:F,2,0)</f>
        <v>套</v>
      </c>
      <c r="F710" s="77">
        <f t="shared" si="88"/>
        <v>0</v>
      </c>
      <c r="G710" s="89">
        <f>+VLOOKUP(D710,'材料表 '!C:F,4,0)</f>
        <v>0</v>
      </c>
      <c r="H710" s="74">
        <f t="shared" si="87"/>
        <v>0</v>
      </c>
      <c r="I710" s="74">
        <f>+VLOOKUP(D710,'材料表 '!C:F,3,0)</f>
        <v>2.47787610619469</v>
      </c>
      <c r="J710" s="95">
        <f t="shared" si="86"/>
        <v>0</v>
      </c>
      <c r="K710" s="92">
        <f ca="1">H710*K690</f>
        <v>0</v>
      </c>
      <c r="L710" s="92"/>
      <c r="M710" s="44"/>
      <c r="N710" s="82"/>
      <c r="O710" s="44"/>
      <c r="P710" s="44"/>
      <c r="Q710" s="44"/>
      <c r="R710" s="84"/>
      <c r="S710" s="47"/>
      <c r="T710" s="47"/>
    </row>
    <row r="711" s="27" customFormat="1" ht="18" customHeight="1" spans="1:20">
      <c r="A711" s="34"/>
      <c r="B711" s="48">
        <v>8</v>
      </c>
      <c r="C711" s="48"/>
      <c r="D711" s="88" t="s">
        <v>474</v>
      </c>
      <c r="E711" s="72" t="str">
        <f>+VLOOKUP(D711,'材料表 '!C:F,2,0)</f>
        <v>套</v>
      </c>
      <c r="F711" s="77">
        <f t="shared" si="88"/>
        <v>0</v>
      </c>
      <c r="G711" s="89">
        <f>+VLOOKUP(D711,'材料表 '!C:F,4,0)</f>
        <v>0</v>
      </c>
      <c r="H711" s="74">
        <f t="shared" si="87"/>
        <v>0</v>
      </c>
      <c r="I711" s="74">
        <f>+VLOOKUP(D711,'材料表 '!C:F,3,0)</f>
        <v>2.21238938053097</v>
      </c>
      <c r="J711" s="95">
        <f t="shared" si="86"/>
        <v>0</v>
      </c>
      <c r="K711" s="92">
        <f ca="1">H711*K690</f>
        <v>0</v>
      </c>
      <c r="L711" s="92"/>
      <c r="M711" s="44"/>
      <c r="N711" s="82"/>
      <c r="O711" s="44"/>
      <c r="P711" s="44"/>
      <c r="Q711" s="44"/>
      <c r="R711" s="84"/>
      <c r="S711" s="47"/>
      <c r="T711" s="47"/>
    </row>
    <row r="712" s="27" customFormat="1" ht="18" customHeight="1" spans="1:20">
      <c r="A712" s="34"/>
      <c r="B712" s="48">
        <v>9</v>
      </c>
      <c r="C712" s="48"/>
      <c r="D712" s="88" t="s">
        <v>476</v>
      </c>
      <c r="E712" s="72" t="str">
        <f>+VLOOKUP(D712,'材料表 '!C:F,2,0)</f>
        <v>支</v>
      </c>
      <c r="F712" s="77">
        <v>0.4</v>
      </c>
      <c r="G712" s="89">
        <f>+VLOOKUP(D712,'材料表 '!C:F,4,0)</f>
        <v>0.15</v>
      </c>
      <c r="H712" s="74">
        <f t="shared" si="87"/>
        <v>0.46</v>
      </c>
      <c r="I712" s="74">
        <f>+VLOOKUP(D712,'材料表 '!C:F,3,0)</f>
        <v>11.5044247787611</v>
      </c>
      <c r="J712" s="95">
        <f t="shared" si="86"/>
        <v>5.29203539823011</v>
      </c>
      <c r="K712" s="92">
        <f ca="1">H712*K690</f>
        <v>0.657984</v>
      </c>
      <c r="L712" s="90"/>
      <c r="M712" s="44"/>
      <c r="N712" s="82"/>
      <c r="O712" s="34"/>
      <c r="P712" s="44"/>
      <c r="Q712" s="44"/>
      <c r="R712" s="119"/>
      <c r="S712" s="47"/>
      <c r="T712" s="47"/>
    </row>
    <row r="713" s="27" customFormat="1" ht="18" customHeight="1" spans="1:20">
      <c r="A713" s="34"/>
      <c r="B713" s="48">
        <v>10</v>
      </c>
      <c r="C713" s="48"/>
      <c r="D713" s="88" t="s">
        <v>499</v>
      </c>
      <c r="E713" s="72" t="str">
        <f>+VLOOKUP(D713,'材料表 '!C:F,2,0)</f>
        <v>套</v>
      </c>
      <c r="F713" s="77">
        <f>+SUMIF($L$650:$L$688,D713,$R$650:$R$688)</f>
        <v>0</v>
      </c>
      <c r="G713" s="89">
        <f>+VLOOKUP(D713,'材料表 '!C:F,4,0)</f>
        <v>0</v>
      </c>
      <c r="H713" s="74">
        <f t="shared" si="87"/>
        <v>0</v>
      </c>
      <c r="I713" s="74">
        <f>+VLOOKUP(D713,'材料表 '!C:F,3,0)</f>
        <v>1.32743362831858</v>
      </c>
      <c r="J713" s="95">
        <f t="shared" si="86"/>
        <v>0</v>
      </c>
      <c r="K713" s="92">
        <f ca="1">H713*K690</f>
        <v>0</v>
      </c>
      <c r="L713" s="92"/>
      <c r="M713" s="120"/>
      <c r="N713" s="82"/>
      <c r="O713" s="44"/>
      <c r="P713" s="44"/>
      <c r="Q713" s="44"/>
      <c r="R713" s="84"/>
      <c r="S713" s="47"/>
      <c r="T713" s="47"/>
    </row>
    <row r="714" s="27" customFormat="1" ht="18" customHeight="1" spans="1:20">
      <c r="A714" s="34"/>
      <c r="B714" s="48">
        <v>11</v>
      </c>
      <c r="C714" s="48"/>
      <c r="D714" s="88" t="s">
        <v>479</v>
      </c>
      <c r="E714" s="72" t="str">
        <f>+VLOOKUP(D714,'材料表 '!C:F,2,0)</f>
        <v>kg</v>
      </c>
      <c r="F714" s="77">
        <f>F705</f>
        <v>2</v>
      </c>
      <c r="G714" s="89">
        <f>+VLOOKUP(D714,'材料表 '!C:F,4,0)</f>
        <v>0.03</v>
      </c>
      <c r="H714" s="74">
        <f t="shared" si="87"/>
        <v>2.06</v>
      </c>
      <c r="I714" s="74">
        <f>+VLOOKUP(D714,'材料表 '!C:F,3,0)</f>
        <v>14.1592920353982</v>
      </c>
      <c r="J714" s="95">
        <f t="shared" si="86"/>
        <v>29.1681415929203</v>
      </c>
      <c r="K714" s="92">
        <f ca="1">H714*K690</f>
        <v>2.946624</v>
      </c>
      <c r="L714" s="92"/>
      <c r="M714" s="44"/>
      <c r="N714" s="82"/>
      <c r="O714" s="44"/>
      <c r="P714" s="44"/>
      <c r="Q714" s="44"/>
      <c r="R714" s="84"/>
      <c r="S714" s="47"/>
      <c r="T714" s="47"/>
    </row>
    <row r="715" s="27" customFormat="1" ht="28" customHeight="1" spans="1:20">
      <c r="A715" s="34"/>
      <c r="B715" s="48">
        <v>12</v>
      </c>
      <c r="C715" s="48"/>
      <c r="D715" s="210" t="s">
        <v>514</v>
      </c>
      <c r="E715" s="72" t="str">
        <f>+VLOOKUP(D715,'材料表 '!C:F,2,0)</f>
        <v>m2</v>
      </c>
      <c r="F715" s="77">
        <f>(0.5*3.08)/((0.5+0.25)*3.08/2)</f>
        <v>1.33333333333333</v>
      </c>
      <c r="G715" s="89">
        <f>+VLOOKUP(D715,'材料表 '!C:F,4,0)</f>
        <v>0.02</v>
      </c>
      <c r="H715" s="74">
        <f t="shared" si="87"/>
        <v>1.36</v>
      </c>
      <c r="I715" s="74">
        <f>+VLOOKUP(D715,'材料表 '!C:F,3,0)</f>
        <v>266.371681415929</v>
      </c>
      <c r="J715" s="95">
        <f t="shared" si="86"/>
        <v>362.265486725663</v>
      </c>
      <c r="K715" s="92">
        <f ca="1">H715*K690</f>
        <v>1.945344</v>
      </c>
      <c r="L715" s="92"/>
      <c r="M715" s="44"/>
      <c r="N715" s="44"/>
      <c r="O715" s="44"/>
      <c r="P715" s="44"/>
      <c r="Q715" s="44"/>
      <c r="R715" s="84"/>
      <c r="S715" s="47"/>
      <c r="T715" s="47"/>
    </row>
    <row r="716" s="27" customFormat="1" ht="18" customHeight="1" spans="1:20">
      <c r="A716" s="34"/>
      <c r="B716" s="48">
        <v>13</v>
      </c>
      <c r="C716" s="48"/>
      <c r="D716" s="88"/>
      <c r="E716" s="72"/>
      <c r="F716" s="77"/>
      <c r="G716" s="89"/>
      <c r="H716" s="74"/>
      <c r="I716" s="74"/>
      <c r="J716" s="95"/>
      <c r="K716" s="92">
        <f ca="1">H716*K690</f>
        <v>0</v>
      </c>
      <c r="L716" s="92"/>
      <c r="M716" s="44"/>
      <c r="N716" s="44"/>
      <c r="O716" s="44"/>
      <c r="P716" s="44"/>
      <c r="Q716" s="44"/>
      <c r="R716" s="84"/>
      <c r="S716" s="47"/>
      <c r="T716" s="47"/>
    </row>
    <row r="717" s="27" customFormat="1" ht="24" customHeight="1" spans="1:20">
      <c r="A717" s="34"/>
      <c r="B717" s="48">
        <v>14</v>
      </c>
      <c r="C717" s="48"/>
      <c r="D717" s="88"/>
      <c r="E717" s="72"/>
      <c r="F717" s="77"/>
      <c r="G717" s="89"/>
      <c r="H717" s="74"/>
      <c r="I717" s="74"/>
      <c r="J717" s="95"/>
      <c r="K717" s="92">
        <f ca="1">H717*K690</f>
        <v>0</v>
      </c>
      <c r="L717" s="92"/>
      <c r="M717" s="44"/>
      <c r="N717" s="44"/>
      <c r="O717" s="44"/>
      <c r="P717" s="44"/>
      <c r="Q717" s="44"/>
      <c r="R717" s="84"/>
      <c r="S717" s="47"/>
      <c r="T717" s="47"/>
    </row>
    <row r="718" s="27" customFormat="1" ht="18" customHeight="1" spans="1:20">
      <c r="A718" s="34"/>
      <c r="B718" s="48">
        <v>15</v>
      </c>
      <c r="C718" s="48"/>
      <c r="D718" s="88"/>
      <c r="E718" s="72"/>
      <c r="F718" s="77"/>
      <c r="G718" s="89"/>
      <c r="H718" s="74"/>
      <c r="I718" s="74"/>
      <c r="J718" s="95"/>
      <c r="K718" s="92"/>
      <c r="L718" s="92"/>
      <c r="M718" s="44"/>
      <c r="N718" s="44"/>
      <c r="O718" s="44"/>
      <c r="P718" s="44"/>
      <c r="Q718" s="44"/>
      <c r="R718" s="84"/>
      <c r="S718" s="47"/>
      <c r="T718" s="47"/>
    </row>
    <row r="719" s="27" customFormat="1" ht="18" customHeight="1" spans="1:20">
      <c r="A719" s="34"/>
      <c r="B719" s="48">
        <v>16</v>
      </c>
      <c r="C719" s="48"/>
      <c r="D719" s="88"/>
      <c r="E719" s="72"/>
      <c r="F719" s="77"/>
      <c r="G719" s="89"/>
      <c r="H719" s="74"/>
      <c r="I719" s="74"/>
      <c r="J719" s="95"/>
      <c r="K719" s="92"/>
      <c r="L719" s="92"/>
      <c r="M719" s="44"/>
      <c r="N719" s="44"/>
      <c r="O719" s="44"/>
      <c r="P719" s="44"/>
      <c r="Q719" s="44"/>
      <c r="R719" s="84"/>
      <c r="S719" s="47"/>
      <c r="T719" s="47"/>
    </row>
    <row r="720" s="27" customFormat="1" ht="18" customHeight="1" spans="1:20">
      <c r="A720" s="34"/>
      <c r="B720" s="48">
        <v>17</v>
      </c>
      <c r="C720" s="48"/>
      <c r="D720" s="121"/>
      <c r="E720" s="72"/>
      <c r="F720" s="77"/>
      <c r="G720" s="89"/>
      <c r="H720" s="74"/>
      <c r="I720" s="74"/>
      <c r="J720" s="95"/>
      <c r="K720" s="92"/>
      <c r="L720" s="92"/>
      <c r="M720" s="44"/>
      <c r="N720" s="44"/>
      <c r="O720" s="44"/>
      <c r="P720" s="44"/>
      <c r="Q720" s="101"/>
      <c r="R720" s="84"/>
      <c r="S720" s="47"/>
      <c r="T720" s="47"/>
    </row>
    <row r="721" s="27" customFormat="1" ht="18" customHeight="1" spans="1:20">
      <c r="A721" s="34"/>
      <c r="B721" s="48">
        <v>18</v>
      </c>
      <c r="C721" s="48"/>
      <c r="D721" s="88"/>
      <c r="E721" s="72"/>
      <c r="F721" s="77"/>
      <c r="G721" s="89"/>
      <c r="H721" s="74"/>
      <c r="I721" s="74"/>
      <c r="J721" s="95"/>
      <c r="K721" s="92"/>
      <c r="L721" s="92"/>
      <c r="M721" s="44"/>
      <c r="N721" s="44"/>
      <c r="O721" s="44"/>
      <c r="P721" s="44"/>
      <c r="Q721" s="44"/>
      <c r="R721" s="84"/>
      <c r="S721" s="47"/>
      <c r="T721" s="47"/>
    </row>
    <row r="722" s="27" customFormat="1" ht="18" customHeight="1" spans="1:20">
      <c r="A722" s="34"/>
      <c r="B722" s="48">
        <v>19</v>
      </c>
      <c r="C722" s="48"/>
      <c r="D722" s="27"/>
      <c r="E722" s="72"/>
      <c r="F722" s="77"/>
      <c r="G722" s="89"/>
      <c r="H722" s="74"/>
      <c r="I722" s="74"/>
      <c r="J722" s="95"/>
      <c r="K722" s="92"/>
      <c r="L722" s="92"/>
      <c r="M722" s="44"/>
      <c r="N722" s="44"/>
      <c r="O722" s="44"/>
      <c r="P722" s="44"/>
      <c r="Q722" s="44"/>
      <c r="R722" s="84"/>
      <c r="S722" s="47"/>
      <c r="T722" s="47"/>
    </row>
    <row r="723" s="27" customFormat="1" ht="18" customHeight="1" spans="1:20">
      <c r="A723" s="34"/>
      <c r="B723" s="48">
        <v>20</v>
      </c>
      <c r="C723" s="48"/>
      <c r="D723" s="88"/>
      <c r="E723" s="72"/>
      <c r="F723" s="77"/>
      <c r="G723" s="89"/>
      <c r="H723" s="74"/>
      <c r="I723" s="74"/>
      <c r="J723" s="95"/>
      <c r="K723" s="92"/>
      <c r="L723" s="92"/>
      <c r="M723" s="44"/>
      <c r="N723" s="44"/>
      <c r="O723" s="44"/>
      <c r="P723" s="44"/>
      <c r="Q723" s="44"/>
      <c r="R723" s="84"/>
      <c r="S723" s="47"/>
      <c r="T723" s="47"/>
    </row>
    <row r="724" s="27" customFormat="1" ht="18" customHeight="1" spans="1:20">
      <c r="A724" s="34"/>
      <c r="B724" s="48">
        <v>21</v>
      </c>
      <c r="C724" s="48"/>
      <c r="D724" s="88"/>
      <c r="E724" s="72"/>
      <c r="F724" s="77"/>
      <c r="G724" s="89"/>
      <c r="H724" s="74"/>
      <c r="I724" s="74"/>
      <c r="J724" s="95"/>
      <c r="K724" s="92"/>
      <c r="L724" s="92"/>
      <c r="M724" s="44"/>
      <c r="N724" s="44"/>
      <c r="O724" s="44"/>
      <c r="P724" s="44"/>
      <c r="Q724" s="44"/>
      <c r="R724" s="84"/>
      <c r="S724" s="47"/>
      <c r="T724" s="47"/>
    </row>
    <row r="725" s="27" customFormat="1" ht="18" customHeight="1" spans="1:20">
      <c r="A725" s="34"/>
      <c r="B725" s="48">
        <v>22</v>
      </c>
      <c r="C725" s="48"/>
      <c r="D725" s="27"/>
      <c r="E725" s="72"/>
      <c r="F725" s="77"/>
      <c r="G725" s="72"/>
      <c r="H725" s="74"/>
      <c r="I725" s="74"/>
      <c r="J725" s="95"/>
      <c r="K725" s="92"/>
      <c r="L725" s="92"/>
      <c r="M725" s="44"/>
      <c r="N725" s="44"/>
      <c r="O725" s="44"/>
      <c r="P725" s="44"/>
      <c r="Q725" s="44"/>
      <c r="R725" s="62"/>
      <c r="S725" s="47"/>
      <c r="T725" s="47"/>
    </row>
    <row r="726" s="27" customFormat="1" ht="18" customHeight="1" spans="1:20">
      <c r="A726" s="34"/>
      <c r="B726" s="48">
        <v>23</v>
      </c>
      <c r="C726" s="48"/>
      <c r="D726" s="88"/>
      <c r="E726" s="72"/>
      <c r="F726" s="77"/>
      <c r="G726" s="89"/>
      <c r="H726" s="74"/>
      <c r="I726" s="74"/>
      <c r="J726" s="95"/>
      <c r="K726" s="92"/>
      <c r="L726" s="92"/>
      <c r="M726" s="44"/>
      <c r="N726" s="44"/>
      <c r="O726" s="44"/>
      <c r="P726" s="44"/>
      <c r="Q726" s="44"/>
      <c r="R726" s="62"/>
      <c r="S726" s="47"/>
      <c r="T726" s="47"/>
    </row>
    <row r="727" s="27" customFormat="1" ht="18" customHeight="1" spans="1:20">
      <c r="A727" s="34"/>
      <c r="B727" s="48">
        <v>24</v>
      </c>
      <c r="C727" s="48"/>
      <c r="D727" s="88" t="s">
        <v>478</v>
      </c>
      <c r="E727" s="72" t="s">
        <v>43</v>
      </c>
      <c r="F727" s="77"/>
      <c r="G727" s="72">
        <v>1</v>
      </c>
      <c r="H727" s="74">
        <v>1</v>
      </c>
      <c r="I727" s="74">
        <f>+辅材及安装费!$E$3</f>
        <v>5</v>
      </c>
      <c r="J727" s="95">
        <f t="shared" ref="J726:J729" si="89">H727*I727</f>
        <v>5</v>
      </c>
      <c r="K727" s="92"/>
      <c r="L727" s="92"/>
      <c r="M727" s="44"/>
      <c r="N727" s="44"/>
      <c r="O727" s="44"/>
      <c r="P727" s="44"/>
      <c r="Q727" s="44"/>
      <c r="R727" s="62"/>
      <c r="S727" s="47"/>
      <c r="T727" s="47"/>
    </row>
    <row r="728" s="27" customFormat="1" ht="18" customHeight="1" spans="1:20">
      <c r="A728" s="34"/>
      <c r="B728" s="48">
        <v>25</v>
      </c>
      <c r="C728" s="48"/>
      <c r="D728" s="93" t="s">
        <v>442</v>
      </c>
      <c r="E728" s="72"/>
      <c r="F728" s="77"/>
      <c r="G728" s="72"/>
      <c r="H728" s="74"/>
      <c r="I728" s="74"/>
      <c r="J728" s="95">
        <f>SUM(J704:J727)</f>
        <v>631.286230978254</v>
      </c>
      <c r="K728" s="92"/>
      <c r="L728" s="94"/>
      <c r="M728" s="27"/>
      <c r="N728" s="83"/>
      <c r="O728" s="83"/>
      <c r="P728" s="83"/>
      <c r="Q728" s="83"/>
      <c r="R728" s="87"/>
      <c r="S728" s="47"/>
      <c r="T728" s="47"/>
    </row>
    <row r="729" s="27" customFormat="1" ht="18" customHeight="1" spans="1:20">
      <c r="A729" s="34"/>
      <c r="B729" s="48">
        <v>1</v>
      </c>
      <c r="C729" s="48" t="s">
        <v>443</v>
      </c>
      <c r="D729" s="48" t="s">
        <v>444</v>
      </c>
      <c r="E729" s="72" t="s">
        <v>43</v>
      </c>
      <c r="F729" s="50"/>
      <c r="G729" s="48"/>
      <c r="H729" s="51">
        <v>1</v>
      </c>
      <c r="I729" s="74">
        <f>+辅材及安装费!$F$3</f>
        <v>5</v>
      </c>
      <c r="J729" s="95">
        <f t="shared" si="89"/>
        <v>5</v>
      </c>
      <c r="K729" s="118"/>
      <c r="L729" s="96"/>
      <c r="M729" s="97"/>
      <c r="N729" s="98"/>
      <c r="O729" s="98"/>
      <c r="P729" s="98"/>
      <c r="Q729" s="98"/>
      <c r="R729" s="99"/>
      <c r="S729" s="47"/>
      <c r="T729" s="47"/>
    </row>
    <row r="730" s="26" customFormat="1" ht="30" customHeight="1" spans="1:20">
      <c r="A730" s="28"/>
      <c r="B730" s="29" t="s">
        <v>386</v>
      </c>
      <c r="C730" s="29"/>
      <c r="D730" s="29"/>
      <c r="E730" s="29"/>
      <c r="F730" s="29"/>
      <c r="G730" s="29"/>
      <c r="H730" s="29"/>
      <c r="I730" s="29"/>
      <c r="J730" s="29"/>
      <c r="K730" s="29"/>
      <c r="L730" s="30"/>
      <c r="M730" s="31"/>
      <c r="N730" s="31"/>
      <c r="O730" s="31"/>
      <c r="P730" s="31"/>
      <c r="Q730" s="31"/>
      <c r="R730" s="32"/>
      <c r="S730" s="33"/>
      <c r="T730" s="33"/>
    </row>
    <row r="731" s="27" customFormat="1" ht="33.75" customHeight="1" spans="1:20">
      <c r="A731" s="34">
        <v>8</v>
      </c>
      <c r="B731" s="35" t="s">
        <v>1</v>
      </c>
      <c r="C731" s="35" t="s">
        <v>387</v>
      </c>
      <c r="D731" s="36" t="str">
        <f>+A739</f>
        <v>4㎜香槟色穿孔铝单板（双层，内层1.5㎜镀锌钢板）</v>
      </c>
      <c r="E731" s="37"/>
      <c r="F731" s="38" t="s">
        <v>119</v>
      </c>
      <c r="G731" s="39"/>
      <c r="H731" s="35" t="s">
        <v>388</v>
      </c>
      <c r="I731" s="40" t="s">
        <v>389</v>
      </c>
      <c r="J731" s="41" t="s">
        <v>37</v>
      </c>
      <c r="K731" s="42">
        <f ca="1">VLOOKUP(A731,排屋工程量清单!$A$59:$D$86,4,)</f>
        <v>209.4558024</v>
      </c>
      <c r="L731" s="43"/>
      <c r="M731" s="44"/>
      <c r="N731" s="44"/>
      <c r="O731" s="44"/>
      <c r="P731" s="45"/>
      <c r="Q731" s="44"/>
      <c r="R731" s="46"/>
      <c r="S731" s="47"/>
      <c r="T731" s="47"/>
    </row>
    <row r="732" s="27" customFormat="1" ht="25" customHeight="1" spans="1:20">
      <c r="A732" s="34"/>
      <c r="B732" s="48">
        <v>1</v>
      </c>
      <c r="C732" s="49" t="s">
        <v>390</v>
      </c>
      <c r="D732" s="48" t="s">
        <v>391</v>
      </c>
      <c r="E732" s="48"/>
      <c r="F732" s="50"/>
      <c r="G732" s="48"/>
      <c r="H732" s="51"/>
      <c r="I732" s="52">
        <f>J744</f>
        <v>165</v>
      </c>
      <c r="J732" s="53" t="s">
        <v>392</v>
      </c>
      <c r="K732" s="54"/>
      <c r="L732" s="55" t="s">
        <v>507</v>
      </c>
      <c r="M732" s="56" t="s">
        <v>512</v>
      </c>
      <c r="N732" s="57"/>
      <c r="O732" s="57">
        <v>0.628</v>
      </c>
      <c r="P732" s="57">
        <v>0.53</v>
      </c>
      <c r="Q732" s="57">
        <v>1</v>
      </c>
      <c r="R732" s="58">
        <f>+Q732*P732*O732</f>
        <v>0.33284</v>
      </c>
      <c r="S732" s="47"/>
      <c r="T732" s="47"/>
    </row>
    <row r="733" s="27" customFormat="1" ht="18" customHeight="1" spans="1:20">
      <c r="A733" s="34"/>
      <c r="B733" s="48">
        <v>2</v>
      </c>
      <c r="C733" s="59"/>
      <c r="D733" s="48" t="s">
        <v>394</v>
      </c>
      <c r="E733" s="48"/>
      <c r="F733" s="50"/>
      <c r="G733" s="48"/>
      <c r="H733" s="51"/>
      <c r="I733" s="52">
        <f>J769</f>
        <v>711.96375310215</v>
      </c>
      <c r="J733" s="53" t="s">
        <v>392</v>
      </c>
      <c r="K733" s="60"/>
      <c r="L733" s="61" t="s">
        <v>119</v>
      </c>
      <c r="M733" s="44"/>
      <c r="N733" s="44"/>
      <c r="O733" s="44"/>
      <c r="P733" s="44"/>
      <c r="Q733" s="44"/>
      <c r="R733" s="62"/>
      <c r="S733" s="47"/>
      <c r="T733" s="47"/>
    </row>
    <row r="734" s="27" customFormat="1" ht="18" customHeight="1" spans="1:20">
      <c r="A734" s="34"/>
      <c r="B734" s="48">
        <v>3</v>
      </c>
      <c r="C734" s="63"/>
      <c r="D734" s="48" t="s">
        <v>395</v>
      </c>
      <c r="E734" s="48"/>
      <c r="F734" s="50"/>
      <c r="G734" s="48"/>
      <c r="H734" s="51"/>
      <c r="I734" s="52">
        <f>J770</f>
        <v>5</v>
      </c>
      <c r="J734" s="53" t="s">
        <v>392</v>
      </c>
      <c r="K734" s="60"/>
      <c r="L734" s="60"/>
      <c r="M734" s="65" t="s">
        <v>396</v>
      </c>
      <c r="N734" s="65" t="s">
        <v>397</v>
      </c>
      <c r="O734" s="65" t="s">
        <v>398</v>
      </c>
      <c r="P734" s="65" t="s">
        <v>399</v>
      </c>
      <c r="Q734" s="65" t="s">
        <v>400</v>
      </c>
      <c r="R734" s="66" t="s">
        <v>401</v>
      </c>
      <c r="S734" s="47"/>
      <c r="T734" s="47"/>
    </row>
    <row r="735" s="27" customFormat="1" ht="18" customHeight="1" spans="1:20">
      <c r="A735" s="34"/>
      <c r="B735" s="48">
        <v>4</v>
      </c>
      <c r="C735" s="48" t="s">
        <v>402</v>
      </c>
      <c r="D735" s="67" t="s">
        <v>403</v>
      </c>
      <c r="E735" s="67"/>
      <c r="F735" s="50"/>
      <c r="G735" s="67"/>
      <c r="H735" s="68"/>
      <c r="I735" s="52">
        <f>SUM(I732:I734)</f>
        <v>881.96375310215</v>
      </c>
      <c r="J735" s="53" t="s">
        <v>392</v>
      </c>
      <c r="K735" s="60"/>
      <c r="L735" s="69" t="s">
        <v>431</v>
      </c>
      <c r="M735" s="34" t="s">
        <v>509</v>
      </c>
      <c r="N735" s="102"/>
      <c r="O735" s="34">
        <f>O732</f>
        <v>0.628</v>
      </c>
      <c r="P735" s="34">
        <v>1</v>
      </c>
      <c r="Q735" s="44">
        <f t="shared" ref="Q735:Q741" si="90">+P735*O735*N735</f>
        <v>0</v>
      </c>
      <c r="R735" s="71">
        <f>+Q735/R732</f>
        <v>0</v>
      </c>
      <c r="S735" s="47"/>
      <c r="T735" s="47"/>
    </row>
    <row r="736" s="27" customFormat="1" ht="28" customHeight="1" spans="1:20">
      <c r="A736" s="34"/>
      <c r="B736" s="48">
        <v>5</v>
      </c>
      <c r="C736" s="72" t="s">
        <v>406</v>
      </c>
      <c r="D736" s="48" t="s">
        <v>407</v>
      </c>
      <c r="E736" s="48"/>
      <c r="F736" s="50"/>
      <c r="G736" s="48"/>
      <c r="H736" s="73">
        <f>+'材料表 '!$E$178</f>
        <v>0</v>
      </c>
      <c r="I736" s="52">
        <f>H736*I735</f>
        <v>0</v>
      </c>
      <c r="J736" s="53" t="s">
        <v>392</v>
      </c>
      <c r="K736" s="60"/>
      <c r="L736" s="69" t="s">
        <v>431</v>
      </c>
      <c r="M736" s="34" t="s">
        <v>509</v>
      </c>
      <c r="N736" s="102"/>
      <c r="O736" s="34">
        <f>0.19</f>
        <v>0.19</v>
      </c>
      <c r="P736" s="34">
        <v>1</v>
      </c>
      <c r="Q736" s="44">
        <f t="shared" si="90"/>
        <v>0</v>
      </c>
      <c r="R736" s="71">
        <f>+Q736/R732</f>
        <v>0</v>
      </c>
      <c r="S736" s="47"/>
      <c r="T736" s="47"/>
    </row>
    <row r="737" s="27" customFormat="1" ht="18" customHeight="1" spans="1:20">
      <c r="A737" s="34"/>
      <c r="B737" s="48">
        <v>6</v>
      </c>
      <c r="C737" s="48" t="s">
        <v>409</v>
      </c>
      <c r="D737" s="48" t="s">
        <v>410</v>
      </c>
      <c r="E737" s="48"/>
      <c r="F737" s="50"/>
      <c r="G737" s="48"/>
      <c r="H737" s="73">
        <f>+'材料表 '!$E$179</f>
        <v>0</v>
      </c>
      <c r="I737" s="52">
        <f>H737*I735</f>
        <v>0</v>
      </c>
      <c r="J737" s="53" t="s">
        <v>392</v>
      </c>
      <c r="K737" s="60"/>
      <c r="L737" s="69" t="s">
        <v>461</v>
      </c>
      <c r="M737" s="34" t="s">
        <v>462</v>
      </c>
      <c r="N737" s="34">
        <v>3.77</v>
      </c>
      <c r="O737" s="34">
        <f>0.18</f>
        <v>0.18</v>
      </c>
      <c r="P737" s="34">
        <v>0</v>
      </c>
      <c r="Q737" s="44">
        <f t="shared" si="90"/>
        <v>0</v>
      </c>
      <c r="R737" s="71">
        <f>+Q737/R732</f>
        <v>0</v>
      </c>
      <c r="S737" s="47"/>
      <c r="T737" s="47"/>
    </row>
    <row r="738" s="27" customFormat="1" ht="18" customHeight="1" spans="1:20">
      <c r="A738" s="34"/>
      <c r="B738" s="48">
        <v>7</v>
      </c>
      <c r="C738" s="48" t="s">
        <v>412</v>
      </c>
      <c r="D738" s="72" t="s">
        <v>413</v>
      </c>
      <c r="E738" s="72"/>
      <c r="F738" s="77"/>
      <c r="G738" s="72"/>
      <c r="H738" s="73">
        <f>+'材料表 '!$E$180</f>
        <v>0.09</v>
      </c>
      <c r="I738" s="52">
        <f>(I735+I736+I737)*H738</f>
        <v>79.3767377791935</v>
      </c>
      <c r="J738" s="53" t="s">
        <v>392</v>
      </c>
      <c r="K738" s="60"/>
      <c r="L738" s="69" t="s">
        <v>463</v>
      </c>
      <c r="M738" s="34" t="s">
        <v>464</v>
      </c>
      <c r="N738" s="34">
        <f>0.15*0.2*7.85*10</f>
        <v>2.355</v>
      </c>
      <c r="O738" s="34">
        <v>1</v>
      </c>
      <c r="P738" s="34">
        <v>0</v>
      </c>
      <c r="Q738" s="44">
        <f t="shared" si="90"/>
        <v>0</v>
      </c>
      <c r="R738" s="71">
        <f>+Q738/R732</f>
        <v>0</v>
      </c>
      <c r="S738" s="47"/>
      <c r="T738" s="47"/>
    </row>
    <row r="739" s="27" customFormat="1" ht="18" customHeight="1" spans="1:20">
      <c r="A739" s="105" t="s">
        <v>134</v>
      </c>
      <c r="B739" s="48">
        <v>8</v>
      </c>
      <c r="C739" s="48" t="s">
        <v>363</v>
      </c>
      <c r="D739" s="106" t="s">
        <v>415</v>
      </c>
      <c r="E739" s="107"/>
      <c r="F739" s="108"/>
      <c r="G739" s="107"/>
      <c r="H739" s="51"/>
      <c r="I739" s="74">
        <f>SUM(I735:I738)</f>
        <v>961.340490881343</v>
      </c>
      <c r="J739" s="53" t="s">
        <v>416</v>
      </c>
      <c r="K739" s="60"/>
      <c r="L739" s="69" t="s">
        <v>465</v>
      </c>
      <c r="M739" s="34" t="s">
        <v>503</v>
      </c>
      <c r="N739" s="126">
        <v>7.034</v>
      </c>
      <c r="O739" s="34">
        <f>85/1000</f>
        <v>0.085</v>
      </c>
      <c r="P739" s="44">
        <f>+P738*O738*1</f>
        <v>0</v>
      </c>
      <c r="Q739" s="44">
        <f t="shared" si="90"/>
        <v>0</v>
      </c>
      <c r="R739" s="84">
        <f>+Q739/R732</f>
        <v>0</v>
      </c>
      <c r="S739" s="79"/>
      <c r="T739" s="47"/>
    </row>
    <row r="740" s="27" customFormat="1" ht="18" customHeight="1" spans="1:20">
      <c r="A740" s="34"/>
      <c r="B740" s="109" t="s">
        <v>418</v>
      </c>
      <c r="C740" s="110"/>
      <c r="D740" s="110"/>
      <c r="E740" s="110"/>
      <c r="F740" s="110"/>
      <c r="G740" s="110"/>
      <c r="H740" s="110"/>
      <c r="I740" s="110"/>
      <c r="J740" s="110"/>
      <c r="K740" s="80"/>
      <c r="L740" s="69" t="s">
        <v>433</v>
      </c>
      <c r="M740" s="44" t="s">
        <v>504</v>
      </c>
      <c r="N740" s="82">
        <f>0.056*3*2.71+0.0675*3*2.71</f>
        <v>1.004055</v>
      </c>
      <c r="O740" s="44">
        <f>O732</f>
        <v>0.628</v>
      </c>
      <c r="P740" s="44">
        <v>1</v>
      </c>
      <c r="Q740" s="44">
        <f t="shared" si="90"/>
        <v>0.63054654</v>
      </c>
      <c r="R740" s="84">
        <f>+Q740/R732</f>
        <v>1.89444339622641</v>
      </c>
      <c r="S740" s="47">
        <f>0.16*P740*O740/R732</f>
        <v>0.30188679245283</v>
      </c>
      <c r="T740" s="47"/>
    </row>
    <row r="741" s="27" customFormat="1" ht="18" customHeight="1" spans="1:20">
      <c r="A741" s="34"/>
      <c r="B741" s="48">
        <v>1</v>
      </c>
      <c r="C741" s="48" t="s">
        <v>391</v>
      </c>
      <c r="D741" s="48" t="s">
        <v>396</v>
      </c>
      <c r="E741" s="48" t="s">
        <v>37</v>
      </c>
      <c r="F741" s="50"/>
      <c r="G741" s="48"/>
      <c r="H741" s="51" t="s">
        <v>399</v>
      </c>
      <c r="I741" s="51" t="s">
        <v>420</v>
      </c>
      <c r="J741" s="95" t="s">
        <v>421</v>
      </c>
      <c r="K741" s="92"/>
      <c r="L741" s="69" t="s">
        <v>433</v>
      </c>
      <c r="M741" s="44" t="s">
        <v>505</v>
      </c>
      <c r="N741" s="82">
        <f>0.056*3*2.71+0.0675*3*2.71</f>
        <v>1.004055</v>
      </c>
      <c r="O741" s="44">
        <f>P732</f>
        <v>0.53</v>
      </c>
      <c r="P741" s="44">
        <v>3</v>
      </c>
      <c r="Q741" s="44">
        <f t="shared" si="90"/>
        <v>1.59644745</v>
      </c>
      <c r="R741" s="84">
        <f>+Q741/R732</f>
        <v>4.79644108280255</v>
      </c>
      <c r="S741" s="47"/>
      <c r="T741" s="47"/>
    </row>
    <row r="742" s="27" customFormat="1" ht="18" customHeight="1" spans="1:20">
      <c r="A742" s="34"/>
      <c r="B742" s="48">
        <v>2</v>
      </c>
      <c r="C742" s="48"/>
      <c r="D742" s="111" t="s">
        <v>491</v>
      </c>
      <c r="E742" s="49" t="s">
        <v>423</v>
      </c>
      <c r="F742" s="112"/>
      <c r="G742" s="111"/>
      <c r="H742" s="113">
        <v>1</v>
      </c>
      <c r="I742" s="113">
        <f>+辅材及安装费!$G$3</f>
        <v>165</v>
      </c>
      <c r="J742" s="114">
        <f t="shared" ref="J742:J757" si="91">H742*I742</f>
        <v>165</v>
      </c>
      <c r="K742" s="92"/>
      <c r="L742" s="90"/>
      <c r="M742" s="44"/>
      <c r="N742" s="82"/>
      <c r="O742" s="44"/>
      <c r="P742" s="44"/>
      <c r="Q742" s="44">
        <v>0</v>
      </c>
      <c r="R742" s="84">
        <f>+Q742/R732</f>
        <v>0</v>
      </c>
      <c r="S742" s="47"/>
      <c r="T742" s="47"/>
    </row>
    <row r="743" s="27" customFormat="1" ht="18" customHeight="1" spans="1:20">
      <c r="A743" s="34"/>
      <c r="B743" s="48">
        <v>3</v>
      </c>
      <c r="C743" s="48"/>
      <c r="D743" s="115"/>
      <c r="E743" s="63"/>
      <c r="F743" s="116"/>
      <c r="G743" s="115"/>
      <c r="H743" s="117"/>
      <c r="I743" s="117"/>
      <c r="J743" s="118"/>
      <c r="K743" s="92"/>
      <c r="L743" s="90" t="s">
        <v>472</v>
      </c>
      <c r="M743" s="44"/>
      <c r="N743" s="82"/>
      <c r="O743" s="44"/>
      <c r="P743" s="44">
        <v>0</v>
      </c>
      <c r="Q743" s="44">
        <f>+P743</f>
        <v>0</v>
      </c>
      <c r="R743" s="84">
        <f>+Q743/R732</f>
        <v>0</v>
      </c>
      <c r="S743" s="47"/>
      <c r="T743" s="47"/>
    </row>
    <row r="744" s="27" customFormat="1" ht="18" customHeight="1" spans="1:20">
      <c r="A744" s="34"/>
      <c r="B744" s="48">
        <v>4</v>
      </c>
      <c r="C744" s="48"/>
      <c r="D744" s="85" t="s">
        <v>426</v>
      </c>
      <c r="E744" s="48" t="s">
        <v>392</v>
      </c>
      <c r="F744" s="50"/>
      <c r="G744" s="48"/>
      <c r="H744" s="86"/>
      <c r="I744" s="86"/>
      <c r="J744" s="95">
        <f>SUM(J742:J742)</f>
        <v>165</v>
      </c>
      <c r="K744" s="92"/>
      <c r="L744" s="90"/>
      <c r="M744" s="44"/>
      <c r="N744" s="82"/>
      <c r="O744" s="44"/>
      <c r="P744" s="44"/>
      <c r="Q744" s="44"/>
      <c r="R744" s="84"/>
      <c r="S744" s="47"/>
      <c r="T744" s="47"/>
    </row>
    <row r="745" s="27" customFormat="1" ht="22" customHeight="1" spans="1:20">
      <c r="A745" s="34"/>
      <c r="B745" s="48">
        <v>1</v>
      </c>
      <c r="C745" s="48" t="s">
        <v>394</v>
      </c>
      <c r="D745" s="88" t="s">
        <v>431</v>
      </c>
      <c r="E745" s="72" t="str">
        <f>+VLOOKUP(D745,'材料表 '!C:F,2,0)</f>
        <v>kg</v>
      </c>
      <c r="F745" s="77">
        <v>18.6</v>
      </c>
      <c r="G745" s="89">
        <f>+VLOOKUP(D745,'材料表 '!C:F,4,0)</f>
        <v>0.03</v>
      </c>
      <c r="H745" s="74">
        <f t="shared" ref="H745:H757" si="92">F745*(G745+1)</f>
        <v>19.158</v>
      </c>
      <c r="I745" s="74">
        <f>+VLOOKUP(D745,'材料表 '!C:F,3,0)</f>
        <v>3.80530973451327</v>
      </c>
      <c r="J745" s="95">
        <f t="shared" si="91"/>
        <v>72.9021238938052</v>
      </c>
      <c r="K745" s="92">
        <f ca="1">H745*K731</f>
        <v>4012.7542623792</v>
      </c>
      <c r="L745" s="90"/>
      <c r="M745" s="44"/>
      <c r="N745" s="82"/>
      <c r="O745" s="44"/>
      <c r="P745" s="44"/>
      <c r="Q745" s="44"/>
      <c r="R745" s="84"/>
      <c r="S745" s="47"/>
      <c r="T745" s="47"/>
    </row>
    <row r="746" s="27" customFormat="1" ht="18" customHeight="1" spans="1:20">
      <c r="A746" s="34"/>
      <c r="B746" s="48">
        <v>2</v>
      </c>
      <c r="C746" s="48"/>
      <c r="D746" s="88" t="s">
        <v>461</v>
      </c>
      <c r="E746" s="72" t="str">
        <f>+VLOOKUP(D746,'材料表 '!C:F,2,0)</f>
        <v>kg</v>
      </c>
      <c r="F746" s="77">
        <v>4</v>
      </c>
      <c r="G746" s="89">
        <f>+VLOOKUP(D746,'材料表 '!C:F,4,0)</f>
        <v>0.03</v>
      </c>
      <c r="H746" s="74">
        <f t="shared" si="92"/>
        <v>4.12</v>
      </c>
      <c r="I746" s="74">
        <f>+VLOOKUP(D746,'材料表 '!C:F,3,0)</f>
        <v>3.53982300884956</v>
      </c>
      <c r="J746" s="95">
        <f t="shared" si="91"/>
        <v>14.5840707964602</v>
      </c>
      <c r="K746" s="92">
        <f ca="1">H746*K731</f>
        <v>862.957905888</v>
      </c>
      <c r="L746" s="90"/>
      <c r="M746" s="44"/>
      <c r="N746" s="82"/>
      <c r="O746" s="44"/>
      <c r="P746" s="44"/>
      <c r="Q746" s="44"/>
      <c r="R746" s="84"/>
      <c r="S746" s="47"/>
      <c r="T746" s="47"/>
    </row>
    <row r="747" s="27" customFormat="1" ht="18" customHeight="1" spans="1:20">
      <c r="A747" s="34"/>
      <c r="B747" s="48">
        <v>3</v>
      </c>
      <c r="C747" s="48"/>
      <c r="D747" s="88" t="s">
        <v>465</v>
      </c>
      <c r="E747" s="72" t="str">
        <f>+VLOOKUP(D747,'材料表 '!C:F,2,0)</f>
        <v>kg</v>
      </c>
      <c r="F747" s="77">
        <v>0.5</v>
      </c>
      <c r="G747" s="89">
        <f>+VLOOKUP(D747,'材料表 '!C:F,4,0)</f>
        <v>0.03</v>
      </c>
      <c r="H747" s="74">
        <f t="shared" si="92"/>
        <v>0.515</v>
      </c>
      <c r="I747" s="74">
        <f>+VLOOKUP(D747,'材料表 '!C:F,3,0)</f>
        <v>6.01769911504425</v>
      </c>
      <c r="J747" s="95">
        <f t="shared" si="91"/>
        <v>3.09911504424779</v>
      </c>
      <c r="K747" s="92">
        <f ca="1">H747*K731</f>
        <v>107.869738236</v>
      </c>
      <c r="L747" s="90"/>
      <c r="M747" s="44"/>
      <c r="N747" s="82"/>
      <c r="O747" s="44"/>
      <c r="P747" s="44"/>
      <c r="Q747" s="44">
        <f>+P747*O747</f>
        <v>0</v>
      </c>
      <c r="R747" s="84">
        <f>+Q747/R732</f>
        <v>0</v>
      </c>
      <c r="S747" s="47"/>
      <c r="T747" s="47"/>
    </row>
    <row r="748" s="27" customFormat="1" ht="18" customHeight="1" spans="1:20">
      <c r="A748" s="34"/>
      <c r="B748" s="48">
        <v>4</v>
      </c>
      <c r="C748" s="48"/>
      <c r="D748" s="88" t="s">
        <v>463</v>
      </c>
      <c r="E748" s="72" t="str">
        <f>+VLOOKUP(D748,'材料表 '!C:F,2,0)</f>
        <v>kg</v>
      </c>
      <c r="F748" s="77">
        <v>2.8</v>
      </c>
      <c r="G748" s="89">
        <f>+VLOOKUP(D748,'材料表 '!C:F,4,0)</f>
        <v>0.03</v>
      </c>
      <c r="H748" s="74">
        <f t="shared" si="92"/>
        <v>2.884</v>
      </c>
      <c r="I748" s="74">
        <f>+VLOOKUP(D748,'材料表 '!C:F,3,0)</f>
        <v>6.01769911504425</v>
      </c>
      <c r="J748" s="95">
        <f t="shared" si="91"/>
        <v>17.3550442477876</v>
      </c>
      <c r="K748" s="92">
        <f ca="1">H748*K731</f>
        <v>604.0705341216</v>
      </c>
      <c r="L748" s="90" t="s">
        <v>474</v>
      </c>
      <c r="M748" s="44"/>
      <c r="N748" s="82"/>
      <c r="O748" s="44"/>
      <c r="P748" s="44"/>
      <c r="Q748" s="44">
        <f>+O738*P738*4</f>
        <v>0</v>
      </c>
      <c r="R748" s="84">
        <f>+Q748/R732</f>
        <v>0</v>
      </c>
      <c r="S748" s="47"/>
      <c r="T748" s="47"/>
    </row>
    <row r="749" s="27" customFormat="1" ht="18" customHeight="1" spans="1:20">
      <c r="A749" s="34"/>
      <c r="B749" s="48">
        <v>5</v>
      </c>
      <c r="C749" s="48"/>
      <c r="D749" s="88" t="s">
        <v>433</v>
      </c>
      <c r="E749" s="72" t="str">
        <f>+VLOOKUP(D749,'材料表 '!C:F,2,0)</f>
        <v>kg</v>
      </c>
      <c r="F749" s="77">
        <f t="shared" ref="F748:F752" si="93">+SUMIF($L$650:$L$688,D749,$R$650:$R$688)</f>
        <v>6.69088447902896</v>
      </c>
      <c r="G749" s="89">
        <f>+VLOOKUP(D749,'材料表 '!C:F,4,0)</f>
        <v>0.03</v>
      </c>
      <c r="H749" s="74">
        <f t="shared" si="92"/>
        <v>6.89161101339983</v>
      </c>
      <c r="I749" s="74">
        <f>+VLOOKUP(D749,'材料表 '!C:F,3,0)</f>
        <v>26.1150442477876</v>
      </c>
      <c r="J749" s="95">
        <f t="shared" si="91"/>
        <v>179.974726553477</v>
      </c>
      <c r="K749" s="92">
        <f ca="1">H749*K731</f>
        <v>1443.48791464034</v>
      </c>
      <c r="L749" s="92" t="s">
        <v>476</v>
      </c>
      <c r="M749" s="44"/>
      <c r="N749" s="82"/>
      <c r="O749" s="44"/>
      <c r="P749" s="44"/>
      <c r="Q749" s="44">
        <f>8*8*(O732*2+P732*1)/500</f>
        <v>0.228608</v>
      </c>
      <c r="R749" s="84">
        <f>+Q749/R732</f>
        <v>0.686840523975484</v>
      </c>
      <c r="S749" s="47"/>
      <c r="T749" s="47"/>
    </row>
    <row r="750" s="27" customFormat="1" ht="18" customHeight="1" spans="1:20">
      <c r="A750" s="34"/>
      <c r="B750" s="48">
        <v>6</v>
      </c>
      <c r="C750" s="48"/>
      <c r="D750" s="88" t="s">
        <v>434</v>
      </c>
      <c r="E750" s="72" t="str">
        <f>+VLOOKUP(D750,'材料表 '!C:F,2,0)</f>
        <v>m2</v>
      </c>
      <c r="F750" s="77">
        <f t="shared" si="93"/>
        <v>0</v>
      </c>
      <c r="G750" s="89">
        <f>+VLOOKUP(D750,'材料表 '!C:F,4,0)</f>
        <v>0</v>
      </c>
      <c r="H750" s="74">
        <f t="shared" si="92"/>
        <v>0</v>
      </c>
      <c r="I750" s="74">
        <f>+VLOOKUP(D750,'材料表 '!C:F,3,0)</f>
        <v>49.5575221238938</v>
      </c>
      <c r="J750" s="95">
        <f t="shared" si="91"/>
        <v>0</v>
      </c>
      <c r="K750" s="92">
        <f ca="1">H750*K731</f>
        <v>0</v>
      </c>
      <c r="L750" s="92" t="s">
        <v>499</v>
      </c>
      <c r="M750" s="44"/>
      <c r="N750" s="82"/>
      <c r="O750" s="44"/>
      <c r="P750" s="44"/>
      <c r="Q750" s="44">
        <v>0</v>
      </c>
      <c r="R750" s="84">
        <f>Q750/R732</f>
        <v>0</v>
      </c>
      <c r="S750" s="47"/>
      <c r="T750" s="47"/>
    </row>
    <row r="751" s="27" customFormat="1" ht="18" customHeight="1" spans="1:20">
      <c r="A751" s="34"/>
      <c r="B751" s="48">
        <v>7</v>
      </c>
      <c r="C751" s="48"/>
      <c r="D751" s="88" t="s">
        <v>472</v>
      </c>
      <c r="E751" s="72" t="str">
        <f>+VLOOKUP(D751,'材料表 '!C:F,2,0)</f>
        <v>套</v>
      </c>
      <c r="F751" s="77">
        <f t="shared" si="93"/>
        <v>0</v>
      </c>
      <c r="G751" s="89">
        <f>+VLOOKUP(D751,'材料表 '!C:F,4,0)</f>
        <v>0</v>
      </c>
      <c r="H751" s="74">
        <f t="shared" si="92"/>
        <v>0</v>
      </c>
      <c r="I751" s="74">
        <f>+VLOOKUP(D751,'材料表 '!C:F,3,0)</f>
        <v>2.47787610619469</v>
      </c>
      <c r="J751" s="95">
        <f t="shared" si="91"/>
        <v>0</v>
      </c>
      <c r="K751" s="92">
        <f ca="1">H751*K731</f>
        <v>0</v>
      </c>
      <c r="L751" s="92"/>
      <c r="M751" s="44"/>
      <c r="N751" s="82"/>
      <c r="O751" s="44"/>
      <c r="P751" s="44"/>
      <c r="Q751" s="44"/>
      <c r="R751" s="84"/>
      <c r="S751" s="47"/>
      <c r="T751" s="47"/>
    </row>
    <row r="752" s="27" customFormat="1" ht="18" customHeight="1" spans="1:20">
      <c r="A752" s="34"/>
      <c r="B752" s="48">
        <v>8</v>
      </c>
      <c r="C752" s="48"/>
      <c r="D752" s="88" t="s">
        <v>474</v>
      </c>
      <c r="E752" s="72" t="str">
        <f>+VLOOKUP(D752,'材料表 '!C:F,2,0)</f>
        <v>套</v>
      </c>
      <c r="F752" s="77">
        <f t="shared" si="93"/>
        <v>0</v>
      </c>
      <c r="G752" s="89">
        <f>+VLOOKUP(D752,'材料表 '!C:F,4,0)</f>
        <v>0</v>
      </c>
      <c r="H752" s="74">
        <f t="shared" si="92"/>
        <v>0</v>
      </c>
      <c r="I752" s="74">
        <f>+VLOOKUP(D752,'材料表 '!C:F,3,0)</f>
        <v>2.21238938053097</v>
      </c>
      <c r="J752" s="95">
        <f t="shared" si="91"/>
        <v>0</v>
      </c>
      <c r="K752" s="92">
        <f ca="1">H752*K731</f>
        <v>0</v>
      </c>
      <c r="L752" s="92"/>
      <c r="M752" s="44"/>
      <c r="N752" s="82"/>
      <c r="O752" s="44"/>
      <c r="P752" s="44"/>
      <c r="Q752" s="44"/>
      <c r="R752" s="84"/>
      <c r="S752" s="47"/>
      <c r="T752" s="47"/>
    </row>
    <row r="753" s="27" customFormat="1" ht="18" customHeight="1" spans="1:20">
      <c r="A753" s="34"/>
      <c r="B753" s="48">
        <v>9</v>
      </c>
      <c r="C753" s="48"/>
      <c r="D753" s="88" t="s">
        <v>476</v>
      </c>
      <c r="E753" s="72" t="str">
        <f>+VLOOKUP(D753,'材料表 '!C:F,2,0)</f>
        <v>支</v>
      </c>
      <c r="F753" s="77">
        <v>0.4</v>
      </c>
      <c r="G753" s="89">
        <f>+VLOOKUP(D753,'材料表 '!C:F,4,0)</f>
        <v>0.15</v>
      </c>
      <c r="H753" s="74">
        <f t="shared" si="92"/>
        <v>0.46</v>
      </c>
      <c r="I753" s="74">
        <f>+VLOOKUP(D753,'材料表 '!C:F,3,0)</f>
        <v>11.5044247787611</v>
      </c>
      <c r="J753" s="95">
        <f t="shared" si="91"/>
        <v>5.29203539823011</v>
      </c>
      <c r="K753" s="92">
        <f ca="1">H753*K731</f>
        <v>96.349669104</v>
      </c>
      <c r="L753" s="90"/>
      <c r="M753" s="44"/>
      <c r="N753" s="82"/>
      <c r="O753" s="34"/>
      <c r="P753" s="44"/>
      <c r="Q753" s="44"/>
      <c r="R753" s="119"/>
      <c r="S753" s="47"/>
      <c r="T753" s="47"/>
    </row>
    <row r="754" s="27" customFormat="1" ht="18" customHeight="1" spans="1:20">
      <c r="A754" s="34"/>
      <c r="B754" s="48">
        <v>10</v>
      </c>
      <c r="C754" s="48"/>
      <c r="D754" s="88" t="s">
        <v>499</v>
      </c>
      <c r="E754" s="72" t="str">
        <f>+VLOOKUP(D754,'材料表 '!C:F,2,0)</f>
        <v>套</v>
      </c>
      <c r="F754" s="77">
        <v>1.6</v>
      </c>
      <c r="G754" s="89">
        <f>+VLOOKUP(D754,'材料表 '!C:F,4,0)</f>
        <v>0</v>
      </c>
      <c r="H754" s="74">
        <f t="shared" si="92"/>
        <v>1.6</v>
      </c>
      <c r="I754" s="74">
        <f>+VLOOKUP(D754,'材料表 '!C:F,3,0)</f>
        <v>1.32743362831858</v>
      </c>
      <c r="J754" s="95">
        <f t="shared" si="91"/>
        <v>2.12389380530973</v>
      </c>
      <c r="K754" s="92">
        <f ca="1">H754*K731</f>
        <v>335.12928384</v>
      </c>
      <c r="L754" s="92"/>
      <c r="M754" s="120"/>
      <c r="N754" s="82"/>
      <c r="O754" s="44"/>
      <c r="P754" s="44"/>
      <c r="Q754" s="44"/>
      <c r="R754" s="84"/>
      <c r="S754" s="47"/>
      <c r="T754" s="47"/>
    </row>
    <row r="755" s="27" customFormat="1" ht="18" customHeight="1" spans="1:20">
      <c r="A755" s="34"/>
      <c r="B755" s="48">
        <v>11</v>
      </c>
      <c r="C755" s="48"/>
      <c r="D755" s="88" t="s">
        <v>479</v>
      </c>
      <c r="E755" s="72" t="str">
        <f>+VLOOKUP(D755,'材料表 '!C:F,2,0)</f>
        <v>kg</v>
      </c>
      <c r="F755" s="77">
        <v>0</v>
      </c>
      <c r="G755" s="89">
        <f>+VLOOKUP(D755,'材料表 '!C:F,4,0)</f>
        <v>0.03</v>
      </c>
      <c r="H755" s="74">
        <f t="shared" si="92"/>
        <v>0</v>
      </c>
      <c r="I755" s="74">
        <f>+VLOOKUP(D755,'材料表 '!C:F,3,0)</f>
        <v>14.1592920353982</v>
      </c>
      <c r="J755" s="95">
        <f t="shared" si="91"/>
        <v>0</v>
      </c>
      <c r="K755" s="92">
        <f ca="1">H755*K731</f>
        <v>0</v>
      </c>
      <c r="L755" s="92"/>
      <c r="M755" s="44"/>
      <c r="N755" s="82"/>
      <c r="O755" s="44"/>
      <c r="P755" s="44"/>
      <c r="Q755" s="44"/>
      <c r="R755" s="84"/>
      <c r="S755" s="47"/>
      <c r="T755" s="47"/>
    </row>
    <row r="756" s="27" customFormat="1" ht="28" customHeight="1" spans="1:20">
      <c r="A756" s="34"/>
      <c r="B756" s="48">
        <v>12</v>
      </c>
      <c r="C756" s="48"/>
      <c r="D756" s="210" t="s">
        <v>515</v>
      </c>
      <c r="E756" s="72" t="str">
        <f>+VLOOKUP(D756,'材料表 '!C:F,2,0)</f>
        <v>m2</v>
      </c>
      <c r="F756" s="77">
        <v>1</v>
      </c>
      <c r="G756" s="89">
        <f>+VLOOKUP(D756,'材料表 '!C:F,4,0)</f>
        <v>0.02</v>
      </c>
      <c r="H756" s="74">
        <f t="shared" si="92"/>
        <v>1.02</v>
      </c>
      <c r="I756" s="74">
        <f>+VLOOKUP(D756,'材料表 '!C:F,3,0)</f>
        <v>361.061946902655</v>
      </c>
      <c r="J756" s="95">
        <f t="shared" si="91"/>
        <v>368.283185840708</v>
      </c>
      <c r="K756" s="92">
        <f ca="1">H756*K731</f>
        <v>213.644918448</v>
      </c>
      <c r="L756" s="92"/>
      <c r="M756" s="44"/>
      <c r="N756" s="44"/>
      <c r="O756" s="44"/>
      <c r="P756" s="44"/>
      <c r="Q756" s="44"/>
      <c r="R756" s="84"/>
      <c r="S756" s="47"/>
      <c r="T756" s="47"/>
    </row>
    <row r="757" s="27" customFormat="1" ht="18" customHeight="1" spans="1:20">
      <c r="A757" s="34"/>
      <c r="B757" s="48">
        <v>13</v>
      </c>
      <c r="C757" s="48"/>
      <c r="D757" s="239" t="s">
        <v>475</v>
      </c>
      <c r="E757" s="240" t="str">
        <f>+VLOOKUP(D757,'材料表 '!C:F,2,0)</f>
        <v>m2</v>
      </c>
      <c r="F757" s="241">
        <v>0.97</v>
      </c>
      <c r="G757" s="242">
        <f>+VLOOKUP(D757,'材料表 '!C:F,4,0)</f>
        <v>0.01</v>
      </c>
      <c r="H757" s="243">
        <f t="shared" si="92"/>
        <v>0.9797</v>
      </c>
      <c r="I757" s="243">
        <f>+VLOOKUP(D757,'材料表 '!C:F,3,0)</f>
        <v>44.2477876106195</v>
      </c>
      <c r="J757" s="244">
        <f t="shared" si="91"/>
        <v>43.3495575221239</v>
      </c>
      <c r="K757" s="92">
        <f ca="1">H757*K731</f>
        <v>205.20384961128</v>
      </c>
      <c r="L757" s="92"/>
      <c r="M757" s="44"/>
      <c r="N757" s="44"/>
      <c r="O757" s="44"/>
      <c r="P757" s="44"/>
      <c r="Q757" s="44"/>
      <c r="R757" s="84"/>
      <c r="S757" s="47"/>
      <c r="T757" s="47"/>
    </row>
    <row r="758" s="27" customFormat="1" ht="24" customHeight="1" spans="1:20">
      <c r="A758" s="34"/>
      <c r="B758" s="48">
        <v>14</v>
      </c>
      <c r="C758" s="48"/>
      <c r="D758" s="88"/>
      <c r="E758" s="72"/>
      <c r="F758" s="77"/>
      <c r="G758" s="89"/>
      <c r="H758" s="74"/>
      <c r="I758" s="74"/>
      <c r="J758" s="95"/>
      <c r="K758" s="92">
        <f ca="1">H758*K731</f>
        <v>0</v>
      </c>
      <c r="L758" s="92"/>
      <c r="M758" s="44"/>
      <c r="N758" s="44"/>
      <c r="O758" s="44"/>
      <c r="P758" s="44"/>
      <c r="Q758" s="44"/>
      <c r="R758" s="84"/>
      <c r="S758" s="47"/>
      <c r="T758" s="47"/>
    </row>
    <row r="759" s="27" customFormat="1" ht="18" customHeight="1" spans="1:20">
      <c r="A759" s="34"/>
      <c r="B759" s="48">
        <v>15</v>
      </c>
      <c r="C759" s="48"/>
      <c r="D759" s="88"/>
      <c r="E759" s="72"/>
      <c r="F759" s="77"/>
      <c r="G759" s="89"/>
      <c r="H759" s="74"/>
      <c r="I759" s="74"/>
      <c r="J759" s="95"/>
      <c r="K759" s="92"/>
      <c r="L759" s="92"/>
      <c r="M759" s="44"/>
      <c r="N759" s="44"/>
      <c r="O759" s="44"/>
      <c r="P759" s="44"/>
      <c r="Q759" s="44"/>
      <c r="R759" s="84"/>
      <c r="S759" s="47"/>
      <c r="T759" s="47"/>
    </row>
    <row r="760" s="27" customFormat="1" ht="18" customHeight="1" spans="1:20">
      <c r="A760" s="34"/>
      <c r="B760" s="48">
        <v>16</v>
      </c>
      <c r="C760" s="48"/>
      <c r="D760" s="88"/>
      <c r="E760" s="72"/>
      <c r="F760" s="77"/>
      <c r="G760" s="89"/>
      <c r="H760" s="74"/>
      <c r="I760" s="74"/>
      <c r="J760" s="95"/>
      <c r="K760" s="92"/>
      <c r="L760" s="92"/>
      <c r="M760" s="44"/>
      <c r="N760" s="44"/>
      <c r="O760" s="44"/>
      <c r="P760" s="44"/>
      <c r="Q760" s="44"/>
      <c r="R760" s="84"/>
      <c r="S760" s="47"/>
      <c r="T760" s="47"/>
    </row>
    <row r="761" s="27" customFormat="1" ht="18" customHeight="1" spans="1:20">
      <c r="A761" s="34"/>
      <c r="B761" s="48">
        <v>17</v>
      </c>
      <c r="C761" s="48"/>
      <c r="D761" s="121"/>
      <c r="E761" s="72"/>
      <c r="F761" s="77"/>
      <c r="G761" s="89"/>
      <c r="H761" s="74"/>
      <c r="I761" s="74"/>
      <c r="J761" s="95"/>
      <c r="K761" s="92"/>
      <c r="L761" s="92"/>
      <c r="M761" s="44"/>
      <c r="N761" s="44"/>
      <c r="O761" s="44"/>
      <c r="P761" s="44"/>
      <c r="Q761" s="101"/>
      <c r="R761" s="84"/>
      <c r="S761" s="47"/>
      <c r="T761" s="47"/>
    </row>
    <row r="762" s="27" customFormat="1" ht="18" customHeight="1" spans="1:20">
      <c r="A762" s="34"/>
      <c r="B762" s="48">
        <v>18</v>
      </c>
      <c r="C762" s="48"/>
      <c r="D762" s="88"/>
      <c r="E762" s="72"/>
      <c r="F762" s="77"/>
      <c r="G762" s="89"/>
      <c r="H762" s="74"/>
      <c r="I762" s="74"/>
      <c r="J762" s="95"/>
      <c r="K762" s="92"/>
      <c r="L762" s="92"/>
      <c r="M762" s="44"/>
      <c r="N762" s="44"/>
      <c r="O762" s="44"/>
      <c r="P762" s="44"/>
      <c r="Q762" s="44"/>
      <c r="R762" s="84"/>
      <c r="S762" s="47"/>
      <c r="T762" s="47"/>
    </row>
    <row r="763" s="27" customFormat="1" ht="18" customHeight="1" spans="1:20">
      <c r="A763" s="34"/>
      <c r="B763" s="48">
        <v>19</v>
      </c>
      <c r="C763" s="48"/>
      <c r="D763" s="27"/>
      <c r="E763" s="72"/>
      <c r="F763" s="77"/>
      <c r="G763" s="89"/>
      <c r="H763" s="74"/>
      <c r="I763" s="74"/>
      <c r="J763" s="95"/>
      <c r="K763" s="92"/>
      <c r="L763" s="92"/>
      <c r="M763" s="44"/>
      <c r="N763" s="44"/>
      <c r="O763" s="44"/>
      <c r="P763" s="44"/>
      <c r="Q763" s="44"/>
      <c r="R763" s="84"/>
      <c r="S763" s="47"/>
      <c r="T763" s="47"/>
    </row>
    <row r="764" s="27" customFormat="1" ht="18" customHeight="1" spans="1:20">
      <c r="A764" s="34"/>
      <c r="B764" s="48">
        <v>20</v>
      </c>
      <c r="C764" s="48"/>
      <c r="D764" s="88"/>
      <c r="E764" s="72"/>
      <c r="F764" s="77"/>
      <c r="G764" s="89"/>
      <c r="H764" s="74"/>
      <c r="I764" s="74"/>
      <c r="J764" s="95"/>
      <c r="K764" s="92"/>
      <c r="L764" s="92"/>
      <c r="M764" s="44"/>
      <c r="N764" s="44"/>
      <c r="O764" s="44"/>
      <c r="P764" s="44"/>
      <c r="Q764" s="44"/>
      <c r="R764" s="84"/>
      <c r="S764" s="47"/>
      <c r="T764" s="47"/>
    </row>
    <row r="765" s="27" customFormat="1" ht="18" customHeight="1" spans="1:20">
      <c r="A765" s="34"/>
      <c r="B765" s="48">
        <v>21</v>
      </c>
      <c r="C765" s="48"/>
      <c r="D765" s="88"/>
      <c r="E765" s="72"/>
      <c r="F765" s="77"/>
      <c r="G765" s="89"/>
      <c r="H765" s="74"/>
      <c r="I765" s="74"/>
      <c r="J765" s="95"/>
      <c r="K765" s="92"/>
      <c r="L765" s="92"/>
      <c r="M765" s="44"/>
      <c r="N765" s="44"/>
      <c r="O765" s="44"/>
      <c r="P765" s="44"/>
      <c r="Q765" s="44"/>
      <c r="R765" s="84"/>
      <c r="S765" s="47"/>
      <c r="T765" s="47"/>
    </row>
    <row r="766" s="27" customFormat="1" ht="18" customHeight="1" spans="1:20">
      <c r="A766" s="34"/>
      <c r="B766" s="48">
        <v>22</v>
      </c>
      <c r="C766" s="48"/>
      <c r="D766" s="27"/>
      <c r="E766" s="72"/>
      <c r="F766" s="77"/>
      <c r="G766" s="72"/>
      <c r="H766" s="74"/>
      <c r="I766" s="74"/>
      <c r="J766" s="95"/>
      <c r="K766" s="92"/>
      <c r="L766" s="92"/>
      <c r="M766" s="44"/>
      <c r="N766" s="44"/>
      <c r="O766" s="44"/>
      <c r="P766" s="44"/>
      <c r="Q766" s="44"/>
      <c r="R766" s="62"/>
      <c r="S766" s="47"/>
      <c r="T766" s="47"/>
    </row>
    <row r="767" s="27" customFormat="1" ht="18" customHeight="1" spans="1:20">
      <c r="A767" s="34"/>
      <c r="B767" s="48">
        <v>23</v>
      </c>
      <c r="C767" s="48"/>
      <c r="D767" s="88"/>
      <c r="E767" s="72"/>
      <c r="F767" s="77"/>
      <c r="G767" s="89"/>
      <c r="H767" s="74"/>
      <c r="I767" s="74"/>
      <c r="J767" s="95"/>
      <c r="K767" s="92"/>
      <c r="L767" s="92"/>
      <c r="M767" s="44"/>
      <c r="N767" s="44"/>
      <c r="O767" s="44"/>
      <c r="P767" s="44"/>
      <c r="Q767" s="44"/>
      <c r="R767" s="62"/>
      <c r="S767" s="47"/>
      <c r="T767" s="47"/>
    </row>
    <row r="768" s="27" customFormat="1" ht="18" customHeight="1" spans="1:20">
      <c r="A768" s="34"/>
      <c r="B768" s="48">
        <v>24</v>
      </c>
      <c r="C768" s="48"/>
      <c r="D768" s="88" t="s">
        <v>478</v>
      </c>
      <c r="E768" s="72" t="s">
        <v>43</v>
      </c>
      <c r="F768" s="77"/>
      <c r="G768" s="72">
        <v>1</v>
      </c>
      <c r="H768" s="74">
        <v>1</v>
      </c>
      <c r="I768" s="74">
        <f>+辅材及安装费!$E$3</f>
        <v>5</v>
      </c>
      <c r="J768" s="95">
        <f t="shared" ref="J767:J770" si="94">H768*I768</f>
        <v>5</v>
      </c>
      <c r="K768" s="92"/>
      <c r="L768" s="92"/>
      <c r="M768" s="44"/>
      <c r="N768" s="44"/>
      <c r="O768" s="44"/>
      <c r="P768" s="44"/>
      <c r="Q768" s="44"/>
      <c r="R768" s="62"/>
      <c r="S768" s="47"/>
      <c r="T768" s="47"/>
    </row>
    <row r="769" s="27" customFormat="1" ht="18" customHeight="1" spans="1:20">
      <c r="A769" s="34"/>
      <c r="B769" s="48">
        <v>25</v>
      </c>
      <c r="C769" s="48"/>
      <c r="D769" s="93" t="s">
        <v>442</v>
      </c>
      <c r="E769" s="72"/>
      <c r="F769" s="77"/>
      <c r="G769" s="72"/>
      <c r="H769" s="74"/>
      <c r="I769" s="74"/>
      <c r="J769" s="95">
        <f>SUM(J745:J768)</f>
        <v>711.96375310215</v>
      </c>
      <c r="K769" s="92"/>
      <c r="L769" s="94"/>
      <c r="M769" s="27"/>
      <c r="N769" s="83"/>
      <c r="O769" s="83"/>
      <c r="P769" s="83"/>
      <c r="Q769" s="83"/>
      <c r="R769" s="87"/>
      <c r="S769" s="47"/>
      <c r="T769" s="47"/>
    </row>
    <row r="770" s="27" customFormat="1" ht="18" customHeight="1" spans="1:20">
      <c r="A770" s="34"/>
      <c r="B770" s="48">
        <v>1</v>
      </c>
      <c r="C770" s="48" t="s">
        <v>443</v>
      </c>
      <c r="D770" s="48" t="s">
        <v>444</v>
      </c>
      <c r="E770" s="72" t="s">
        <v>43</v>
      </c>
      <c r="F770" s="50"/>
      <c r="G770" s="48"/>
      <c r="H770" s="51">
        <v>1</v>
      </c>
      <c r="I770" s="74">
        <f>+辅材及安装费!$F$3</f>
        <v>5</v>
      </c>
      <c r="J770" s="95">
        <f t="shared" si="94"/>
        <v>5</v>
      </c>
      <c r="K770" s="118"/>
      <c r="L770" s="96"/>
      <c r="M770" s="97"/>
      <c r="N770" s="98"/>
      <c r="O770" s="98"/>
      <c r="P770" s="98"/>
      <c r="Q770" s="98"/>
      <c r="R770" s="99"/>
      <c r="S770" s="47"/>
      <c r="T770" s="47"/>
    </row>
    <row r="771" s="26" customFormat="1" ht="30" customHeight="1" spans="1:20">
      <c r="A771" s="28"/>
      <c r="B771" s="29" t="s">
        <v>386</v>
      </c>
      <c r="C771" s="29"/>
      <c r="D771" s="29"/>
      <c r="E771" s="29"/>
      <c r="F771" s="29"/>
      <c r="G771" s="29"/>
      <c r="H771" s="29"/>
      <c r="I771" s="29"/>
      <c r="J771" s="29"/>
      <c r="K771" s="29"/>
      <c r="L771" s="30"/>
      <c r="M771" s="31"/>
      <c r="N771" s="31"/>
      <c r="O771" s="31"/>
      <c r="P771" s="31"/>
      <c r="Q771" s="31"/>
      <c r="R771" s="32"/>
      <c r="S771" s="33"/>
      <c r="T771" s="33"/>
    </row>
    <row r="772" s="27" customFormat="1" ht="33.75" customHeight="1" spans="1:20">
      <c r="A772" s="34">
        <v>9</v>
      </c>
      <c r="B772" s="35" t="s">
        <v>1</v>
      </c>
      <c r="C772" s="35" t="s">
        <v>387</v>
      </c>
      <c r="D772" s="36" t="str">
        <f>+A780</f>
        <v>4㎜香槟色穿孔铝单板（双层，内层1.5㎜镀锌钢板）弧形</v>
      </c>
      <c r="E772" s="37"/>
      <c r="F772" s="38" t="s">
        <v>119</v>
      </c>
      <c r="G772" s="39"/>
      <c r="H772" s="35" t="s">
        <v>388</v>
      </c>
      <c r="I772" s="40" t="s">
        <v>389</v>
      </c>
      <c r="J772" s="41" t="s">
        <v>37</v>
      </c>
      <c r="K772" s="42">
        <f ca="1">VLOOKUP(A772,排屋工程量清单!$A$59:$D$86,4,)</f>
        <v>9.537192</v>
      </c>
      <c r="L772" s="43"/>
      <c r="M772" s="44"/>
      <c r="N772" s="44"/>
      <c r="O772" s="44"/>
      <c r="P772" s="45"/>
      <c r="Q772" s="44"/>
      <c r="R772" s="46"/>
      <c r="S772" s="47"/>
      <c r="T772" s="47"/>
    </row>
    <row r="773" s="27" customFormat="1" ht="25" customHeight="1" spans="1:20">
      <c r="A773" s="34"/>
      <c r="B773" s="48">
        <v>1</v>
      </c>
      <c r="C773" s="49" t="s">
        <v>390</v>
      </c>
      <c r="D773" s="48" t="s">
        <v>391</v>
      </c>
      <c r="E773" s="48"/>
      <c r="F773" s="50"/>
      <c r="G773" s="48"/>
      <c r="H773" s="51"/>
      <c r="I773" s="52">
        <f>J785</f>
        <v>200</v>
      </c>
      <c r="J773" s="53" t="s">
        <v>392</v>
      </c>
      <c r="K773" s="54"/>
      <c r="L773" s="55" t="s">
        <v>507</v>
      </c>
      <c r="M773" s="56" t="s">
        <v>512</v>
      </c>
      <c r="N773" s="57"/>
      <c r="O773" s="57">
        <v>0.628</v>
      </c>
      <c r="P773" s="57">
        <v>0.53</v>
      </c>
      <c r="Q773" s="57">
        <v>1</v>
      </c>
      <c r="R773" s="58">
        <f>+Q773*P773*O773</f>
        <v>0.33284</v>
      </c>
      <c r="S773" s="47"/>
      <c r="T773" s="47"/>
    </row>
    <row r="774" s="27" customFormat="1" ht="18" customHeight="1" spans="1:20">
      <c r="A774" s="34"/>
      <c r="B774" s="48">
        <v>2</v>
      </c>
      <c r="C774" s="59"/>
      <c r="D774" s="48" t="s">
        <v>394</v>
      </c>
      <c r="E774" s="48"/>
      <c r="F774" s="50"/>
      <c r="G774" s="48"/>
      <c r="H774" s="51"/>
      <c r="I774" s="52">
        <f>J810</f>
        <v>764.662868146397</v>
      </c>
      <c r="J774" s="53" t="s">
        <v>392</v>
      </c>
      <c r="K774" s="60"/>
      <c r="L774" s="61" t="s">
        <v>119</v>
      </c>
      <c r="M774" s="44"/>
      <c r="N774" s="44"/>
      <c r="O774" s="44"/>
      <c r="P774" s="44"/>
      <c r="Q774" s="44"/>
      <c r="R774" s="62"/>
      <c r="S774" s="47"/>
      <c r="T774" s="47"/>
    </row>
    <row r="775" s="27" customFormat="1" ht="18" customHeight="1" spans="1:20">
      <c r="A775" s="34"/>
      <c r="B775" s="48">
        <v>3</v>
      </c>
      <c r="C775" s="63"/>
      <c r="D775" s="48" t="s">
        <v>395</v>
      </c>
      <c r="E775" s="48"/>
      <c r="F775" s="50"/>
      <c r="G775" s="48"/>
      <c r="H775" s="51"/>
      <c r="I775" s="52">
        <f>J811</f>
        <v>5</v>
      </c>
      <c r="J775" s="53" t="s">
        <v>392</v>
      </c>
      <c r="K775" s="60"/>
      <c r="L775" s="60"/>
      <c r="M775" s="65" t="s">
        <v>396</v>
      </c>
      <c r="N775" s="65" t="s">
        <v>397</v>
      </c>
      <c r="O775" s="65" t="s">
        <v>398</v>
      </c>
      <c r="P775" s="65" t="s">
        <v>399</v>
      </c>
      <c r="Q775" s="65" t="s">
        <v>400</v>
      </c>
      <c r="R775" s="66" t="s">
        <v>401</v>
      </c>
      <c r="S775" s="47"/>
      <c r="T775" s="47"/>
    </row>
    <row r="776" s="27" customFormat="1" ht="18" customHeight="1" spans="1:20">
      <c r="A776" s="34"/>
      <c r="B776" s="48">
        <v>4</v>
      </c>
      <c r="C776" s="48" t="s">
        <v>402</v>
      </c>
      <c r="D776" s="67" t="s">
        <v>403</v>
      </c>
      <c r="E776" s="67"/>
      <c r="F776" s="50"/>
      <c r="G776" s="67"/>
      <c r="H776" s="68"/>
      <c r="I776" s="52">
        <f>SUM(I773:I775)</f>
        <v>969.662868146397</v>
      </c>
      <c r="J776" s="53" t="s">
        <v>392</v>
      </c>
      <c r="K776" s="60"/>
      <c r="L776" s="69" t="s">
        <v>431</v>
      </c>
      <c r="M776" s="34" t="s">
        <v>509</v>
      </c>
      <c r="N776" s="102"/>
      <c r="O776" s="34">
        <f>O773</f>
        <v>0.628</v>
      </c>
      <c r="P776" s="34">
        <v>1</v>
      </c>
      <c r="Q776" s="44">
        <f t="shared" ref="Q776:Q782" si="95">+P776*O776*N776</f>
        <v>0</v>
      </c>
      <c r="R776" s="71">
        <f>+Q776/R773</f>
        <v>0</v>
      </c>
      <c r="S776" s="47"/>
      <c r="T776" s="47"/>
    </row>
    <row r="777" s="27" customFormat="1" ht="28" customHeight="1" spans="1:20">
      <c r="A777" s="34"/>
      <c r="B777" s="48">
        <v>5</v>
      </c>
      <c r="C777" s="72" t="s">
        <v>406</v>
      </c>
      <c r="D777" s="48" t="s">
        <v>407</v>
      </c>
      <c r="E777" s="48"/>
      <c r="F777" s="50"/>
      <c r="G777" s="48"/>
      <c r="H777" s="73">
        <f>+'材料表 '!$E$178</f>
        <v>0</v>
      </c>
      <c r="I777" s="52">
        <f>H777*I776</f>
        <v>0</v>
      </c>
      <c r="J777" s="53" t="s">
        <v>392</v>
      </c>
      <c r="K777" s="60"/>
      <c r="L777" s="69" t="s">
        <v>431</v>
      </c>
      <c r="M777" s="34" t="s">
        <v>509</v>
      </c>
      <c r="N777" s="102"/>
      <c r="O777" s="34">
        <f>0.19</f>
        <v>0.19</v>
      </c>
      <c r="P777" s="34">
        <v>1</v>
      </c>
      <c r="Q777" s="44">
        <f t="shared" si="95"/>
        <v>0</v>
      </c>
      <c r="R777" s="71">
        <f>+Q777/R773</f>
        <v>0</v>
      </c>
      <c r="S777" s="47"/>
      <c r="T777" s="47"/>
    </row>
    <row r="778" s="27" customFormat="1" ht="18" customHeight="1" spans="1:20">
      <c r="A778" s="34"/>
      <c r="B778" s="48">
        <v>6</v>
      </c>
      <c r="C778" s="48" t="s">
        <v>409</v>
      </c>
      <c r="D778" s="48" t="s">
        <v>410</v>
      </c>
      <c r="E778" s="48"/>
      <c r="F778" s="50"/>
      <c r="G778" s="48"/>
      <c r="H778" s="73">
        <f>+'材料表 '!$E$179</f>
        <v>0</v>
      </c>
      <c r="I778" s="52">
        <f>H778*I776</f>
        <v>0</v>
      </c>
      <c r="J778" s="53" t="s">
        <v>392</v>
      </c>
      <c r="K778" s="60"/>
      <c r="L778" s="69" t="s">
        <v>461</v>
      </c>
      <c r="M778" s="34" t="s">
        <v>462</v>
      </c>
      <c r="N778" s="34">
        <v>3.77</v>
      </c>
      <c r="O778" s="34">
        <f>0.18</f>
        <v>0.18</v>
      </c>
      <c r="P778" s="34">
        <v>0</v>
      </c>
      <c r="Q778" s="44">
        <f t="shared" si="95"/>
        <v>0</v>
      </c>
      <c r="R778" s="71">
        <f>+Q778/R773</f>
        <v>0</v>
      </c>
      <c r="S778" s="47"/>
      <c r="T778" s="47"/>
    </row>
    <row r="779" s="27" customFormat="1" ht="18" customHeight="1" spans="1:20">
      <c r="A779" s="34"/>
      <c r="B779" s="48">
        <v>7</v>
      </c>
      <c r="C779" s="48" t="s">
        <v>412</v>
      </c>
      <c r="D779" s="72" t="s">
        <v>413</v>
      </c>
      <c r="E779" s="72"/>
      <c r="F779" s="77"/>
      <c r="G779" s="72"/>
      <c r="H779" s="73">
        <f>+'材料表 '!$E$180</f>
        <v>0.09</v>
      </c>
      <c r="I779" s="52">
        <f>(I776+I777+I778)*H779</f>
        <v>87.2696581331757</v>
      </c>
      <c r="J779" s="53" t="s">
        <v>392</v>
      </c>
      <c r="K779" s="60"/>
      <c r="L779" s="69" t="s">
        <v>463</v>
      </c>
      <c r="M779" s="34" t="s">
        <v>464</v>
      </c>
      <c r="N779" s="34">
        <f>0.15*0.2*7.85*10</f>
        <v>2.355</v>
      </c>
      <c r="O779" s="34">
        <v>1</v>
      </c>
      <c r="P779" s="34">
        <v>0</v>
      </c>
      <c r="Q779" s="44">
        <f t="shared" si="95"/>
        <v>0</v>
      </c>
      <c r="R779" s="71">
        <f>+Q779/R773</f>
        <v>0</v>
      </c>
      <c r="S779" s="47"/>
      <c r="T779" s="47"/>
    </row>
    <row r="780" s="27" customFormat="1" ht="18" customHeight="1" spans="1:20">
      <c r="A780" s="105" t="s">
        <v>137</v>
      </c>
      <c r="B780" s="48">
        <v>8</v>
      </c>
      <c r="C780" s="48" t="s">
        <v>363</v>
      </c>
      <c r="D780" s="106" t="s">
        <v>415</v>
      </c>
      <c r="E780" s="107"/>
      <c r="F780" s="108"/>
      <c r="G780" s="107"/>
      <c r="H780" s="51"/>
      <c r="I780" s="74">
        <f>SUM(I776:I779)</f>
        <v>1056.93252627957</v>
      </c>
      <c r="J780" s="53" t="s">
        <v>416</v>
      </c>
      <c r="K780" s="60"/>
      <c r="L780" s="69" t="s">
        <v>465</v>
      </c>
      <c r="M780" s="34" t="s">
        <v>503</v>
      </c>
      <c r="N780" s="126">
        <v>7.034</v>
      </c>
      <c r="O780" s="34">
        <f>85/1000</f>
        <v>0.085</v>
      </c>
      <c r="P780" s="44">
        <f>+P779*O779*1</f>
        <v>0</v>
      </c>
      <c r="Q780" s="44">
        <f t="shared" si="95"/>
        <v>0</v>
      </c>
      <c r="R780" s="84">
        <f>+Q780/R773</f>
        <v>0</v>
      </c>
      <c r="S780" s="79"/>
      <c r="T780" s="47"/>
    </row>
    <row r="781" s="27" customFormat="1" ht="18" customHeight="1" spans="1:20">
      <c r="A781" s="34"/>
      <c r="B781" s="109" t="s">
        <v>418</v>
      </c>
      <c r="C781" s="110"/>
      <c r="D781" s="110"/>
      <c r="E781" s="110"/>
      <c r="F781" s="110"/>
      <c r="G781" s="110"/>
      <c r="H781" s="110"/>
      <c r="I781" s="110"/>
      <c r="J781" s="110"/>
      <c r="K781" s="80"/>
      <c r="L781" s="69" t="s">
        <v>433</v>
      </c>
      <c r="M781" s="44" t="s">
        <v>504</v>
      </c>
      <c r="N781" s="82">
        <f>0.056*3*2.71+0.0675*3*2.71</f>
        <v>1.004055</v>
      </c>
      <c r="O781" s="44">
        <f>O773</f>
        <v>0.628</v>
      </c>
      <c r="P781" s="44">
        <v>1</v>
      </c>
      <c r="Q781" s="44">
        <f t="shared" si="95"/>
        <v>0.63054654</v>
      </c>
      <c r="R781" s="84">
        <f>+Q781/R773</f>
        <v>1.89444339622641</v>
      </c>
      <c r="S781" s="47">
        <f>0.16*P781*O781/R773</f>
        <v>0.30188679245283</v>
      </c>
      <c r="T781" s="47"/>
    </row>
    <row r="782" s="27" customFormat="1" ht="18" customHeight="1" spans="1:20">
      <c r="A782" s="34"/>
      <c r="B782" s="48">
        <v>1</v>
      </c>
      <c r="C782" s="48" t="s">
        <v>391</v>
      </c>
      <c r="D782" s="48" t="s">
        <v>396</v>
      </c>
      <c r="E782" s="48" t="s">
        <v>37</v>
      </c>
      <c r="F782" s="50"/>
      <c r="G782" s="48"/>
      <c r="H782" s="51" t="s">
        <v>399</v>
      </c>
      <c r="I782" s="51" t="s">
        <v>420</v>
      </c>
      <c r="J782" s="95" t="s">
        <v>421</v>
      </c>
      <c r="K782" s="92"/>
      <c r="L782" s="69" t="s">
        <v>433</v>
      </c>
      <c r="M782" s="44" t="s">
        <v>505</v>
      </c>
      <c r="N782" s="82">
        <f>0.056*3*2.71+0.0675*3*2.71</f>
        <v>1.004055</v>
      </c>
      <c r="O782" s="44">
        <f>P773</f>
        <v>0.53</v>
      </c>
      <c r="P782" s="44">
        <v>3</v>
      </c>
      <c r="Q782" s="44">
        <f t="shared" si="95"/>
        <v>1.59644745</v>
      </c>
      <c r="R782" s="84">
        <f>+Q782/R773</f>
        <v>4.79644108280255</v>
      </c>
      <c r="S782" s="47"/>
      <c r="T782" s="47"/>
    </row>
    <row r="783" s="27" customFormat="1" ht="18" customHeight="1" spans="1:20">
      <c r="A783" s="34"/>
      <c r="B783" s="48">
        <v>2</v>
      </c>
      <c r="C783" s="48"/>
      <c r="D783" s="111" t="s">
        <v>491</v>
      </c>
      <c r="E783" s="49" t="s">
        <v>423</v>
      </c>
      <c r="F783" s="112"/>
      <c r="G783" s="111"/>
      <c r="H783" s="113">
        <v>1</v>
      </c>
      <c r="I783" s="113">
        <f>+辅材及安装费!$G$3+35</f>
        <v>200</v>
      </c>
      <c r="J783" s="114">
        <f t="shared" ref="J783:J799" si="96">H783*I783</f>
        <v>200</v>
      </c>
      <c r="K783" s="92"/>
      <c r="L783" s="90"/>
      <c r="M783" s="44"/>
      <c r="N783" s="82"/>
      <c r="O783" s="44"/>
      <c r="P783" s="44"/>
      <c r="Q783" s="44">
        <v>0</v>
      </c>
      <c r="R783" s="84">
        <f>+Q783/R773</f>
        <v>0</v>
      </c>
      <c r="S783" s="47"/>
      <c r="T783" s="47"/>
    </row>
    <row r="784" s="27" customFormat="1" ht="18" customHeight="1" spans="1:20">
      <c r="A784" s="34"/>
      <c r="B784" s="48">
        <v>3</v>
      </c>
      <c r="C784" s="48"/>
      <c r="D784" s="115"/>
      <c r="E784" s="63"/>
      <c r="F784" s="116"/>
      <c r="G784" s="115"/>
      <c r="H784" s="117"/>
      <c r="I784" s="117"/>
      <c r="J784" s="118"/>
      <c r="K784" s="92"/>
      <c r="L784" s="90" t="s">
        <v>472</v>
      </c>
      <c r="M784" s="44"/>
      <c r="N784" s="82"/>
      <c r="O784" s="44"/>
      <c r="P784" s="44">
        <v>0</v>
      </c>
      <c r="Q784" s="44">
        <f>+P784</f>
        <v>0</v>
      </c>
      <c r="R784" s="84">
        <f>+Q784/R773</f>
        <v>0</v>
      </c>
      <c r="S784" s="47"/>
      <c r="T784" s="47"/>
    </row>
    <row r="785" s="27" customFormat="1" ht="18" customHeight="1" spans="1:20">
      <c r="A785" s="34"/>
      <c r="B785" s="48">
        <v>4</v>
      </c>
      <c r="C785" s="48"/>
      <c r="D785" s="85" t="s">
        <v>426</v>
      </c>
      <c r="E785" s="48" t="s">
        <v>392</v>
      </c>
      <c r="F785" s="50"/>
      <c r="G785" s="48"/>
      <c r="H785" s="86"/>
      <c r="I785" s="86"/>
      <c r="J785" s="95">
        <f>SUM(J783:J783)</f>
        <v>200</v>
      </c>
      <c r="K785" s="92"/>
      <c r="L785" s="90"/>
      <c r="M785" s="44"/>
      <c r="N785" s="82"/>
      <c r="O785" s="44"/>
      <c r="P785" s="44"/>
      <c r="Q785" s="44"/>
      <c r="R785" s="84"/>
      <c r="S785" s="47"/>
      <c r="T785" s="47"/>
    </row>
    <row r="786" s="27" customFormat="1" ht="22" customHeight="1" spans="1:20">
      <c r="A786" s="34"/>
      <c r="B786" s="48">
        <v>1</v>
      </c>
      <c r="C786" s="48" t="s">
        <v>394</v>
      </c>
      <c r="D786" s="88" t="s">
        <v>431</v>
      </c>
      <c r="E786" s="72" t="str">
        <f>+VLOOKUP(D786,'材料表 '!C:F,2,0)</f>
        <v>kg</v>
      </c>
      <c r="F786" s="77">
        <v>18.6</v>
      </c>
      <c r="G786" s="89">
        <f>+VLOOKUP(D786,'材料表 '!C:F,4,0)</f>
        <v>0.03</v>
      </c>
      <c r="H786" s="74">
        <f t="shared" ref="H786:H799" si="97">F786*(G786+1)</f>
        <v>19.158</v>
      </c>
      <c r="I786" s="74">
        <f>+VLOOKUP(D786,'材料表 '!C:F,3,0)</f>
        <v>3.80530973451327</v>
      </c>
      <c r="J786" s="95">
        <f t="shared" si="96"/>
        <v>72.9021238938052</v>
      </c>
      <c r="K786" s="92">
        <f ca="1">H786*K772</f>
        <v>182.713524336</v>
      </c>
      <c r="L786" s="90"/>
      <c r="M786" s="44"/>
      <c r="N786" s="82"/>
      <c r="O786" s="44"/>
      <c r="P786" s="44"/>
      <c r="Q786" s="44"/>
      <c r="R786" s="84"/>
      <c r="S786" s="47"/>
      <c r="T786" s="47"/>
    </row>
    <row r="787" s="27" customFormat="1" ht="18" customHeight="1" spans="1:20">
      <c r="A787" s="34"/>
      <c r="B787" s="48">
        <v>2</v>
      </c>
      <c r="C787" s="48"/>
      <c r="D787" s="88" t="s">
        <v>461</v>
      </c>
      <c r="E787" s="72" t="str">
        <f>+VLOOKUP(D787,'材料表 '!C:F,2,0)</f>
        <v>kg</v>
      </c>
      <c r="F787" s="77">
        <v>4</v>
      </c>
      <c r="G787" s="89">
        <f>+VLOOKUP(D787,'材料表 '!C:F,4,0)</f>
        <v>0.03</v>
      </c>
      <c r="H787" s="74">
        <f t="shared" si="97"/>
        <v>4.12</v>
      </c>
      <c r="I787" s="74">
        <f>+VLOOKUP(D787,'材料表 '!C:F,3,0)</f>
        <v>3.53982300884956</v>
      </c>
      <c r="J787" s="95">
        <f t="shared" si="96"/>
        <v>14.5840707964602</v>
      </c>
      <c r="K787" s="92">
        <f ca="1">H787*K772</f>
        <v>39.29323104</v>
      </c>
      <c r="L787" s="90"/>
      <c r="M787" s="44"/>
      <c r="N787" s="82"/>
      <c r="O787" s="44"/>
      <c r="P787" s="44"/>
      <c r="Q787" s="44"/>
      <c r="R787" s="84"/>
      <c r="S787" s="47"/>
      <c r="T787" s="47"/>
    </row>
    <row r="788" s="27" customFormat="1" ht="18" customHeight="1" spans="1:20">
      <c r="A788" s="34"/>
      <c r="B788" s="48">
        <v>3</v>
      </c>
      <c r="C788" s="48"/>
      <c r="D788" s="88" t="s">
        <v>465</v>
      </c>
      <c r="E788" s="72" t="str">
        <f>+VLOOKUP(D788,'材料表 '!C:F,2,0)</f>
        <v>kg</v>
      </c>
      <c r="F788" s="77">
        <v>0.5</v>
      </c>
      <c r="G788" s="89">
        <f>+VLOOKUP(D788,'材料表 '!C:F,4,0)</f>
        <v>0.03</v>
      </c>
      <c r="H788" s="74">
        <f t="shared" si="97"/>
        <v>0.515</v>
      </c>
      <c r="I788" s="74">
        <f>+VLOOKUP(D788,'材料表 '!C:F,3,0)</f>
        <v>6.01769911504425</v>
      </c>
      <c r="J788" s="95">
        <f t="shared" si="96"/>
        <v>3.09911504424779</v>
      </c>
      <c r="K788" s="92">
        <f ca="1">H788*K772</f>
        <v>4.91165388</v>
      </c>
      <c r="L788" s="90"/>
      <c r="M788" s="44"/>
      <c r="N788" s="82"/>
      <c r="O788" s="44"/>
      <c r="P788" s="44"/>
      <c r="Q788" s="44">
        <f>+P788*O788</f>
        <v>0</v>
      </c>
      <c r="R788" s="84">
        <f>+Q788/R773</f>
        <v>0</v>
      </c>
      <c r="S788" s="47"/>
      <c r="T788" s="47"/>
    </row>
    <row r="789" s="27" customFormat="1" ht="18" customHeight="1" spans="1:20">
      <c r="A789" s="34"/>
      <c r="B789" s="48">
        <v>4</v>
      </c>
      <c r="C789" s="48"/>
      <c r="D789" s="88" t="s">
        <v>463</v>
      </c>
      <c r="E789" s="72" t="str">
        <f>+VLOOKUP(D789,'材料表 '!C:F,2,0)</f>
        <v>kg</v>
      </c>
      <c r="F789" s="77">
        <v>2.8</v>
      </c>
      <c r="G789" s="89">
        <f>+VLOOKUP(D789,'材料表 '!C:F,4,0)</f>
        <v>0.03</v>
      </c>
      <c r="H789" s="74">
        <f t="shared" si="97"/>
        <v>2.884</v>
      </c>
      <c r="I789" s="74">
        <f>+VLOOKUP(D789,'材料表 '!C:F,3,0)</f>
        <v>6.01769911504425</v>
      </c>
      <c r="J789" s="95">
        <f t="shared" si="96"/>
        <v>17.3550442477876</v>
      </c>
      <c r="K789" s="92">
        <f ca="1">H789*K772</f>
        <v>27.505261728</v>
      </c>
      <c r="L789" s="90" t="s">
        <v>474</v>
      </c>
      <c r="M789" s="44"/>
      <c r="N789" s="82"/>
      <c r="O789" s="44"/>
      <c r="P789" s="44"/>
      <c r="Q789" s="44">
        <f>+O779*P779*4</f>
        <v>0</v>
      </c>
      <c r="R789" s="84">
        <f>+Q789/R773</f>
        <v>0</v>
      </c>
      <c r="S789" s="47"/>
      <c r="T789" s="47"/>
    </row>
    <row r="790" s="27" customFormat="1" ht="18" customHeight="1" spans="1:20">
      <c r="A790" s="34"/>
      <c r="B790" s="48">
        <v>5</v>
      </c>
      <c r="C790" s="48"/>
      <c r="D790" s="88" t="s">
        <v>433</v>
      </c>
      <c r="E790" s="72" t="str">
        <f>+VLOOKUP(D790,'材料表 '!C:F,2,0)</f>
        <v>kg</v>
      </c>
      <c r="F790" s="77">
        <f t="shared" ref="F790:F793" si="98">+SUMIF($L$650:$L$688,D790,$R$650:$R$688)</f>
        <v>6.69088447902896</v>
      </c>
      <c r="G790" s="89">
        <f>+VLOOKUP(D790,'材料表 '!C:F,4,0)</f>
        <v>0.03</v>
      </c>
      <c r="H790" s="74">
        <f t="shared" si="97"/>
        <v>6.89161101339983</v>
      </c>
      <c r="I790" s="74">
        <f>+VLOOKUP(D790,'材料表 '!C:F,3,0)</f>
        <v>26.1150442477876</v>
      </c>
      <c r="J790" s="95">
        <f t="shared" si="96"/>
        <v>179.974726553477</v>
      </c>
      <c r="K790" s="92">
        <f ca="1">H790*K772</f>
        <v>65.7266174241088</v>
      </c>
      <c r="L790" s="92" t="s">
        <v>476</v>
      </c>
      <c r="M790" s="44"/>
      <c r="N790" s="82"/>
      <c r="O790" s="44"/>
      <c r="P790" s="44"/>
      <c r="Q790" s="44">
        <f>8*8*(O773*2+P773*1)/500</f>
        <v>0.228608</v>
      </c>
      <c r="R790" s="84">
        <f>+Q790/R773</f>
        <v>0.686840523975484</v>
      </c>
      <c r="S790" s="47"/>
      <c r="T790" s="47"/>
    </row>
    <row r="791" s="27" customFormat="1" ht="18" customHeight="1" spans="1:20">
      <c r="A791" s="34"/>
      <c r="B791" s="48">
        <v>6</v>
      </c>
      <c r="C791" s="48"/>
      <c r="D791" s="88" t="s">
        <v>434</v>
      </c>
      <c r="E791" s="72" t="str">
        <f>+VLOOKUP(D791,'材料表 '!C:F,2,0)</f>
        <v>m2</v>
      </c>
      <c r="F791" s="77">
        <v>0</v>
      </c>
      <c r="G791" s="89">
        <f>+VLOOKUP(D791,'材料表 '!C:F,4,0)</f>
        <v>0</v>
      </c>
      <c r="H791" s="74">
        <f t="shared" si="97"/>
        <v>0</v>
      </c>
      <c r="I791" s="74">
        <f>+VLOOKUP(D791,'材料表 '!C:F,3,0)</f>
        <v>49.5575221238938</v>
      </c>
      <c r="J791" s="95">
        <f t="shared" si="96"/>
        <v>0</v>
      </c>
      <c r="K791" s="92">
        <f ca="1">H791*K772</f>
        <v>0</v>
      </c>
      <c r="L791" s="92" t="s">
        <v>499</v>
      </c>
      <c r="M791" s="44"/>
      <c r="N791" s="82"/>
      <c r="O791" s="44"/>
      <c r="P791" s="44"/>
      <c r="Q791" s="44">
        <v>0</v>
      </c>
      <c r="R791" s="84">
        <f>Q791/R773</f>
        <v>0</v>
      </c>
      <c r="S791" s="47"/>
      <c r="T791" s="47"/>
    </row>
    <row r="792" s="27" customFormat="1" ht="18" customHeight="1" spans="1:20">
      <c r="A792" s="34"/>
      <c r="B792" s="48">
        <v>7</v>
      </c>
      <c r="C792" s="48"/>
      <c r="D792" s="88" t="s">
        <v>472</v>
      </c>
      <c r="E792" s="72" t="str">
        <f>+VLOOKUP(D792,'材料表 '!C:F,2,0)</f>
        <v>套</v>
      </c>
      <c r="F792" s="77">
        <v>0</v>
      </c>
      <c r="G792" s="89">
        <f>+VLOOKUP(D792,'材料表 '!C:F,4,0)</f>
        <v>0</v>
      </c>
      <c r="H792" s="74">
        <f t="shared" si="97"/>
        <v>0</v>
      </c>
      <c r="I792" s="74">
        <f>+VLOOKUP(D792,'材料表 '!C:F,3,0)</f>
        <v>2.47787610619469</v>
      </c>
      <c r="J792" s="95">
        <f t="shared" si="96"/>
        <v>0</v>
      </c>
      <c r="K792" s="92">
        <f ca="1">H792*K772</f>
        <v>0</v>
      </c>
      <c r="L792" s="92"/>
      <c r="M792" s="44"/>
      <c r="N792" s="82"/>
      <c r="O792" s="44"/>
      <c r="P792" s="44"/>
      <c r="Q792" s="44"/>
      <c r="R792" s="84"/>
      <c r="S792" s="47"/>
      <c r="T792" s="47"/>
    </row>
    <row r="793" s="27" customFormat="1" ht="18" customHeight="1" spans="1:20">
      <c r="A793" s="34"/>
      <c r="B793" s="48">
        <v>8</v>
      </c>
      <c r="C793" s="48"/>
      <c r="D793" s="88" t="s">
        <v>474</v>
      </c>
      <c r="E793" s="72" t="str">
        <f>+VLOOKUP(D793,'材料表 '!C:F,2,0)</f>
        <v>套</v>
      </c>
      <c r="F793" s="77">
        <f t="shared" si="98"/>
        <v>0</v>
      </c>
      <c r="G793" s="89">
        <f>+VLOOKUP(D793,'材料表 '!C:F,4,0)</f>
        <v>0</v>
      </c>
      <c r="H793" s="74">
        <f t="shared" si="97"/>
        <v>0</v>
      </c>
      <c r="I793" s="74">
        <f>+VLOOKUP(D793,'材料表 '!C:F,3,0)</f>
        <v>2.21238938053097</v>
      </c>
      <c r="J793" s="95">
        <f t="shared" si="96"/>
        <v>0</v>
      </c>
      <c r="K793" s="92">
        <f ca="1">H793*K772</f>
        <v>0</v>
      </c>
      <c r="L793" s="92"/>
      <c r="M793" s="44"/>
      <c r="N793" s="82"/>
      <c r="O793" s="44"/>
      <c r="P793" s="44"/>
      <c r="Q793" s="44"/>
      <c r="R793" s="84"/>
      <c r="S793" s="47"/>
      <c r="T793" s="47"/>
    </row>
    <row r="794" s="27" customFormat="1" ht="18" customHeight="1" spans="1:20">
      <c r="A794" s="34"/>
      <c r="B794" s="48">
        <v>9</v>
      </c>
      <c r="C794" s="48"/>
      <c r="D794" s="88" t="s">
        <v>476</v>
      </c>
      <c r="E794" s="72" t="str">
        <f>+VLOOKUP(D794,'材料表 '!C:F,2,0)</f>
        <v>支</v>
      </c>
      <c r="F794" s="77">
        <v>0.4</v>
      </c>
      <c r="G794" s="89">
        <f>+VLOOKUP(D794,'材料表 '!C:F,4,0)</f>
        <v>0.15</v>
      </c>
      <c r="H794" s="74">
        <f t="shared" si="97"/>
        <v>0.46</v>
      </c>
      <c r="I794" s="74">
        <f>+VLOOKUP(D794,'材料表 '!C:F,3,0)</f>
        <v>11.5044247787611</v>
      </c>
      <c r="J794" s="95">
        <f t="shared" si="96"/>
        <v>5.29203539823011</v>
      </c>
      <c r="K794" s="92">
        <f ca="1">H794*K772</f>
        <v>4.38710832</v>
      </c>
      <c r="L794" s="90"/>
      <c r="M794" s="44"/>
      <c r="N794" s="82"/>
      <c r="O794" s="34"/>
      <c r="P794" s="44"/>
      <c r="Q794" s="44"/>
      <c r="R794" s="119"/>
      <c r="S794" s="47"/>
      <c r="T794" s="47"/>
    </row>
    <row r="795" s="27" customFormat="1" ht="18" customHeight="1" spans="1:20">
      <c r="A795" s="34"/>
      <c r="B795" s="48">
        <v>10</v>
      </c>
      <c r="C795" s="48"/>
      <c r="D795" s="88" t="s">
        <v>499</v>
      </c>
      <c r="E795" s="72" t="str">
        <f>+VLOOKUP(D795,'材料表 '!C:F,2,0)</f>
        <v>套</v>
      </c>
      <c r="F795" s="77">
        <v>1.6</v>
      </c>
      <c r="G795" s="89">
        <f>+VLOOKUP(D795,'材料表 '!C:F,4,0)</f>
        <v>0</v>
      </c>
      <c r="H795" s="74">
        <f t="shared" si="97"/>
        <v>1.6</v>
      </c>
      <c r="I795" s="74">
        <f>+VLOOKUP(D795,'材料表 '!C:F,3,0)</f>
        <v>1.32743362831858</v>
      </c>
      <c r="J795" s="95">
        <f t="shared" si="96"/>
        <v>2.12389380530973</v>
      </c>
      <c r="K795" s="92">
        <f ca="1">H795*K772</f>
        <v>15.2595072</v>
      </c>
      <c r="L795" s="92"/>
      <c r="M795" s="120"/>
      <c r="N795" s="82"/>
      <c r="O795" s="44"/>
      <c r="P795" s="44"/>
      <c r="Q795" s="44"/>
      <c r="R795" s="84"/>
      <c r="S795" s="47"/>
      <c r="T795" s="47"/>
    </row>
    <row r="796" s="27" customFormat="1" ht="18" customHeight="1" spans="1:20">
      <c r="A796" s="34"/>
      <c r="B796" s="48">
        <v>11</v>
      </c>
      <c r="C796" s="48"/>
      <c r="D796" s="88" t="s">
        <v>479</v>
      </c>
      <c r="E796" s="72" t="str">
        <f>+VLOOKUP(D796,'材料表 '!C:F,2,0)</f>
        <v>kg</v>
      </c>
      <c r="F796" s="77">
        <f>F787</f>
        <v>4</v>
      </c>
      <c r="G796" s="89">
        <f>+VLOOKUP(D796,'材料表 '!C:F,4,0)</f>
        <v>0.03</v>
      </c>
      <c r="H796" s="74">
        <f t="shared" si="97"/>
        <v>4.12</v>
      </c>
      <c r="I796" s="74">
        <f>+VLOOKUP(D796,'材料表 '!C:F,3,0)</f>
        <v>14.1592920353982</v>
      </c>
      <c r="J796" s="95">
        <f t="shared" si="96"/>
        <v>58.3362831858406</v>
      </c>
      <c r="K796" s="92">
        <f ca="1">H796*K772</f>
        <v>39.29323104</v>
      </c>
      <c r="L796" s="92"/>
      <c r="M796" s="44"/>
      <c r="N796" s="82"/>
      <c r="O796" s="44"/>
      <c r="P796" s="44"/>
      <c r="Q796" s="44"/>
      <c r="R796" s="84"/>
      <c r="S796" s="47"/>
      <c r="T796" s="47"/>
    </row>
    <row r="797" s="27" customFormat="1" ht="24" customHeight="1" spans="1:20">
      <c r="A797" s="34"/>
      <c r="B797" s="48">
        <v>12</v>
      </c>
      <c r="C797" s="48"/>
      <c r="D797" s="210" t="s">
        <v>516</v>
      </c>
      <c r="E797" s="72" t="str">
        <f>+VLOOKUP(D797,'材料表 '!C:F,2,0)</f>
        <v>m2</v>
      </c>
      <c r="F797" s="77">
        <v>1</v>
      </c>
      <c r="G797" s="89">
        <f>+VLOOKUP(D797,'材料表 '!C:F,4,0)</f>
        <v>0.02</v>
      </c>
      <c r="H797" s="74">
        <f t="shared" si="97"/>
        <v>1.02</v>
      </c>
      <c r="I797" s="74">
        <f>+VLOOKUP(D797,'材料表 '!C:F,3,0)</f>
        <v>265.486725663717</v>
      </c>
      <c r="J797" s="95">
        <f t="shared" si="96"/>
        <v>270.796460176991</v>
      </c>
      <c r="K797" s="92">
        <f ca="1">H797*K772</f>
        <v>9.72793584</v>
      </c>
      <c r="L797" s="92"/>
      <c r="M797" s="44"/>
      <c r="N797" s="44"/>
      <c r="O797" s="44"/>
      <c r="P797" s="44"/>
      <c r="Q797" s="44"/>
      <c r="R797" s="84"/>
      <c r="S797" s="47"/>
      <c r="T797" s="47"/>
    </row>
    <row r="798" s="27" customFormat="1" ht="18" customHeight="1" spans="1:20">
      <c r="A798" s="34"/>
      <c r="B798" s="48">
        <v>13</v>
      </c>
      <c r="C798" s="48"/>
      <c r="D798" s="239" t="s">
        <v>475</v>
      </c>
      <c r="E798" s="240" t="str">
        <f>+VLOOKUP(D798,'材料表 '!C:F,2,0)</f>
        <v>m2</v>
      </c>
      <c r="F798" s="241">
        <v>1.05</v>
      </c>
      <c r="G798" s="242">
        <f>+VLOOKUP(D798,'材料表 '!C:F,4,0)</f>
        <v>0.01</v>
      </c>
      <c r="H798" s="243">
        <f t="shared" si="97"/>
        <v>1.0605</v>
      </c>
      <c r="I798" s="243">
        <f>+VLOOKUP(D798,'材料表 '!C:F,3,0)</f>
        <v>44.2477876106195</v>
      </c>
      <c r="J798" s="244">
        <f t="shared" si="96"/>
        <v>46.924778761062</v>
      </c>
      <c r="K798" s="92">
        <f ca="1">H798*K772</f>
        <v>10.114192116</v>
      </c>
      <c r="L798" s="92"/>
      <c r="M798" s="44"/>
      <c r="N798" s="44"/>
      <c r="O798" s="44"/>
      <c r="P798" s="44"/>
      <c r="Q798" s="44"/>
      <c r="R798" s="84"/>
      <c r="S798" s="47"/>
      <c r="T798" s="47"/>
    </row>
    <row r="799" s="27" customFormat="1" ht="20" customHeight="1" spans="1:20">
      <c r="A799" s="34"/>
      <c r="B799" s="48">
        <v>14</v>
      </c>
      <c r="C799" s="48"/>
      <c r="D799" s="88" t="s">
        <v>517</v>
      </c>
      <c r="E799" s="72" t="str">
        <f>+VLOOKUP(D799,'材料表 '!C:F,2,0)</f>
        <v>m2</v>
      </c>
      <c r="F799" s="77">
        <f>F798</f>
        <v>1.05</v>
      </c>
      <c r="G799" s="89">
        <f>+VLOOKUP(D799,'材料表 '!C:F,4,0)</f>
        <v>0</v>
      </c>
      <c r="H799" s="74">
        <f t="shared" si="97"/>
        <v>1.05</v>
      </c>
      <c r="I799" s="74">
        <f>+VLOOKUP(D799,'材料表 '!C:F,3,0)</f>
        <v>84.070796460177</v>
      </c>
      <c r="J799" s="95">
        <f t="shared" si="96"/>
        <v>88.2743362831858</v>
      </c>
      <c r="K799" s="92">
        <f ca="1">H799*K772</f>
        <v>10.0140516</v>
      </c>
      <c r="L799" s="92"/>
      <c r="M799" s="44"/>
      <c r="N799" s="44"/>
      <c r="O799" s="44"/>
      <c r="P799" s="44"/>
      <c r="Q799" s="44"/>
      <c r="R799" s="84"/>
      <c r="S799" s="47"/>
      <c r="T799" s="47"/>
    </row>
    <row r="800" s="27" customFormat="1" ht="18" customHeight="1" spans="1:20">
      <c r="A800" s="34"/>
      <c r="B800" s="48">
        <v>15</v>
      </c>
      <c r="C800" s="48"/>
      <c r="D800" s="88"/>
      <c r="E800" s="72"/>
      <c r="F800" s="77"/>
      <c r="G800" s="89"/>
      <c r="H800" s="74"/>
      <c r="I800" s="74"/>
      <c r="J800" s="95"/>
      <c r="K800" s="92"/>
      <c r="L800" s="92"/>
      <c r="M800" s="44"/>
      <c r="N800" s="44"/>
      <c r="O800" s="44"/>
      <c r="P800" s="44"/>
      <c r="Q800" s="44"/>
      <c r="R800" s="84"/>
      <c r="S800" s="47"/>
      <c r="T800" s="47"/>
    </row>
    <row r="801" s="27" customFormat="1" ht="18" customHeight="1" spans="1:20">
      <c r="A801" s="34"/>
      <c r="B801" s="48">
        <v>16</v>
      </c>
      <c r="C801" s="48"/>
      <c r="D801" s="88"/>
      <c r="E801" s="72"/>
      <c r="F801" s="77"/>
      <c r="G801" s="89"/>
      <c r="H801" s="74"/>
      <c r="I801" s="74"/>
      <c r="J801" s="95"/>
      <c r="K801" s="92"/>
      <c r="L801" s="92"/>
      <c r="M801" s="44"/>
      <c r="N801" s="44"/>
      <c r="O801" s="44"/>
      <c r="P801" s="44"/>
      <c r="Q801" s="44"/>
      <c r="R801" s="84"/>
      <c r="S801" s="47"/>
      <c r="T801" s="47"/>
    </row>
    <row r="802" s="27" customFormat="1" ht="18" customHeight="1" spans="1:20">
      <c r="A802" s="34"/>
      <c r="B802" s="48">
        <v>17</v>
      </c>
      <c r="C802" s="48"/>
      <c r="D802" s="121"/>
      <c r="E802" s="72"/>
      <c r="F802" s="77"/>
      <c r="G802" s="89"/>
      <c r="H802" s="74"/>
      <c r="I802" s="74"/>
      <c r="J802" s="95"/>
      <c r="K802" s="92"/>
      <c r="L802" s="92"/>
      <c r="M802" s="44"/>
      <c r="N802" s="44"/>
      <c r="O802" s="44"/>
      <c r="P802" s="44"/>
      <c r="Q802" s="101"/>
      <c r="R802" s="84"/>
      <c r="S802" s="47"/>
      <c r="T802" s="47"/>
    </row>
    <row r="803" s="27" customFormat="1" ht="18" customHeight="1" spans="1:20">
      <c r="A803" s="34"/>
      <c r="B803" s="48">
        <v>18</v>
      </c>
      <c r="C803" s="48"/>
      <c r="D803" s="88"/>
      <c r="E803" s="72"/>
      <c r="F803" s="77"/>
      <c r="G803" s="89"/>
      <c r="H803" s="74"/>
      <c r="I803" s="74"/>
      <c r="J803" s="95"/>
      <c r="K803" s="92"/>
      <c r="L803" s="92"/>
      <c r="M803" s="44"/>
      <c r="N803" s="44"/>
      <c r="O803" s="44"/>
      <c r="P803" s="44"/>
      <c r="Q803" s="44"/>
      <c r="R803" s="84"/>
      <c r="S803" s="47"/>
      <c r="T803" s="47"/>
    </row>
    <row r="804" s="27" customFormat="1" ht="18" customHeight="1" spans="1:20">
      <c r="A804" s="34"/>
      <c r="B804" s="48">
        <v>19</v>
      </c>
      <c r="C804" s="48"/>
      <c r="D804" s="27"/>
      <c r="E804" s="72"/>
      <c r="F804" s="77"/>
      <c r="G804" s="89"/>
      <c r="H804" s="74"/>
      <c r="I804" s="74"/>
      <c r="J804" s="95"/>
      <c r="K804" s="92"/>
      <c r="L804" s="92"/>
      <c r="M804" s="44"/>
      <c r="N804" s="44"/>
      <c r="O804" s="44"/>
      <c r="P804" s="44"/>
      <c r="Q804" s="44"/>
      <c r="R804" s="84"/>
      <c r="S804" s="47"/>
      <c r="T804" s="47"/>
    </row>
    <row r="805" s="27" customFormat="1" ht="18" customHeight="1" spans="1:20">
      <c r="A805" s="34"/>
      <c r="B805" s="48">
        <v>20</v>
      </c>
      <c r="C805" s="48"/>
      <c r="D805" s="88"/>
      <c r="E805" s="72"/>
      <c r="F805" s="77"/>
      <c r="G805" s="89"/>
      <c r="H805" s="74"/>
      <c r="I805" s="74"/>
      <c r="J805" s="95"/>
      <c r="K805" s="92"/>
      <c r="L805" s="92"/>
      <c r="M805" s="44"/>
      <c r="N805" s="44"/>
      <c r="O805" s="44"/>
      <c r="P805" s="44"/>
      <c r="Q805" s="44"/>
      <c r="R805" s="84"/>
      <c r="S805" s="47"/>
      <c r="T805" s="47"/>
    </row>
    <row r="806" s="27" customFormat="1" ht="18" customHeight="1" spans="1:20">
      <c r="A806" s="34"/>
      <c r="B806" s="48">
        <v>21</v>
      </c>
      <c r="C806" s="48"/>
      <c r="D806" s="88"/>
      <c r="E806" s="72"/>
      <c r="F806" s="77"/>
      <c r="G806" s="89"/>
      <c r="H806" s="74"/>
      <c r="I806" s="74"/>
      <c r="J806" s="95"/>
      <c r="K806" s="92"/>
      <c r="L806" s="92"/>
      <c r="M806" s="44"/>
      <c r="N806" s="44"/>
      <c r="O806" s="44"/>
      <c r="P806" s="44"/>
      <c r="Q806" s="44"/>
      <c r="R806" s="84"/>
      <c r="S806" s="47"/>
      <c r="T806" s="47"/>
    </row>
    <row r="807" s="27" customFormat="1" ht="18" customHeight="1" spans="1:20">
      <c r="A807" s="34"/>
      <c r="B807" s="48">
        <v>22</v>
      </c>
      <c r="C807" s="48"/>
      <c r="D807" s="27"/>
      <c r="E807" s="72"/>
      <c r="F807" s="77"/>
      <c r="G807" s="72"/>
      <c r="H807" s="74"/>
      <c r="I807" s="74"/>
      <c r="J807" s="95"/>
      <c r="K807" s="92"/>
      <c r="L807" s="92"/>
      <c r="M807" s="44"/>
      <c r="N807" s="44"/>
      <c r="O807" s="44"/>
      <c r="P807" s="44"/>
      <c r="Q807" s="44"/>
      <c r="R807" s="62"/>
      <c r="S807" s="47"/>
      <c r="T807" s="47"/>
    </row>
    <row r="808" s="27" customFormat="1" ht="18" customHeight="1" spans="1:20">
      <c r="A808" s="34"/>
      <c r="B808" s="48">
        <v>23</v>
      </c>
      <c r="C808" s="48"/>
      <c r="D808" s="88"/>
      <c r="E808" s="72"/>
      <c r="F808" s="77"/>
      <c r="G808" s="89"/>
      <c r="H808" s="74"/>
      <c r="I808" s="74"/>
      <c r="J808" s="95"/>
      <c r="K808" s="92"/>
      <c r="L808" s="92"/>
      <c r="M808" s="44"/>
      <c r="N808" s="44"/>
      <c r="O808" s="44"/>
      <c r="P808" s="44"/>
      <c r="Q808" s="44"/>
      <c r="R808" s="62"/>
      <c r="S808" s="47"/>
      <c r="T808" s="47"/>
    </row>
    <row r="809" s="27" customFormat="1" ht="18" customHeight="1" spans="1:20">
      <c r="A809" s="34"/>
      <c r="B809" s="48">
        <v>24</v>
      </c>
      <c r="C809" s="48"/>
      <c r="D809" s="88" t="s">
        <v>478</v>
      </c>
      <c r="E809" s="72" t="s">
        <v>43</v>
      </c>
      <c r="F809" s="77"/>
      <c r="G809" s="72">
        <v>1</v>
      </c>
      <c r="H809" s="74">
        <v>1</v>
      </c>
      <c r="I809" s="74">
        <f>+辅材及安装费!$E$3</f>
        <v>5</v>
      </c>
      <c r="J809" s="95">
        <f t="shared" ref="J808:J811" si="99">H809*I809</f>
        <v>5</v>
      </c>
      <c r="K809" s="92"/>
      <c r="L809" s="92"/>
      <c r="M809" s="44"/>
      <c r="N809" s="44"/>
      <c r="O809" s="44"/>
      <c r="P809" s="44"/>
      <c r="Q809" s="44"/>
      <c r="R809" s="62"/>
      <c r="S809" s="47"/>
      <c r="T809" s="47"/>
    </row>
    <row r="810" s="27" customFormat="1" ht="18" customHeight="1" spans="1:20">
      <c r="A810" s="34"/>
      <c r="B810" s="48">
        <v>25</v>
      </c>
      <c r="C810" s="48"/>
      <c r="D810" s="93" t="s">
        <v>442</v>
      </c>
      <c r="E810" s="72"/>
      <c r="F810" s="77"/>
      <c r="G810" s="72"/>
      <c r="H810" s="74"/>
      <c r="I810" s="74"/>
      <c r="J810" s="95">
        <f>SUM(J786:J809)</f>
        <v>764.662868146397</v>
      </c>
      <c r="K810" s="92"/>
      <c r="L810" s="94"/>
      <c r="M810" s="27"/>
      <c r="N810" s="83"/>
      <c r="O810" s="83"/>
      <c r="P810" s="83"/>
      <c r="Q810" s="83"/>
      <c r="R810" s="87"/>
      <c r="S810" s="47"/>
      <c r="T810" s="47"/>
    </row>
    <row r="811" s="27" customFormat="1" ht="18" customHeight="1" spans="1:20">
      <c r="A811" s="34"/>
      <c r="B811" s="48">
        <v>1</v>
      </c>
      <c r="C811" s="48" t="s">
        <v>443</v>
      </c>
      <c r="D811" s="48" t="s">
        <v>444</v>
      </c>
      <c r="E811" s="72" t="s">
        <v>43</v>
      </c>
      <c r="F811" s="50"/>
      <c r="G811" s="48"/>
      <c r="H811" s="51">
        <v>1</v>
      </c>
      <c r="I811" s="74">
        <f>+辅材及安装费!$F$3</f>
        <v>5</v>
      </c>
      <c r="J811" s="95">
        <f t="shared" si="99"/>
        <v>5</v>
      </c>
      <c r="K811" s="118"/>
      <c r="L811" s="96"/>
      <c r="M811" s="97"/>
      <c r="N811" s="98"/>
      <c r="O811" s="98"/>
      <c r="P811" s="98"/>
      <c r="Q811" s="98"/>
      <c r="R811" s="99"/>
      <c r="S811" s="47"/>
      <c r="T811" s="47"/>
    </row>
    <row r="812" s="26" customFormat="1" ht="30" customHeight="1" spans="1:20">
      <c r="A812" s="28"/>
      <c r="B812" s="29" t="s">
        <v>386</v>
      </c>
      <c r="C812" s="29"/>
      <c r="D812" s="29"/>
      <c r="E812" s="29"/>
      <c r="F812" s="29"/>
      <c r="G812" s="29"/>
      <c r="H812" s="29"/>
      <c r="I812" s="29"/>
      <c r="J812" s="29"/>
      <c r="K812" s="29"/>
      <c r="L812" s="30"/>
      <c r="M812" s="31"/>
      <c r="N812" s="31"/>
      <c r="O812" s="31"/>
      <c r="P812" s="31"/>
      <c r="Q812" s="31"/>
      <c r="R812" s="32"/>
      <c r="S812" s="33"/>
      <c r="T812" s="33"/>
    </row>
    <row r="813" s="27" customFormat="1" ht="33.75" customHeight="1" spans="1:20">
      <c r="A813" s="34">
        <v>10</v>
      </c>
      <c r="B813" s="35" t="s">
        <v>1</v>
      </c>
      <c r="C813" s="35" t="s">
        <v>387</v>
      </c>
      <c r="D813" s="36" t="str">
        <f>+A821</f>
        <v>4㎜香槟色穿孔铝单板（双层，内层2.5㎜中灰色铝单板）</v>
      </c>
      <c r="E813" s="37"/>
      <c r="F813" s="38" t="s">
        <v>119</v>
      </c>
      <c r="G813" s="39"/>
      <c r="H813" s="35" t="s">
        <v>388</v>
      </c>
      <c r="I813" s="40" t="s">
        <v>389</v>
      </c>
      <c r="J813" s="41" t="s">
        <v>37</v>
      </c>
      <c r="K813" s="42">
        <f ca="1">VLOOKUP(A813,排屋工程量清单!$A$59:$D$86,4,)</f>
        <v>42.141</v>
      </c>
      <c r="L813" s="43"/>
      <c r="M813" s="44"/>
      <c r="N813" s="44"/>
      <c r="O813" s="44"/>
      <c r="P813" s="45"/>
      <c r="Q813" s="44"/>
      <c r="R813" s="46"/>
      <c r="S813" s="47"/>
      <c r="T813" s="47"/>
    </row>
    <row r="814" s="27" customFormat="1" ht="25" customHeight="1" spans="1:20">
      <c r="A814" s="34"/>
      <c r="B814" s="48">
        <v>1</v>
      </c>
      <c r="C814" s="49" t="s">
        <v>390</v>
      </c>
      <c r="D814" s="48" t="s">
        <v>391</v>
      </c>
      <c r="E814" s="48"/>
      <c r="F814" s="50"/>
      <c r="G814" s="48"/>
      <c r="H814" s="51"/>
      <c r="I814" s="52">
        <f>J826</f>
        <v>165</v>
      </c>
      <c r="J814" s="53" t="s">
        <v>392</v>
      </c>
      <c r="K814" s="54"/>
      <c r="L814" s="55" t="s">
        <v>518</v>
      </c>
      <c r="M814" s="56" t="s">
        <v>519</v>
      </c>
      <c r="N814" s="57"/>
      <c r="O814" s="57">
        <v>7.26</v>
      </c>
      <c r="P814" s="57">
        <v>1.353</v>
      </c>
      <c r="Q814" s="57">
        <v>1</v>
      </c>
      <c r="R814" s="58">
        <f>+Q814*P814*O814</f>
        <v>9.82278</v>
      </c>
      <c r="S814" s="47"/>
      <c r="T814" s="47"/>
    </row>
    <row r="815" s="27" customFormat="1" ht="18" customHeight="1" spans="1:20">
      <c r="A815" s="34"/>
      <c r="B815" s="48">
        <v>2</v>
      </c>
      <c r="C815" s="59"/>
      <c r="D815" s="48" t="s">
        <v>394</v>
      </c>
      <c r="E815" s="48"/>
      <c r="F815" s="50"/>
      <c r="G815" s="48"/>
      <c r="H815" s="51"/>
      <c r="I815" s="52">
        <f>J851</f>
        <v>753.535877491125</v>
      </c>
      <c r="J815" s="53" t="s">
        <v>392</v>
      </c>
      <c r="K815" s="60"/>
      <c r="L815" s="61" t="s">
        <v>119</v>
      </c>
      <c r="M815" s="44"/>
      <c r="N815" s="44"/>
      <c r="O815" s="44"/>
      <c r="P815" s="44"/>
      <c r="Q815" s="44"/>
      <c r="R815" s="62"/>
      <c r="S815" s="47"/>
      <c r="T815" s="47"/>
    </row>
    <row r="816" s="27" customFormat="1" ht="18" customHeight="1" spans="1:20">
      <c r="A816" s="34"/>
      <c r="B816" s="48">
        <v>3</v>
      </c>
      <c r="C816" s="63"/>
      <c r="D816" s="48" t="s">
        <v>395</v>
      </c>
      <c r="E816" s="48"/>
      <c r="F816" s="50"/>
      <c r="G816" s="48"/>
      <c r="H816" s="51"/>
      <c r="I816" s="52">
        <f>J852</f>
        <v>5</v>
      </c>
      <c r="J816" s="53" t="s">
        <v>392</v>
      </c>
      <c r="K816" s="60"/>
      <c r="L816" s="60"/>
      <c r="M816" s="65" t="s">
        <v>396</v>
      </c>
      <c r="N816" s="65" t="s">
        <v>397</v>
      </c>
      <c r="O816" s="65" t="s">
        <v>398</v>
      </c>
      <c r="P816" s="65" t="s">
        <v>399</v>
      </c>
      <c r="Q816" s="65" t="s">
        <v>400</v>
      </c>
      <c r="R816" s="66" t="s">
        <v>401</v>
      </c>
      <c r="S816" s="47"/>
      <c r="T816" s="47"/>
    </row>
    <row r="817" s="27" customFormat="1" ht="18" customHeight="1" spans="1:20">
      <c r="A817" s="34"/>
      <c r="B817" s="48">
        <v>4</v>
      </c>
      <c r="C817" s="48" t="s">
        <v>402</v>
      </c>
      <c r="D817" s="67" t="s">
        <v>403</v>
      </c>
      <c r="E817" s="67"/>
      <c r="F817" s="50"/>
      <c r="G817" s="67"/>
      <c r="H817" s="68"/>
      <c r="I817" s="52">
        <f>SUM(I814:I816)</f>
        <v>923.535877491125</v>
      </c>
      <c r="J817" s="53" t="s">
        <v>392</v>
      </c>
      <c r="K817" s="60"/>
      <c r="L817" s="69" t="s">
        <v>431</v>
      </c>
      <c r="M817" s="34" t="s">
        <v>460</v>
      </c>
      <c r="N817" s="102">
        <v>10.21</v>
      </c>
      <c r="O817" s="34">
        <f>1.048</f>
        <v>1.048</v>
      </c>
      <c r="P817" s="34">
        <v>3</v>
      </c>
      <c r="Q817" s="44">
        <f t="shared" ref="Q817:Q823" si="100">+P817*O817*N817</f>
        <v>32.10024</v>
      </c>
      <c r="R817" s="71">
        <f>+Q817/R814</f>
        <v>3.26793840440283</v>
      </c>
      <c r="S817" s="47"/>
      <c r="T817" s="47"/>
    </row>
    <row r="818" s="27" customFormat="1" ht="28" customHeight="1" spans="1:20">
      <c r="A818" s="34"/>
      <c r="B818" s="48">
        <v>5</v>
      </c>
      <c r="C818" s="72" t="s">
        <v>406</v>
      </c>
      <c r="D818" s="48" t="s">
        <v>407</v>
      </c>
      <c r="E818" s="48"/>
      <c r="F818" s="50"/>
      <c r="G818" s="48"/>
      <c r="H818" s="73">
        <f>+'材料表 '!$E$178</f>
        <v>0</v>
      </c>
      <c r="I818" s="52">
        <f>H818*I817</f>
        <v>0</v>
      </c>
      <c r="J818" s="53" t="s">
        <v>392</v>
      </c>
      <c r="K818" s="60"/>
      <c r="L818" s="69" t="s">
        <v>431</v>
      </c>
      <c r="M818" s="34" t="s">
        <v>509</v>
      </c>
      <c r="N818" s="102">
        <v>10.21</v>
      </c>
      <c r="O818" s="34">
        <v>0</v>
      </c>
      <c r="P818" s="34">
        <v>1</v>
      </c>
      <c r="Q818" s="44">
        <f t="shared" si="100"/>
        <v>0</v>
      </c>
      <c r="R818" s="71">
        <f>+Q818/R814</f>
        <v>0</v>
      </c>
      <c r="S818" s="47"/>
      <c r="T818" s="47"/>
    </row>
    <row r="819" s="27" customFormat="1" ht="18" customHeight="1" spans="1:20">
      <c r="A819" s="34"/>
      <c r="B819" s="48">
        <v>6</v>
      </c>
      <c r="C819" s="48" t="s">
        <v>409</v>
      </c>
      <c r="D819" s="48" t="s">
        <v>410</v>
      </c>
      <c r="E819" s="48"/>
      <c r="F819" s="50"/>
      <c r="G819" s="48"/>
      <c r="H819" s="73">
        <f>+'材料表 '!$E$179</f>
        <v>0</v>
      </c>
      <c r="I819" s="52">
        <f>H819*I817</f>
        <v>0</v>
      </c>
      <c r="J819" s="53" t="s">
        <v>392</v>
      </c>
      <c r="K819" s="60"/>
      <c r="L819" s="69" t="s">
        <v>461</v>
      </c>
      <c r="M819" s="34" t="s">
        <v>462</v>
      </c>
      <c r="N819" s="34">
        <v>3.77</v>
      </c>
      <c r="O819" s="34">
        <f>O814</f>
        <v>7.26</v>
      </c>
      <c r="P819" s="34">
        <v>2</v>
      </c>
      <c r="Q819" s="44">
        <f t="shared" si="100"/>
        <v>54.7404</v>
      </c>
      <c r="R819" s="71">
        <f>+Q819/R814</f>
        <v>5.57280118255728</v>
      </c>
      <c r="S819" s="47"/>
      <c r="T819" s="47"/>
    </row>
    <row r="820" s="27" customFormat="1" ht="18" customHeight="1" spans="1:20">
      <c r="A820" s="34"/>
      <c r="B820" s="48">
        <v>7</v>
      </c>
      <c r="C820" s="48" t="s">
        <v>412</v>
      </c>
      <c r="D820" s="72" t="s">
        <v>413</v>
      </c>
      <c r="E820" s="72"/>
      <c r="F820" s="77"/>
      <c r="G820" s="72"/>
      <c r="H820" s="73">
        <f>+'材料表 '!$E$180</f>
        <v>0.09</v>
      </c>
      <c r="I820" s="52">
        <f>(I817+I818+I819)*H820</f>
        <v>83.1182289742013</v>
      </c>
      <c r="J820" s="53" t="s">
        <v>392</v>
      </c>
      <c r="K820" s="60"/>
      <c r="L820" s="69" t="s">
        <v>463</v>
      </c>
      <c r="M820" s="34" t="s">
        <v>464</v>
      </c>
      <c r="N820" s="34">
        <f>0.15*0.2*7.85*10</f>
        <v>2.355</v>
      </c>
      <c r="O820" s="34">
        <v>2</v>
      </c>
      <c r="P820" s="34">
        <v>3</v>
      </c>
      <c r="Q820" s="44">
        <f t="shared" si="100"/>
        <v>14.13</v>
      </c>
      <c r="R820" s="71">
        <f>+Q820/R814</f>
        <v>1.4384929724579</v>
      </c>
      <c r="S820" s="47"/>
      <c r="T820" s="47"/>
    </row>
    <row r="821" s="27" customFormat="1" ht="18" customHeight="1" spans="1:20">
      <c r="A821" s="105" t="s">
        <v>520</v>
      </c>
      <c r="B821" s="48">
        <v>8</v>
      </c>
      <c r="C821" s="48" t="s">
        <v>363</v>
      </c>
      <c r="D821" s="106" t="s">
        <v>415</v>
      </c>
      <c r="E821" s="107"/>
      <c r="F821" s="108"/>
      <c r="G821" s="107"/>
      <c r="H821" s="51"/>
      <c r="I821" s="74">
        <f>SUM(I817:I820)</f>
        <v>1006.65410646533</v>
      </c>
      <c r="J821" s="53" t="s">
        <v>416</v>
      </c>
      <c r="K821" s="60"/>
      <c r="L821" s="69" t="s">
        <v>465</v>
      </c>
      <c r="M821" s="34" t="s">
        <v>521</v>
      </c>
      <c r="N821" s="126">
        <v>7.034</v>
      </c>
      <c r="O821" s="34">
        <f>155/1000</f>
        <v>0.155</v>
      </c>
      <c r="P821" s="44">
        <f>P817*2*2</f>
        <v>12</v>
      </c>
      <c r="Q821" s="44">
        <f t="shared" si="100"/>
        <v>13.08324</v>
      </c>
      <c r="R821" s="84">
        <f>+Q821/R814</f>
        <v>1.33192843573815</v>
      </c>
      <c r="S821" s="79"/>
      <c r="T821" s="47"/>
    </row>
    <row r="822" s="27" customFormat="1" ht="18" customHeight="1" spans="1:20">
      <c r="A822" s="34"/>
      <c r="B822" s="109" t="s">
        <v>418</v>
      </c>
      <c r="C822" s="110"/>
      <c r="D822" s="110"/>
      <c r="E822" s="110"/>
      <c r="F822" s="110"/>
      <c r="G822" s="110"/>
      <c r="H822" s="110"/>
      <c r="I822" s="110"/>
      <c r="J822" s="110"/>
      <c r="K822" s="80"/>
      <c r="L822" s="69" t="s">
        <v>433</v>
      </c>
      <c r="M822" s="44" t="s">
        <v>504</v>
      </c>
      <c r="N822" s="82">
        <f>0.056*3*2.71+0.0675*3*2.71</f>
        <v>1.004055</v>
      </c>
      <c r="O822" s="44">
        <f>O814</f>
        <v>7.26</v>
      </c>
      <c r="P822" s="44">
        <v>1</v>
      </c>
      <c r="Q822" s="44">
        <f t="shared" si="100"/>
        <v>7.2894393</v>
      </c>
      <c r="R822" s="84">
        <f>+Q822/R814</f>
        <v>0.742095343680709</v>
      </c>
      <c r="S822" s="47">
        <f>0.16*P822*O822/R814</f>
        <v>0.118255728011826</v>
      </c>
      <c r="T822" s="47"/>
    </row>
    <row r="823" s="27" customFormat="1" ht="18" customHeight="1" spans="1:20">
      <c r="A823" s="34"/>
      <c r="B823" s="48">
        <v>1</v>
      </c>
      <c r="C823" s="48" t="s">
        <v>391</v>
      </c>
      <c r="D823" s="48" t="s">
        <v>396</v>
      </c>
      <c r="E823" s="48" t="s">
        <v>37</v>
      </c>
      <c r="F823" s="50"/>
      <c r="G823" s="48"/>
      <c r="H823" s="51" t="s">
        <v>399</v>
      </c>
      <c r="I823" s="51" t="s">
        <v>420</v>
      </c>
      <c r="J823" s="95" t="s">
        <v>421</v>
      </c>
      <c r="K823" s="92"/>
      <c r="L823" s="69" t="s">
        <v>433</v>
      </c>
      <c r="M823" s="44" t="s">
        <v>505</v>
      </c>
      <c r="N823" s="82">
        <f>0.056*3*2.71+0.0675*3*2.71</f>
        <v>1.004055</v>
      </c>
      <c r="O823" s="44">
        <f>1.4</f>
        <v>1.4</v>
      </c>
      <c r="P823" s="44">
        <v>3</v>
      </c>
      <c r="Q823" s="44">
        <f t="shared" si="100"/>
        <v>4.217031</v>
      </c>
      <c r="R823" s="84">
        <f>+Q823/R814</f>
        <v>0.429311355848344</v>
      </c>
      <c r="S823" s="47"/>
      <c r="T823" s="47"/>
    </row>
    <row r="824" s="27" customFormat="1" ht="18" customHeight="1" spans="1:20">
      <c r="A824" s="34"/>
      <c r="B824" s="48">
        <v>2</v>
      </c>
      <c r="C824" s="48"/>
      <c r="D824" s="111" t="s">
        <v>491</v>
      </c>
      <c r="E824" s="49" t="s">
        <v>423</v>
      </c>
      <c r="F824" s="112"/>
      <c r="G824" s="111"/>
      <c r="H824" s="113">
        <v>1</v>
      </c>
      <c r="I824" s="113">
        <f>+辅材及安装费!$G$3</f>
        <v>165</v>
      </c>
      <c r="J824" s="114">
        <f t="shared" ref="J824:J839" si="101">H824*I824</f>
        <v>165</v>
      </c>
      <c r="K824" s="92"/>
      <c r="L824" s="90"/>
      <c r="M824" s="44"/>
      <c r="N824" s="82"/>
      <c r="O824" s="44"/>
      <c r="P824" s="44"/>
      <c r="Q824" s="44">
        <v>0</v>
      </c>
      <c r="R824" s="84">
        <f>+Q824/R814</f>
        <v>0</v>
      </c>
      <c r="S824" s="47"/>
      <c r="T824" s="47"/>
    </row>
    <row r="825" s="27" customFormat="1" ht="18" customHeight="1" spans="1:20">
      <c r="A825" s="34"/>
      <c r="B825" s="48">
        <v>3</v>
      </c>
      <c r="C825" s="48"/>
      <c r="D825" s="115"/>
      <c r="E825" s="63"/>
      <c r="F825" s="116"/>
      <c r="G825" s="115"/>
      <c r="H825" s="117"/>
      <c r="I825" s="117"/>
      <c r="J825" s="118"/>
      <c r="K825" s="92"/>
      <c r="L825" s="90" t="s">
        <v>472</v>
      </c>
      <c r="M825" s="44"/>
      <c r="N825" s="82"/>
      <c r="O825" s="44"/>
      <c r="P825" s="44">
        <f>O820*P820*2</f>
        <v>12</v>
      </c>
      <c r="Q825" s="44">
        <f>+P825</f>
        <v>12</v>
      </c>
      <c r="R825" s="84">
        <f>+Q825/R814</f>
        <v>1.22165008276679</v>
      </c>
      <c r="S825" s="47"/>
      <c r="T825" s="47"/>
    </row>
    <row r="826" s="27" customFormat="1" ht="18" customHeight="1" spans="1:20">
      <c r="A826" s="34"/>
      <c r="B826" s="48">
        <v>4</v>
      </c>
      <c r="C826" s="48"/>
      <c r="D826" s="85" t="s">
        <v>426</v>
      </c>
      <c r="E826" s="48" t="s">
        <v>392</v>
      </c>
      <c r="F826" s="50"/>
      <c r="G826" s="48"/>
      <c r="H826" s="86"/>
      <c r="I826" s="86"/>
      <c r="J826" s="95">
        <f>SUM(J824:J824)</f>
        <v>165</v>
      </c>
      <c r="K826" s="92"/>
      <c r="L826" s="90"/>
      <c r="M826" s="44"/>
      <c r="N826" s="82"/>
      <c r="O826" s="44"/>
      <c r="P826" s="44"/>
      <c r="Q826" s="44"/>
      <c r="R826" s="84"/>
      <c r="S826" s="47"/>
      <c r="T826" s="47"/>
    </row>
    <row r="827" s="27" customFormat="1" ht="22" customHeight="1" spans="1:20">
      <c r="A827" s="34"/>
      <c r="B827" s="48">
        <v>1</v>
      </c>
      <c r="C827" s="48" t="s">
        <v>394</v>
      </c>
      <c r="D827" s="88" t="s">
        <v>431</v>
      </c>
      <c r="E827" s="72" t="str">
        <f>+VLOOKUP(D827,'材料表 '!C:F,2,0)</f>
        <v>kg</v>
      </c>
      <c r="F827" s="77">
        <f>+SUMIF($L$814:$L$852,D827,$R$814:$R$852)</f>
        <v>3.26793840440283</v>
      </c>
      <c r="G827" s="89">
        <f>+VLOOKUP(D827,'材料表 '!C:F,4,0)</f>
        <v>0.03</v>
      </c>
      <c r="H827" s="74">
        <f t="shared" ref="H827:H839" si="102">F827*(G827+1)</f>
        <v>3.36597655653491</v>
      </c>
      <c r="I827" s="74">
        <f>+VLOOKUP(D827,'材料表 '!C:F,3,0)</f>
        <v>3.80530973451327</v>
      </c>
      <c r="J827" s="95">
        <f t="shared" si="101"/>
        <v>12.8085833567258</v>
      </c>
      <c r="K827" s="92">
        <f ca="1">H827*K813</f>
        <v>141.845618068938</v>
      </c>
      <c r="L827" s="90"/>
      <c r="M827" s="44"/>
      <c r="N827" s="82"/>
      <c r="O827" s="44"/>
      <c r="P827" s="44"/>
      <c r="Q827" s="44"/>
      <c r="R827" s="84"/>
      <c r="S827" s="47"/>
      <c r="T827" s="47"/>
    </row>
    <row r="828" s="27" customFormat="1" ht="18" customHeight="1" spans="1:20">
      <c r="A828" s="34"/>
      <c r="B828" s="48">
        <v>2</v>
      </c>
      <c r="C828" s="48"/>
      <c r="D828" s="88" t="s">
        <v>461</v>
      </c>
      <c r="E828" s="72" t="str">
        <f>+VLOOKUP(D828,'材料表 '!C:F,2,0)</f>
        <v>kg</v>
      </c>
      <c r="F828" s="77">
        <f t="shared" ref="F828:F836" si="103">+SUMIF($L$814:$L$852,D828,$R$814:$R$852)</f>
        <v>5.57280118255728</v>
      </c>
      <c r="G828" s="89">
        <f>+VLOOKUP(D828,'材料表 '!C:F,4,0)</f>
        <v>0.03</v>
      </c>
      <c r="H828" s="74">
        <f t="shared" si="102"/>
        <v>5.739985218034</v>
      </c>
      <c r="I828" s="74">
        <f>+VLOOKUP(D828,'材料表 '!C:F,3,0)</f>
        <v>3.53982300884956</v>
      </c>
      <c r="J828" s="95">
        <f t="shared" si="101"/>
        <v>20.3185317452531</v>
      </c>
      <c r="K828" s="92">
        <f ca="1">H828*K813</f>
        <v>241.888717073171</v>
      </c>
      <c r="L828" s="90"/>
      <c r="M828" s="44"/>
      <c r="N828" s="82"/>
      <c r="O828" s="44"/>
      <c r="P828" s="44"/>
      <c r="Q828" s="44"/>
      <c r="R828" s="84"/>
      <c r="S828" s="47"/>
      <c r="T828" s="47"/>
    </row>
    <row r="829" s="27" customFormat="1" ht="18" customHeight="1" spans="1:20">
      <c r="A829" s="34"/>
      <c r="B829" s="48">
        <v>3</v>
      </c>
      <c r="C829" s="48"/>
      <c r="D829" s="88" t="s">
        <v>465</v>
      </c>
      <c r="E829" s="72" t="str">
        <f>+VLOOKUP(D829,'材料表 '!C:F,2,0)</f>
        <v>kg</v>
      </c>
      <c r="F829" s="77">
        <f t="shared" si="103"/>
        <v>1.33192843573815</v>
      </c>
      <c r="G829" s="89">
        <f>+VLOOKUP(D829,'材料表 '!C:F,4,0)</f>
        <v>0.03</v>
      </c>
      <c r="H829" s="74">
        <f t="shared" si="102"/>
        <v>1.37188628881029</v>
      </c>
      <c r="I829" s="74">
        <f>+VLOOKUP(D829,'材料表 '!C:F,3,0)</f>
        <v>6.01769911504425</v>
      </c>
      <c r="J829" s="95">
        <f t="shared" si="101"/>
        <v>8.25559890611505</v>
      </c>
      <c r="K829" s="92">
        <f ca="1">H829*K813</f>
        <v>57.8126600967544</v>
      </c>
      <c r="L829" s="90"/>
      <c r="M829" s="44"/>
      <c r="N829" s="82"/>
      <c r="O829" s="44"/>
      <c r="P829" s="44"/>
      <c r="Q829" s="44">
        <f>+P829*O829</f>
        <v>0</v>
      </c>
      <c r="R829" s="84">
        <f>+Q829/R814</f>
        <v>0</v>
      </c>
      <c r="S829" s="47"/>
      <c r="T829" s="47"/>
    </row>
    <row r="830" s="27" customFormat="1" ht="18" customHeight="1" spans="1:20">
      <c r="A830" s="34"/>
      <c r="B830" s="48">
        <v>4</v>
      </c>
      <c r="C830" s="48"/>
      <c r="D830" s="88" t="s">
        <v>463</v>
      </c>
      <c r="E830" s="72" t="str">
        <f>+VLOOKUP(D830,'材料表 '!C:F,2,0)</f>
        <v>kg</v>
      </c>
      <c r="F830" s="77">
        <f t="shared" si="103"/>
        <v>1.4384929724579</v>
      </c>
      <c r="G830" s="89">
        <f>+VLOOKUP(D830,'材料表 '!C:F,4,0)</f>
        <v>0.03</v>
      </c>
      <c r="H830" s="74">
        <f t="shared" si="102"/>
        <v>1.48164776163164</v>
      </c>
      <c r="I830" s="74">
        <f>+VLOOKUP(D830,'材料表 '!C:F,3,0)</f>
        <v>6.01769911504425</v>
      </c>
      <c r="J830" s="95">
        <f t="shared" si="101"/>
        <v>8.916110423978</v>
      </c>
      <c r="K830" s="92">
        <f ca="1">H830*K813</f>
        <v>62.4381183229189</v>
      </c>
      <c r="L830" s="90" t="s">
        <v>474</v>
      </c>
      <c r="M830" s="44"/>
      <c r="N830" s="82"/>
      <c r="O830" s="44"/>
      <c r="P830" s="44"/>
      <c r="Q830" s="44">
        <f>+O820*P820*4</f>
        <v>24</v>
      </c>
      <c r="R830" s="84">
        <f>+Q830/R814</f>
        <v>2.44330016553359</v>
      </c>
      <c r="S830" s="47"/>
      <c r="T830" s="47"/>
    </row>
    <row r="831" s="27" customFormat="1" ht="18" customHeight="1" spans="1:20">
      <c r="A831" s="34"/>
      <c r="B831" s="48">
        <v>5</v>
      </c>
      <c r="C831" s="48"/>
      <c r="D831" s="88" t="s">
        <v>433</v>
      </c>
      <c r="E831" s="72" t="str">
        <f>+VLOOKUP(D831,'材料表 '!C:F,2,0)</f>
        <v>kg</v>
      </c>
      <c r="F831" s="77">
        <f t="shared" si="103"/>
        <v>1.17140669952905</v>
      </c>
      <c r="G831" s="89">
        <f>+VLOOKUP(D831,'材料表 '!C:F,4,0)</f>
        <v>0.03</v>
      </c>
      <c r="H831" s="74">
        <f t="shared" si="102"/>
        <v>1.20654890051492</v>
      </c>
      <c r="I831" s="74">
        <f>+VLOOKUP(D831,'材料表 '!C:F,3,0)</f>
        <v>26.1150442477876</v>
      </c>
      <c r="J831" s="95">
        <f t="shared" si="101"/>
        <v>31.5090779240667</v>
      </c>
      <c r="K831" s="92">
        <f ca="1">H831*K813</f>
        <v>50.8451772165992</v>
      </c>
      <c r="L831" s="92" t="s">
        <v>476</v>
      </c>
      <c r="M831" s="44"/>
      <c r="N831" s="82"/>
      <c r="O831" s="44"/>
      <c r="P831" s="44"/>
      <c r="Q831" s="44">
        <f>8*8*(O814*1+1.4*3)/500</f>
        <v>1.46688</v>
      </c>
      <c r="R831" s="84">
        <f>+Q831/R814</f>
        <v>0.149334506117413</v>
      </c>
      <c r="S831" s="47"/>
      <c r="T831" s="47"/>
    </row>
    <row r="832" s="27" customFormat="1" ht="18" customHeight="1" spans="1:20">
      <c r="A832" s="34"/>
      <c r="B832" s="48">
        <v>6</v>
      </c>
      <c r="C832" s="48"/>
      <c r="D832" s="88" t="s">
        <v>434</v>
      </c>
      <c r="E832" s="72" t="str">
        <f>+VLOOKUP(D832,'材料表 '!C:F,2,0)</f>
        <v>m2</v>
      </c>
      <c r="F832" s="77">
        <f t="shared" si="103"/>
        <v>0</v>
      </c>
      <c r="G832" s="89">
        <f>+VLOOKUP(D832,'材料表 '!C:F,4,0)</f>
        <v>0</v>
      </c>
      <c r="H832" s="74">
        <f t="shared" si="102"/>
        <v>0</v>
      </c>
      <c r="I832" s="74">
        <f>+VLOOKUP(D832,'材料表 '!C:F,3,0)</f>
        <v>49.5575221238938</v>
      </c>
      <c r="J832" s="95">
        <f t="shared" si="101"/>
        <v>0</v>
      </c>
      <c r="K832" s="92">
        <f ca="1">H832*K813</f>
        <v>0</v>
      </c>
      <c r="L832" s="92" t="s">
        <v>499</v>
      </c>
      <c r="M832" s="44"/>
      <c r="N832" s="82"/>
      <c r="O832" s="44"/>
      <c r="P832" s="44"/>
      <c r="Q832" s="44">
        <v>0</v>
      </c>
      <c r="R832" s="84">
        <f>Q832/R814</f>
        <v>0</v>
      </c>
      <c r="S832" s="47"/>
      <c r="T832" s="47"/>
    </row>
    <row r="833" s="27" customFormat="1" ht="18" customHeight="1" spans="1:20">
      <c r="A833" s="34"/>
      <c r="B833" s="48">
        <v>7</v>
      </c>
      <c r="C833" s="48"/>
      <c r="D833" s="88" t="s">
        <v>472</v>
      </c>
      <c r="E833" s="72" t="str">
        <f>+VLOOKUP(D833,'材料表 '!C:F,2,0)</f>
        <v>套</v>
      </c>
      <c r="F833" s="77">
        <f t="shared" si="103"/>
        <v>1.22165008276679</v>
      </c>
      <c r="G833" s="89">
        <f>+VLOOKUP(D833,'材料表 '!C:F,4,0)</f>
        <v>0</v>
      </c>
      <c r="H833" s="74">
        <f t="shared" si="102"/>
        <v>1.22165008276679</v>
      </c>
      <c r="I833" s="74">
        <f>+VLOOKUP(D833,'材料表 '!C:F,3,0)</f>
        <v>2.47787610619469</v>
      </c>
      <c r="J833" s="95">
        <f t="shared" si="101"/>
        <v>3.02709755021859</v>
      </c>
      <c r="K833" s="92">
        <f ca="1">H833*K813</f>
        <v>51.4815561378753</v>
      </c>
      <c r="L833" s="92"/>
      <c r="M833" s="44"/>
      <c r="N833" s="82"/>
      <c r="O833" s="44"/>
      <c r="P833" s="44"/>
      <c r="Q833" s="44"/>
      <c r="R833" s="84"/>
      <c r="S833" s="47"/>
      <c r="T833" s="47"/>
    </row>
    <row r="834" s="27" customFormat="1" ht="18" customHeight="1" spans="1:20">
      <c r="A834" s="34"/>
      <c r="B834" s="48">
        <v>8</v>
      </c>
      <c r="C834" s="48"/>
      <c r="D834" s="88" t="s">
        <v>474</v>
      </c>
      <c r="E834" s="72" t="str">
        <f>+VLOOKUP(D834,'材料表 '!C:F,2,0)</f>
        <v>套</v>
      </c>
      <c r="F834" s="77">
        <f t="shared" si="103"/>
        <v>2.44330016553359</v>
      </c>
      <c r="G834" s="89">
        <f>+VLOOKUP(D834,'材料表 '!C:F,4,0)</f>
        <v>0</v>
      </c>
      <c r="H834" s="74">
        <f t="shared" si="102"/>
        <v>2.44330016553359</v>
      </c>
      <c r="I834" s="74">
        <f>+VLOOKUP(D834,'材料表 '!C:F,3,0)</f>
        <v>2.21238938053097</v>
      </c>
      <c r="J834" s="95">
        <f t="shared" si="101"/>
        <v>5.40553133967608</v>
      </c>
      <c r="K834" s="92">
        <f ca="1">H834*K813</f>
        <v>102.963112275751</v>
      </c>
      <c r="L834" s="92"/>
      <c r="M834" s="44"/>
      <c r="N834" s="82"/>
      <c r="O834" s="44"/>
      <c r="P834" s="44"/>
      <c r="Q834" s="44"/>
      <c r="R834" s="84"/>
      <c r="S834" s="47"/>
      <c r="T834" s="47"/>
    </row>
    <row r="835" s="27" customFormat="1" ht="18" customHeight="1" spans="1:20">
      <c r="A835" s="34"/>
      <c r="B835" s="48">
        <v>9</v>
      </c>
      <c r="C835" s="48"/>
      <c r="D835" s="88" t="s">
        <v>476</v>
      </c>
      <c r="E835" s="72" t="str">
        <f>+VLOOKUP(D835,'材料表 '!C:F,2,0)</f>
        <v>支</v>
      </c>
      <c r="F835" s="77">
        <f t="shared" si="103"/>
        <v>0.149334506117413</v>
      </c>
      <c r="G835" s="89">
        <f>+VLOOKUP(D835,'材料表 '!C:F,4,0)</f>
        <v>0.15</v>
      </c>
      <c r="H835" s="74">
        <f t="shared" si="102"/>
        <v>0.171734682035025</v>
      </c>
      <c r="I835" s="74">
        <f>+VLOOKUP(D835,'材料表 '!C:F,3,0)</f>
        <v>11.5044247787611</v>
      </c>
      <c r="J835" s="95">
        <f t="shared" si="101"/>
        <v>1.9757087313764</v>
      </c>
      <c r="K835" s="92">
        <f ca="1">H835*K813</f>
        <v>7.23707123563799</v>
      </c>
      <c r="L835" s="90"/>
      <c r="M835" s="44"/>
      <c r="N835" s="82"/>
      <c r="O835" s="34"/>
      <c r="P835" s="44"/>
      <c r="Q835" s="44"/>
      <c r="R835" s="119"/>
      <c r="S835" s="47"/>
      <c r="T835" s="47"/>
    </row>
    <row r="836" s="27" customFormat="1" ht="23" customHeight="1" spans="1:20">
      <c r="A836" s="34"/>
      <c r="B836" s="48">
        <v>10</v>
      </c>
      <c r="C836" s="48"/>
      <c r="D836" s="88" t="s">
        <v>499</v>
      </c>
      <c r="E836" s="72" t="str">
        <f>+VLOOKUP(D836,'材料表 '!C:F,2,0)</f>
        <v>套</v>
      </c>
      <c r="F836" s="77">
        <f t="shared" si="103"/>
        <v>0</v>
      </c>
      <c r="G836" s="89">
        <f>+VLOOKUP(D836,'材料表 '!C:F,4,0)</f>
        <v>0</v>
      </c>
      <c r="H836" s="74">
        <f t="shared" si="102"/>
        <v>0</v>
      </c>
      <c r="I836" s="74">
        <f>+VLOOKUP(D836,'材料表 '!C:F,3,0)</f>
        <v>1.32743362831858</v>
      </c>
      <c r="J836" s="95">
        <f t="shared" si="101"/>
        <v>0</v>
      </c>
      <c r="K836" s="92">
        <f ca="1">H836*K813</f>
        <v>0</v>
      </c>
      <c r="L836" s="92"/>
      <c r="M836" s="120"/>
      <c r="N836" s="82"/>
      <c r="O836" s="44"/>
      <c r="P836" s="44"/>
      <c r="Q836" s="44"/>
      <c r="R836" s="84"/>
      <c r="S836" s="47"/>
      <c r="T836" s="47"/>
    </row>
    <row r="837" s="27" customFormat="1" ht="20" customHeight="1" spans="1:20">
      <c r="A837" s="34"/>
      <c r="B837" s="48">
        <v>11</v>
      </c>
      <c r="C837" s="48"/>
      <c r="D837" s="88" t="s">
        <v>500</v>
      </c>
      <c r="E837" s="72" t="str">
        <f>+VLOOKUP(D837,'材料表 '!C:F,2,0)</f>
        <v>kg</v>
      </c>
      <c r="F837" s="77">
        <f>F831</f>
        <v>1.17140669952905</v>
      </c>
      <c r="G837" s="89">
        <f>+VLOOKUP(D837,'材料表 '!C:F,4,0)</f>
        <v>0.03</v>
      </c>
      <c r="H837" s="74">
        <f t="shared" si="102"/>
        <v>1.20654890051492</v>
      </c>
      <c r="I837" s="74">
        <f>+VLOOKUP(D837,'材料表 '!C:F,3,0)</f>
        <v>14.1592920353982</v>
      </c>
      <c r="J837" s="95">
        <f t="shared" si="101"/>
        <v>17.0838782373794</v>
      </c>
      <c r="K837" s="92">
        <f ca="1">H837*K813</f>
        <v>50.8451772165992</v>
      </c>
      <c r="L837" s="92"/>
      <c r="M837" s="44"/>
      <c r="N837" s="82"/>
      <c r="O837" s="44"/>
      <c r="P837" s="44"/>
      <c r="Q837" s="44"/>
      <c r="R837" s="84"/>
      <c r="S837" s="47"/>
      <c r="T837" s="47"/>
    </row>
    <row r="838" s="27" customFormat="1" ht="24" customHeight="1" spans="1:20">
      <c r="A838" s="34"/>
      <c r="B838" s="48">
        <v>12</v>
      </c>
      <c r="C838" s="48"/>
      <c r="D838" s="210" t="s">
        <v>515</v>
      </c>
      <c r="E838" s="72" t="str">
        <f>+VLOOKUP(D838,'材料表 '!C:F,2,0)</f>
        <v>m2</v>
      </c>
      <c r="F838" s="77">
        <f>1.4/1.353</f>
        <v>1.03473762010347</v>
      </c>
      <c r="G838" s="89">
        <f>+VLOOKUP(D838,'材料表 '!C:F,4,0)</f>
        <v>0.02</v>
      </c>
      <c r="H838" s="74">
        <f t="shared" si="102"/>
        <v>1.05543237250554</v>
      </c>
      <c r="I838" s="74">
        <f>+VLOOKUP(D838,'材料表 '!C:F,3,0)</f>
        <v>361.061946902655</v>
      </c>
      <c r="J838" s="95">
        <f t="shared" si="101"/>
        <v>381.076467240938</v>
      </c>
      <c r="K838" s="92">
        <f ca="1">H838*K813</f>
        <v>44.476975609756</v>
      </c>
      <c r="L838" s="92"/>
      <c r="M838" s="44"/>
      <c r="N838" s="44"/>
      <c r="O838" s="44"/>
      <c r="P838" s="44"/>
      <c r="Q838" s="44"/>
      <c r="R838" s="84"/>
      <c r="S838" s="47"/>
      <c r="T838" s="47"/>
    </row>
    <row r="839" s="27" customFormat="1" ht="18" customHeight="1" spans="1:20">
      <c r="A839" s="34"/>
      <c r="B839" s="48">
        <v>13</v>
      </c>
      <c r="C839" s="48"/>
      <c r="D839" s="239" t="s">
        <v>493</v>
      </c>
      <c r="E839" s="240" t="str">
        <f>+VLOOKUP(D839,'材料表 '!C:F,2,0)</f>
        <v>m2</v>
      </c>
      <c r="F839" s="241">
        <v>1</v>
      </c>
      <c r="G839" s="242">
        <f>+VLOOKUP(D839,'材料表 '!C:F,4,0)</f>
        <v>0.02</v>
      </c>
      <c r="H839" s="243">
        <f t="shared" si="102"/>
        <v>1.02</v>
      </c>
      <c r="I839" s="243">
        <f>+VLOOKUP(D839,'材料表 '!C:F,3,0)</f>
        <v>253.097345132743</v>
      </c>
      <c r="J839" s="244">
        <f t="shared" si="101"/>
        <v>258.159292035398</v>
      </c>
      <c r="K839" s="92">
        <f ca="1">H839*K813</f>
        <v>42.98382</v>
      </c>
      <c r="L839" s="92"/>
      <c r="M839" s="44"/>
      <c r="N839" s="44"/>
      <c r="O839" s="44"/>
      <c r="P839" s="44"/>
      <c r="Q839" s="44"/>
      <c r="R839" s="84"/>
      <c r="S839" s="47"/>
      <c r="T839" s="47"/>
    </row>
    <row r="840" s="27" customFormat="1" ht="24" customHeight="1" spans="1:20">
      <c r="A840" s="34"/>
      <c r="B840" s="48">
        <v>14</v>
      </c>
      <c r="C840" s="48"/>
      <c r="D840" s="88"/>
      <c r="E840" s="72"/>
      <c r="F840" s="77"/>
      <c r="G840" s="89"/>
      <c r="H840" s="74"/>
      <c r="I840" s="74"/>
      <c r="J840" s="95"/>
      <c r="K840" s="92">
        <f ca="1">H840*K813</f>
        <v>0</v>
      </c>
      <c r="L840" s="92"/>
      <c r="M840" s="44"/>
      <c r="N840" s="44"/>
      <c r="O840" s="44"/>
      <c r="P840" s="44"/>
      <c r="Q840" s="44"/>
      <c r="R840" s="84"/>
      <c r="S840" s="47"/>
      <c r="T840" s="47"/>
    </row>
    <row r="841" s="27" customFormat="1" ht="18" customHeight="1" spans="1:20">
      <c r="A841" s="34"/>
      <c r="B841" s="48">
        <v>15</v>
      </c>
      <c r="C841" s="48"/>
      <c r="D841" s="88"/>
      <c r="E841" s="72"/>
      <c r="F841" s="77"/>
      <c r="G841" s="89"/>
      <c r="H841" s="74"/>
      <c r="I841" s="74"/>
      <c r="J841" s="95"/>
      <c r="K841" s="92"/>
      <c r="L841" s="92"/>
      <c r="M841" s="44"/>
      <c r="N841" s="44"/>
      <c r="O841" s="44"/>
      <c r="P841" s="44"/>
      <c r="Q841" s="44"/>
      <c r="R841" s="84"/>
      <c r="S841" s="47"/>
      <c r="T841" s="47"/>
    </row>
    <row r="842" s="27" customFormat="1" ht="18" customHeight="1" spans="1:20">
      <c r="A842" s="34"/>
      <c r="B842" s="48">
        <v>16</v>
      </c>
      <c r="C842" s="48"/>
      <c r="D842" s="88"/>
      <c r="E842" s="72"/>
      <c r="F842" s="77"/>
      <c r="G842" s="89"/>
      <c r="H842" s="74"/>
      <c r="I842" s="74"/>
      <c r="J842" s="95"/>
      <c r="K842" s="92"/>
      <c r="L842" s="92"/>
      <c r="M842" s="44"/>
      <c r="N842" s="44"/>
      <c r="O842" s="44"/>
      <c r="P842" s="44"/>
      <c r="Q842" s="44"/>
      <c r="R842" s="84"/>
      <c r="S842" s="47"/>
      <c r="T842" s="47"/>
    </row>
    <row r="843" s="27" customFormat="1" ht="18" customHeight="1" spans="1:20">
      <c r="A843" s="34"/>
      <c r="B843" s="48">
        <v>17</v>
      </c>
      <c r="C843" s="48"/>
      <c r="D843" s="121"/>
      <c r="E843" s="72"/>
      <c r="F843" s="77"/>
      <c r="G843" s="89"/>
      <c r="H843" s="74"/>
      <c r="I843" s="74"/>
      <c r="J843" s="95"/>
      <c r="K843" s="92"/>
      <c r="L843" s="92"/>
      <c r="M843" s="44"/>
      <c r="N843" s="44"/>
      <c r="O843" s="44"/>
      <c r="P843" s="44"/>
      <c r="Q843" s="101"/>
      <c r="R843" s="84"/>
      <c r="S843" s="47"/>
      <c r="T843" s="47"/>
    </row>
    <row r="844" s="27" customFormat="1" ht="18" customHeight="1" spans="1:20">
      <c r="A844" s="34"/>
      <c r="B844" s="48">
        <v>18</v>
      </c>
      <c r="C844" s="48"/>
      <c r="D844" s="88"/>
      <c r="E844" s="72"/>
      <c r="F844" s="77"/>
      <c r="G844" s="89"/>
      <c r="H844" s="74"/>
      <c r="I844" s="74"/>
      <c r="J844" s="95"/>
      <c r="K844" s="92"/>
      <c r="L844" s="92"/>
      <c r="M844" s="44"/>
      <c r="N844" s="44"/>
      <c r="O844" s="44"/>
      <c r="P844" s="44"/>
      <c r="Q844" s="44"/>
      <c r="R844" s="84"/>
      <c r="S844" s="47"/>
      <c r="T844" s="47"/>
    </row>
    <row r="845" s="27" customFormat="1" ht="18" customHeight="1" spans="1:20">
      <c r="A845" s="34"/>
      <c r="B845" s="48">
        <v>19</v>
      </c>
      <c r="C845" s="48"/>
      <c r="D845" s="27"/>
      <c r="E845" s="72"/>
      <c r="F845" s="77"/>
      <c r="G845" s="89"/>
      <c r="H845" s="74"/>
      <c r="I845" s="74"/>
      <c r="J845" s="95"/>
      <c r="K845" s="92"/>
      <c r="L845" s="92"/>
      <c r="M845" s="44"/>
      <c r="N845" s="44"/>
      <c r="O845" s="44"/>
      <c r="P845" s="44"/>
      <c r="Q845" s="44"/>
      <c r="R845" s="84"/>
      <c r="S845" s="47"/>
      <c r="T845" s="47"/>
    </row>
    <row r="846" s="27" customFormat="1" ht="18" customHeight="1" spans="1:20">
      <c r="A846" s="34"/>
      <c r="B846" s="48">
        <v>20</v>
      </c>
      <c r="C846" s="48"/>
      <c r="D846" s="88"/>
      <c r="E846" s="72"/>
      <c r="F846" s="77"/>
      <c r="G846" s="89"/>
      <c r="H846" s="74"/>
      <c r="I846" s="74"/>
      <c r="J846" s="95"/>
      <c r="K846" s="92"/>
      <c r="L846" s="92"/>
      <c r="M846" s="44"/>
      <c r="N846" s="44"/>
      <c r="O846" s="44"/>
      <c r="P846" s="44"/>
      <c r="Q846" s="44"/>
      <c r="R846" s="84"/>
      <c r="S846" s="47"/>
      <c r="T846" s="47"/>
    </row>
    <row r="847" s="27" customFormat="1" ht="18" customHeight="1" spans="1:20">
      <c r="A847" s="34"/>
      <c r="B847" s="48">
        <v>21</v>
      </c>
      <c r="C847" s="48"/>
      <c r="D847" s="88"/>
      <c r="E847" s="72"/>
      <c r="F847" s="77"/>
      <c r="G847" s="89"/>
      <c r="H847" s="74"/>
      <c r="I847" s="74"/>
      <c r="J847" s="95"/>
      <c r="K847" s="92"/>
      <c r="L847" s="92"/>
      <c r="M847" s="44"/>
      <c r="N847" s="44"/>
      <c r="O847" s="44"/>
      <c r="P847" s="44"/>
      <c r="Q847" s="44"/>
      <c r="R847" s="84"/>
      <c r="S847" s="47"/>
      <c r="T847" s="47"/>
    </row>
    <row r="848" s="27" customFormat="1" ht="18" customHeight="1" spans="1:20">
      <c r="A848" s="34"/>
      <c r="B848" s="48">
        <v>22</v>
      </c>
      <c r="C848" s="48"/>
      <c r="D848" s="27"/>
      <c r="E848" s="72"/>
      <c r="F848" s="77"/>
      <c r="G848" s="72"/>
      <c r="H848" s="74"/>
      <c r="I848" s="74"/>
      <c r="J848" s="95"/>
      <c r="K848" s="92"/>
      <c r="L848" s="92"/>
      <c r="M848" s="44"/>
      <c r="N848" s="44"/>
      <c r="O848" s="44"/>
      <c r="P848" s="44"/>
      <c r="Q848" s="44"/>
      <c r="R848" s="62"/>
      <c r="S848" s="47"/>
      <c r="T848" s="47"/>
    </row>
    <row r="849" s="27" customFormat="1" ht="18" customHeight="1" spans="1:20">
      <c r="A849" s="34"/>
      <c r="B849" s="48">
        <v>23</v>
      </c>
      <c r="C849" s="48"/>
      <c r="D849" s="88"/>
      <c r="E849" s="72"/>
      <c r="F849" s="77"/>
      <c r="G849" s="89"/>
      <c r="H849" s="74"/>
      <c r="I849" s="74"/>
      <c r="J849" s="95"/>
      <c r="K849" s="92"/>
      <c r="L849" s="92"/>
      <c r="M849" s="44"/>
      <c r="N849" s="44"/>
      <c r="O849" s="44"/>
      <c r="P849" s="44"/>
      <c r="Q849" s="44"/>
      <c r="R849" s="62"/>
      <c r="S849" s="47"/>
      <c r="T849" s="47"/>
    </row>
    <row r="850" s="27" customFormat="1" ht="18" customHeight="1" spans="1:20">
      <c r="A850" s="34"/>
      <c r="B850" s="48">
        <v>24</v>
      </c>
      <c r="C850" s="48"/>
      <c r="D850" s="88" t="s">
        <v>478</v>
      </c>
      <c r="E850" s="72" t="s">
        <v>43</v>
      </c>
      <c r="F850" s="77"/>
      <c r="G850" s="72">
        <v>1</v>
      </c>
      <c r="H850" s="74">
        <v>1</v>
      </c>
      <c r="I850" s="74">
        <f>+辅材及安装费!$E$3</f>
        <v>5</v>
      </c>
      <c r="J850" s="95">
        <f t="shared" ref="J849:J852" si="104">H850*I850</f>
        <v>5</v>
      </c>
      <c r="K850" s="92"/>
      <c r="L850" s="92"/>
      <c r="M850" s="44"/>
      <c r="N850" s="44"/>
      <c r="O850" s="44"/>
      <c r="P850" s="44"/>
      <c r="Q850" s="44"/>
      <c r="R850" s="62"/>
      <c r="S850" s="47"/>
      <c r="T850" s="47"/>
    </row>
    <row r="851" s="27" customFormat="1" ht="18" customHeight="1" spans="1:20">
      <c r="A851" s="34"/>
      <c r="B851" s="48">
        <v>25</v>
      </c>
      <c r="C851" s="48"/>
      <c r="D851" s="93" t="s">
        <v>442</v>
      </c>
      <c r="E851" s="72"/>
      <c r="F851" s="77"/>
      <c r="G851" s="72"/>
      <c r="H851" s="74"/>
      <c r="I851" s="74"/>
      <c r="J851" s="95">
        <f>SUM(J827:J850)</f>
        <v>753.535877491125</v>
      </c>
      <c r="K851" s="92"/>
      <c r="L851" s="94"/>
      <c r="M851" s="27"/>
      <c r="N851" s="83"/>
      <c r="O851" s="83"/>
      <c r="P851" s="83"/>
      <c r="Q851" s="83"/>
      <c r="R851" s="87"/>
      <c r="S851" s="47"/>
      <c r="T851" s="47"/>
    </row>
    <row r="852" s="27" customFormat="1" ht="18" customHeight="1" spans="1:20">
      <c r="A852" s="34"/>
      <c r="B852" s="48">
        <v>1</v>
      </c>
      <c r="C852" s="48" t="s">
        <v>443</v>
      </c>
      <c r="D852" s="48" t="s">
        <v>444</v>
      </c>
      <c r="E852" s="72" t="s">
        <v>43</v>
      </c>
      <c r="F852" s="50"/>
      <c r="G852" s="48"/>
      <c r="H852" s="51">
        <v>1</v>
      </c>
      <c r="I852" s="74">
        <f>+辅材及安装费!$F$3</f>
        <v>5</v>
      </c>
      <c r="J852" s="95">
        <f t="shared" si="104"/>
        <v>5</v>
      </c>
      <c r="K852" s="118"/>
      <c r="L852" s="96"/>
      <c r="M852" s="97"/>
      <c r="N852" s="98"/>
      <c r="O852" s="98"/>
      <c r="P852" s="98"/>
      <c r="Q852" s="98"/>
      <c r="R852" s="99"/>
      <c r="S852" s="47"/>
      <c r="T852" s="47"/>
    </row>
    <row r="853" s="26" customFormat="1" ht="30" customHeight="1" spans="1:20">
      <c r="A853" s="28"/>
      <c r="B853" s="29" t="s">
        <v>386</v>
      </c>
      <c r="C853" s="29"/>
      <c r="D853" s="29"/>
      <c r="E853" s="29"/>
      <c r="F853" s="29"/>
      <c r="G853" s="29"/>
      <c r="H853" s="29"/>
      <c r="I853" s="29"/>
      <c r="J853" s="29"/>
      <c r="K853" s="29"/>
      <c r="L853" s="30"/>
      <c r="M853" s="31"/>
      <c r="N853" s="31"/>
      <c r="O853" s="31"/>
      <c r="P853" s="31"/>
      <c r="Q853" s="31"/>
      <c r="R853" s="32"/>
      <c r="S853" s="33"/>
      <c r="T853" s="33"/>
    </row>
    <row r="854" s="27" customFormat="1" ht="33.75" customHeight="1" spans="1:20">
      <c r="A854" s="34">
        <v>11</v>
      </c>
      <c r="B854" s="35" t="s">
        <v>1</v>
      </c>
      <c r="C854" s="35" t="s">
        <v>387</v>
      </c>
      <c r="D854" s="36" t="str">
        <f>+A862</f>
        <v>浅灰色铝板1</v>
      </c>
      <c r="E854" s="37"/>
      <c r="F854" s="38" t="s">
        <v>119</v>
      </c>
      <c r="G854" s="39"/>
      <c r="H854" s="35" t="s">
        <v>388</v>
      </c>
      <c r="I854" s="40" t="s">
        <v>389</v>
      </c>
      <c r="J854" s="41" t="s">
        <v>37</v>
      </c>
      <c r="K854" s="42">
        <f ca="1">VLOOKUP(A854,排屋工程量清单!$A$59:$D$86,4,)</f>
        <v>59.18964</v>
      </c>
      <c r="L854" s="43"/>
      <c r="M854" s="44"/>
      <c r="N854" s="44"/>
      <c r="O854" s="44"/>
      <c r="P854" s="45"/>
      <c r="Q854" s="44"/>
      <c r="R854" s="46"/>
      <c r="S854" s="47"/>
      <c r="T854" s="47"/>
    </row>
    <row r="855" s="27" customFormat="1" ht="25" customHeight="1" spans="1:20">
      <c r="A855" s="34"/>
      <c r="B855" s="48">
        <v>1</v>
      </c>
      <c r="C855" s="49" t="s">
        <v>390</v>
      </c>
      <c r="D855" s="48" t="s">
        <v>391</v>
      </c>
      <c r="E855" s="48"/>
      <c r="F855" s="50"/>
      <c r="G855" s="48"/>
      <c r="H855" s="51"/>
      <c r="I855" s="52">
        <f>J867</f>
        <v>165</v>
      </c>
      <c r="J855" s="53" t="s">
        <v>392</v>
      </c>
      <c r="K855" s="54"/>
      <c r="L855" s="55" t="s">
        <v>522</v>
      </c>
      <c r="M855" s="56" t="s">
        <v>205</v>
      </c>
      <c r="N855" s="57"/>
      <c r="O855" s="57">
        <v>11.412</v>
      </c>
      <c r="P855" s="57">
        <v>1.315</v>
      </c>
      <c r="Q855" s="57">
        <v>1</v>
      </c>
      <c r="R855" s="58">
        <f>+Q855*P855*O855</f>
        <v>15.00678</v>
      </c>
      <c r="S855" s="47"/>
      <c r="T855" s="47"/>
    </row>
    <row r="856" s="27" customFormat="1" ht="18" customHeight="1" spans="1:20">
      <c r="A856" s="34"/>
      <c r="B856" s="48">
        <v>2</v>
      </c>
      <c r="C856" s="59"/>
      <c r="D856" s="48" t="s">
        <v>394</v>
      </c>
      <c r="E856" s="48"/>
      <c r="F856" s="50"/>
      <c r="G856" s="48"/>
      <c r="H856" s="51"/>
      <c r="I856" s="52">
        <f>J892</f>
        <v>379.217161974427</v>
      </c>
      <c r="J856" s="53" t="s">
        <v>392</v>
      </c>
      <c r="K856" s="60"/>
      <c r="L856" s="61" t="s">
        <v>119</v>
      </c>
      <c r="M856" s="44"/>
      <c r="N856" s="44"/>
      <c r="O856" s="44"/>
      <c r="P856" s="44"/>
      <c r="Q856" s="44"/>
      <c r="R856" s="62"/>
      <c r="S856" s="47"/>
      <c r="T856" s="47"/>
    </row>
    <row r="857" s="27" customFormat="1" ht="18" customHeight="1" spans="1:20">
      <c r="A857" s="34"/>
      <c r="B857" s="48">
        <v>3</v>
      </c>
      <c r="C857" s="63"/>
      <c r="D857" s="48" t="s">
        <v>395</v>
      </c>
      <c r="E857" s="48"/>
      <c r="F857" s="50"/>
      <c r="G857" s="48"/>
      <c r="H857" s="51"/>
      <c r="I857" s="52">
        <f>J893</f>
        <v>5</v>
      </c>
      <c r="J857" s="53" t="s">
        <v>392</v>
      </c>
      <c r="K857" s="60"/>
      <c r="L857" s="60"/>
      <c r="M857" s="65" t="s">
        <v>396</v>
      </c>
      <c r="N857" s="65" t="s">
        <v>397</v>
      </c>
      <c r="O857" s="65" t="s">
        <v>398</v>
      </c>
      <c r="P857" s="65" t="s">
        <v>399</v>
      </c>
      <c r="Q857" s="65" t="s">
        <v>400</v>
      </c>
      <c r="R857" s="66" t="s">
        <v>401</v>
      </c>
      <c r="S857" s="47"/>
      <c r="T857" s="47"/>
    </row>
    <row r="858" s="27" customFormat="1" ht="18" customHeight="1" spans="1:20">
      <c r="A858" s="34"/>
      <c r="B858" s="48">
        <v>4</v>
      </c>
      <c r="C858" s="48" t="s">
        <v>402</v>
      </c>
      <c r="D858" s="67" t="s">
        <v>403</v>
      </c>
      <c r="E858" s="67"/>
      <c r="F858" s="50"/>
      <c r="G858" s="67"/>
      <c r="H858" s="68"/>
      <c r="I858" s="52">
        <f>SUM(I855:I857)</f>
        <v>549.217161974427</v>
      </c>
      <c r="J858" s="53" t="s">
        <v>392</v>
      </c>
      <c r="K858" s="60"/>
      <c r="L858" s="69" t="s">
        <v>431</v>
      </c>
      <c r="M858" s="34" t="s">
        <v>523</v>
      </c>
      <c r="N858" s="102">
        <v>4.52</v>
      </c>
      <c r="O858" s="34">
        <f>O855</f>
        <v>11.412</v>
      </c>
      <c r="P858" s="34">
        <v>1</v>
      </c>
      <c r="Q858" s="44">
        <f>+P858*O858*N858</f>
        <v>51.58224</v>
      </c>
      <c r="R858" s="71">
        <f>+Q858/R855</f>
        <v>3.43726235741445</v>
      </c>
      <c r="S858" s="47"/>
      <c r="T858" s="47"/>
    </row>
    <row r="859" s="27" customFormat="1" ht="28" customHeight="1" spans="1:20">
      <c r="A859" s="34"/>
      <c r="B859" s="48">
        <v>5</v>
      </c>
      <c r="C859" s="72" t="s">
        <v>406</v>
      </c>
      <c r="D859" s="48" t="s">
        <v>407</v>
      </c>
      <c r="E859" s="48"/>
      <c r="F859" s="50"/>
      <c r="G859" s="48"/>
      <c r="H859" s="73">
        <f>+'材料表 '!$E$178</f>
        <v>0</v>
      </c>
      <c r="I859" s="52">
        <f>H859*I858</f>
        <v>0</v>
      </c>
      <c r="J859" s="53" t="s">
        <v>392</v>
      </c>
      <c r="K859" s="60"/>
      <c r="L859" s="69" t="s">
        <v>431</v>
      </c>
      <c r="M859" s="34" t="s">
        <v>523</v>
      </c>
      <c r="N859" s="102">
        <v>4.52</v>
      </c>
      <c r="O859" s="34">
        <f>0.845</f>
        <v>0.845</v>
      </c>
      <c r="P859" s="34">
        <v>9</v>
      </c>
      <c r="Q859" s="44">
        <f t="shared" ref="Q859:Q865" si="105">+P859*O859*N859</f>
        <v>34.3746</v>
      </c>
      <c r="R859" s="71">
        <f>+Q859/R855</f>
        <v>2.29060464669969</v>
      </c>
      <c r="S859" s="47"/>
      <c r="T859" s="47"/>
    </row>
    <row r="860" s="27" customFormat="1" ht="18" customHeight="1" spans="1:20">
      <c r="A860" s="34"/>
      <c r="B860" s="48">
        <v>6</v>
      </c>
      <c r="C860" s="48" t="s">
        <v>409</v>
      </c>
      <c r="D860" s="48" t="s">
        <v>410</v>
      </c>
      <c r="E860" s="48"/>
      <c r="F860" s="50"/>
      <c r="G860" s="48"/>
      <c r="H860" s="73">
        <f>+'材料表 '!$E$179</f>
        <v>0</v>
      </c>
      <c r="I860" s="52">
        <f>H860*I858</f>
        <v>0</v>
      </c>
      <c r="J860" s="53" t="s">
        <v>392</v>
      </c>
      <c r="K860" s="60"/>
      <c r="L860" s="69" t="s">
        <v>461</v>
      </c>
      <c r="M860" s="34" t="s">
        <v>462</v>
      </c>
      <c r="N860" s="34">
        <v>3.77</v>
      </c>
      <c r="O860" s="34">
        <f>O855</f>
        <v>11.412</v>
      </c>
      <c r="P860" s="34">
        <v>1</v>
      </c>
      <c r="Q860" s="44">
        <f t="shared" si="105"/>
        <v>43.02324</v>
      </c>
      <c r="R860" s="71">
        <f>+Q860/R855</f>
        <v>2.86692015209125</v>
      </c>
      <c r="S860" s="47"/>
      <c r="T860" s="47"/>
    </row>
    <row r="861" s="27" customFormat="1" ht="18" customHeight="1" spans="1:20">
      <c r="A861" s="34"/>
      <c r="B861" s="48">
        <v>7</v>
      </c>
      <c r="C861" s="48" t="s">
        <v>412</v>
      </c>
      <c r="D861" s="72" t="s">
        <v>413</v>
      </c>
      <c r="E861" s="72"/>
      <c r="F861" s="77"/>
      <c r="G861" s="72"/>
      <c r="H861" s="73">
        <f>+'材料表 '!$E$180</f>
        <v>0.09</v>
      </c>
      <c r="I861" s="52">
        <f>(I858+I859+I860)*H861</f>
        <v>49.4295445776984</v>
      </c>
      <c r="J861" s="53" t="s">
        <v>392</v>
      </c>
      <c r="K861" s="60"/>
      <c r="L861" s="69" t="s">
        <v>463</v>
      </c>
      <c r="M861" s="34" t="s">
        <v>464</v>
      </c>
      <c r="N861" s="34">
        <f>0.15*0.2*7.85*10</f>
        <v>2.355</v>
      </c>
      <c r="O861" s="34">
        <v>1</v>
      </c>
      <c r="P861" s="34">
        <v>9</v>
      </c>
      <c r="Q861" s="44">
        <f t="shared" si="105"/>
        <v>21.195</v>
      </c>
      <c r="R861" s="71">
        <f>+Q861/R855</f>
        <v>1.41236161255113</v>
      </c>
      <c r="S861" s="47"/>
      <c r="T861" s="47"/>
    </row>
    <row r="862" s="27" customFormat="1" ht="18" customHeight="1" spans="1:20">
      <c r="A862" s="105" t="s">
        <v>141</v>
      </c>
      <c r="B862" s="48">
        <v>8</v>
      </c>
      <c r="C862" s="48" t="s">
        <v>363</v>
      </c>
      <c r="D862" s="106" t="s">
        <v>415</v>
      </c>
      <c r="E862" s="107"/>
      <c r="F862" s="108"/>
      <c r="G862" s="107"/>
      <c r="H862" s="51"/>
      <c r="I862" s="74">
        <f>SUM(I858:I861)</f>
        <v>598.646706552125</v>
      </c>
      <c r="J862" s="53" t="s">
        <v>416</v>
      </c>
      <c r="K862" s="60"/>
      <c r="L862" s="69" t="s">
        <v>465</v>
      </c>
      <c r="M862" s="34" t="s">
        <v>503</v>
      </c>
      <c r="N862" s="126">
        <v>7.034</v>
      </c>
      <c r="O862" s="34">
        <f>85/1000</f>
        <v>0.085</v>
      </c>
      <c r="P862" s="44">
        <f>P859</f>
        <v>9</v>
      </c>
      <c r="Q862" s="44">
        <f t="shared" si="105"/>
        <v>5.38101</v>
      </c>
      <c r="R862" s="84">
        <f>+Q862/R855</f>
        <v>0.358571925489679</v>
      </c>
      <c r="S862" s="79"/>
      <c r="T862" s="47"/>
    </row>
    <row r="863" s="27" customFormat="1" ht="18" customHeight="1" spans="1:20">
      <c r="A863" s="34"/>
      <c r="B863" s="109" t="s">
        <v>418</v>
      </c>
      <c r="C863" s="110"/>
      <c r="D863" s="110"/>
      <c r="E863" s="110"/>
      <c r="F863" s="110"/>
      <c r="G863" s="110"/>
      <c r="H863" s="110"/>
      <c r="I863" s="110"/>
      <c r="J863" s="110"/>
      <c r="K863" s="80"/>
      <c r="L863" s="69" t="s">
        <v>433</v>
      </c>
      <c r="M863" s="44" t="s">
        <v>504</v>
      </c>
      <c r="N863" s="82">
        <f>0.056*3*2.71+0.0675*3*2.71</f>
        <v>1.004055</v>
      </c>
      <c r="O863" s="44">
        <f>O855</f>
        <v>11.412</v>
      </c>
      <c r="P863" s="44">
        <v>1</v>
      </c>
      <c r="Q863" s="44">
        <f t="shared" si="105"/>
        <v>11.45827566</v>
      </c>
      <c r="R863" s="84">
        <f>+Q863/R855</f>
        <v>0.763539923954373</v>
      </c>
      <c r="S863" s="47">
        <f>0.16*P863*O863/R855</f>
        <v>0.121673003802281</v>
      </c>
      <c r="T863" s="47"/>
    </row>
    <row r="864" s="27" customFormat="1" ht="18" customHeight="1" spans="1:20">
      <c r="A864" s="34"/>
      <c r="B864" s="48">
        <v>1</v>
      </c>
      <c r="C864" s="48" t="s">
        <v>391</v>
      </c>
      <c r="D864" s="48" t="s">
        <v>396</v>
      </c>
      <c r="E864" s="48" t="s">
        <v>37</v>
      </c>
      <c r="F864" s="50"/>
      <c r="G864" s="48"/>
      <c r="H864" s="51" t="s">
        <v>399</v>
      </c>
      <c r="I864" s="51" t="s">
        <v>420</v>
      </c>
      <c r="J864" s="95" t="s">
        <v>421</v>
      </c>
      <c r="K864" s="92"/>
      <c r="L864" s="69" t="s">
        <v>433</v>
      </c>
      <c r="M864" s="44" t="s">
        <v>505</v>
      </c>
      <c r="N864" s="82">
        <f>0.056*3*2.71+0.0675*3*2.71</f>
        <v>1.004055</v>
      </c>
      <c r="O864" s="44">
        <f>1.4</f>
        <v>1.4</v>
      </c>
      <c r="P864" s="44">
        <v>9</v>
      </c>
      <c r="Q864" s="44">
        <f t="shared" si="105"/>
        <v>12.651093</v>
      </c>
      <c r="R864" s="84">
        <f>+Q864/R855</f>
        <v>0.843025152631011</v>
      </c>
      <c r="S864" s="47"/>
      <c r="T864" s="47"/>
    </row>
    <row r="865" s="27" customFormat="1" ht="18" customHeight="1" spans="1:20">
      <c r="A865" s="34"/>
      <c r="B865" s="48">
        <v>2</v>
      </c>
      <c r="C865" s="48"/>
      <c r="D865" s="111" t="s">
        <v>491</v>
      </c>
      <c r="E865" s="49" t="s">
        <v>423</v>
      </c>
      <c r="F865" s="112"/>
      <c r="G865" s="111"/>
      <c r="H865" s="113">
        <v>1</v>
      </c>
      <c r="I865" s="113">
        <f>+辅材及安装费!$G$3</f>
        <v>165</v>
      </c>
      <c r="J865" s="114">
        <f t="shared" ref="J865:J880" si="106">H865*I865</f>
        <v>165</v>
      </c>
      <c r="K865" s="92"/>
      <c r="L865" s="90" t="s">
        <v>524</v>
      </c>
      <c r="M865" s="44" t="s">
        <v>525</v>
      </c>
      <c r="N865" s="82">
        <f>0.075*0.03*1*7.95</f>
        <v>0.0178875</v>
      </c>
      <c r="O865" s="44">
        <v>1.25</v>
      </c>
      <c r="P865" s="44">
        <v>0</v>
      </c>
      <c r="Q865" s="44">
        <f t="shared" si="105"/>
        <v>0</v>
      </c>
      <c r="R865" s="84">
        <f>+Q865/R855</f>
        <v>0</v>
      </c>
      <c r="S865" s="47"/>
      <c r="T865" s="47"/>
    </row>
    <row r="866" s="27" customFormat="1" ht="18" customHeight="1" spans="1:20">
      <c r="A866" s="34"/>
      <c r="B866" s="48">
        <v>3</v>
      </c>
      <c r="C866" s="48"/>
      <c r="D866" s="115"/>
      <c r="E866" s="63"/>
      <c r="F866" s="116"/>
      <c r="G866" s="115"/>
      <c r="H866" s="117"/>
      <c r="I866" s="117"/>
      <c r="J866" s="118"/>
      <c r="K866" s="92"/>
      <c r="L866" s="90" t="s">
        <v>472</v>
      </c>
      <c r="M866" s="44"/>
      <c r="N866" s="82"/>
      <c r="O866" s="44"/>
      <c r="P866" s="44">
        <f>O861*P861*2</f>
        <v>18</v>
      </c>
      <c r="Q866" s="44">
        <f>+P866</f>
        <v>18</v>
      </c>
      <c r="R866" s="84">
        <f>+Q866/R855</f>
        <v>1.19945784505404</v>
      </c>
      <c r="S866" s="47"/>
      <c r="T866" s="47"/>
    </row>
    <row r="867" s="27" customFormat="1" ht="18" customHeight="1" spans="1:20">
      <c r="A867" s="34"/>
      <c r="B867" s="48">
        <v>4</v>
      </c>
      <c r="C867" s="48"/>
      <c r="D867" s="85" t="s">
        <v>426</v>
      </c>
      <c r="E867" s="48" t="s">
        <v>392</v>
      </c>
      <c r="F867" s="50"/>
      <c r="G867" s="48"/>
      <c r="H867" s="86"/>
      <c r="I867" s="86"/>
      <c r="J867" s="95">
        <f>SUM(J865:J865)</f>
        <v>165</v>
      </c>
      <c r="K867" s="92"/>
      <c r="L867" s="90"/>
      <c r="M867" s="44"/>
      <c r="N867" s="82"/>
      <c r="O867" s="44"/>
      <c r="P867" s="44"/>
      <c r="Q867" s="44"/>
      <c r="R867" s="84"/>
      <c r="S867" s="47"/>
      <c r="T867" s="47"/>
    </row>
    <row r="868" s="27" customFormat="1" ht="22" customHeight="1" spans="1:20">
      <c r="A868" s="34"/>
      <c r="B868" s="48">
        <v>1</v>
      </c>
      <c r="C868" s="48" t="s">
        <v>394</v>
      </c>
      <c r="D868" s="88" t="s">
        <v>431</v>
      </c>
      <c r="E868" s="72" t="str">
        <f>+VLOOKUP(D868,'材料表 '!C:F,2,0)</f>
        <v>kg</v>
      </c>
      <c r="F868" s="77">
        <f>+SUMIF($L$855:$L$893,D868,$R$855:$R$893)</f>
        <v>5.72786700411414</v>
      </c>
      <c r="G868" s="89">
        <f>+VLOOKUP(D868,'材料表 '!C:F,4,0)</f>
        <v>0.03</v>
      </c>
      <c r="H868" s="74">
        <f t="shared" ref="H868:H880" si="107">F868*(G868+1)</f>
        <v>5.89970301423756</v>
      </c>
      <c r="I868" s="74">
        <f>+VLOOKUP(D868,'材料表 '!C:F,3,0)</f>
        <v>3.80530973451327</v>
      </c>
      <c r="J868" s="95">
        <f t="shared" si="106"/>
        <v>22.4501973108155</v>
      </c>
      <c r="K868" s="92">
        <f ca="1">H868*K854</f>
        <v>349.201297519636</v>
      </c>
      <c r="L868" s="90"/>
      <c r="M868" s="44"/>
      <c r="N868" s="82"/>
      <c r="O868" s="44"/>
      <c r="P868" s="44"/>
      <c r="Q868" s="44"/>
      <c r="R868" s="84"/>
      <c r="S868" s="47"/>
      <c r="T868" s="47"/>
    </row>
    <row r="869" s="27" customFormat="1" ht="18" customHeight="1" spans="1:20">
      <c r="A869" s="34"/>
      <c r="B869" s="48">
        <v>2</v>
      </c>
      <c r="C869" s="48"/>
      <c r="D869" s="88" t="s">
        <v>461</v>
      </c>
      <c r="E869" s="72" t="str">
        <f>+VLOOKUP(D869,'材料表 '!C:F,2,0)</f>
        <v>kg</v>
      </c>
      <c r="F869" s="77">
        <f t="shared" ref="F869:F877" si="108">+SUMIF($L$855:$L$893,D869,$R$855:$R$893)</f>
        <v>2.86692015209125</v>
      </c>
      <c r="G869" s="89">
        <f>+VLOOKUP(D869,'材料表 '!C:F,4,0)</f>
        <v>0.03</v>
      </c>
      <c r="H869" s="74">
        <f t="shared" si="107"/>
        <v>2.95292775665399</v>
      </c>
      <c r="I869" s="74">
        <f>+VLOOKUP(D869,'材料表 '!C:F,3,0)</f>
        <v>3.53982300884956</v>
      </c>
      <c r="J869" s="95">
        <f t="shared" si="106"/>
        <v>10.4528416164743</v>
      </c>
      <c r="K869" s="92">
        <f ca="1">H869*K854</f>
        <v>174.782730862357</v>
      </c>
      <c r="L869" s="90"/>
      <c r="M869" s="44"/>
      <c r="N869" s="82"/>
      <c r="O869" s="44"/>
      <c r="P869" s="44"/>
      <c r="Q869" s="44"/>
      <c r="R869" s="84"/>
      <c r="S869" s="47"/>
      <c r="T869" s="47"/>
    </row>
    <row r="870" s="27" customFormat="1" ht="18" customHeight="1" spans="1:20">
      <c r="A870" s="34"/>
      <c r="B870" s="48">
        <v>3</v>
      </c>
      <c r="C870" s="48"/>
      <c r="D870" s="88" t="s">
        <v>465</v>
      </c>
      <c r="E870" s="72" t="str">
        <f>+VLOOKUP(D870,'材料表 '!C:F,2,0)</f>
        <v>kg</v>
      </c>
      <c r="F870" s="77">
        <f t="shared" si="108"/>
        <v>0.358571925489679</v>
      </c>
      <c r="G870" s="89">
        <f>+VLOOKUP(D870,'材料表 '!C:F,4,0)</f>
        <v>0.03</v>
      </c>
      <c r="H870" s="74">
        <f t="shared" si="107"/>
        <v>0.369329083254369</v>
      </c>
      <c r="I870" s="74">
        <f>+VLOOKUP(D870,'材料表 '!C:F,3,0)</f>
        <v>6.01769911504425</v>
      </c>
      <c r="J870" s="95">
        <f t="shared" si="106"/>
        <v>2.22251129745992</v>
      </c>
      <c r="K870" s="92">
        <f ca="1">H870*K854</f>
        <v>21.8604554793561</v>
      </c>
      <c r="L870" s="90"/>
      <c r="M870" s="44"/>
      <c r="N870" s="82"/>
      <c r="O870" s="44"/>
      <c r="P870" s="44"/>
      <c r="Q870" s="44">
        <f>+P870*O870</f>
        <v>0</v>
      </c>
      <c r="R870" s="84">
        <f>+Q870/R855</f>
        <v>0</v>
      </c>
      <c r="S870" s="47"/>
      <c r="T870" s="47"/>
    </row>
    <row r="871" s="27" customFormat="1" ht="18" customHeight="1" spans="1:20">
      <c r="A871" s="34"/>
      <c r="B871" s="48">
        <v>4</v>
      </c>
      <c r="C871" s="48"/>
      <c r="D871" s="88" t="s">
        <v>463</v>
      </c>
      <c r="E871" s="72" t="str">
        <f>+VLOOKUP(D871,'材料表 '!C:F,2,0)</f>
        <v>kg</v>
      </c>
      <c r="F871" s="77">
        <f t="shared" si="108"/>
        <v>1.41236161255113</v>
      </c>
      <c r="G871" s="89">
        <f>+VLOOKUP(D871,'材料表 '!C:F,4,0)</f>
        <v>0.03</v>
      </c>
      <c r="H871" s="74">
        <f t="shared" si="107"/>
        <v>1.45473246092766</v>
      </c>
      <c r="I871" s="74">
        <f>+VLOOKUP(D871,'材料表 '!C:F,3,0)</f>
        <v>6.01769911504425</v>
      </c>
      <c r="J871" s="95">
        <f t="shared" si="106"/>
        <v>8.75414224275055</v>
      </c>
      <c r="K871" s="92">
        <f ca="1">H871*K854</f>
        <v>86.1050906586223</v>
      </c>
      <c r="L871" s="90" t="s">
        <v>474</v>
      </c>
      <c r="M871" s="44"/>
      <c r="N871" s="82"/>
      <c r="O871" s="44"/>
      <c r="P871" s="44"/>
      <c r="Q871" s="44">
        <f>+O861*P861*4</f>
        <v>36</v>
      </c>
      <c r="R871" s="84">
        <f>+Q871/R855</f>
        <v>2.39891569010807</v>
      </c>
      <c r="S871" s="47"/>
      <c r="T871" s="47"/>
    </row>
    <row r="872" s="27" customFormat="1" ht="18" customHeight="1" spans="1:20">
      <c r="A872" s="34"/>
      <c r="B872" s="48">
        <v>5</v>
      </c>
      <c r="C872" s="48"/>
      <c r="D872" s="88" t="s">
        <v>433</v>
      </c>
      <c r="E872" s="72" t="str">
        <f>+VLOOKUP(D872,'材料表 '!C:F,2,0)</f>
        <v>kg</v>
      </c>
      <c r="F872" s="77">
        <f t="shared" si="108"/>
        <v>1.60656507658538</v>
      </c>
      <c r="G872" s="89">
        <f>+VLOOKUP(D872,'材料表 '!C:F,4,0)</f>
        <v>0.03</v>
      </c>
      <c r="H872" s="74">
        <f t="shared" si="107"/>
        <v>1.65476202888294</v>
      </c>
      <c r="I872" s="74">
        <f>+VLOOKUP(D872,'材料表 '!C:F,3,0)</f>
        <v>26.1150442477876</v>
      </c>
      <c r="J872" s="95">
        <f t="shared" si="106"/>
        <v>43.2141836038368</v>
      </c>
      <c r="K872" s="92">
        <f ca="1">H872*K854</f>
        <v>97.9447687752508</v>
      </c>
      <c r="L872" s="92" t="s">
        <v>476</v>
      </c>
      <c r="M872" s="44"/>
      <c r="N872" s="82"/>
      <c r="O872" s="44"/>
      <c r="P872" s="44"/>
      <c r="Q872" s="44">
        <f>8*8*(O855*2+1.4*9)/500</f>
        <v>4.534272</v>
      </c>
      <c r="R872" s="84">
        <f>+Q872/R855</f>
        <v>0.302148229000492</v>
      </c>
      <c r="S872" s="47"/>
      <c r="T872" s="47"/>
    </row>
    <row r="873" s="27" customFormat="1" ht="18" customHeight="1" spans="1:20">
      <c r="A873" s="34"/>
      <c r="B873" s="48">
        <v>6</v>
      </c>
      <c r="C873" s="48"/>
      <c r="D873" s="88" t="s">
        <v>434</v>
      </c>
      <c r="E873" s="72" t="str">
        <f>+VLOOKUP(D873,'材料表 '!C:F,2,0)</f>
        <v>m2</v>
      </c>
      <c r="F873" s="77">
        <f t="shared" si="108"/>
        <v>0</v>
      </c>
      <c r="G873" s="89">
        <f>+VLOOKUP(D873,'材料表 '!C:F,4,0)</f>
        <v>0</v>
      </c>
      <c r="H873" s="74">
        <f t="shared" si="107"/>
        <v>0</v>
      </c>
      <c r="I873" s="74">
        <f>+VLOOKUP(D873,'材料表 '!C:F,3,0)</f>
        <v>49.5575221238938</v>
      </c>
      <c r="J873" s="95">
        <f t="shared" si="106"/>
        <v>0</v>
      </c>
      <c r="K873" s="92">
        <f ca="1">H873*K854</f>
        <v>0</v>
      </c>
      <c r="L873" s="92" t="s">
        <v>499</v>
      </c>
      <c r="M873" s="44"/>
      <c r="N873" s="82"/>
      <c r="O873" s="44"/>
      <c r="P873" s="44"/>
      <c r="Q873" s="44">
        <v>0</v>
      </c>
      <c r="R873" s="84">
        <f>Q873/R855</f>
        <v>0</v>
      </c>
      <c r="S873" s="47"/>
      <c r="T873" s="47"/>
    </row>
    <row r="874" s="27" customFormat="1" ht="18" customHeight="1" spans="1:20">
      <c r="A874" s="34"/>
      <c r="B874" s="48">
        <v>7</v>
      </c>
      <c r="C874" s="48"/>
      <c r="D874" s="88" t="s">
        <v>472</v>
      </c>
      <c r="E874" s="72" t="str">
        <f>+VLOOKUP(D874,'材料表 '!C:F,2,0)</f>
        <v>套</v>
      </c>
      <c r="F874" s="77">
        <f t="shared" si="108"/>
        <v>1.19945784505404</v>
      </c>
      <c r="G874" s="89">
        <f>+VLOOKUP(D874,'材料表 '!C:F,4,0)</f>
        <v>0</v>
      </c>
      <c r="H874" s="74">
        <f t="shared" si="107"/>
        <v>1.19945784505404</v>
      </c>
      <c r="I874" s="74">
        <f>+VLOOKUP(D874,'材料表 '!C:F,3,0)</f>
        <v>2.47787610619469</v>
      </c>
      <c r="J874" s="95">
        <f t="shared" si="106"/>
        <v>2.97210793464718</v>
      </c>
      <c r="K874" s="92">
        <f ca="1">H874*K854</f>
        <v>70.9954780439244</v>
      </c>
      <c r="L874" s="92"/>
      <c r="M874" s="44"/>
      <c r="N874" s="82"/>
      <c r="O874" s="44"/>
      <c r="P874" s="44"/>
      <c r="Q874" s="44"/>
      <c r="R874" s="84"/>
      <c r="S874" s="47"/>
      <c r="T874" s="47"/>
    </row>
    <row r="875" s="27" customFormat="1" ht="18" customHeight="1" spans="1:20">
      <c r="A875" s="34"/>
      <c r="B875" s="48">
        <v>8</v>
      </c>
      <c r="C875" s="48"/>
      <c r="D875" s="88" t="s">
        <v>474</v>
      </c>
      <c r="E875" s="72" t="str">
        <f>+VLOOKUP(D875,'材料表 '!C:F,2,0)</f>
        <v>套</v>
      </c>
      <c r="F875" s="77">
        <f t="shared" si="108"/>
        <v>2.39891569010807</v>
      </c>
      <c r="G875" s="89">
        <f>+VLOOKUP(D875,'材料表 '!C:F,4,0)</f>
        <v>0</v>
      </c>
      <c r="H875" s="74">
        <f t="shared" si="107"/>
        <v>2.39891569010807</v>
      </c>
      <c r="I875" s="74">
        <f>+VLOOKUP(D875,'材料表 '!C:F,3,0)</f>
        <v>2.21238938053097</v>
      </c>
      <c r="J875" s="95">
        <f t="shared" si="106"/>
        <v>5.30733559758422</v>
      </c>
      <c r="K875" s="92">
        <f ca="1">H875*K854</f>
        <v>141.990956087848</v>
      </c>
      <c r="L875" s="92"/>
      <c r="M875" s="44"/>
      <c r="N875" s="82"/>
      <c r="O875" s="44"/>
      <c r="P875" s="44"/>
      <c r="Q875" s="44"/>
      <c r="R875" s="84"/>
      <c r="S875" s="47"/>
      <c r="T875" s="47"/>
    </row>
    <row r="876" s="27" customFormat="1" ht="18" customHeight="1" spans="1:20">
      <c r="A876" s="34"/>
      <c r="B876" s="48">
        <v>9</v>
      </c>
      <c r="C876" s="48"/>
      <c r="D876" s="88" t="s">
        <v>476</v>
      </c>
      <c r="E876" s="72" t="str">
        <f>+VLOOKUP(D876,'材料表 '!C:F,2,0)</f>
        <v>支</v>
      </c>
      <c r="F876" s="77">
        <f t="shared" si="108"/>
        <v>0.302148229000492</v>
      </c>
      <c r="G876" s="89">
        <f>+VLOOKUP(D876,'材料表 '!C:F,4,0)</f>
        <v>0.15</v>
      </c>
      <c r="H876" s="74">
        <f t="shared" si="107"/>
        <v>0.347470463350566</v>
      </c>
      <c r="I876" s="74">
        <f>+VLOOKUP(D876,'材料表 '!C:F,3,0)</f>
        <v>11.5044247787611</v>
      </c>
      <c r="J876" s="95">
        <f t="shared" si="106"/>
        <v>3.99744780845785</v>
      </c>
      <c r="K876" s="92">
        <f ca="1">H876*K854</f>
        <v>20.5666516363532</v>
      </c>
      <c r="L876" s="90"/>
      <c r="M876" s="44"/>
      <c r="N876" s="82"/>
      <c r="O876" s="34"/>
      <c r="P876" s="44"/>
      <c r="Q876" s="44"/>
      <c r="R876" s="119"/>
      <c r="S876" s="47"/>
      <c r="T876" s="47"/>
    </row>
    <row r="877" s="27" customFormat="1" ht="23" customHeight="1" spans="1:20">
      <c r="A877" s="34"/>
      <c r="B877" s="48">
        <v>10</v>
      </c>
      <c r="C877" s="48"/>
      <c r="D877" s="88" t="s">
        <v>499</v>
      </c>
      <c r="E877" s="72" t="str">
        <f>+VLOOKUP(D877,'材料表 '!C:F,2,0)</f>
        <v>套</v>
      </c>
      <c r="F877" s="77">
        <f t="shared" si="108"/>
        <v>0</v>
      </c>
      <c r="G877" s="89">
        <f>+VLOOKUP(D877,'材料表 '!C:F,4,0)</f>
        <v>0</v>
      </c>
      <c r="H877" s="74">
        <f t="shared" si="107"/>
        <v>0</v>
      </c>
      <c r="I877" s="74">
        <f>+VLOOKUP(D877,'材料表 '!C:F,3,0)</f>
        <v>1.32743362831858</v>
      </c>
      <c r="J877" s="95">
        <f t="shared" si="106"/>
        <v>0</v>
      </c>
      <c r="K877" s="92">
        <f ca="1">H877*K854</f>
        <v>0</v>
      </c>
      <c r="L877" s="92"/>
      <c r="M877" s="120"/>
      <c r="N877" s="82"/>
      <c r="O877" s="44"/>
      <c r="P877" s="44"/>
      <c r="Q877" s="44"/>
      <c r="R877" s="84"/>
      <c r="S877" s="47"/>
      <c r="T877" s="47"/>
    </row>
    <row r="878" s="27" customFormat="1" ht="20" customHeight="1" spans="1:20">
      <c r="A878" s="34"/>
      <c r="B878" s="48">
        <v>11</v>
      </c>
      <c r="C878" s="48"/>
      <c r="D878" s="88" t="s">
        <v>500</v>
      </c>
      <c r="E878" s="72" t="str">
        <f>+VLOOKUP(D878,'材料表 '!C:F,2,0)</f>
        <v>kg</v>
      </c>
      <c r="F878" s="77">
        <v>0</v>
      </c>
      <c r="G878" s="89">
        <f>+VLOOKUP(D878,'材料表 '!C:F,4,0)</f>
        <v>0.03</v>
      </c>
      <c r="H878" s="74">
        <f t="shared" si="107"/>
        <v>0</v>
      </c>
      <c r="I878" s="74">
        <f>+VLOOKUP(D878,'材料表 '!C:F,3,0)</f>
        <v>14.1592920353982</v>
      </c>
      <c r="J878" s="95">
        <f t="shared" si="106"/>
        <v>0</v>
      </c>
      <c r="K878" s="92">
        <f ca="1">H878*K854</f>
        <v>0</v>
      </c>
      <c r="L878" s="92"/>
      <c r="M878" s="44"/>
      <c r="N878" s="82"/>
      <c r="O878" s="44"/>
      <c r="P878" s="44"/>
      <c r="Q878" s="44"/>
      <c r="R878" s="84"/>
      <c r="S878" s="47"/>
      <c r="T878" s="47"/>
    </row>
    <row r="879" s="27" customFormat="1" ht="24" customHeight="1" spans="1:20">
      <c r="A879" s="34"/>
      <c r="B879" s="48">
        <v>12</v>
      </c>
      <c r="C879" s="48"/>
      <c r="D879" s="210" t="s">
        <v>506</v>
      </c>
      <c r="E879" s="72" t="str">
        <f>+VLOOKUP(D879,'材料表 '!C:F,2,0)</f>
        <v>m2</v>
      </c>
      <c r="F879" s="77">
        <f>1.4/1.315</f>
        <v>1.06463878326996</v>
      </c>
      <c r="G879" s="89">
        <f>+VLOOKUP(D879,'材料表 '!C:F,4,0)</f>
        <v>0.02</v>
      </c>
      <c r="H879" s="74">
        <f t="shared" si="107"/>
        <v>1.08593155893536</v>
      </c>
      <c r="I879" s="74">
        <f>+VLOOKUP(D879,'材料表 '!C:F,3,0)</f>
        <v>253.097345132743</v>
      </c>
      <c r="J879" s="95">
        <f t="shared" si="106"/>
        <v>274.8463945624</v>
      </c>
      <c r="K879" s="92">
        <f ca="1">H879*K854</f>
        <v>64.2758980380227</v>
      </c>
      <c r="L879" s="92"/>
      <c r="M879" s="44"/>
      <c r="N879" s="44"/>
      <c r="O879" s="44"/>
      <c r="P879" s="44"/>
      <c r="Q879" s="44"/>
      <c r="R879" s="84"/>
      <c r="S879" s="47"/>
      <c r="T879" s="47"/>
    </row>
    <row r="880" s="27" customFormat="1" ht="18" customHeight="1" spans="1:20">
      <c r="A880" s="34"/>
      <c r="B880" s="48">
        <v>13</v>
      </c>
      <c r="C880" s="48"/>
      <c r="D880" s="88"/>
      <c r="E880" s="72"/>
      <c r="F880" s="77"/>
      <c r="G880" s="89"/>
      <c r="H880" s="74"/>
      <c r="I880" s="74"/>
      <c r="J880" s="95"/>
      <c r="K880" s="92">
        <f ca="1">H880*K854</f>
        <v>0</v>
      </c>
      <c r="L880" s="92"/>
      <c r="M880" s="44"/>
      <c r="N880" s="44"/>
      <c r="O880" s="44"/>
      <c r="P880" s="44"/>
      <c r="Q880" s="44"/>
      <c r="R880" s="84"/>
      <c r="S880" s="47"/>
      <c r="T880" s="47"/>
    </row>
    <row r="881" s="27" customFormat="1" ht="24" customHeight="1" spans="1:20">
      <c r="A881" s="34"/>
      <c r="B881" s="48">
        <v>14</v>
      </c>
      <c r="C881" s="48"/>
      <c r="D881" s="88"/>
      <c r="E881" s="72"/>
      <c r="F881" s="77"/>
      <c r="G881" s="89"/>
      <c r="H881" s="74"/>
      <c r="I881" s="74"/>
      <c r="J881" s="95"/>
      <c r="K881" s="92">
        <f ca="1">H881*K854</f>
        <v>0</v>
      </c>
      <c r="L881" s="92"/>
      <c r="M881" s="44"/>
      <c r="N881" s="44"/>
      <c r="O881" s="44"/>
      <c r="P881" s="44"/>
      <c r="Q881" s="44"/>
      <c r="R881" s="84"/>
      <c r="S881" s="47"/>
      <c r="T881" s="47"/>
    </row>
    <row r="882" s="27" customFormat="1" ht="18" customHeight="1" spans="1:20">
      <c r="A882" s="34"/>
      <c r="B882" s="48">
        <v>15</v>
      </c>
      <c r="C882" s="48"/>
      <c r="D882" s="88"/>
      <c r="E882" s="72"/>
      <c r="F882" s="77"/>
      <c r="G882" s="89"/>
      <c r="H882" s="74"/>
      <c r="I882" s="74"/>
      <c r="J882" s="95"/>
      <c r="K882" s="92"/>
      <c r="L882" s="92"/>
      <c r="M882" s="44"/>
      <c r="N882" s="44"/>
      <c r="O882" s="44"/>
      <c r="P882" s="44"/>
      <c r="Q882" s="44"/>
      <c r="R882" s="84"/>
      <c r="S882" s="47"/>
      <c r="T882" s="47"/>
    </row>
    <row r="883" s="27" customFormat="1" ht="18" customHeight="1" spans="1:20">
      <c r="A883" s="34"/>
      <c r="B883" s="48">
        <v>16</v>
      </c>
      <c r="C883" s="48"/>
      <c r="D883" s="88"/>
      <c r="E883" s="72"/>
      <c r="F883" s="77"/>
      <c r="G883" s="89"/>
      <c r="H883" s="74"/>
      <c r="I883" s="74"/>
      <c r="J883" s="95"/>
      <c r="K883" s="92"/>
      <c r="L883" s="92"/>
      <c r="M883" s="44"/>
      <c r="N883" s="44"/>
      <c r="O883" s="44"/>
      <c r="P883" s="44"/>
      <c r="Q883" s="44"/>
      <c r="R883" s="84"/>
      <c r="S883" s="47"/>
      <c r="T883" s="47"/>
    </row>
    <row r="884" s="27" customFormat="1" ht="18" customHeight="1" spans="1:20">
      <c r="A884" s="34"/>
      <c r="B884" s="48">
        <v>17</v>
      </c>
      <c r="C884" s="48"/>
      <c r="D884" s="121"/>
      <c r="E884" s="72"/>
      <c r="F884" s="77"/>
      <c r="G884" s="89"/>
      <c r="H884" s="74"/>
      <c r="I884" s="74"/>
      <c r="J884" s="95"/>
      <c r="K884" s="92"/>
      <c r="L884" s="92"/>
      <c r="M884" s="44"/>
      <c r="N884" s="44"/>
      <c r="O884" s="44"/>
      <c r="P884" s="44"/>
      <c r="Q884" s="101"/>
      <c r="R884" s="84"/>
      <c r="S884" s="47"/>
      <c r="T884" s="47"/>
    </row>
    <row r="885" s="27" customFormat="1" ht="18" customHeight="1" spans="1:20">
      <c r="A885" s="34"/>
      <c r="B885" s="48">
        <v>18</v>
      </c>
      <c r="C885" s="48"/>
      <c r="D885" s="88"/>
      <c r="E885" s="72"/>
      <c r="F885" s="77"/>
      <c r="G885" s="89"/>
      <c r="H885" s="74"/>
      <c r="I885" s="74"/>
      <c r="J885" s="95"/>
      <c r="K885" s="92"/>
      <c r="L885" s="92"/>
      <c r="M885" s="44"/>
      <c r="N885" s="44"/>
      <c r="O885" s="44"/>
      <c r="P885" s="44"/>
      <c r="Q885" s="44"/>
      <c r="R885" s="84"/>
      <c r="S885" s="47"/>
      <c r="T885" s="47"/>
    </row>
    <row r="886" s="27" customFormat="1" ht="18" customHeight="1" spans="1:20">
      <c r="A886" s="34"/>
      <c r="B886" s="48">
        <v>19</v>
      </c>
      <c r="C886" s="48"/>
      <c r="D886" s="27"/>
      <c r="E886" s="72"/>
      <c r="F886" s="77"/>
      <c r="G886" s="89"/>
      <c r="H886" s="74"/>
      <c r="I886" s="74"/>
      <c r="J886" s="95"/>
      <c r="K886" s="92"/>
      <c r="L886" s="92"/>
      <c r="M886" s="44"/>
      <c r="N886" s="44"/>
      <c r="O886" s="44"/>
      <c r="P886" s="44"/>
      <c r="Q886" s="44"/>
      <c r="R886" s="84"/>
      <c r="S886" s="47"/>
      <c r="T886" s="47"/>
    </row>
    <row r="887" s="27" customFormat="1" ht="18" customHeight="1" spans="1:20">
      <c r="A887" s="34"/>
      <c r="B887" s="48">
        <v>20</v>
      </c>
      <c r="C887" s="48"/>
      <c r="D887" s="88"/>
      <c r="E887" s="72"/>
      <c r="F887" s="77"/>
      <c r="G887" s="89"/>
      <c r="H887" s="74"/>
      <c r="I887" s="74"/>
      <c r="J887" s="95"/>
      <c r="K887" s="92"/>
      <c r="L887" s="92"/>
      <c r="M887" s="44"/>
      <c r="N887" s="44"/>
      <c r="O887" s="44"/>
      <c r="P887" s="44"/>
      <c r="Q887" s="44"/>
      <c r="R887" s="84"/>
      <c r="S887" s="47"/>
      <c r="T887" s="47"/>
    </row>
    <row r="888" s="27" customFormat="1" ht="18" customHeight="1" spans="1:20">
      <c r="A888" s="34"/>
      <c r="B888" s="48">
        <v>21</v>
      </c>
      <c r="C888" s="48"/>
      <c r="D888" s="88"/>
      <c r="E888" s="72"/>
      <c r="F888" s="77"/>
      <c r="G888" s="89"/>
      <c r="H888" s="74"/>
      <c r="I888" s="74"/>
      <c r="J888" s="95"/>
      <c r="K888" s="92"/>
      <c r="L888" s="92"/>
      <c r="M888" s="44"/>
      <c r="N888" s="44"/>
      <c r="O888" s="44"/>
      <c r="P888" s="44"/>
      <c r="Q888" s="44"/>
      <c r="R888" s="84"/>
      <c r="S888" s="47"/>
      <c r="T888" s="47"/>
    </row>
    <row r="889" s="27" customFormat="1" ht="18" customHeight="1" spans="1:20">
      <c r="A889" s="34"/>
      <c r="B889" s="48">
        <v>22</v>
      </c>
      <c r="C889" s="48"/>
      <c r="D889" s="27"/>
      <c r="E889" s="72"/>
      <c r="F889" s="77"/>
      <c r="G889" s="72"/>
      <c r="H889" s="74"/>
      <c r="I889" s="74"/>
      <c r="J889" s="95"/>
      <c r="K889" s="92"/>
      <c r="L889" s="92"/>
      <c r="M889" s="44"/>
      <c r="N889" s="44"/>
      <c r="O889" s="44"/>
      <c r="P889" s="44"/>
      <c r="Q889" s="44"/>
      <c r="R889" s="62"/>
      <c r="S889" s="47"/>
      <c r="T889" s="47"/>
    </row>
    <row r="890" s="27" customFormat="1" ht="18" customHeight="1" spans="1:20">
      <c r="A890" s="34"/>
      <c r="B890" s="48">
        <v>23</v>
      </c>
      <c r="C890" s="48"/>
      <c r="D890" s="88"/>
      <c r="E890" s="72"/>
      <c r="F890" s="77"/>
      <c r="G890" s="89"/>
      <c r="H890" s="74"/>
      <c r="I890" s="74"/>
      <c r="J890" s="95"/>
      <c r="K890" s="92"/>
      <c r="L890" s="92"/>
      <c r="M890" s="44"/>
      <c r="N890" s="44"/>
      <c r="O890" s="44"/>
      <c r="P890" s="44"/>
      <c r="Q890" s="44"/>
      <c r="R890" s="62"/>
      <c r="S890" s="47"/>
      <c r="T890" s="47"/>
    </row>
    <row r="891" s="27" customFormat="1" ht="18" customHeight="1" spans="1:20">
      <c r="A891" s="34"/>
      <c r="B891" s="48">
        <v>24</v>
      </c>
      <c r="C891" s="48"/>
      <c r="D891" s="88" t="s">
        <v>478</v>
      </c>
      <c r="E891" s="72" t="s">
        <v>43</v>
      </c>
      <c r="F891" s="77"/>
      <c r="G891" s="72">
        <v>1</v>
      </c>
      <c r="H891" s="74">
        <v>1</v>
      </c>
      <c r="I891" s="74">
        <f>+辅材及安装费!$E$3</f>
        <v>5</v>
      </c>
      <c r="J891" s="95">
        <f t="shared" ref="J890:J893" si="109">H891*I891</f>
        <v>5</v>
      </c>
      <c r="K891" s="92"/>
      <c r="L891" s="92"/>
      <c r="M891" s="44"/>
      <c r="N891" s="44"/>
      <c r="O891" s="44"/>
      <c r="P891" s="44"/>
      <c r="Q891" s="44"/>
      <c r="R891" s="62"/>
      <c r="S891" s="47"/>
      <c r="T891" s="47"/>
    </row>
    <row r="892" s="27" customFormat="1" ht="18" customHeight="1" spans="1:20">
      <c r="A892" s="34"/>
      <c r="B892" s="48">
        <v>25</v>
      </c>
      <c r="C892" s="48"/>
      <c r="D892" s="93" t="s">
        <v>442</v>
      </c>
      <c r="E892" s="72"/>
      <c r="F892" s="77"/>
      <c r="G892" s="72"/>
      <c r="H892" s="74"/>
      <c r="I892" s="74"/>
      <c r="J892" s="95">
        <f>SUM(J868:J891)</f>
        <v>379.217161974427</v>
      </c>
      <c r="K892" s="92"/>
      <c r="L892" s="94"/>
      <c r="M892" s="27"/>
      <c r="N892" s="83"/>
      <c r="O892" s="83"/>
      <c r="P892" s="83"/>
      <c r="Q892" s="83"/>
      <c r="R892" s="87"/>
      <c r="S892" s="47"/>
      <c r="T892" s="47"/>
    </row>
    <row r="893" s="27" customFormat="1" ht="18" customHeight="1" spans="1:20">
      <c r="A893" s="34"/>
      <c r="B893" s="48">
        <v>1</v>
      </c>
      <c r="C893" s="48" t="s">
        <v>443</v>
      </c>
      <c r="D893" s="48" t="s">
        <v>444</v>
      </c>
      <c r="E893" s="72" t="s">
        <v>43</v>
      </c>
      <c r="F893" s="50"/>
      <c r="G893" s="48"/>
      <c r="H893" s="51">
        <v>1</v>
      </c>
      <c r="I893" s="74">
        <f>+辅材及安装费!$F$3</f>
        <v>5</v>
      </c>
      <c r="J893" s="95">
        <f t="shared" si="109"/>
        <v>5</v>
      </c>
      <c r="K893" s="118"/>
      <c r="L893" s="96"/>
      <c r="M893" s="97"/>
      <c r="N893" s="98"/>
      <c r="O893" s="98"/>
      <c r="P893" s="98"/>
      <c r="Q893" s="98"/>
      <c r="R893" s="99"/>
      <c r="S893" s="47"/>
      <c r="T893" s="47"/>
    </row>
    <row r="894" s="26" customFormat="1" ht="30" customHeight="1" spans="1:20">
      <c r="A894" s="28"/>
      <c r="B894" s="29" t="s">
        <v>386</v>
      </c>
      <c r="C894" s="29"/>
      <c r="D894" s="29"/>
      <c r="E894" s="29"/>
      <c r="F894" s="29"/>
      <c r="G894" s="29"/>
      <c r="H894" s="29"/>
      <c r="I894" s="29"/>
      <c r="J894" s="29"/>
      <c r="K894" s="29"/>
      <c r="L894" s="30"/>
      <c r="M894" s="31"/>
      <c r="N894" s="31"/>
      <c r="O894" s="31"/>
      <c r="P894" s="31"/>
      <c r="Q894" s="31"/>
      <c r="R894" s="32"/>
      <c r="S894" s="33"/>
      <c r="T894" s="33"/>
    </row>
    <row r="895" s="27" customFormat="1" ht="33.75" customHeight="1" spans="1:20">
      <c r="A895" s="34">
        <v>12</v>
      </c>
      <c r="B895" s="35" t="s">
        <v>1</v>
      </c>
      <c r="C895" s="35" t="s">
        <v>387</v>
      </c>
      <c r="D895" s="36" t="str">
        <f>+A903</f>
        <v>浅灰色铝板2（弧形）</v>
      </c>
      <c r="E895" s="37"/>
      <c r="F895" s="38" t="s">
        <v>119</v>
      </c>
      <c r="G895" s="39"/>
      <c r="H895" s="35" t="s">
        <v>388</v>
      </c>
      <c r="I895" s="40" t="s">
        <v>389</v>
      </c>
      <c r="J895" s="41" t="s">
        <v>37</v>
      </c>
      <c r="K895" s="42">
        <f ca="1">VLOOKUP(A895,排屋工程量清单!$A$59:$D$86,4,)</f>
        <v>3.459024</v>
      </c>
      <c r="L895" s="43"/>
      <c r="M895" s="44"/>
      <c r="N895" s="44"/>
      <c r="O895" s="44"/>
      <c r="P895" s="45"/>
      <c r="Q895" s="44"/>
      <c r="R895" s="46"/>
      <c r="S895" s="47"/>
      <c r="T895" s="47"/>
    </row>
    <row r="896" s="27" customFormat="1" ht="25" customHeight="1" spans="1:20">
      <c r="A896" s="34"/>
      <c r="B896" s="48">
        <v>1</v>
      </c>
      <c r="C896" s="49" t="s">
        <v>390</v>
      </c>
      <c r="D896" s="48" t="s">
        <v>391</v>
      </c>
      <c r="E896" s="48"/>
      <c r="F896" s="50"/>
      <c r="G896" s="48"/>
      <c r="H896" s="51"/>
      <c r="I896" s="52">
        <f>J908</f>
        <v>165</v>
      </c>
      <c r="J896" s="53" t="s">
        <v>392</v>
      </c>
      <c r="K896" s="54"/>
      <c r="L896" s="55" t="s">
        <v>522</v>
      </c>
      <c r="M896" s="56" t="s">
        <v>205</v>
      </c>
      <c r="N896" s="57"/>
      <c r="O896" s="57">
        <v>11.412</v>
      </c>
      <c r="P896" s="57">
        <v>1.315</v>
      </c>
      <c r="Q896" s="57">
        <v>1</v>
      </c>
      <c r="R896" s="58">
        <f>+Q896*P896*O896</f>
        <v>15.00678</v>
      </c>
      <c r="S896" s="47"/>
      <c r="T896" s="47"/>
    </row>
    <row r="897" s="27" customFormat="1" ht="18" customHeight="1" spans="1:20">
      <c r="A897" s="34"/>
      <c r="B897" s="48">
        <v>2</v>
      </c>
      <c r="C897" s="59"/>
      <c r="D897" s="48" t="s">
        <v>394</v>
      </c>
      <c r="E897" s="48"/>
      <c r="F897" s="50"/>
      <c r="G897" s="48"/>
      <c r="H897" s="51"/>
      <c r="I897" s="52">
        <f>J933</f>
        <v>438.956453336855</v>
      </c>
      <c r="J897" s="53" t="s">
        <v>392</v>
      </c>
      <c r="K897" s="60"/>
      <c r="L897" s="61" t="s">
        <v>119</v>
      </c>
      <c r="M897" s="44"/>
      <c r="N897" s="44"/>
      <c r="O897" s="44"/>
      <c r="P897" s="44"/>
      <c r="Q897" s="44"/>
      <c r="R897" s="62"/>
      <c r="S897" s="47"/>
      <c r="T897" s="47"/>
    </row>
    <row r="898" s="27" customFormat="1" ht="18" customHeight="1" spans="1:20">
      <c r="A898" s="34"/>
      <c r="B898" s="48">
        <v>3</v>
      </c>
      <c r="C898" s="63"/>
      <c r="D898" s="48" t="s">
        <v>395</v>
      </c>
      <c r="E898" s="48"/>
      <c r="F898" s="50"/>
      <c r="G898" s="48"/>
      <c r="H898" s="51"/>
      <c r="I898" s="52">
        <f>J934</f>
        <v>5</v>
      </c>
      <c r="J898" s="53" t="s">
        <v>392</v>
      </c>
      <c r="K898" s="60"/>
      <c r="L898" s="60"/>
      <c r="M898" s="65" t="s">
        <v>396</v>
      </c>
      <c r="N898" s="65" t="s">
        <v>397</v>
      </c>
      <c r="O898" s="65" t="s">
        <v>398</v>
      </c>
      <c r="P898" s="65" t="s">
        <v>399</v>
      </c>
      <c r="Q898" s="65" t="s">
        <v>400</v>
      </c>
      <c r="R898" s="66" t="s">
        <v>401</v>
      </c>
      <c r="S898" s="47"/>
      <c r="T898" s="47"/>
    </row>
    <row r="899" s="27" customFormat="1" ht="18" customHeight="1" spans="1:20">
      <c r="A899" s="34"/>
      <c r="B899" s="48">
        <v>4</v>
      </c>
      <c r="C899" s="48" t="s">
        <v>402</v>
      </c>
      <c r="D899" s="67" t="s">
        <v>403</v>
      </c>
      <c r="E899" s="67"/>
      <c r="F899" s="50"/>
      <c r="G899" s="67"/>
      <c r="H899" s="68"/>
      <c r="I899" s="52">
        <f>SUM(I896:I898)</f>
        <v>608.956453336855</v>
      </c>
      <c r="J899" s="53" t="s">
        <v>392</v>
      </c>
      <c r="K899" s="60"/>
      <c r="L899" s="69" t="s">
        <v>431</v>
      </c>
      <c r="M899" s="34" t="s">
        <v>523</v>
      </c>
      <c r="N899" s="102">
        <v>4.52</v>
      </c>
      <c r="O899" s="34">
        <f>O896</f>
        <v>11.412</v>
      </c>
      <c r="P899" s="34">
        <v>1</v>
      </c>
      <c r="Q899" s="44">
        <f t="shared" ref="Q899:Q906" si="110">+P899*O899*N899</f>
        <v>51.58224</v>
      </c>
      <c r="R899" s="71">
        <f>+Q899/R896</f>
        <v>3.43726235741445</v>
      </c>
      <c r="S899" s="47"/>
      <c r="T899" s="47"/>
    </row>
    <row r="900" s="27" customFormat="1" ht="28" customHeight="1" spans="1:20">
      <c r="A900" s="34"/>
      <c r="B900" s="48">
        <v>5</v>
      </c>
      <c r="C900" s="72" t="s">
        <v>406</v>
      </c>
      <c r="D900" s="48" t="s">
        <v>407</v>
      </c>
      <c r="E900" s="48"/>
      <c r="F900" s="50"/>
      <c r="G900" s="48"/>
      <c r="H900" s="73">
        <f>+'材料表 '!$E$178</f>
        <v>0</v>
      </c>
      <c r="I900" s="52">
        <f>H900*I899</f>
        <v>0</v>
      </c>
      <c r="J900" s="53" t="s">
        <v>392</v>
      </c>
      <c r="K900" s="60"/>
      <c r="L900" s="69" t="s">
        <v>431</v>
      </c>
      <c r="M900" s="34" t="s">
        <v>523</v>
      </c>
      <c r="N900" s="102">
        <v>4.52</v>
      </c>
      <c r="O900" s="34">
        <f>0.845</f>
        <v>0.845</v>
      </c>
      <c r="P900" s="34">
        <v>9</v>
      </c>
      <c r="Q900" s="44">
        <f t="shared" si="110"/>
        <v>34.3746</v>
      </c>
      <c r="R900" s="71">
        <f>+Q900/R896</f>
        <v>2.29060464669969</v>
      </c>
      <c r="S900" s="47"/>
      <c r="T900" s="47"/>
    </row>
    <row r="901" s="27" customFormat="1" ht="18" customHeight="1" spans="1:20">
      <c r="A901" s="34"/>
      <c r="B901" s="48">
        <v>6</v>
      </c>
      <c r="C901" s="48" t="s">
        <v>409</v>
      </c>
      <c r="D901" s="48" t="s">
        <v>410</v>
      </c>
      <c r="E901" s="48"/>
      <c r="F901" s="50"/>
      <c r="G901" s="48"/>
      <c r="H901" s="73">
        <f>+'材料表 '!$E$179</f>
        <v>0</v>
      </c>
      <c r="I901" s="52">
        <f>H901*I899</f>
        <v>0</v>
      </c>
      <c r="J901" s="53" t="s">
        <v>392</v>
      </c>
      <c r="K901" s="60"/>
      <c r="L901" s="69" t="s">
        <v>461</v>
      </c>
      <c r="M901" s="34" t="s">
        <v>462</v>
      </c>
      <c r="N901" s="34">
        <v>3.77</v>
      </c>
      <c r="O901" s="34">
        <f>O896</f>
        <v>11.412</v>
      </c>
      <c r="P901" s="34">
        <v>1</v>
      </c>
      <c r="Q901" s="44">
        <f t="shared" si="110"/>
        <v>43.02324</v>
      </c>
      <c r="R901" s="71">
        <f>+Q901/R896</f>
        <v>2.86692015209125</v>
      </c>
      <c r="S901" s="47"/>
      <c r="T901" s="47"/>
    </row>
    <row r="902" s="27" customFormat="1" ht="18" customHeight="1" spans="1:20">
      <c r="A902" s="34"/>
      <c r="B902" s="48">
        <v>7</v>
      </c>
      <c r="C902" s="48" t="s">
        <v>412</v>
      </c>
      <c r="D902" s="72" t="s">
        <v>413</v>
      </c>
      <c r="E902" s="72"/>
      <c r="F902" s="77"/>
      <c r="G902" s="72"/>
      <c r="H902" s="73">
        <f>+'材料表 '!$E$180</f>
        <v>0.09</v>
      </c>
      <c r="I902" s="52">
        <f>(I899+I900+I901)*H902</f>
        <v>54.8060808003169</v>
      </c>
      <c r="J902" s="53" t="s">
        <v>392</v>
      </c>
      <c r="K902" s="60"/>
      <c r="L902" s="69" t="s">
        <v>463</v>
      </c>
      <c r="M902" s="34" t="s">
        <v>464</v>
      </c>
      <c r="N902" s="34">
        <f>0.15*0.2*7.85*10</f>
        <v>2.355</v>
      </c>
      <c r="O902" s="34">
        <v>1</v>
      </c>
      <c r="P902" s="34">
        <v>9</v>
      </c>
      <c r="Q902" s="44">
        <f t="shared" si="110"/>
        <v>21.195</v>
      </c>
      <c r="R902" s="71">
        <f>+Q902/R896</f>
        <v>1.41236161255113</v>
      </c>
      <c r="S902" s="47"/>
      <c r="T902" s="47"/>
    </row>
    <row r="903" s="27" customFormat="1" ht="18" customHeight="1" spans="1:20">
      <c r="A903" s="105" t="s">
        <v>143</v>
      </c>
      <c r="B903" s="48">
        <v>8</v>
      </c>
      <c r="C903" s="48" t="s">
        <v>363</v>
      </c>
      <c r="D903" s="106" t="s">
        <v>415</v>
      </c>
      <c r="E903" s="107"/>
      <c r="F903" s="108"/>
      <c r="G903" s="107"/>
      <c r="H903" s="51"/>
      <c r="I903" s="74">
        <f>SUM(I899:I902)</f>
        <v>663.762534137172</v>
      </c>
      <c r="J903" s="53" t="s">
        <v>416</v>
      </c>
      <c r="K903" s="60"/>
      <c r="L903" s="69" t="s">
        <v>465</v>
      </c>
      <c r="M903" s="34" t="s">
        <v>503</v>
      </c>
      <c r="N903" s="126">
        <v>7.034</v>
      </c>
      <c r="O903" s="34">
        <f>85/1000</f>
        <v>0.085</v>
      </c>
      <c r="P903" s="44">
        <f>P900</f>
        <v>9</v>
      </c>
      <c r="Q903" s="44">
        <f t="shared" si="110"/>
        <v>5.38101</v>
      </c>
      <c r="R903" s="84">
        <f>+Q903/R896</f>
        <v>0.358571925489679</v>
      </c>
      <c r="S903" s="79"/>
      <c r="T903" s="47"/>
    </row>
    <row r="904" s="27" customFormat="1" ht="18" customHeight="1" spans="1:20">
      <c r="A904" s="34"/>
      <c r="B904" s="109" t="s">
        <v>418</v>
      </c>
      <c r="C904" s="110"/>
      <c r="D904" s="110"/>
      <c r="E904" s="110"/>
      <c r="F904" s="110"/>
      <c r="G904" s="110"/>
      <c r="H904" s="110"/>
      <c r="I904" s="110"/>
      <c r="J904" s="110"/>
      <c r="K904" s="80"/>
      <c r="L904" s="69" t="s">
        <v>433</v>
      </c>
      <c r="M904" s="44" t="s">
        <v>504</v>
      </c>
      <c r="N904" s="82">
        <f>0.056*3*2.71+0.0675*3*2.71</f>
        <v>1.004055</v>
      </c>
      <c r="O904" s="44">
        <f>O896</f>
        <v>11.412</v>
      </c>
      <c r="P904" s="44">
        <v>1</v>
      </c>
      <c r="Q904" s="44">
        <f t="shared" si="110"/>
        <v>11.45827566</v>
      </c>
      <c r="R904" s="84">
        <f>+Q904/R896</f>
        <v>0.763539923954373</v>
      </c>
      <c r="S904" s="47">
        <f>0.16*P904*O904/R896</f>
        <v>0.121673003802281</v>
      </c>
      <c r="T904" s="47"/>
    </row>
    <row r="905" s="27" customFormat="1" ht="18" customHeight="1" spans="1:20">
      <c r="A905" s="34"/>
      <c r="B905" s="48">
        <v>1</v>
      </c>
      <c r="C905" s="48" t="s">
        <v>391</v>
      </c>
      <c r="D905" s="48" t="s">
        <v>396</v>
      </c>
      <c r="E905" s="48" t="s">
        <v>37</v>
      </c>
      <c r="F905" s="50"/>
      <c r="G905" s="48"/>
      <c r="H905" s="51" t="s">
        <v>399</v>
      </c>
      <c r="I905" s="51" t="s">
        <v>420</v>
      </c>
      <c r="J905" s="95" t="s">
        <v>421</v>
      </c>
      <c r="K905" s="92"/>
      <c r="L905" s="69" t="s">
        <v>433</v>
      </c>
      <c r="M905" s="44" t="s">
        <v>505</v>
      </c>
      <c r="N905" s="82">
        <f>0.056*3*2.71+0.0675*3*2.71</f>
        <v>1.004055</v>
      </c>
      <c r="O905" s="44">
        <f>1.4</f>
        <v>1.4</v>
      </c>
      <c r="P905" s="44">
        <v>9</v>
      </c>
      <c r="Q905" s="44">
        <f t="shared" si="110"/>
        <v>12.651093</v>
      </c>
      <c r="R905" s="84">
        <f>+Q905/R896</f>
        <v>0.843025152631011</v>
      </c>
      <c r="S905" s="47"/>
      <c r="T905" s="47"/>
    </row>
    <row r="906" s="27" customFormat="1" ht="18" customHeight="1" spans="1:20">
      <c r="A906" s="34"/>
      <c r="B906" s="48">
        <v>2</v>
      </c>
      <c r="C906" s="48"/>
      <c r="D906" s="111" t="s">
        <v>491</v>
      </c>
      <c r="E906" s="49" t="s">
        <v>423</v>
      </c>
      <c r="F906" s="112"/>
      <c r="G906" s="111"/>
      <c r="H906" s="113">
        <v>1</v>
      </c>
      <c r="I906" s="113">
        <f>+辅材及安装费!$G$3</f>
        <v>165</v>
      </c>
      <c r="J906" s="114">
        <f t="shared" ref="J906:J921" si="111">H906*I906</f>
        <v>165</v>
      </c>
      <c r="K906" s="92"/>
      <c r="L906" s="90" t="s">
        <v>524</v>
      </c>
      <c r="M906" s="44" t="s">
        <v>525</v>
      </c>
      <c r="N906" s="82">
        <f>0.075*0.03*1*7.95</f>
        <v>0.0178875</v>
      </c>
      <c r="O906" s="44">
        <v>1.25</v>
      </c>
      <c r="P906" s="44">
        <v>0</v>
      </c>
      <c r="Q906" s="44">
        <f t="shared" si="110"/>
        <v>0</v>
      </c>
      <c r="R906" s="84">
        <f>+Q906/R896</f>
        <v>0</v>
      </c>
      <c r="S906" s="47"/>
      <c r="T906" s="47"/>
    </row>
    <row r="907" s="27" customFormat="1" ht="18" customHeight="1" spans="1:20">
      <c r="A907" s="34"/>
      <c r="B907" s="48">
        <v>3</v>
      </c>
      <c r="C907" s="48"/>
      <c r="D907" s="115"/>
      <c r="E907" s="63"/>
      <c r="F907" s="116"/>
      <c r="G907" s="115"/>
      <c r="H907" s="117"/>
      <c r="I907" s="117"/>
      <c r="J907" s="118"/>
      <c r="K907" s="92"/>
      <c r="L907" s="90" t="s">
        <v>472</v>
      </c>
      <c r="M907" s="44"/>
      <c r="N907" s="82"/>
      <c r="O907" s="44"/>
      <c r="P907" s="44">
        <f>O902*P902*2</f>
        <v>18</v>
      </c>
      <c r="Q907" s="44">
        <f>+P907</f>
        <v>18</v>
      </c>
      <c r="R907" s="84">
        <f>+Q907/R896</f>
        <v>1.19945784505404</v>
      </c>
      <c r="S907" s="47"/>
      <c r="T907" s="47"/>
    </row>
    <row r="908" s="27" customFormat="1" ht="18" customHeight="1" spans="1:20">
      <c r="A908" s="34"/>
      <c r="B908" s="48">
        <v>4</v>
      </c>
      <c r="C908" s="48"/>
      <c r="D908" s="85" t="s">
        <v>426</v>
      </c>
      <c r="E908" s="48" t="s">
        <v>392</v>
      </c>
      <c r="F908" s="50"/>
      <c r="G908" s="48"/>
      <c r="H908" s="86"/>
      <c r="I908" s="86"/>
      <c r="J908" s="95">
        <f>SUM(J906:J906)</f>
        <v>165</v>
      </c>
      <c r="K908" s="92"/>
      <c r="L908" s="90"/>
      <c r="M908" s="44"/>
      <c r="N908" s="82"/>
      <c r="O908" s="44"/>
      <c r="P908" s="44"/>
      <c r="Q908" s="44"/>
      <c r="R908" s="84"/>
      <c r="S908" s="47"/>
      <c r="T908" s="47"/>
    </row>
    <row r="909" s="27" customFormat="1" ht="22" customHeight="1" spans="1:20">
      <c r="A909" s="34"/>
      <c r="B909" s="48">
        <v>1</v>
      </c>
      <c r="C909" s="48" t="s">
        <v>394</v>
      </c>
      <c r="D909" s="88" t="s">
        <v>431</v>
      </c>
      <c r="E909" s="72" t="str">
        <f>+VLOOKUP(D909,'材料表 '!C:F,2,0)</f>
        <v>kg</v>
      </c>
      <c r="F909" s="77">
        <f>+SUMIF($L$896:$L$934,D909,$R$896:$R$934)</f>
        <v>5.72786700411414</v>
      </c>
      <c r="G909" s="89">
        <f>+VLOOKUP(D909,'材料表 '!C:F,4,0)</f>
        <v>0.03</v>
      </c>
      <c r="H909" s="74">
        <f t="shared" ref="H909:H921" si="112">F909*(G909+1)</f>
        <v>5.89970301423756</v>
      </c>
      <c r="I909" s="74">
        <f>+VLOOKUP(D909,'材料表 '!C:F,3,0)</f>
        <v>3.80530973451327</v>
      </c>
      <c r="J909" s="95">
        <f t="shared" si="111"/>
        <v>22.4501973108155</v>
      </c>
      <c r="K909" s="92">
        <f ca="1">H909*K895</f>
        <v>20.4072143191201</v>
      </c>
      <c r="L909" s="90"/>
      <c r="M909" s="44"/>
      <c r="N909" s="82"/>
      <c r="O909" s="44"/>
      <c r="P909" s="44"/>
      <c r="Q909" s="44"/>
      <c r="R909" s="84"/>
      <c r="S909" s="47"/>
      <c r="T909" s="47"/>
    </row>
    <row r="910" s="27" customFormat="1" ht="18" customHeight="1" spans="1:20">
      <c r="A910" s="34"/>
      <c r="B910" s="48">
        <v>2</v>
      </c>
      <c r="C910" s="48"/>
      <c r="D910" s="88" t="s">
        <v>461</v>
      </c>
      <c r="E910" s="72" t="str">
        <f>+VLOOKUP(D910,'材料表 '!C:F,2,0)</f>
        <v>kg</v>
      </c>
      <c r="F910" s="77">
        <f t="shared" ref="F910:F918" si="113">+SUMIF($L$896:$L$934,D910,$R$896:$R$934)</f>
        <v>2.86692015209125</v>
      </c>
      <c r="G910" s="89">
        <f>+VLOOKUP(D910,'材料表 '!C:F,4,0)</f>
        <v>0.03</v>
      </c>
      <c r="H910" s="74">
        <f t="shared" si="112"/>
        <v>2.95292775665399</v>
      </c>
      <c r="I910" s="74">
        <f>+VLOOKUP(D910,'材料表 '!C:F,3,0)</f>
        <v>3.53982300884956</v>
      </c>
      <c r="J910" s="95">
        <f t="shared" si="111"/>
        <v>10.4528416164743</v>
      </c>
      <c r="K910" s="92">
        <f ca="1">H910*K895</f>
        <v>10.2142479805323</v>
      </c>
      <c r="L910" s="90"/>
      <c r="M910" s="44"/>
      <c r="N910" s="82"/>
      <c r="O910" s="44"/>
      <c r="P910" s="44"/>
      <c r="Q910" s="44"/>
      <c r="R910" s="84"/>
      <c r="S910" s="47"/>
      <c r="T910" s="47"/>
    </row>
    <row r="911" s="27" customFormat="1" ht="18" customHeight="1" spans="1:20">
      <c r="A911" s="34"/>
      <c r="B911" s="48">
        <v>3</v>
      </c>
      <c r="C911" s="48"/>
      <c r="D911" s="88" t="s">
        <v>465</v>
      </c>
      <c r="E911" s="72" t="str">
        <f>+VLOOKUP(D911,'材料表 '!C:F,2,0)</f>
        <v>kg</v>
      </c>
      <c r="F911" s="77">
        <f t="shared" si="113"/>
        <v>0.358571925489679</v>
      </c>
      <c r="G911" s="89">
        <f>+VLOOKUP(D911,'材料表 '!C:F,4,0)</f>
        <v>0.03</v>
      </c>
      <c r="H911" s="74">
        <f t="shared" si="112"/>
        <v>0.369329083254369</v>
      </c>
      <c r="I911" s="74">
        <f>+VLOOKUP(D911,'材料表 '!C:F,3,0)</f>
        <v>6.01769911504425</v>
      </c>
      <c r="J911" s="95">
        <f t="shared" si="111"/>
        <v>2.22251129745992</v>
      </c>
      <c r="K911" s="92">
        <f ca="1">H911*K895</f>
        <v>1.27751816287486</v>
      </c>
      <c r="L911" s="90"/>
      <c r="M911" s="44"/>
      <c r="N911" s="82"/>
      <c r="O911" s="44"/>
      <c r="P911" s="44"/>
      <c r="Q911" s="44">
        <f>+P911*O911</f>
        <v>0</v>
      </c>
      <c r="R911" s="84">
        <f>+Q911/R896</f>
        <v>0</v>
      </c>
      <c r="S911" s="47"/>
      <c r="T911" s="47"/>
    </row>
    <row r="912" s="27" customFormat="1" ht="18" customHeight="1" spans="1:20">
      <c r="A912" s="34"/>
      <c r="B912" s="48">
        <v>4</v>
      </c>
      <c r="C912" s="48"/>
      <c r="D912" s="88" t="s">
        <v>463</v>
      </c>
      <c r="E912" s="72" t="str">
        <f>+VLOOKUP(D912,'材料表 '!C:F,2,0)</f>
        <v>kg</v>
      </c>
      <c r="F912" s="77">
        <f t="shared" si="113"/>
        <v>1.41236161255113</v>
      </c>
      <c r="G912" s="89">
        <f>+VLOOKUP(D912,'材料表 '!C:F,4,0)</f>
        <v>0.03</v>
      </c>
      <c r="H912" s="74">
        <f t="shared" si="112"/>
        <v>1.45473246092766</v>
      </c>
      <c r="I912" s="74">
        <f>+VLOOKUP(D912,'材料表 '!C:F,3,0)</f>
        <v>6.01769911504425</v>
      </c>
      <c r="J912" s="95">
        <f t="shared" si="111"/>
        <v>8.75414224275055</v>
      </c>
      <c r="K912" s="92">
        <f ca="1">H912*K895</f>
        <v>5.03195449592784</v>
      </c>
      <c r="L912" s="90" t="s">
        <v>474</v>
      </c>
      <c r="M912" s="44"/>
      <c r="N912" s="82"/>
      <c r="O912" s="44"/>
      <c r="P912" s="44"/>
      <c r="Q912" s="44">
        <f>+O902*P902*4</f>
        <v>36</v>
      </c>
      <c r="R912" s="84">
        <f>+Q912/R896</f>
        <v>2.39891569010807</v>
      </c>
      <c r="S912" s="47"/>
      <c r="T912" s="47"/>
    </row>
    <row r="913" s="27" customFormat="1" ht="18" customHeight="1" spans="1:20">
      <c r="A913" s="34"/>
      <c r="B913" s="48">
        <v>5</v>
      </c>
      <c r="C913" s="48"/>
      <c r="D913" s="88" t="s">
        <v>433</v>
      </c>
      <c r="E913" s="72" t="str">
        <f>+VLOOKUP(D913,'材料表 '!C:F,2,0)</f>
        <v>kg</v>
      </c>
      <c r="F913" s="77">
        <f t="shared" si="113"/>
        <v>1.60656507658538</v>
      </c>
      <c r="G913" s="89">
        <f>+VLOOKUP(D913,'材料表 '!C:F,4,0)</f>
        <v>0.03</v>
      </c>
      <c r="H913" s="74">
        <f t="shared" si="112"/>
        <v>1.65476202888294</v>
      </c>
      <c r="I913" s="74">
        <f>+VLOOKUP(D913,'材料表 '!C:F,3,0)</f>
        <v>26.1150442477876</v>
      </c>
      <c r="J913" s="95">
        <f t="shared" si="111"/>
        <v>43.2141836038368</v>
      </c>
      <c r="K913" s="92">
        <f ca="1">H913*K895</f>
        <v>5.72386157219478</v>
      </c>
      <c r="L913" s="92" t="s">
        <v>476</v>
      </c>
      <c r="M913" s="44"/>
      <c r="N913" s="82"/>
      <c r="O913" s="44"/>
      <c r="P913" s="44"/>
      <c r="Q913" s="44">
        <f>8*8*(O896*2+1.4*9)/500</f>
        <v>4.534272</v>
      </c>
      <c r="R913" s="84">
        <f>+Q913/R896</f>
        <v>0.302148229000492</v>
      </c>
      <c r="S913" s="47"/>
      <c r="T913" s="47"/>
    </row>
    <row r="914" s="27" customFormat="1" ht="18" customHeight="1" spans="1:20">
      <c r="A914" s="34"/>
      <c r="B914" s="48">
        <v>6</v>
      </c>
      <c r="C914" s="48"/>
      <c r="D914" s="88" t="s">
        <v>434</v>
      </c>
      <c r="E914" s="72" t="str">
        <f>+VLOOKUP(D914,'材料表 '!C:F,2,0)</f>
        <v>m2</v>
      </c>
      <c r="F914" s="77">
        <f t="shared" si="113"/>
        <v>0</v>
      </c>
      <c r="G914" s="89">
        <f>+VLOOKUP(D914,'材料表 '!C:F,4,0)</f>
        <v>0</v>
      </c>
      <c r="H914" s="74">
        <f t="shared" si="112"/>
        <v>0</v>
      </c>
      <c r="I914" s="74">
        <f>+VLOOKUP(D914,'材料表 '!C:F,3,0)</f>
        <v>49.5575221238938</v>
      </c>
      <c r="J914" s="95">
        <f t="shared" si="111"/>
        <v>0</v>
      </c>
      <c r="K914" s="92">
        <f ca="1">H914*K895</f>
        <v>0</v>
      </c>
      <c r="L914" s="92" t="s">
        <v>499</v>
      </c>
      <c r="M914" s="44"/>
      <c r="N914" s="82"/>
      <c r="O914" s="44"/>
      <c r="P914" s="44"/>
      <c r="Q914" s="44">
        <v>0</v>
      </c>
      <c r="R914" s="84">
        <f>Q914/R896</f>
        <v>0</v>
      </c>
      <c r="S914" s="47"/>
      <c r="T914" s="47"/>
    </row>
    <row r="915" s="27" customFormat="1" ht="18" customHeight="1" spans="1:20">
      <c r="A915" s="34"/>
      <c r="B915" s="48">
        <v>7</v>
      </c>
      <c r="C915" s="48"/>
      <c r="D915" s="88" t="s">
        <v>472</v>
      </c>
      <c r="E915" s="72" t="str">
        <f>+VLOOKUP(D915,'材料表 '!C:F,2,0)</f>
        <v>套</v>
      </c>
      <c r="F915" s="77">
        <f t="shared" si="113"/>
        <v>1.19945784505404</v>
      </c>
      <c r="G915" s="89">
        <f>+VLOOKUP(D915,'材料表 '!C:F,4,0)</f>
        <v>0</v>
      </c>
      <c r="H915" s="74">
        <f t="shared" si="112"/>
        <v>1.19945784505404</v>
      </c>
      <c r="I915" s="74">
        <f>+VLOOKUP(D915,'材料表 '!C:F,3,0)</f>
        <v>2.47787610619469</v>
      </c>
      <c r="J915" s="95">
        <f t="shared" si="111"/>
        <v>2.97210793464718</v>
      </c>
      <c r="K915" s="92">
        <f ca="1">H915*K895</f>
        <v>4.1489534730302</v>
      </c>
      <c r="L915" s="92"/>
      <c r="M915" s="44"/>
      <c r="N915" s="82"/>
      <c r="O915" s="44"/>
      <c r="P915" s="44"/>
      <c r="Q915" s="44"/>
      <c r="R915" s="84"/>
      <c r="S915" s="47"/>
      <c r="T915" s="47"/>
    </row>
    <row r="916" s="27" customFormat="1" ht="18" customHeight="1" spans="1:20">
      <c r="A916" s="34"/>
      <c r="B916" s="48">
        <v>8</v>
      </c>
      <c r="C916" s="48"/>
      <c r="D916" s="88" t="s">
        <v>474</v>
      </c>
      <c r="E916" s="72" t="str">
        <f>+VLOOKUP(D916,'材料表 '!C:F,2,0)</f>
        <v>套</v>
      </c>
      <c r="F916" s="77">
        <f t="shared" si="113"/>
        <v>2.39891569010807</v>
      </c>
      <c r="G916" s="89">
        <f>+VLOOKUP(D916,'材料表 '!C:F,4,0)</f>
        <v>0</v>
      </c>
      <c r="H916" s="74">
        <f t="shared" si="112"/>
        <v>2.39891569010807</v>
      </c>
      <c r="I916" s="74">
        <f>+VLOOKUP(D916,'材料表 '!C:F,3,0)</f>
        <v>2.21238938053097</v>
      </c>
      <c r="J916" s="95">
        <f t="shared" si="111"/>
        <v>5.30733559758422</v>
      </c>
      <c r="K916" s="92">
        <f ca="1">H916*K895</f>
        <v>8.29790694606037</v>
      </c>
      <c r="L916" s="92"/>
      <c r="M916" s="44"/>
      <c r="N916" s="82"/>
      <c r="O916" s="44"/>
      <c r="P916" s="44"/>
      <c r="Q916" s="44"/>
      <c r="R916" s="84"/>
      <c r="S916" s="47"/>
      <c r="T916" s="47"/>
    </row>
    <row r="917" s="27" customFormat="1" ht="18" customHeight="1" spans="1:20">
      <c r="A917" s="34"/>
      <c r="B917" s="48">
        <v>9</v>
      </c>
      <c r="C917" s="48"/>
      <c r="D917" s="88" t="s">
        <v>476</v>
      </c>
      <c r="E917" s="72" t="str">
        <f>+VLOOKUP(D917,'材料表 '!C:F,2,0)</f>
        <v>支</v>
      </c>
      <c r="F917" s="77">
        <f t="shared" si="113"/>
        <v>0.302148229000492</v>
      </c>
      <c r="G917" s="89">
        <f>+VLOOKUP(D917,'材料表 '!C:F,4,0)</f>
        <v>0.15</v>
      </c>
      <c r="H917" s="74">
        <f t="shared" si="112"/>
        <v>0.347470463350566</v>
      </c>
      <c r="I917" s="74">
        <f>+VLOOKUP(D917,'材料表 '!C:F,3,0)</f>
        <v>11.5044247787611</v>
      </c>
      <c r="J917" s="95">
        <f t="shared" si="111"/>
        <v>3.99744780845785</v>
      </c>
      <c r="K917" s="92">
        <f ca="1">H917*K895</f>
        <v>1.20190867202073</v>
      </c>
      <c r="L917" s="90"/>
      <c r="M917" s="44"/>
      <c r="N917" s="82"/>
      <c r="O917" s="34"/>
      <c r="P917" s="44"/>
      <c r="Q917" s="44"/>
      <c r="R917" s="119"/>
      <c r="S917" s="47"/>
      <c r="T917" s="47"/>
    </row>
    <row r="918" s="27" customFormat="1" ht="23" customHeight="1" spans="1:20">
      <c r="A918" s="34"/>
      <c r="B918" s="48">
        <v>10</v>
      </c>
      <c r="C918" s="48"/>
      <c r="D918" s="88" t="s">
        <v>499</v>
      </c>
      <c r="E918" s="72" t="str">
        <f>+VLOOKUP(D918,'材料表 '!C:F,2,0)</f>
        <v>套</v>
      </c>
      <c r="F918" s="77">
        <f t="shared" si="113"/>
        <v>0</v>
      </c>
      <c r="G918" s="89">
        <f>+VLOOKUP(D918,'材料表 '!C:F,4,0)</f>
        <v>0</v>
      </c>
      <c r="H918" s="74">
        <f t="shared" si="112"/>
        <v>0</v>
      </c>
      <c r="I918" s="74">
        <f>+VLOOKUP(D918,'材料表 '!C:F,3,0)</f>
        <v>1.32743362831858</v>
      </c>
      <c r="J918" s="95">
        <f t="shared" si="111"/>
        <v>0</v>
      </c>
      <c r="K918" s="92">
        <f ca="1">H918*K895</f>
        <v>0</v>
      </c>
      <c r="L918" s="92"/>
      <c r="M918" s="120"/>
      <c r="N918" s="82"/>
      <c r="O918" s="44"/>
      <c r="P918" s="44"/>
      <c r="Q918" s="44"/>
      <c r="R918" s="84"/>
      <c r="S918" s="47"/>
      <c r="T918" s="47"/>
    </row>
    <row r="919" s="27" customFormat="1" ht="20" customHeight="1" spans="1:20">
      <c r="A919" s="34"/>
      <c r="B919" s="48">
        <v>11</v>
      </c>
      <c r="C919" s="48"/>
      <c r="D919" s="88" t="s">
        <v>479</v>
      </c>
      <c r="E919" s="72" t="str">
        <f>+VLOOKUP(D919,'材料表 '!C:F,2,0)</f>
        <v>kg</v>
      </c>
      <c r="F919" s="77">
        <f>R899</f>
        <v>3.43726235741445</v>
      </c>
      <c r="G919" s="89">
        <f>+VLOOKUP(D919,'材料表 '!C:F,4,0)</f>
        <v>0.03</v>
      </c>
      <c r="H919" s="74">
        <f t="shared" si="112"/>
        <v>3.54038022813688</v>
      </c>
      <c r="I919" s="74">
        <f>+VLOOKUP(D919,'材料表 '!C:F,3,0)</f>
        <v>14.1592920353982</v>
      </c>
      <c r="J919" s="95">
        <f t="shared" si="111"/>
        <v>50.1292775665398</v>
      </c>
      <c r="K919" s="92">
        <f ca="1">H919*K895</f>
        <v>12.2462601782509</v>
      </c>
      <c r="L919" s="92"/>
      <c r="M919" s="44"/>
      <c r="N919" s="82"/>
      <c r="O919" s="44"/>
      <c r="P919" s="44"/>
      <c r="Q919" s="44"/>
      <c r="R919" s="84"/>
      <c r="S919" s="47"/>
      <c r="T919" s="47"/>
    </row>
    <row r="920" s="27" customFormat="1" ht="24" customHeight="1" spans="1:20">
      <c r="A920" s="34"/>
      <c r="B920" s="48">
        <v>12</v>
      </c>
      <c r="C920" s="48"/>
      <c r="D920" s="210" t="s">
        <v>526</v>
      </c>
      <c r="E920" s="72" t="str">
        <f>+VLOOKUP(D920,'材料表 '!C:F,2,0)</f>
        <v>m2</v>
      </c>
      <c r="F920" s="77">
        <f>1.4/1.315</f>
        <v>1.06463878326996</v>
      </c>
      <c r="G920" s="89">
        <f>+VLOOKUP(D920,'材料表 '!C:F,4,0)</f>
        <v>0.02</v>
      </c>
      <c r="H920" s="74">
        <f t="shared" si="112"/>
        <v>1.08593155893536</v>
      </c>
      <c r="I920" s="74">
        <f>+VLOOKUP(D920,'材料表 '!C:F,3,0)</f>
        <v>261.946902654867</v>
      </c>
      <c r="J920" s="95">
        <f t="shared" si="111"/>
        <v>284.456408358289</v>
      </c>
      <c r="K920" s="92">
        <f ca="1">H920*K895</f>
        <v>3.75626332471482</v>
      </c>
      <c r="L920" s="92"/>
      <c r="M920" s="44"/>
      <c r="N920" s="44"/>
      <c r="O920" s="44"/>
      <c r="P920" s="44"/>
      <c r="Q920" s="44"/>
      <c r="R920" s="84"/>
      <c r="S920" s="47"/>
      <c r="T920" s="47"/>
    </row>
    <row r="921" s="27" customFormat="1" ht="18" customHeight="1" spans="1:20">
      <c r="A921" s="34"/>
      <c r="B921" s="48">
        <v>13</v>
      </c>
      <c r="C921" s="48"/>
      <c r="D921" s="88"/>
      <c r="E921" s="72"/>
      <c r="F921" s="77"/>
      <c r="G921" s="89"/>
      <c r="H921" s="74"/>
      <c r="I921" s="74"/>
      <c r="J921" s="95"/>
      <c r="K921" s="92">
        <f ca="1">H921*K895</f>
        <v>0</v>
      </c>
      <c r="L921" s="92"/>
      <c r="M921" s="44"/>
      <c r="N921" s="44"/>
      <c r="O921" s="44"/>
      <c r="P921" s="44"/>
      <c r="Q921" s="44"/>
      <c r="R921" s="84"/>
      <c r="S921" s="47"/>
      <c r="T921" s="47"/>
    </row>
    <row r="922" s="27" customFormat="1" ht="24" customHeight="1" spans="1:20">
      <c r="A922" s="34"/>
      <c r="B922" s="48">
        <v>14</v>
      </c>
      <c r="C922" s="48"/>
      <c r="D922" s="88"/>
      <c r="E922" s="72"/>
      <c r="F922" s="77"/>
      <c r="G922" s="89"/>
      <c r="H922" s="74"/>
      <c r="I922" s="74"/>
      <c r="J922" s="95"/>
      <c r="K922" s="92">
        <f ca="1">H922*K895</f>
        <v>0</v>
      </c>
      <c r="L922" s="92"/>
      <c r="M922" s="44"/>
      <c r="N922" s="44"/>
      <c r="O922" s="44"/>
      <c r="P922" s="44"/>
      <c r="Q922" s="44"/>
      <c r="R922" s="84"/>
      <c r="S922" s="47"/>
      <c r="T922" s="47"/>
    </row>
    <row r="923" s="27" customFormat="1" ht="18" customHeight="1" spans="1:20">
      <c r="A923" s="34"/>
      <c r="B923" s="48">
        <v>15</v>
      </c>
      <c r="C923" s="48"/>
      <c r="D923" s="88"/>
      <c r="E923" s="72"/>
      <c r="F923" s="77"/>
      <c r="G923" s="89"/>
      <c r="H923" s="74"/>
      <c r="I923" s="74"/>
      <c r="J923" s="95"/>
      <c r="K923" s="92"/>
      <c r="L923" s="92"/>
      <c r="M923" s="44"/>
      <c r="N923" s="44"/>
      <c r="O923" s="44"/>
      <c r="P923" s="44"/>
      <c r="Q923" s="44"/>
      <c r="R923" s="84"/>
      <c r="S923" s="47"/>
      <c r="T923" s="47"/>
    </row>
    <row r="924" s="27" customFormat="1" ht="18" customHeight="1" spans="1:20">
      <c r="A924" s="34"/>
      <c r="B924" s="48">
        <v>16</v>
      </c>
      <c r="C924" s="48"/>
      <c r="D924" s="88"/>
      <c r="E924" s="72"/>
      <c r="F924" s="77"/>
      <c r="G924" s="89"/>
      <c r="H924" s="74"/>
      <c r="I924" s="74"/>
      <c r="J924" s="95"/>
      <c r="K924" s="92"/>
      <c r="L924" s="92"/>
      <c r="M924" s="44"/>
      <c r="N924" s="44"/>
      <c r="O924" s="44"/>
      <c r="P924" s="44"/>
      <c r="Q924" s="44"/>
      <c r="R924" s="84"/>
      <c r="S924" s="47"/>
      <c r="T924" s="47"/>
    </row>
    <row r="925" s="27" customFormat="1" ht="18" customHeight="1" spans="1:20">
      <c r="A925" s="34"/>
      <c r="B925" s="48">
        <v>17</v>
      </c>
      <c r="C925" s="48"/>
      <c r="D925" s="121"/>
      <c r="E925" s="72"/>
      <c r="F925" s="77"/>
      <c r="G925" s="89"/>
      <c r="H925" s="74"/>
      <c r="I925" s="74"/>
      <c r="J925" s="95"/>
      <c r="K925" s="92"/>
      <c r="L925" s="92"/>
      <c r="M925" s="44"/>
      <c r="N925" s="44"/>
      <c r="O925" s="44"/>
      <c r="P925" s="44"/>
      <c r="Q925" s="101"/>
      <c r="R925" s="84"/>
      <c r="S925" s="47"/>
      <c r="T925" s="47"/>
    </row>
    <row r="926" s="27" customFormat="1" ht="18" customHeight="1" spans="1:20">
      <c r="A926" s="34"/>
      <c r="B926" s="48">
        <v>18</v>
      </c>
      <c r="C926" s="48"/>
      <c r="D926" s="88"/>
      <c r="E926" s="72"/>
      <c r="F926" s="77"/>
      <c r="G926" s="89"/>
      <c r="H926" s="74"/>
      <c r="I926" s="74"/>
      <c r="J926" s="95"/>
      <c r="K926" s="92"/>
      <c r="L926" s="92"/>
      <c r="M926" s="44"/>
      <c r="N926" s="44"/>
      <c r="O926" s="44"/>
      <c r="P926" s="44"/>
      <c r="Q926" s="44"/>
      <c r="R926" s="84"/>
      <c r="S926" s="47"/>
      <c r="T926" s="47"/>
    </row>
    <row r="927" s="27" customFormat="1" ht="18" customHeight="1" spans="1:20">
      <c r="A927" s="34"/>
      <c r="B927" s="48">
        <v>19</v>
      </c>
      <c r="C927" s="48"/>
      <c r="D927" s="27"/>
      <c r="E927" s="72"/>
      <c r="F927" s="77"/>
      <c r="G927" s="89"/>
      <c r="H927" s="74"/>
      <c r="I927" s="74"/>
      <c r="J927" s="95"/>
      <c r="K927" s="92"/>
      <c r="L927" s="92"/>
      <c r="M927" s="44"/>
      <c r="N927" s="44"/>
      <c r="O927" s="44"/>
      <c r="P927" s="44"/>
      <c r="Q927" s="44"/>
      <c r="R927" s="84"/>
      <c r="S927" s="47"/>
      <c r="T927" s="47"/>
    </row>
    <row r="928" s="27" customFormat="1" ht="18" customHeight="1" spans="1:20">
      <c r="A928" s="34"/>
      <c r="B928" s="48">
        <v>20</v>
      </c>
      <c r="C928" s="48"/>
      <c r="D928" s="88"/>
      <c r="E928" s="72"/>
      <c r="F928" s="77"/>
      <c r="G928" s="89"/>
      <c r="H928" s="74"/>
      <c r="I928" s="74"/>
      <c r="J928" s="95"/>
      <c r="K928" s="92"/>
      <c r="L928" s="92"/>
      <c r="M928" s="44"/>
      <c r="N928" s="44"/>
      <c r="O928" s="44"/>
      <c r="P928" s="44"/>
      <c r="Q928" s="44"/>
      <c r="R928" s="84"/>
      <c r="S928" s="47"/>
      <c r="T928" s="47"/>
    </row>
    <row r="929" s="27" customFormat="1" ht="18" customHeight="1" spans="1:20">
      <c r="A929" s="34"/>
      <c r="B929" s="48">
        <v>21</v>
      </c>
      <c r="C929" s="48"/>
      <c r="D929" s="88"/>
      <c r="E929" s="72"/>
      <c r="F929" s="77"/>
      <c r="G929" s="89"/>
      <c r="H929" s="74"/>
      <c r="I929" s="74"/>
      <c r="J929" s="95"/>
      <c r="K929" s="92"/>
      <c r="L929" s="92"/>
      <c r="M929" s="44"/>
      <c r="N929" s="44"/>
      <c r="O929" s="44"/>
      <c r="P929" s="44"/>
      <c r="Q929" s="44"/>
      <c r="R929" s="84"/>
      <c r="S929" s="47"/>
      <c r="T929" s="47"/>
    </row>
    <row r="930" s="27" customFormat="1" ht="18" customHeight="1" spans="1:20">
      <c r="A930" s="34"/>
      <c r="B930" s="48">
        <v>22</v>
      </c>
      <c r="C930" s="48"/>
      <c r="D930" s="27"/>
      <c r="E930" s="72"/>
      <c r="F930" s="77"/>
      <c r="G930" s="72"/>
      <c r="H930" s="74"/>
      <c r="I930" s="74"/>
      <c r="J930" s="95"/>
      <c r="K930" s="92"/>
      <c r="L930" s="92"/>
      <c r="M930" s="44"/>
      <c r="N930" s="44"/>
      <c r="O930" s="44"/>
      <c r="P930" s="44"/>
      <c r="Q930" s="44"/>
      <c r="R930" s="62"/>
      <c r="S930" s="47"/>
      <c r="T930" s="47"/>
    </row>
    <row r="931" s="27" customFormat="1" ht="18" customHeight="1" spans="1:20">
      <c r="A931" s="34"/>
      <c r="B931" s="48">
        <v>23</v>
      </c>
      <c r="C931" s="48"/>
      <c r="D931" s="88"/>
      <c r="E931" s="72"/>
      <c r="F931" s="77"/>
      <c r="G931" s="89"/>
      <c r="H931" s="74"/>
      <c r="I931" s="74"/>
      <c r="J931" s="95"/>
      <c r="K931" s="92"/>
      <c r="L931" s="92"/>
      <c r="M931" s="44"/>
      <c r="N931" s="44"/>
      <c r="O931" s="44"/>
      <c r="P931" s="44"/>
      <c r="Q931" s="44"/>
      <c r="R931" s="62"/>
      <c r="S931" s="47"/>
      <c r="T931" s="47"/>
    </row>
    <row r="932" s="27" customFormat="1" ht="18" customHeight="1" spans="1:20">
      <c r="A932" s="34"/>
      <c r="B932" s="48">
        <v>24</v>
      </c>
      <c r="C932" s="48"/>
      <c r="D932" s="88" t="s">
        <v>478</v>
      </c>
      <c r="E932" s="72" t="s">
        <v>43</v>
      </c>
      <c r="F932" s="77"/>
      <c r="G932" s="72">
        <v>1</v>
      </c>
      <c r="H932" s="74">
        <v>1</v>
      </c>
      <c r="I932" s="74">
        <f>+辅材及安装费!$E$3</f>
        <v>5</v>
      </c>
      <c r="J932" s="95">
        <f t="shared" ref="J931:J934" si="114">H932*I932</f>
        <v>5</v>
      </c>
      <c r="K932" s="92"/>
      <c r="L932" s="92"/>
      <c r="M932" s="44"/>
      <c r="N932" s="44"/>
      <c r="O932" s="44"/>
      <c r="P932" s="44"/>
      <c r="Q932" s="44"/>
      <c r="R932" s="62"/>
      <c r="S932" s="47"/>
      <c r="T932" s="47"/>
    </row>
    <row r="933" s="27" customFormat="1" ht="18" customHeight="1" spans="1:20">
      <c r="A933" s="34"/>
      <c r="B933" s="48">
        <v>25</v>
      </c>
      <c r="C933" s="48"/>
      <c r="D933" s="93" t="s">
        <v>442</v>
      </c>
      <c r="E933" s="72"/>
      <c r="F933" s="77"/>
      <c r="G933" s="72"/>
      <c r="H933" s="74"/>
      <c r="I933" s="74"/>
      <c r="J933" s="95">
        <f>SUM(J909:J932)</f>
        <v>438.956453336855</v>
      </c>
      <c r="K933" s="92"/>
      <c r="L933" s="94"/>
      <c r="M933" s="27"/>
      <c r="N933" s="83"/>
      <c r="O933" s="83"/>
      <c r="P933" s="83"/>
      <c r="Q933" s="83"/>
      <c r="R933" s="87"/>
      <c r="S933" s="47"/>
      <c r="T933" s="47"/>
    </row>
    <row r="934" s="27" customFormat="1" ht="18" customHeight="1" spans="1:20">
      <c r="A934" s="34"/>
      <c r="B934" s="48">
        <v>1</v>
      </c>
      <c r="C934" s="48" t="s">
        <v>443</v>
      </c>
      <c r="D934" s="48" t="s">
        <v>444</v>
      </c>
      <c r="E934" s="72" t="s">
        <v>43</v>
      </c>
      <c r="F934" s="50"/>
      <c r="G934" s="48"/>
      <c r="H934" s="51">
        <v>1</v>
      </c>
      <c r="I934" s="74">
        <f>+辅材及安装费!$F$3</f>
        <v>5</v>
      </c>
      <c r="J934" s="95">
        <f t="shared" si="114"/>
        <v>5</v>
      </c>
      <c r="K934" s="118"/>
      <c r="L934" s="96"/>
      <c r="M934" s="97"/>
      <c r="N934" s="98"/>
      <c r="O934" s="98"/>
      <c r="P934" s="98"/>
      <c r="Q934" s="98"/>
      <c r="R934" s="99"/>
      <c r="S934" s="47"/>
      <c r="T934" s="47"/>
    </row>
    <row r="935" s="26" customFormat="1" ht="30" customHeight="1" spans="1:20">
      <c r="A935" s="28"/>
      <c r="B935" s="29" t="s">
        <v>386</v>
      </c>
      <c r="C935" s="29"/>
      <c r="D935" s="29"/>
      <c r="E935" s="29"/>
      <c r="F935" s="29"/>
      <c r="G935" s="29"/>
      <c r="H935" s="29"/>
      <c r="I935" s="29"/>
      <c r="J935" s="29"/>
      <c r="K935" s="29"/>
      <c r="L935" s="30"/>
      <c r="M935" s="31"/>
      <c r="N935" s="31"/>
      <c r="O935" s="31"/>
      <c r="P935" s="31"/>
      <c r="Q935" s="31"/>
      <c r="R935" s="32"/>
      <c r="S935" s="33"/>
      <c r="T935" s="33"/>
    </row>
    <row r="936" s="27" customFormat="1" ht="33.75" customHeight="1" spans="1:20">
      <c r="A936" s="34">
        <v>13</v>
      </c>
      <c r="B936" s="35" t="s">
        <v>1</v>
      </c>
      <c r="C936" s="35" t="s">
        <v>387</v>
      </c>
      <c r="D936" s="36" t="str">
        <f>+A944</f>
        <v>屋面铝单板</v>
      </c>
      <c r="E936" s="37"/>
      <c r="F936" s="38" t="s">
        <v>119</v>
      </c>
      <c r="G936" s="39"/>
      <c r="H936" s="35" t="s">
        <v>388</v>
      </c>
      <c r="I936" s="40" t="s">
        <v>389</v>
      </c>
      <c r="J936" s="41" t="s">
        <v>37</v>
      </c>
      <c r="K936" s="42">
        <f ca="1">VLOOKUP(A936,排屋工程量清单!$A$59:$D$86,4,)</f>
        <v>344.0910048</v>
      </c>
      <c r="L936" s="43"/>
      <c r="M936" s="44"/>
      <c r="N936" s="44"/>
      <c r="O936" s="44"/>
      <c r="P936" s="45"/>
      <c r="Q936" s="44"/>
      <c r="R936" s="46"/>
      <c r="S936" s="47"/>
      <c r="T936" s="47"/>
    </row>
    <row r="937" s="27" customFormat="1" ht="25" customHeight="1" spans="1:20">
      <c r="A937" s="34"/>
      <c r="B937" s="48">
        <v>1</v>
      </c>
      <c r="C937" s="49" t="s">
        <v>390</v>
      </c>
      <c r="D937" s="48" t="s">
        <v>391</v>
      </c>
      <c r="E937" s="48"/>
      <c r="F937" s="50"/>
      <c r="G937" s="48"/>
      <c r="H937" s="51"/>
      <c r="I937" s="52">
        <f>J949</f>
        <v>165</v>
      </c>
      <c r="J937" s="53" t="s">
        <v>392</v>
      </c>
      <c r="K937" s="54"/>
      <c r="L937" s="55"/>
      <c r="M937" s="56" t="s">
        <v>205</v>
      </c>
      <c r="N937" s="57"/>
      <c r="O937" s="57">
        <v>3.9</v>
      </c>
      <c r="P937" s="57">
        <v>1.1</v>
      </c>
      <c r="Q937" s="57">
        <v>1</v>
      </c>
      <c r="R937" s="58">
        <f>+Q937*P937*O937</f>
        <v>4.29</v>
      </c>
      <c r="S937" s="47"/>
      <c r="T937" s="47"/>
    </row>
    <row r="938" s="27" customFormat="1" ht="18" customHeight="1" spans="1:20">
      <c r="A938" s="34"/>
      <c r="B938" s="48">
        <v>2</v>
      </c>
      <c r="C938" s="59"/>
      <c r="D938" s="48" t="s">
        <v>394</v>
      </c>
      <c r="E938" s="48"/>
      <c r="F938" s="50"/>
      <c r="G938" s="48"/>
      <c r="H938" s="51"/>
      <c r="I938" s="52">
        <f>J974</f>
        <v>379.873431753192</v>
      </c>
      <c r="J938" s="53" t="s">
        <v>392</v>
      </c>
      <c r="K938" s="60"/>
      <c r="L938" s="61" t="s">
        <v>119</v>
      </c>
      <c r="M938" s="44"/>
      <c r="N938" s="44"/>
      <c r="O938" s="44"/>
      <c r="P938" s="44"/>
      <c r="Q938" s="44"/>
      <c r="R938" s="62"/>
      <c r="S938" s="47"/>
      <c r="T938" s="47"/>
    </row>
    <row r="939" s="27" customFormat="1" ht="18" customHeight="1" spans="1:20">
      <c r="A939" s="34"/>
      <c r="B939" s="48">
        <v>3</v>
      </c>
      <c r="C939" s="63"/>
      <c r="D939" s="48" t="s">
        <v>395</v>
      </c>
      <c r="E939" s="48"/>
      <c r="F939" s="50"/>
      <c r="G939" s="48"/>
      <c r="H939" s="51"/>
      <c r="I939" s="52">
        <f>J975</f>
        <v>5</v>
      </c>
      <c r="J939" s="53" t="s">
        <v>392</v>
      </c>
      <c r="K939" s="60"/>
      <c r="L939" s="60"/>
      <c r="M939" s="65" t="s">
        <v>396</v>
      </c>
      <c r="N939" s="65" t="s">
        <v>397</v>
      </c>
      <c r="O939" s="65" t="s">
        <v>398</v>
      </c>
      <c r="P939" s="65" t="s">
        <v>399</v>
      </c>
      <c r="Q939" s="65" t="s">
        <v>400</v>
      </c>
      <c r="R939" s="66" t="s">
        <v>401</v>
      </c>
      <c r="S939" s="47"/>
      <c r="T939" s="47"/>
    </row>
    <row r="940" s="27" customFormat="1" ht="18" customHeight="1" spans="1:20">
      <c r="A940" s="34"/>
      <c r="B940" s="48">
        <v>4</v>
      </c>
      <c r="C940" s="48" t="s">
        <v>402</v>
      </c>
      <c r="D940" s="67" t="s">
        <v>403</v>
      </c>
      <c r="E940" s="67"/>
      <c r="F940" s="50"/>
      <c r="G940" s="67"/>
      <c r="H940" s="68"/>
      <c r="I940" s="52">
        <f>SUM(I937:I939)</f>
        <v>549.873431753192</v>
      </c>
      <c r="J940" s="53" t="s">
        <v>392</v>
      </c>
      <c r="K940" s="60"/>
      <c r="L940" s="69" t="s">
        <v>431</v>
      </c>
      <c r="M940" s="34" t="s">
        <v>460</v>
      </c>
      <c r="N940" s="102">
        <v>10.21</v>
      </c>
      <c r="O940" s="34">
        <f>O937</f>
        <v>3.9</v>
      </c>
      <c r="P940" s="34">
        <v>1</v>
      </c>
      <c r="Q940" s="44">
        <f t="shared" ref="Q940:Q947" si="115">+P940*O940*N940</f>
        <v>39.819</v>
      </c>
      <c r="R940" s="71">
        <f>+Q940/R937</f>
        <v>9.28181818181818</v>
      </c>
      <c r="S940" s="47"/>
      <c r="T940" s="47"/>
    </row>
    <row r="941" s="27" customFormat="1" ht="28" customHeight="1" spans="1:20">
      <c r="A941" s="34"/>
      <c r="B941" s="48">
        <v>5</v>
      </c>
      <c r="C941" s="72" t="s">
        <v>406</v>
      </c>
      <c r="D941" s="48" t="s">
        <v>407</v>
      </c>
      <c r="E941" s="48"/>
      <c r="F941" s="50"/>
      <c r="G941" s="48"/>
      <c r="H941" s="73">
        <f>+'材料表 '!$E$178</f>
        <v>0</v>
      </c>
      <c r="I941" s="52">
        <f>H941*I940</f>
        <v>0</v>
      </c>
      <c r="J941" s="53" t="s">
        <v>392</v>
      </c>
      <c r="K941" s="60"/>
      <c r="L941" s="69" t="s">
        <v>431</v>
      </c>
      <c r="M941" s="34" t="s">
        <v>523</v>
      </c>
      <c r="N941" s="102">
        <v>4.52</v>
      </c>
      <c r="O941" s="34">
        <f>P937</f>
        <v>1.1</v>
      </c>
      <c r="P941" s="34">
        <v>2</v>
      </c>
      <c r="Q941" s="44">
        <f t="shared" si="115"/>
        <v>9.944</v>
      </c>
      <c r="R941" s="71">
        <f>+Q941/R937</f>
        <v>2.31794871794872</v>
      </c>
      <c r="S941" s="47"/>
      <c r="T941" s="47"/>
    </row>
    <row r="942" s="27" customFormat="1" ht="18" customHeight="1" spans="1:20">
      <c r="A942" s="34"/>
      <c r="B942" s="48">
        <v>6</v>
      </c>
      <c r="C942" s="48" t="s">
        <v>409</v>
      </c>
      <c r="D942" s="48" t="s">
        <v>410</v>
      </c>
      <c r="E942" s="48"/>
      <c r="F942" s="50"/>
      <c r="G942" s="48"/>
      <c r="H942" s="73">
        <f>+'材料表 '!$E$179</f>
        <v>0</v>
      </c>
      <c r="I942" s="52">
        <f>H942*I940</f>
        <v>0</v>
      </c>
      <c r="J942" s="53" t="s">
        <v>392</v>
      </c>
      <c r="K942" s="60"/>
      <c r="L942" s="69" t="s">
        <v>461</v>
      </c>
      <c r="M942" s="34" t="s">
        <v>462</v>
      </c>
      <c r="N942" s="34">
        <v>3.77</v>
      </c>
      <c r="O942" s="34">
        <f>O937</f>
        <v>3.9</v>
      </c>
      <c r="P942" s="34">
        <v>1</v>
      </c>
      <c r="Q942" s="44">
        <f t="shared" si="115"/>
        <v>14.703</v>
      </c>
      <c r="R942" s="71">
        <f>+Q942/R937</f>
        <v>3.42727272727273</v>
      </c>
      <c r="S942" s="47"/>
      <c r="T942" s="47"/>
    </row>
    <row r="943" s="27" customFormat="1" ht="18" customHeight="1" spans="1:20">
      <c r="A943" s="34"/>
      <c r="B943" s="48">
        <v>7</v>
      </c>
      <c r="C943" s="48" t="s">
        <v>412</v>
      </c>
      <c r="D943" s="72" t="s">
        <v>413</v>
      </c>
      <c r="E943" s="72"/>
      <c r="F943" s="77"/>
      <c r="G943" s="72"/>
      <c r="H943" s="73">
        <f>+'材料表 '!$E$180</f>
        <v>0.09</v>
      </c>
      <c r="I943" s="52">
        <f>(I940+I941+I942)*H943</f>
        <v>49.4886088577873</v>
      </c>
      <c r="J943" s="53" t="s">
        <v>392</v>
      </c>
      <c r="K943" s="60"/>
      <c r="L943" s="69" t="s">
        <v>463</v>
      </c>
      <c r="M943" s="34" t="s">
        <v>464</v>
      </c>
      <c r="N943" s="34">
        <f>0.15*0.2*7.85*10</f>
        <v>2.355</v>
      </c>
      <c r="O943" s="34">
        <v>1</v>
      </c>
      <c r="P943" s="34">
        <v>1</v>
      </c>
      <c r="Q943" s="44">
        <f t="shared" si="115"/>
        <v>2.355</v>
      </c>
      <c r="R943" s="71">
        <f>+Q943/R937</f>
        <v>0.548951048951049</v>
      </c>
      <c r="S943" s="47"/>
      <c r="T943" s="47"/>
    </row>
    <row r="944" s="27" customFormat="1" ht="18" customHeight="1" spans="1:20">
      <c r="A944" s="105" t="s">
        <v>144</v>
      </c>
      <c r="B944" s="48">
        <v>8</v>
      </c>
      <c r="C944" s="48" t="s">
        <v>363</v>
      </c>
      <c r="D944" s="106" t="s">
        <v>415</v>
      </c>
      <c r="E944" s="107"/>
      <c r="F944" s="108"/>
      <c r="G944" s="107"/>
      <c r="H944" s="51"/>
      <c r="I944" s="74">
        <f>SUM(I940:I943)</f>
        <v>599.362040610979</v>
      </c>
      <c r="J944" s="53" t="s">
        <v>416</v>
      </c>
      <c r="K944" s="60"/>
      <c r="L944" s="69" t="s">
        <v>465</v>
      </c>
      <c r="M944" s="34" t="s">
        <v>503</v>
      </c>
      <c r="N944" s="126">
        <v>7.034</v>
      </c>
      <c r="O944" s="34">
        <f>285/1000</f>
        <v>0.285</v>
      </c>
      <c r="P944" s="44">
        <f>P941</f>
        <v>2</v>
      </c>
      <c r="Q944" s="44">
        <f t="shared" si="115"/>
        <v>4.00938</v>
      </c>
      <c r="R944" s="84">
        <f>+Q944/R937</f>
        <v>0.934587412587412</v>
      </c>
      <c r="S944" s="79"/>
      <c r="T944" s="47"/>
    </row>
    <row r="945" s="27" customFormat="1" ht="18" customHeight="1" spans="1:20">
      <c r="A945" s="34"/>
      <c r="B945" s="109" t="s">
        <v>418</v>
      </c>
      <c r="C945" s="110"/>
      <c r="D945" s="110"/>
      <c r="E945" s="110"/>
      <c r="F945" s="110"/>
      <c r="G945" s="110"/>
      <c r="H945" s="110"/>
      <c r="I945" s="110"/>
      <c r="J945" s="110"/>
      <c r="K945" s="80"/>
      <c r="L945" s="69" t="s">
        <v>433</v>
      </c>
      <c r="M945" s="44" t="s">
        <v>504</v>
      </c>
      <c r="N945" s="82">
        <f>0.056*3*2.71+0.0675*3*2.71</f>
        <v>1.004055</v>
      </c>
      <c r="O945" s="44">
        <f>O937</f>
        <v>3.9</v>
      </c>
      <c r="P945" s="44">
        <v>1</v>
      </c>
      <c r="Q945" s="44">
        <f t="shared" si="115"/>
        <v>3.9158145</v>
      </c>
      <c r="R945" s="84">
        <f>+Q945/R937</f>
        <v>0.912777272727273</v>
      </c>
      <c r="S945" s="47">
        <f>0.16*P945*O945/R937</f>
        <v>0.145454545454545</v>
      </c>
      <c r="T945" s="47"/>
    </row>
    <row r="946" s="27" customFormat="1" ht="18" customHeight="1" spans="1:20">
      <c r="A946" s="34"/>
      <c r="B946" s="48">
        <v>1</v>
      </c>
      <c r="C946" s="48" t="s">
        <v>391</v>
      </c>
      <c r="D946" s="48" t="s">
        <v>396</v>
      </c>
      <c r="E946" s="48" t="s">
        <v>37</v>
      </c>
      <c r="F946" s="50"/>
      <c r="G946" s="48"/>
      <c r="H946" s="51" t="s">
        <v>399</v>
      </c>
      <c r="I946" s="51" t="s">
        <v>420</v>
      </c>
      <c r="J946" s="95" t="s">
        <v>421</v>
      </c>
      <c r="K946" s="92"/>
      <c r="L946" s="69" t="s">
        <v>433</v>
      </c>
      <c r="M946" s="44" t="s">
        <v>505</v>
      </c>
      <c r="N946" s="82">
        <f>0.056*3*2.71+0.0675*3*2.71</f>
        <v>1.004055</v>
      </c>
      <c r="O946" s="44">
        <f>1.4</f>
        <v>1.4</v>
      </c>
      <c r="P946" s="44">
        <v>1</v>
      </c>
      <c r="Q946" s="44">
        <f t="shared" si="115"/>
        <v>1.405677</v>
      </c>
      <c r="R946" s="84">
        <f>+Q946/R937</f>
        <v>0.327663636363636</v>
      </c>
      <c r="S946" s="47"/>
      <c r="T946" s="47"/>
    </row>
    <row r="947" s="27" customFormat="1" ht="18" customHeight="1" spans="1:20">
      <c r="A947" s="34"/>
      <c r="B947" s="48">
        <v>2</v>
      </c>
      <c r="C947" s="48"/>
      <c r="D947" s="111" t="s">
        <v>491</v>
      </c>
      <c r="E947" s="49" t="s">
        <v>423</v>
      </c>
      <c r="F947" s="112"/>
      <c r="G947" s="111"/>
      <c r="H947" s="113">
        <v>1</v>
      </c>
      <c r="I947" s="113">
        <f>+辅材及安装费!$G$3</f>
        <v>165</v>
      </c>
      <c r="J947" s="114">
        <f t="shared" ref="J947:J961" si="116">H947*I947</f>
        <v>165</v>
      </c>
      <c r="K947" s="92"/>
      <c r="L947" s="90" t="s">
        <v>524</v>
      </c>
      <c r="M947" s="44" t="s">
        <v>525</v>
      </c>
      <c r="N947" s="82">
        <f>0.075*0.03*1*7.95</f>
        <v>0.0178875</v>
      </c>
      <c r="O947" s="44">
        <v>1.25</v>
      </c>
      <c r="P947" s="44">
        <v>0</v>
      </c>
      <c r="Q947" s="44">
        <f t="shared" si="115"/>
        <v>0</v>
      </c>
      <c r="R947" s="84">
        <f>+Q947/R937</f>
        <v>0</v>
      </c>
      <c r="S947" s="47"/>
      <c r="T947" s="47"/>
    </row>
    <row r="948" s="27" customFormat="1" ht="18" customHeight="1" spans="1:20">
      <c r="A948" s="34"/>
      <c r="B948" s="48">
        <v>3</v>
      </c>
      <c r="C948" s="48"/>
      <c r="D948" s="115"/>
      <c r="E948" s="63"/>
      <c r="F948" s="116"/>
      <c r="G948" s="115"/>
      <c r="H948" s="117"/>
      <c r="I948" s="117"/>
      <c r="J948" s="118"/>
      <c r="K948" s="92"/>
      <c r="L948" s="90" t="s">
        <v>472</v>
      </c>
      <c r="M948" s="44"/>
      <c r="N948" s="82"/>
      <c r="O948" s="44"/>
      <c r="P948" s="44">
        <f>O943*P943*2</f>
        <v>2</v>
      </c>
      <c r="Q948" s="44">
        <f>+P948</f>
        <v>2</v>
      </c>
      <c r="R948" s="84">
        <f>+Q948/R937</f>
        <v>0.466200466200466</v>
      </c>
      <c r="S948" s="47"/>
      <c r="T948" s="47"/>
    </row>
    <row r="949" s="27" customFormat="1" ht="18" customHeight="1" spans="1:20">
      <c r="A949" s="34"/>
      <c r="B949" s="48">
        <v>4</v>
      </c>
      <c r="C949" s="48"/>
      <c r="D949" s="85" t="s">
        <v>426</v>
      </c>
      <c r="E949" s="48" t="s">
        <v>392</v>
      </c>
      <c r="F949" s="50"/>
      <c r="G949" s="48"/>
      <c r="H949" s="86"/>
      <c r="I949" s="86"/>
      <c r="J949" s="95">
        <f>SUM(J947:J947)</f>
        <v>165</v>
      </c>
      <c r="K949" s="92"/>
      <c r="L949" s="90"/>
      <c r="M949" s="44"/>
      <c r="N949" s="82"/>
      <c r="O949" s="44"/>
      <c r="P949" s="44"/>
      <c r="Q949" s="44"/>
      <c r="R949" s="84"/>
      <c r="S949" s="47"/>
      <c r="T949" s="47"/>
    </row>
    <row r="950" s="27" customFormat="1" ht="22" customHeight="1" spans="1:20">
      <c r="A950" s="34"/>
      <c r="B950" s="48">
        <v>1</v>
      </c>
      <c r="C950" s="48" t="s">
        <v>394</v>
      </c>
      <c r="D950" s="88" t="s">
        <v>431</v>
      </c>
      <c r="E950" s="72" t="str">
        <f>+VLOOKUP(D950,'材料表 '!C:F,2,0)</f>
        <v>kg</v>
      </c>
      <c r="F950" s="77">
        <f>+SUMIF($L$937:$L$975,D950,$R$937:$R$975)</f>
        <v>11.5997668997669</v>
      </c>
      <c r="G950" s="89">
        <f>+VLOOKUP(D950,'材料表 '!C:F,4,0)</f>
        <v>0.03</v>
      </c>
      <c r="H950" s="74">
        <f t="shared" ref="H950:H961" si="117">F950*(G950+1)</f>
        <v>11.9477599067599</v>
      </c>
      <c r="I950" s="74">
        <f>+VLOOKUP(D950,'材料表 '!C:F,3,0)</f>
        <v>3.80530973451327</v>
      </c>
      <c r="J950" s="95">
        <f t="shared" si="116"/>
        <v>45.4649270788208</v>
      </c>
      <c r="K950" s="92">
        <f ca="1">H950*K936</f>
        <v>4111.11671142617</v>
      </c>
      <c r="L950" s="90"/>
      <c r="M950" s="44"/>
      <c r="N950" s="82"/>
      <c r="O950" s="44"/>
      <c r="P950" s="44"/>
      <c r="Q950" s="44"/>
      <c r="R950" s="84"/>
      <c r="S950" s="47"/>
      <c r="T950" s="47"/>
    </row>
    <row r="951" s="27" customFormat="1" ht="18" customHeight="1" spans="1:20">
      <c r="A951" s="34"/>
      <c r="B951" s="48">
        <v>2</v>
      </c>
      <c r="C951" s="48"/>
      <c r="D951" s="88" t="s">
        <v>461</v>
      </c>
      <c r="E951" s="72" t="str">
        <f>+VLOOKUP(D951,'材料表 '!C:F,2,0)</f>
        <v>kg</v>
      </c>
      <c r="F951" s="77">
        <f t="shared" ref="F951:F959" si="118">+SUMIF($L$937:$L$975,D951,$R$937:$R$975)</f>
        <v>3.42727272727273</v>
      </c>
      <c r="G951" s="89">
        <f>+VLOOKUP(D951,'材料表 '!C:F,4,0)</f>
        <v>0.03</v>
      </c>
      <c r="H951" s="74">
        <f t="shared" si="117"/>
        <v>3.53009090909091</v>
      </c>
      <c r="I951" s="74">
        <f>+VLOOKUP(D951,'材料表 '!C:F,3,0)</f>
        <v>3.53982300884956</v>
      </c>
      <c r="J951" s="95">
        <f t="shared" si="116"/>
        <v>12.4958970233307</v>
      </c>
      <c r="K951" s="92">
        <f ca="1">H951*K936</f>
        <v>1214.67252794444</v>
      </c>
      <c r="L951" s="90"/>
      <c r="M951" s="44"/>
      <c r="N951" s="82"/>
      <c r="O951" s="44"/>
      <c r="P951" s="44"/>
      <c r="Q951" s="44"/>
      <c r="R951" s="84"/>
      <c r="S951" s="47"/>
      <c r="T951" s="47"/>
    </row>
    <row r="952" s="27" customFormat="1" ht="18" customHeight="1" spans="1:20">
      <c r="A952" s="34"/>
      <c r="B952" s="48">
        <v>3</v>
      </c>
      <c r="C952" s="48"/>
      <c r="D952" s="88" t="s">
        <v>465</v>
      </c>
      <c r="E952" s="72" t="str">
        <f>+VLOOKUP(D952,'材料表 '!C:F,2,0)</f>
        <v>kg</v>
      </c>
      <c r="F952" s="77">
        <f t="shared" si="118"/>
        <v>0.934587412587412</v>
      </c>
      <c r="G952" s="89">
        <f>+VLOOKUP(D952,'材料表 '!C:F,4,0)</f>
        <v>0.03</v>
      </c>
      <c r="H952" s="74">
        <f t="shared" si="117"/>
        <v>0.962625034965034</v>
      </c>
      <c r="I952" s="74">
        <f>+VLOOKUP(D952,'材料表 '!C:F,3,0)</f>
        <v>6.01769911504425</v>
      </c>
      <c r="J952" s="95">
        <f t="shared" si="116"/>
        <v>5.79278782102853</v>
      </c>
      <c r="K952" s="92">
        <f ca="1">H952*K936</f>
        <v>331.230615526754</v>
      </c>
      <c r="L952" s="90"/>
      <c r="M952" s="44"/>
      <c r="N952" s="82"/>
      <c r="O952" s="44"/>
      <c r="P952" s="44"/>
      <c r="Q952" s="44">
        <f>+P952*O952</f>
        <v>0</v>
      </c>
      <c r="R952" s="84">
        <f>+Q952/R937</f>
        <v>0</v>
      </c>
      <c r="S952" s="47"/>
      <c r="T952" s="47"/>
    </row>
    <row r="953" s="27" customFormat="1" ht="18" customHeight="1" spans="1:20">
      <c r="A953" s="34"/>
      <c r="B953" s="48">
        <v>4</v>
      </c>
      <c r="C953" s="48"/>
      <c r="D953" s="88" t="s">
        <v>463</v>
      </c>
      <c r="E953" s="72" t="str">
        <f>+VLOOKUP(D953,'材料表 '!C:F,2,0)</f>
        <v>kg</v>
      </c>
      <c r="F953" s="77">
        <f t="shared" si="118"/>
        <v>0.548951048951049</v>
      </c>
      <c r="G953" s="89">
        <f>+VLOOKUP(D953,'材料表 '!C:F,4,0)</f>
        <v>0.03</v>
      </c>
      <c r="H953" s="74">
        <f t="shared" si="117"/>
        <v>0.56541958041958</v>
      </c>
      <c r="I953" s="74">
        <f>+VLOOKUP(D953,'材料表 '!C:F,3,0)</f>
        <v>6.01769911504425</v>
      </c>
      <c r="J953" s="95">
        <f t="shared" si="116"/>
        <v>3.4025249087196</v>
      </c>
      <c r="K953" s="92">
        <f ca="1">H953*K936</f>
        <v>194.555791560168</v>
      </c>
      <c r="L953" s="90" t="s">
        <v>474</v>
      </c>
      <c r="M953" s="44"/>
      <c r="N953" s="82"/>
      <c r="O953" s="44"/>
      <c r="P953" s="44"/>
      <c r="Q953" s="44">
        <f>+O943*P943*4</f>
        <v>4</v>
      </c>
      <c r="R953" s="84">
        <f>+Q953/R937</f>
        <v>0.932400932400932</v>
      </c>
      <c r="S953" s="47"/>
      <c r="T953" s="47"/>
    </row>
    <row r="954" s="27" customFormat="1" ht="18" customHeight="1" spans="1:20">
      <c r="A954" s="34"/>
      <c r="B954" s="48">
        <v>5</v>
      </c>
      <c r="C954" s="48"/>
      <c r="D954" s="88" t="s">
        <v>433</v>
      </c>
      <c r="E954" s="72" t="str">
        <f>+VLOOKUP(D954,'材料表 '!C:F,2,0)</f>
        <v>kg</v>
      </c>
      <c r="F954" s="77">
        <f t="shared" si="118"/>
        <v>1.24044090909091</v>
      </c>
      <c r="G954" s="89">
        <f>+VLOOKUP(D954,'材料表 '!C:F,4,0)</f>
        <v>0.03</v>
      </c>
      <c r="H954" s="74">
        <f t="shared" si="117"/>
        <v>1.27765413636364</v>
      </c>
      <c r="I954" s="74">
        <f>+VLOOKUP(D954,'材料表 '!C:F,3,0)</f>
        <v>26.1150442477876</v>
      </c>
      <c r="J954" s="95">
        <f t="shared" si="116"/>
        <v>33.3659943045052</v>
      </c>
      <c r="K954" s="92">
        <f ca="1">H954*K936</f>
        <v>439.629295568241</v>
      </c>
      <c r="L954" s="92" t="s">
        <v>476</v>
      </c>
      <c r="M954" s="44"/>
      <c r="N954" s="82"/>
      <c r="O954" s="44"/>
      <c r="P954" s="44"/>
      <c r="Q954" s="44">
        <f>8*8*(O937*2+P937*2)/500</f>
        <v>1.28</v>
      </c>
      <c r="R954" s="84">
        <f>+Q954/R937</f>
        <v>0.298368298368298</v>
      </c>
      <c r="S954" s="47"/>
      <c r="T954" s="47"/>
    </row>
    <row r="955" s="27" customFormat="1" ht="18" customHeight="1" spans="1:20">
      <c r="A955" s="34"/>
      <c r="B955" s="48">
        <v>6</v>
      </c>
      <c r="C955" s="48"/>
      <c r="D955" s="88" t="s">
        <v>434</v>
      </c>
      <c r="E955" s="72" t="str">
        <f>+VLOOKUP(D955,'材料表 '!C:F,2,0)</f>
        <v>m2</v>
      </c>
      <c r="F955" s="77">
        <f t="shared" si="118"/>
        <v>0</v>
      </c>
      <c r="G955" s="89">
        <f>+VLOOKUP(D955,'材料表 '!C:F,4,0)</f>
        <v>0</v>
      </c>
      <c r="H955" s="74">
        <f t="shared" si="117"/>
        <v>0</v>
      </c>
      <c r="I955" s="74">
        <f>+VLOOKUP(D955,'材料表 '!C:F,3,0)</f>
        <v>49.5575221238938</v>
      </c>
      <c r="J955" s="95">
        <f t="shared" si="116"/>
        <v>0</v>
      </c>
      <c r="K955" s="92">
        <f ca="1">H955*K936</f>
        <v>0</v>
      </c>
      <c r="L955" s="92" t="s">
        <v>499</v>
      </c>
      <c r="M955" s="44"/>
      <c r="N955" s="82"/>
      <c r="O955" s="44"/>
      <c r="P955" s="44"/>
      <c r="Q955" s="44">
        <v>0</v>
      </c>
      <c r="R955" s="84">
        <f>Q955/R937</f>
        <v>0</v>
      </c>
      <c r="S955" s="47"/>
      <c r="T955" s="47"/>
    </row>
    <row r="956" s="27" customFormat="1" ht="18" customHeight="1" spans="1:20">
      <c r="A956" s="34"/>
      <c r="B956" s="48">
        <v>7</v>
      </c>
      <c r="C956" s="48"/>
      <c r="D956" s="88" t="s">
        <v>472</v>
      </c>
      <c r="E956" s="72" t="str">
        <f>+VLOOKUP(D956,'材料表 '!C:F,2,0)</f>
        <v>套</v>
      </c>
      <c r="F956" s="77">
        <f t="shared" si="118"/>
        <v>0.466200466200466</v>
      </c>
      <c r="G956" s="89">
        <f>+VLOOKUP(D956,'材料表 '!C:F,4,0)</f>
        <v>0</v>
      </c>
      <c r="H956" s="74">
        <f t="shared" si="117"/>
        <v>0.466200466200466</v>
      </c>
      <c r="I956" s="74">
        <f>+VLOOKUP(D956,'材料表 '!C:F,3,0)</f>
        <v>2.47787610619469</v>
      </c>
      <c r="J956" s="95">
        <f t="shared" si="116"/>
        <v>1.15518699589496</v>
      </c>
      <c r="K956" s="92">
        <f ca="1">H956*K936</f>
        <v>160.415386853147</v>
      </c>
      <c r="L956" s="92"/>
      <c r="M956" s="44"/>
      <c r="N956" s="82"/>
      <c r="O956" s="44"/>
      <c r="P956" s="44"/>
      <c r="Q956" s="44"/>
      <c r="R956" s="84"/>
      <c r="S956" s="47"/>
      <c r="T956" s="47"/>
    </row>
    <row r="957" s="27" customFormat="1" ht="18" customHeight="1" spans="1:20">
      <c r="A957" s="34"/>
      <c r="B957" s="48">
        <v>8</v>
      </c>
      <c r="C957" s="48"/>
      <c r="D957" s="88" t="s">
        <v>474</v>
      </c>
      <c r="E957" s="72" t="str">
        <f>+VLOOKUP(D957,'材料表 '!C:F,2,0)</f>
        <v>套</v>
      </c>
      <c r="F957" s="77">
        <f t="shared" si="118"/>
        <v>0.932400932400932</v>
      </c>
      <c r="G957" s="89">
        <f>+VLOOKUP(D957,'材料表 '!C:F,4,0)</f>
        <v>0</v>
      </c>
      <c r="H957" s="74">
        <f t="shared" si="117"/>
        <v>0.932400932400932</v>
      </c>
      <c r="I957" s="74">
        <f>+VLOOKUP(D957,'材料表 '!C:F,3,0)</f>
        <v>2.21238938053097</v>
      </c>
      <c r="J957" s="95">
        <f t="shared" si="116"/>
        <v>2.062833921241</v>
      </c>
      <c r="K957" s="92">
        <f ca="1">H957*K936</f>
        <v>320.830773706294</v>
      </c>
      <c r="L957" s="92"/>
      <c r="M957" s="44"/>
      <c r="N957" s="82"/>
      <c r="O957" s="44"/>
      <c r="P957" s="44"/>
      <c r="Q957" s="44"/>
      <c r="R957" s="84"/>
      <c r="S957" s="47"/>
      <c r="T957" s="47"/>
    </row>
    <row r="958" s="27" customFormat="1" ht="18" customHeight="1" spans="1:20">
      <c r="A958" s="34"/>
      <c r="B958" s="48">
        <v>9</v>
      </c>
      <c r="C958" s="48"/>
      <c r="D958" s="88" t="s">
        <v>476</v>
      </c>
      <c r="E958" s="72" t="str">
        <f>+VLOOKUP(D958,'材料表 '!C:F,2,0)</f>
        <v>支</v>
      </c>
      <c r="F958" s="77">
        <f t="shared" si="118"/>
        <v>0.298368298368298</v>
      </c>
      <c r="G958" s="89">
        <f>+VLOOKUP(D958,'材料表 '!C:F,4,0)</f>
        <v>0.15</v>
      </c>
      <c r="H958" s="74">
        <f t="shared" si="117"/>
        <v>0.343123543123543</v>
      </c>
      <c r="I958" s="74">
        <f>+VLOOKUP(D958,'材料表 '!C:F,3,0)</f>
        <v>11.5044247787611</v>
      </c>
      <c r="J958" s="95">
        <f t="shared" si="116"/>
        <v>3.94743899168679</v>
      </c>
      <c r="K958" s="92">
        <f ca="1">H958*K936</f>
        <v>118.065724723916</v>
      </c>
      <c r="L958" s="90"/>
      <c r="M958" s="44"/>
      <c r="N958" s="82"/>
      <c r="O958" s="34"/>
      <c r="P958" s="44"/>
      <c r="Q958" s="44"/>
      <c r="R958" s="119"/>
      <c r="S958" s="47"/>
      <c r="T958" s="47"/>
    </row>
    <row r="959" s="27" customFormat="1" ht="23" customHeight="1" spans="1:20">
      <c r="A959" s="34"/>
      <c r="B959" s="48">
        <v>10</v>
      </c>
      <c r="C959" s="48"/>
      <c r="D959" s="88" t="s">
        <v>499</v>
      </c>
      <c r="E959" s="72" t="str">
        <f>+VLOOKUP(D959,'材料表 '!C:F,2,0)</f>
        <v>套</v>
      </c>
      <c r="F959" s="77">
        <f t="shared" si="118"/>
        <v>0</v>
      </c>
      <c r="G959" s="89">
        <f>+VLOOKUP(D959,'材料表 '!C:F,4,0)</f>
        <v>0</v>
      </c>
      <c r="H959" s="74">
        <f t="shared" si="117"/>
        <v>0</v>
      </c>
      <c r="I959" s="74">
        <f>+VLOOKUP(D959,'材料表 '!C:F,3,0)</f>
        <v>1.32743362831858</v>
      </c>
      <c r="J959" s="95">
        <f t="shared" si="116"/>
        <v>0</v>
      </c>
      <c r="K959" s="92">
        <f ca="1">H959*K936</f>
        <v>0</v>
      </c>
      <c r="L959" s="92"/>
      <c r="M959" s="120"/>
      <c r="N959" s="82"/>
      <c r="O959" s="44"/>
      <c r="P959" s="44"/>
      <c r="Q959" s="44"/>
      <c r="R959" s="84"/>
      <c r="S959" s="47"/>
      <c r="T959" s="47"/>
    </row>
    <row r="960" s="27" customFormat="1" ht="20" customHeight="1" spans="1:20">
      <c r="A960" s="34"/>
      <c r="B960" s="48">
        <v>11</v>
      </c>
      <c r="C960" s="48"/>
      <c r="D960" s="88"/>
      <c r="E960" s="72"/>
      <c r="F960" s="77"/>
      <c r="G960" s="89"/>
      <c r="H960" s="74"/>
      <c r="I960" s="74"/>
      <c r="J960" s="95"/>
      <c r="K960" s="92">
        <f ca="1">H960*K936</f>
        <v>0</v>
      </c>
      <c r="L960" s="92"/>
      <c r="M960" s="44"/>
      <c r="N960" s="82"/>
      <c r="O960" s="44"/>
      <c r="P960" s="44"/>
      <c r="Q960" s="44"/>
      <c r="R960" s="84"/>
      <c r="S960" s="47"/>
      <c r="T960" s="47"/>
    </row>
    <row r="961" s="27" customFormat="1" ht="24" customHeight="1" spans="1:20">
      <c r="A961" s="34"/>
      <c r="B961" s="48">
        <v>12</v>
      </c>
      <c r="C961" s="48"/>
      <c r="D961" s="210" t="s">
        <v>527</v>
      </c>
      <c r="E961" s="72" t="str">
        <f>+VLOOKUP(D961,'材料表 '!C:F,2,0)</f>
        <v>m2</v>
      </c>
      <c r="F961" s="77">
        <v>1</v>
      </c>
      <c r="G961" s="89">
        <f>+VLOOKUP(D961,'材料表 '!C:F,4,0)</f>
        <v>0.02</v>
      </c>
      <c r="H961" s="74">
        <f t="shared" si="117"/>
        <v>1.02</v>
      </c>
      <c r="I961" s="74">
        <f>+VLOOKUP(D961,'材料表 '!C:F,3,0)</f>
        <v>261.946902654867</v>
      </c>
      <c r="J961" s="95">
        <f t="shared" si="116"/>
        <v>267.185840707964</v>
      </c>
      <c r="K961" s="92">
        <f ca="1">H961*K936</f>
        <v>350.972824896</v>
      </c>
      <c r="L961" s="92"/>
      <c r="M961" s="44"/>
      <c r="N961" s="44"/>
      <c r="O961" s="44"/>
      <c r="P961" s="44"/>
      <c r="Q961" s="44"/>
      <c r="R961" s="84"/>
      <c r="S961" s="47"/>
      <c r="T961" s="47"/>
    </row>
    <row r="962" s="27" customFormat="1" ht="18" customHeight="1" spans="1:20">
      <c r="A962" s="34"/>
      <c r="B962" s="48">
        <v>13</v>
      </c>
      <c r="C962" s="48"/>
      <c r="D962" s="88"/>
      <c r="E962" s="72"/>
      <c r="F962" s="77"/>
      <c r="G962" s="89"/>
      <c r="H962" s="74"/>
      <c r="I962" s="74"/>
      <c r="J962" s="95"/>
      <c r="K962" s="92">
        <f ca="1">H962*K936</f>
        <v>0</v>
      </c>
      <c r="L962" s="92"/>
      <c r="M962" s="44"/>
      <c r="N962" s="44"/>
      <c r="O962" s="44"/>
      <c r="P962" s="44"/>
      <c r="Q962" s="44"/>
      <c r="R962" s="84"/>
      <c r="S962" s="47"/>
      <c r="T962" s="47"/>
    </row>
    <row r="963" s="27" customFormat="1" ht="24" customHeight="1" spans="1:20">
      <c r="A963" s="34"/>
      <c r="B963" s="48">
        <v>14</v>
      </c>
      <c r="C963" s="48"/>
      <c r="D963" s="88"/>
      <c r="E963" s="72"/>
      <c r="F963" s="77"/>
      <c r="G963" s="89"/>
      <c r="H963" s="74"/>
      <c r="I963" s="74"/>
      <c r="J963" s="95"/>
      <c r="K963" s="92">
        <f ca="1">H963*K936</f>
        <v>0</v>
      </c>
      <c r="L963" s="92"/>
      <c r="M963" s="44"/>
      <c r="N963" s="44"/>
      <c r="O963" s="44"/>
      <c r="P963" s="44"/>
      <c r="Q963" s="44"/>
      <c r="R963" s="84"/>
      <c r="S963" s="47"/>
      <c r="T963" s="47"/>
    </row>
    <row r="964" s="27" customFormat="1" ht="18" customHeight="1" spans="1:20">
      <c r="A964" s="34"/>
      <c r="B964" s="48">
        <v>15</v>
      </c>
      <c r="C964" s="48"/>
      <c r="D964" s="88"/>
      <c r="E964" s="72"/>
      <c r="F964" s="77"/>
      <c r="G964" s="89"/>
      <c r="H964" s="74"/>
      <c r="I964" s="74"/>
      <c r="J964" s="95"/>
      <c r="K964" s="92"/>
      <c r="L964" s="92"/>
      <c r="M964" s="44"/>
      <c r="N964" s="44"/>
      <c r="O964" s="44"/>
      <c r="P964" s="44"/>
      <c r="Q964" s="44"/>
      <c r="R964" s="84"/>
      <c r="S964" s="47"/>
      <c r="T964" s="47"/>
    </row>
    <row r="965" s="27" customFormat="1" ht="18" customHeight="1" spans="1:20">
      <c r="A965" s="34"/>
      <c r="B965" s="48">
        <v>16</v>
      </c>
      <c r="C965" s="48"/>
      <c r="D965" s="88"/>
      <c r="E965" s="72"/>
      <c r="F965" s="77"/>
      <c r="G965" s="89"/>
      <c r="H965" s="74"/>
      <c r="I965" s="74"/>
      <c r="J965" s="95"/>
      <c r="K965" s="92"/>
      <c r="L965" s="92"/>
      <c r="M965" s="44"/>
      <c r="N965" s="44"/>
      <c r="O965" s="44"/>
      <c r="P965" s="44"/>
      <c r="Q965" s="44"/>
      <c r="R965" s="84"/>
      <c r="S965" s="47"/>
      <c r="T965" s="47"/>
    </row>
    <row r="966" s="27" customFormat="1" ht="18" customHeight="1" spans="1:20">
      <c r="A966" s="34"/>
      <c r="B966" s="48">
        <v>17</v>
      </c>
      <c r="C966" s="48"/>
      <c r="D966" s="121"/>
      <c r="E966" s="72"/>
      <c r="F966" s="77"/>
      <c r="G966" s="89"/>
      <c r="H966" s="74"/>
      <c r="I966" s="74"/>
      <c r="J966" s="95"/>
      <c r="K966" s="92"/>
      <c r="L966" s="92"/>
      <c r="M966" s="44"/>
      <c r="N966" s="44"/>
      <c r="O966" s="44"/>
      <c r="P966" s="44"/>
      <c r="Q966" s="101"/>
      <c r="R966" s="84"/>
      <c r="S966" s="47"/>
      <c r="T966" s="47"/>
    </row>
    <row r="967" s="27" customFormat="1" ht="18" customHeight="1" spans="1:20">
      <c r="A967" s="34"/>
      <c r="B967" s="48">
        <v>18</v>
      </c>
      <c r="C967" s="48"/>
      <c r="D967" s="88"/>
      <c r="E967" s="72"/>
      <c r="F967" s="77"/>
      <c r="G967" s="89"/>
      <c r="H967" s="74"/>
      <c r="I967" s="74"/>
      <c r="J967" s="95"/>
      <c r="K967" s="92"/>
      <c r="L967" s="92"/>
      <c r="M967" s="44"/>
      <c r="N967" s="44"/>
      <c r="O967" s="44"/>
      <c r="P967" s="44"/>
      <c r="Q967" s="44"/>
      <c r="R967" s="84"/>
      <c r="S967" s="47"/>
      <c r="T967" s="47"/>
    </row>
    <row r="968" s="27" customFormat="1" ht="18" customHeight="1" spans="1:20">
      <c r="A968" s="34"/>
      <c r="B968" s="48">
        <v>19</v>
      </c>
      <c r="C968" s="48"/>
      <c r="D968" s="27"/>
      <c r="E968" s="72"/>
      <c r="F968" s="77"/>
      <c r="G968" s="89"/>
      <c r="H968" s="74"/>
      <c r="I968" s="74"/>
      <c r="J968" s="95"/>
      <c r="K968" s="92"/>
      <c r="L968" s="92"/>
      <c r="M968" s="44"/>
      <c r="N968" s="44"/>
      <c r="O968" s="44"/>
      <c r="P968" s="44"/>
      <c r="Q968" s="44"/>
      <c r="R968" s="84"/>
      <c r="S968" s="47"/>
      <c r="T968" s="47"/>
    </row>
    <row r="969" s="27" customFormat="1" ht="18" customHeight="1" spans="1:20">
      <c r="A969" s="34"/>
      <c r="B969" s="48">
        <v>20</v>
      </c>
      <c r="C969" s="48"/>
      <c r="D969" s="88"/>
      <c r="E969" s="72"/>
      <c r="F969" s="77"/>
      <c r="G969" s="89"/>
      <c r="H969" s="74"/>
      <c r="I969" s="74"/>
      <c r="J969" s="95"/>
      <c r="K969" s="92"/>
      <c r="L969" s="92"/>
      <c r="M969" s="44"/>
      <c r="N969" s="44"/>
      <c r="O969" s="44"/>
      <c r="P969" s="44"/>
      <c r="Q969" s="44"/>
      <c r="R969" s="84"/>
      <c r="S969" s="47"/>
      <c r="T969" s="47"/>
    </row>
    <row r="970" s="27" customFormat="1" ht="18" customHeight="1" spans="1:20">
      <c r="A970" s="34"/>
      <c r="B970" s="48">
        <v>21</v>
      </c>
      <c r="C970" s="48"/>
      <c r="D970" s="88"/>
      <c r="E970" s="72"/>
      <c r="F970" s="77"/>
      <c r="G970" s="89"/>
      <c r="H970" s="74"/>
      <c r="I970" s="74"/>
      <c r="J970" s="95"/>
      <c r="K970" s="92"/>
      <c r="L970" s="92"/>
      <c r="M970" s="44"/>
      <c r="N970" s="44"/>
      <c r="O970" s="44"/>
      <c r="P970" s="44"/>
      <c r="Q970" s="44"/>
      <c r="R970" s="84"/>
      <c r="S970" s="47"/>
      <c r="T970" s="47"/>
    </row>
    <row r="971" s="27" customFormat="1" ht="18" customHeight="1" spans="1:20">
      <c r="A971" s="34"/>
      <c r="B971" s="48">
        <v>22</v>
      </c>
      <c r="C971" s="48"/>
      <c r="D971" s="27"/>
      <c r="E971" s="72"/>
      <c r="F971" s="77"/>
      <c r="G971" s="72"/>
      <c r="H971" s="74"/>
      <c r="I971" s="74"/>
      <c r="J971" s="95"/>
      <c r="K971" s="92"/>
      <c r="L971" s="92"/>
      <c r="M971" s="44"/>
      <c r="N971" s="44"/>
      <c r="O971" s="44"/>
      <c r="P971" s="44"/>
      <c r="Q971" s="44"/>
      <c r="R971" s="62"/>
      <c r="S971" s="47"/>
      <c r="T971" s="47"/>
    </row>
    <row r="972" s="27" customFormat="1" ht="18" customHeight="1" spans="1:20">
      <c r="A972" s="34"/>
      <c r="B972" s="48">
        <v>23</v>
      </c>
      <c r="C972" s="48"/>
      <c r="D972" s="88"/>
      <c r="E972" s="72"/>
      <c r="F972" s="77"/>
      <c r="G972" s="89"/>
      <c r="H972" s="74"/>
      <c r="I972" s="74"/>
      <c r="J972" s="95"/>
      <c r="K972" s="92"/>
      <c r="L972" s="92"/>
      <c r="M972" s="44"/>
      <c r="N972" s="44"/>
      <c r="O972" s="44"/>
      <c r="P972" s="44"/>
      <c r="Q972" s="44"/>
      <c r="R972" s="62"/>
      <c r="S972" s="47"/>
      <c r="T972" s="47"/>
    </row>
    <row r="973" s="27" customFormat="1" ht="18" customHeight="1" spans="1:20">
      <c r="A973" s="34"/>
      <c r="B973" s="48">
        <v>24</v>
      </c>
      <c r="C973" s="48"/>
      <c r="D973" s="88" t="s">
        <v>478</v>
      </c>
      <c r="E973" s="72" t="s">
        <v>43</v>
      </c>
      <c r="F973" s="77"/>
      <c r="G973" s="72">
        <v>1</v>
      </c>
      <c r="H973" s="74">
        <v>1</v>
      </c>
      <c r="I973" s="74">
        <f>+辅材及安装费!$E$3</f>
        <v>5</v>
      </c>
      <c r="J973" s="95">
        <f t="shared" ref="J972:J975" si="119">H973*I973</f>
        <v>5</v>
      </c>
      <c r="K973" s="92"/>
      <c r="L973" s="92"/>
      <c r="M973" s="44"/>
      <c r="N973" s="44"/>
      <c r="O973" s="44"/>
      <c r="P973" s="44"/>
      <c r="Q973" s="44"/>
      <c r="R973" s="62"/>
      <c r="S973" s="47"/>
      <c r="T973" s="47"/>
    </row>
    <row r="974" s="27" customFormat="1" ht="18" customHeight="1" spans="1:20">
      <c r="A974" s="34"/>
      <c r="B974" s="48">
        <v>25</v>
      </c>
      <c r="C974" s="48"/>
      <c r="D974" s="93" t="s">
        <v>442</v>
      </c>
      <c r="E974" s="72"/>
      <c r="F974" s="77"/>
      <c r="G974" s="72"/>
      <c r="H974" s="74"/>
      <c r="I974" s="74"/>
      <c r="J974" s="95">
        <f>SUM(J950:J973)</f>
        <v>379.873431753192</v>
      </c>
      <c r="K974" s="92"/>
      <c r="L974" s="94"/>
      <c r="M974" s="27"/>
      <c r="N974" s="83"/>
      <c r="O974" s="83"/>
      <c r="P974" s="83"/>
      <c r="Q974" s="83"/>
      <c r="R974" s="87"/>
      <c r="S974" s="47"/>
      <c r="T974" s="47"/>
    </row>
    <row r="975" s="27" customFormat="1" ht="18" customHeight="1" spans="1:20">
      <c r="A975" s="34"/>
      <c r="B975" s="48">
        <v>1</v>
      </c>
      <c r="C975" s="48" t="s">
        <v>443</v>
      </c>
      <c r="D975" s="48" t="s">
        <v>444</v>
      </c>
      <c r="E975" s="72" t="s">
        <v>43</v>
      </c>
      <c r="F975" s="50"/>
      <c r="G975" s="48"/>
      <c r="H975" s="51">
        <v>1</v>
      </c>
      <c r="I975" s="74">
        <f>+辅材及安装费!$F$3</f>
        <v>5</v>
      </c>
      <c r="J975" s="95">
        <f t="shared" si="119"/>
        <v>5</v>
      </c>
      <c r="K975" s="118"/>
      <c r="L975" s="96"/>
      <c r="M975" s="97"/>
      <c r="N975" s="98"/>
      <c r="O975" s="98"/>
      <c r="P975" s="98"/>
      <c r="Q975" s="98"/>
      <c r="R975" s="99"/>
      <c r="S975" s="47"/>
      <c r="T975" s="47"/>
    </row>
    <row r="976" s="26" customFormat="1" ht="30" customHeight="1" spans="1:20">
      <c r="A976" s="28"/>
      <c r="B976" s="29" t="s">
        <v>386</v>
      </c>
      <c r="C976" s="29"/>
      <c r="D976" s="29"/>
      <c r="E976" s="29"/>
      <c r="F976" s="29"/>
      <c r="G976" s="29"/>
      <c r="H976" s="29"/>
      <c r="I976" s="29"/>
      <c r="J976" s="29"/>
      <c r="K976" s="29"/>
      <c r="L976" s="30"/>
      <c r="M976" s="31"/>
      <c r="N976" s="31"/>
      <c r="O976" s="31"/>
      <c r="P976" s="31"/>
      <c r="Q976" s="31"/>
      <c r="R976" s="32"/>
      <c r="S976" s="33"/>
      <c r="T976" s="33"/>
    </row>
    <row r="977" s="27" customFormat="1" ht="33.75" customHeight="1" spans="1:20">
      <c r="A977" s="34">
        <v>14</v>
      </c>
      <c r="B977" s="35" t="s">
        <v>1</v>
      </c>
      <c r="C977" s="35" t="s">
        <v>387</v>
      </c>
      <c r="D977" s="36" t="str">
        <f>+A985</f>
        <v>浅灰色铝板4</v>
      </c>
      <c r="E977" s="37"/>
      <c r="F977" s="38" t="s">
        <v>119</v>
      </c>
      <c r="G977" s="39"/>
      <c r="H977" s="35" t="s">
        <v>388</v>
      </c>
      <c r="I977" s="40" t="s">
        <v>389</v>
      </c>
      <c r="J977" s="41" t="s">
        <v>37</v>
      </c>
      <c r="K977" s="42">
        <f ca="1">VLOOKUP(A977,排屋工程量清单!$A$59:$D$86,4,)</f>
        <v>145.19292</v>
      </c>
      <c r="L977" s="43"/>
      <c r="M977" s="44"/>
      <c r="N977" s="44"/>
      <c r="O977" s="44"/>
      <c r="P977" s="45"/>
      <c r="Q977" s="44"/>
      <c r="R977" s="46"/>
      <c r="S977" s="47"/>
      <c r="T977" s="47"/>
    </row>
    <row r="978" s="27" customFormat="1" ht="25" customHeight="1" spans="1:20">
      <c r="A978" s="34"/>
      <c r="B978" s="48">
        <v>1</v>
      </c>
      <c r="C978" s="49" t="s">
        <v>390</v>
      </c>
      <c r="D978" s="48" t="s">
        <v>391</v>
      </c>
      <c r="E978" s="48"/>
      <c r="F978" s="50"/>
      <c r="G978" s="48"/>
      <c r="H978" s="51"/>
      <c r="I978" s="52">
        <f>J990</f>
        <v>165</v>
      </c>
      <c r="J978" s="53" t="s">
        <v>392</v>
      </c>
      <c r="K978" s="54"/>
      <c r="L978" s="55" t="s">
        <v>528</v>
      </c>
      <c r="M978" s="56" t="s">
        <v>205</v>
      </c>
      <c r="N978" s="57"/>
      <c r="O978" s="57">
        <v>3.95</v>
      </c>
      <c r="P978" s="57">
        <v>6.825</v>
      </c>
      <c r="Q978" s="57">
        <v>1</v>
      </c>
      <c r="R978" s="58">
        <f>+Q978*P978*O978</f>
        <v>26.95875</v>
      </c>
      <c r="S978" s="47"/>
      <c r="T978" s="47"/>
    </row>
    <row r="979" s="27" customFormat="1" ht="18" customHeight="1" spans="1:20">
      <c r="A979" s="34"/>
      <c r="B979" s="48">
        <v>2</v>
      </c>
      <c r="C979" s="59"/>
      <c r="D979" s="48" t="s">
        <v>394</v>
      </c>
      <c r="E979" s="48"/>
      <c r="F979" s="50"/>
      <c r="G979" s="48"/>
      <c r="H979" s="51"/>
      <c r="I979" s="52">
        <f>J1015</f>
        <v>395.489499216058</v>
      </c>
      <c r="J979" s="53" t="s">
        <v>392</v>
      </c>
      <c r="K979" s="60"/>
      <c r="L979" s="61" t="s">
        <v>119</v>
      </c>
      <c r="M979" s="44"/>
      <c r="N979" s="44"/>
      <c r="O979" s="44"/>
      <c r="P979" s="44"/>
      <c r="Q979" s="44"/>
      <c r="R979" s="62"/>
      <c r="S979" s="47"/>
      <c r="T979" s="47"/>
    </row>
    <row r="980" s="27" customFormat="1" ht="18" customHeight="1" spans="1:20">
      <c r="A980" s="34"/>
      <c r="B980" s="48">
        <v>3</v>
      </c>
      <c r="C980" s="63"/>
      <c r="D980" s="48" t="s">
        <v>395</v>
      </c>
      <c r="E980" s="48"/>
      <c r="F980" s="50"/>
      <c r="G980" s="48"/>
      <c r="H980" s="51"/>
      <c r="I980" s="52">
        <f>J1016</f>
        <v>5</v>
      </c>
      <c r="J980" s="53" t="s">
        <v>392</v>
      </c>
      <c r="K980" s="60"/>
      <c r="L980" s="60"/>
      <c r="M980" s="65" t="s">
        <v>396</v>
      </c>
      <c r="N980" s="65" t="s">
        <v>397</v>
      </c>
      <c r="O980" s="65" t="s">
        <v>398</v>
      </c>
      <c r="P980" s="65" t="s">
        <v>399</v>
      </c>
      <c r="Q980" s="65" t="s">
        <v>400</v>
      </c>
      <c r="R980" s="66" t="s">
        <v>401</v>
      </c>
      <c r="S980" s="47"/>
      <c r="T980" s="47"/>
    </row>
    <row r="981" s="27" customFormat="1" ht="18" customHeight="1" spans="1:20">
      <c r="A981" s="34"/>
      <c r="B981" s="48">
        <v>4</v>
      </c>
      <c r="C981" s="48" t="s">
        <v>402</v>
      </c>
      <c r="D981" s="67" t="s">
        <v>403</v>
      </c>
      <c r="E981" s="67"/>
      <c r="F981" s="50"/>
      <c r="G981" s="67"/>
      <c r="H981" s="68"/>
      <c r="I981" s="52">
        <f>SUM(I978:I980)</f>
        <v>565.489499216058</v>
      </c>
      <c r="J981" s="53" t="s">
        <v>392</v>
      </c>
      <c r="K981" s="60"/>
      <c r="L981" s="69" t="s">
        <v>431</v>
      </c>
      <c r="M981" s="34" t="s">
        <v>529</v>
      </c>
      <c r="N981" s="102">
        <v>8.29</v>
      </c>
      <c r="O981" s="34">
        <f>7.163</f>
        <v>7.163</v>
      </c>
      <c r="P981" s="34">
        <v>4</v>
      </c>
      <c r="Q981" s="44">
        <f t="shared" ref="Q981:Q988" si="120">+P981*O981*N981</f>
        <v>237.52508</v>
      </c>
      <c r="R981" s="71">
        <f>+Q981/R978</f>
        <v>8.81068595539482</v>
      </c>
      <c r="S981" s="47"/>
      <c r="T981" s="47"/>
    </row>
    <row r="982" s="27" customFormat="1" ht="28" customHeight="1" spans="1:20">
      <c r="A982" s="34"/>
      <c r="B982" s="48">
        <v>5</v>
      </c>
      <c r="C982" s="72" t="s">
        <v>406</v>
      </c>
      <c r="D982" s="48" t="s">
        <v>407</v>
      </c>
      <c r="E982" s="48"/>
      <c r="F982" s="50"/>
      <c r="G982" s="48"/>
      <c r="H982" s="73">
        <f>+'材料表 '!$E$178</f>
        <v>0</v>
      </c>
      <c r="I982" s="52">
        <f>H982*I981</f>
        <v>0</v>
      </c>
      <c r="J982" s="53" t="s">
        <v>392</v>
      </c>
      <c r="K982" s="60"/>
      <c r="L982" s="69" t="s">
        <v>431</v>
      </c>
      <c r="M982" s="34" t="s">
        <v>523</v>
      </c>
      <c r="N982" s="102">
        <v>4.52</v>
      </c>
      <c r="O982" s="34">
        <f>O978</f>
        <v>3.95</v>
      </c>
      <c r="P982" s="34">
        <v>0</v>
      </c>
      <c r="Q982" s="44">
        <f t="shared" si="120"/>
        <v>0</v>
      </c>
      <c r="R982" s="71">
        <f>+Q982/R978</f>
        <v>0</v>
      </c>
      <c r="S982" s="47"/>
      <c r="T982" s="47"/>
    </row>
    <row r="983" s="27" customFormat="1" ht="18" customHeight="1" spans="1:20">
      <c r="A983" s="34"/>
      <c r="B983" s="48">
        <v>6</v>
      </c>
      <c r="C983" s="48" t="s">
        <v>409</v>
      </c>
      <c r="D983" s="48" t="s">
        <v>410</v>
      </c>
      <c r="E983" s="48"/>
      <c r="F983" s="50"/>
      <c r="G983" s="48"/>
      <c r="H983" s="73">
        <f>+'材料表 '!$E$179</f>
        <v>0</v>
      </c>
      <c r="I983" s="52">
        <f>H983*I981</f>
        <v>0</v>
      </c>
      <c r="J983" s="53" t="s">
        <v>392</v>
      </c>
      <c r="K983" s="60"/>
      <c r="L983" s="69" t="s">
        <v>461</v>
      </c>
      <c r="M983" s="34" t="s">
        <v>462</v>
      </c>
      <c r="N983" s="34">
        <v>3.77</v>
      </c>
      <c r="O983" s="34">
        <f>O978</f>
        <v>3.95</v>
      </c>
      <c r="P983" s="34">
        <v>3</v>
      </c>
      <c r="Q983" s="44">
        <f t="shared" si="120"/>
        <v>44.6745</v>
      </c>
      <c r="R983" s="71">
        <f>+Q983/R978</f>
        <v>1.65714285714286</v>
      </c>
      <c r="S983" s="47"/>
      <c r="T983" s="47"/>
    </row>
    <row r="984" s="27" customFormat="1" ht="18" customHeight="1" spans="1:20">
      <c r="A984" s="34"/>
      <c r="B984" s="48">
        <v>7</v>
      </c>
      <c r="C984" s="48" t="s">
        <v>412</v>
      </c>
      <c r="D984" s="72" t="s">
        <v>413</v>
      </c>
      <c r="E984" s="72"/>
      <c r="F984" s="77"/>
      <c r="G984" s="72"/>
      <c r="H984" s="73">
        <f>+'材料表 '!$E$180</f>
        <v>0.09</v>
      </c>
      <c r="I984" s="52">
        <f>(I981+I982+I983)*H984</f>
        <v>50.8940549294452</v>
      </c>
      <c r="J984" s="53" t="s">
        <v>392</v>
      </c>
      <c r="K984" s="60"/>
      <c r="L984" s="69" t="s">
        <v>463</v>
      </c>
      <c r="M984" s="34" t="s">
        <v>464</v>
      </c>
      <c r="N984" s="34">
        <f>0.15*0.2*7.85*10</f>
        <v>2.355</v>
      </c>
      <c r="O984" s="34">
        <v>3</v>
      </c>
      <c r="P984" s="34">
        <v>7</v>
      </c>
      <c r="Q984" s="44">
        <f t="shared" si="120"/>
        <v>49.455</v>
      </c>
      <c r="R984" s="71">
        <f>+Q984/R978</f>
        <v>1.83446932814021</v>
      </c>
      <c r="S984" s="47"/>
      <c r="T984" s="47"/>
    </row>
    <row r="985" s="27" customFormat="1" ht="18" customHeight="1" spans="1:20">
      <c r="A985" s="105" t="s">
        <v>146</v>
      </c>
      <c r="B985" s="48">
        <v>8</v>
      </c>
      <c r="C985" s="48" t="s">
        <v>363</v>
      </c>
      <c r="D985" s="106" t="s">
        <v>415</v>
      </c>
      <c r="E985" s="107"/>
      <c r="F985" s="108"/>
      <c r="G985" s="107"/>
      <c r="H985" s="51"/>
      <c r="I985" s="74">
        <f>SUM(I981:I984)</f>
        <v>616.383554145503</v>
      </c>
      <c r="J985" s="53" t="s">
        <v>416</v>
      </c>
      <c r="K985" s="60"/>
      <c r="L985" s="69" t="s">
        <v>465</v>
      </c>
      <c r="M985" s="34" t="s">
        <v>503</v>
      </c>
      <c r="N985" s="126">
        <v>7.034</v>
      </c>
      <c r="O985" s="34">
        <f>85/1000</f>
        <v>0.085</v>
      </c>
      <c r="P985" s="44">
        <f>P981*6*3</f>
        <v>72</v>
      </c>
      <c r="Q985" s="44">
        <f t="shared" si="120"/>
        <v>43.04808</v>
      </c>
      <c r="R985" s="84">
        <f>+Q985/R978</f>
        <v>1.59681290861038</v>
      </c>
      <c r="S985" s="79"/>
      <c r="T985" s="47"/>
    </row>
    <row r="986" s="27" customFormat="1" ht="18" customHeight="1" spans="1:20">
      <c r="A986" s="34"/>
      <c r="B986" s="109" t="s">
        <v>418</v>
      </c>
      <c r="C986" s="110"/>
      <c r="D986" s="110"/>
      <c r="E986" s="110"/>
      <c r="F986" s="110"/>
      <c r="G986" s="110"/>
      <c r="H986" s="110"/>
      <c r="I986" s="110"/>
      <c r="J986" s="110"/>
      <c r="K986" s="80"/>
      <c r="L986" s="69" t="s">
        <v>433</v>
      </c>
      <c r="M986" s="44" t="s">
        <v>504</v>
      </c>
      <c r="N986" s="82">
        <f>0.056*3*2.71+0.0675*3*2.71</f>
        <v>1.004055</v>
      </c>
      <c r="O986" s="44">
        <f>O978</f>
        <v>3.95</v>
      </c>
      <c r="P986" s="44">
        <v>3</v>
      </c>
      <c r="Q986" s="44">
        <f t="shared" si="120"/>
        <v>11.89805175</v>
      </c>
      <c r="R986" s="84">
        <f>+Q986/R978</f>
        <v>0.441342857142857</v>
      </c>
      <c r="S986" s="47">
        <f>0.16*P986*O986/R978</f>
        <v>0.0703296703296703</v>
      </c>
      <c r="T986" s="47"/>
    </row>
    <row r="987" s="27" customFormat="1" ht="18" customHeight="1" spans="1:20">
      <c r="A987" s="34"/>
      <c r="B987" s="48">
        <v>1</v>
      </c>
      <c r="C987" s="48" t="s">
        <v>391</v>
      </c>
      <c r="D987" s="48" t="s">
        <v>396</v>
      </c>
      <c r="E987" s="48" t="s">
        <v>37</v>
      </c>
      <c r="F987" s="50"/>
      <c r="G987" s="48"/>
      <c r="H987" s="51" t="s">
        <v>399</v>
      </c>
      <c r="I987" s="51" t="s">
        <v>420</v>
      </c>
      <c r="J987" s="95" t="s">
        <v>421</v>
      </c>
      <c r="K987" s="92"/>
      <c r="L987" s="69" t="s">
        <v>433</v>
      </c>
      <c r="M987" s="44" t="s">
        <v>505</v>
      </c>
      <c r="N987" s="82">
        <f>0.056*3*2.71+0.0675*3*2.71</f>
        <v>1.004055</v>
      </c>
      <c r="O987" s="44">
        <f>P978</f>
        <v>6.825</v>
      </c>
      <c r="P987" s="44">
        <v>4</v>
      </c>
      <c r="Q987" s="44">
        <f t="shared" si="120"/>
        <v>27.4107015</v>
      </c>
      <c r="R987" s="84">
        <f>+Q987/R978</f>
        <v>1.01676455696203</v>
      </c>
      <c r="S987" s="47"/>
      <c r="T987" s="47"/>
    </row>
    <row r="988" s="27" customFormat="1" ht="18" customHeight="1" spans="1:20">
      <c r="A988" s="34"/>
      <c r="B988" s="48">
        <v>2</v>
      </c>
      <c r="C988" s="48"/>
      <c r="D988" s="111" t="s">
        <v>491</v>
      </c>
      <c r="E988" s="49" t="s">
        <v>423</v>
      </c>
      <c r="F988" s="112"/>
      <c r="G988" s="111"/>
      <c r="H988" s="113">
        <v>1</v>
      </c>
      <c r="I988" s="113">
        <f>+辅材及安装费!$G$3</f>
        <v>165</v>
      </c>
      <c r="J988" s="114">
        <f t="shared" ref="J988:J1000" si="121">H988*I988</f>
        <v>165</v>
      </c>
      <c r="K988" s="92"/>
      <c r="L988" s="90" t="s">
        <v>524</v>
      </c>
      <c r="M988" s="44" t="s">
        <v>525</v>
      </c>
      <c r="N988" s="82">
        <f>0.075*0.03*1*7.95</f>
        <v>0.0178875</v>
      </c>
      <c r="O988" s="44">
        <v>1.25</v>
      </c>
      <c r="P988" s="44">
        <v>0</v>
      </c>
      <c r="Q988" s="44">
        <f t="shared" si="120"/>
        <v>0</v>
      </c>
      <c r="R988" s="84">
        <f>+Q988/R978</f>
        <v>0</v>
      </c>
      <c r="S988" s="47"/>
      <c r="T988" s="47"/>
    </row>
    <row r="989" s="27" customFormat="1" ht="18" customHeight="1" spans="1:20">
      <c r="A989" s="34"/>
      <c r="B989" s="48">
        <v>3</v>
      </c>
      <c r="C989" s="48"/>
      <c r="D989" s="115"/>
      <c r="E989" s="63"/>
      <c r="F989" s="116"/>
      <c r="G989" s="115"/>
      <c r="H989" s="117"/>
      <c r="I989" s="117"/>
      <c r="J989" s="118"/>
      <c r="K989" s="92"/>
      <c r="L989" s="90" t="s">
        <v>472</v>
      </c>
      <c r="M989" s="44"/>
      <c r="N989" s="82"/>
      <c r="O989" s="44"/>
      <c r="P989" s="44">
        <f>O984*P984*2</f>
        <v>42</v>
      </c>
      <c r="Q989" s="44">
        <f>+P989</f>
        <v>42</v>
      </c>
      <c r="R989" s="84">
        <f>+Q989/R978</f>
        <v>1.55793573515092</v>
      </c>
      <c r="S989" s="47"/>
      <c r="T989" s="47"/>
    </row>
    <row r="990" s="27" customFormat="1" ht="18" customHeight="1" spans="1:20">
      <c r="A990" s="34"/>
      <c r="B990" s="48">
        <v>4</v>
      </c>
      <c r="C990" s="48"/>
      <c r="D990" s="85" t="s">
        <v>426</v>
      </c>
      <c r="E990" s="48" t="s">
        <v>392</v>
      </c>
      <c r="F990" s="50"/>
      <c r="G990" s="48"/>
      <c r="H990" s="86"/>
      <c r="I990" s="86"/>
      <c r="J990" s="95">
        <f>SUM(J988:J988)</f>
        <v>165</v>
      </c>
      <c r="K990" s="92"/>
      <c r="L990" s="90"/>
      <c r="M990" s="44"/>
      <c r="N990" s="82"/>
      <c r="O990" s="44"/>
      <c r="P990" s="44"/>
      <c r="Q990" s="44"/>
      <c r="R990" s="84"/>
      <c r="S990" s="47"/>
      <c r="T990" s="47"/>
    </row>
    <row r="991" s="27" customFormat="1" ht="22" customHeight="1" spans="1:20">
      <c r="A991" s="34"/>
      <c r="B991" s="48">
        <v>1</v>
      </c>
      <c r="C991" s="48" t="s">
        <v>394</v>
      </c>
      <c r="D991" s="88" t="s">
        <v>431</v>
      </c>
      <c r="E991" s="72" t="str">
        <f>+VLOOKUP(D991,'材料表 '!C:F,2,0)</f>
        <v>kg</v>
      </c>
      <c r="F991" s="77">
        <f>+SUMIF($L$978:$L$1016,D991,$R$978:$R$1016)</f>
        <v>8.81068595539482</v>
      </c>
      <c r="G991" s="89">
        <f>+VLOOKUP(D991,'材料表 '!C:F,4,0)</f>
        <v>0.03</v>
      </c>
      <c r="H991" s="74">
        <f t="shared" ref="H991:H1000" si="122">F991*(G991+1)</f>
        <v>9.07500653405667</v>
      </c>
      <c r="I991" s="74">
        <f>+VLOOKUP(D991,'材料表 '!C:F,3,0)</f>
        <v>3.80530973451327</v>
      </c>
      <c r="J991" s="95">
        <f t="shared" si="121"/>
        <v>34.5332107048174</v>
      </c>
      <c r="K991" s="92">
        <f ca="1">H991*K977</f>
        <v>1317.62669769877</v>
      </c>
      <c r="L991" s="90"/>
      <c r="M991" s="44"/>
      <c r="N991" s="82"/>
      <c r="O991" s="44"/>
      <c r="P991" s="44"/>
      <c r="Q991" s="44"/>
      <c r="R991" s="84"/>
      <c r="S991" s="47"/>
      <c r="T991" s="47"/>
    </row>
    <row r="992" s="27" customFormat="1" ht="18" customHeight="1" spans="1:20">
      <c r="A992" s="34"/>
      <c r="B992" s="48">
        <v>2</v>
      </c>
      <c r="C992" s="48"/>
      <c r="D992" s="88" t="s">
        <v>461</v>
      </c>
      <c r="E992" s="72" t="str">
        <f>+VLOOKUP(D992,'材料表 '!C:F,2,0)</f>
        <v>kg</v>
      </c>
      <c r="F992" s="77">
        <f t="shared" ref="F992:F1000" si="123">+SUMIF($L$978:$L$1016,D992,$R$978:$R$1016)</f>
        <v>1.65714285714286</v>
      </c>
      <c r="G992" s="89">
        <f>+VLOOKUP(D992,'材料表 '!C:F,4,0)</f>
        <v>0.03</v>
      </c>
      <c r="H992" s="74">
        <f t="shared" si="122"/>
        <v>1.70685714285715</v>
      </c>
      <c r="I992" s="74">
        <f>+VLOOKUP(D992,'材料表 '!C:F,3,0)</f>
        <v>3.53982300884956</v>
      </c>
      <c r="J992" s="95">
        <f t="shared" si="121"/>
        <v>6.04197218710494</v>
      </c>
      <c r="K992" s="92">
        <f ca="1">H992*K977</f>
        <v>247.823572594287</v>
      </c>
      <c r="L992" s="90"/>
      <c r="M992" s="44"/>
      <c r="N992" s="82"/>
      <c r="O992" s="44"/>
      <c r="P992" s="44"/>
      <c r="Q992" s="44"/>
      <c r="R992" s="84"/>
      <c r="S992" s="47"/>
      <c r="T992" s="47"/>
    </row>
    <row r="993" s="27" customFormat="1" ht="18" customHeight="1" spans="1:20">
      <c r="A993" s="34"/>
      <c r="B993" s="48">
        <v>3</v>
      </c>
      <c r="C993" s="48"/>
      <c r="D993" s="88" t="s">
        <v>465</v>
      </c>
      <c r="E993" s="72" t="str">
        <f>+VLOOKUP(D993,'材料表 '!C:F,2,0)</f>
        <v>kg</v>
      </c>
      <c r="F993" s="77">
        <f t="shared" si="123"/>
        <v>1.59681290861038</v>
      </c>
      <c r="G993" s="89">
        <f>+VLOOKUP(D993,'材料表 '!C:F,4,0)</f>
        <v>0.03</v>
      </c>
      <c r="H993" s="74">
        <f t="shared" si="122"/>
        <v>1.64471729586869</v>
      </c>
      <c r="I993" s="74">
        <f>+VLOOKUP(D993,'材料表 '!C:F,3,0)</f>
        <v>6.01769911504425</v>
      </c>
      <c r="J993" s="95">
        <f t="shared" si="121"/>
        <v>9.897413815847</v>
      </c>
      <c r="K993" s="92">
        <f ca="1">H993*K977</f>
        <v>238.801306761679</v>
      </c>
      <c r="L993" s="90"/>
      <c r="M993" s="44"/>
      <c r="N993" s="82"/>
      <c r="O993" s="44"/>
      <c r="P993" s="44"/>
      <c r="Q993" s="44">
        <f>+P993*O993</f>
        <v>0</v>
      </c>
      <c r="R993" s="84">
        <f>+Q993/R978</f>
        <v>0</v>
      </c>
      <c r="S993" s="47"/>
      <c r="T993" s="47"/>
    </row>
    <row r="994" s="27" customFormat="1" ht="18" customHeight="1" spans="1:20">
      <c r="A994" s="34"/>
      <c r="B994" s="48">
        <v>4</v>
      </c>
      <c r="C994" s="48"/>
      <c r="D994" s="88" t="s">
        <v>463</v>
      </c>
      <c r="E994" s="72" t="str">
        <f>+VLOOKUP(D994,'材料表 '!C:F,2,0)</f>
        <v>kg</v>
      </c>
      <c r="F994" s="77">
        <f t="shared" si="123"/>
        <v>1.83446932814021</v>
      </c>
      <c r="G994" s="89">
        <f>+VLOOKUP(D994,'材料表 '!C:F,4,0)</f>
        <v>0.03</v>
      </c>
      <c r="H994" s="74">
        <f t="shared" si="122"/>
        <v>1.88950340798442</v>
      </c>
      <c r="I994" s="74">
        <f>+VLOOKUP(D994,'材料表 '!C:F,3,0)</f>
        <v>6.01769911504425</v>
      </c>
      <c r="J994" s="95">
        <f t="shared" si="121"/>
        <v>11.3704629861009</v>
      </c>
      <c r="K994" s="92">
        <f ca="1">H994*K977</f>
        <v>274.342517155209</v>
      </c>
      <c r="L994" s="90" t="s">
        <v>474</v>
      </c>
      <c r="M994" s="44"/>
      <c r="N994" s="82"/>
      <c r="O994" s="44"/>
      <c r="P994" s="44"/>
      <c r="Q994" s="44">
        <f>+O984*P984*4</f>
        <v>84</v>
      </c>
      <c r="R994" s="84">
        <f>+Q994/R978</f>
        <v>3.11587147030185</v>
      </c>
      <c r="S994" s="47"/>
      <c r="T994" s="47"/>
    </row>
    <row r="995" s="27" customFormat="1" ht="18" customHeight="1" spans="1:20">
      <c r="A995" s="34"/>
      <c r="B995" s="48">
        <v>5</v>
      </c>
      <c r="C995" s="48"/>
      <c r="D995" s="88" t="s">
        <v>433</v>
      </c>
      <c r="E995" s="72" t="str">
        <f>+VLOOKUP(D995,'材料表 '!C:F,2,0)</f>
        <v>kg</v>
      </c>
      <c r="F995" s="77">
        <f t="shared" si="123"/>
        <v>1.45810741410488</v>
      </c>
      <c r="G995" s="89">
        <f>+VLOOKUP(D995,'材料表 '!C:F,4,0)</f>
        <v>0.03</v>
      </c>
      <c r="H995" s="74">
        <f t="shared" si="122"/>
        <v>1.50185063652803</v>
      </c>
      <c r="I995" s="74">
        <f>+VLOOKUP(D995,'材料表 '!C:F,3,0)</f>
        <v>26.1150442477876</v>
      </c>
      <c r="J995" s="95">
        <f t="shared" si="121"/>
        <v>39.2208958264974</v>
      </c>
      <c r="K995" s="92">
        <f ca="1">H995*K977</f>
        <v>218.058079321363</v>
      </c>
      <c r="L995" s="92" t="s">
        <v>476</v>
      </c>
      <c r="M995" s="44"/>
      <c r="N995" s="82"/>
      <c r="O995" s="44"/>
      <c r="P995" s="44"/>
      <c r="Q995" s="44">
        <f>8*8*(O978*3+P978*4)/500</f>
        <v>5.0112</v>
      </c>
      <c r="R995" s="84">
        <f>+Q995/R978</f>
        <v>0.185883989428293</v>
      </c>
      <c r="S995" s="47"/>
      <c r="T995" s="47"/>
    </row>
    <row r="996" s="27" customFormat="1" ht="18" customHeight="1" spans="1:20">
      <c r="A996" s="34"/>
      <c r="B996" s="48">
        <v>6</v>
      </c>
      <c r="C996" s="48"/>
      <c r="D996" s="88" t="s">
        <v>434</v>
      </c>
      <c r="E996" s="72" t="str">
        <f>+VLOOKUP(D996,'材料表 '!C:F,2,0)</f>
        <v>m2</v>
      </c>
      <c r="F996" s="77">
        <f t="shared" si="123"/>
        <v>0</v>
      </c>
      <c r="G996" s="89">
        <f>+VLOOKUP(D996,'材料表 '!C:F,4,0)</f>
        <v>0</v>
      </c>
      <c r="H996" s="74">
        <f t="shared" si="122"/>
        <v>0</v>
      </c>
      <c r="I996" s="74">
        <f>+VLOOKUP(D996,'材料表 '!C:F,3,0)</f>
        <v>49.5575221238938</v>
      </c>
      <c r="J996" s="95">
        <f t="shared" si="121"/>
        <v>0</v>
      </c>
      <c r="K996" s="92">
        <f ca="1">H996*K977</f>
        <v>0</v>
      </c>
      <c r="L996" s="92" t="s">
        <v>499</v>
      </c>
      <c r="M996" s="44"/>
      <c r="N996" s="82"/>
      <c r="O996" s="44"/>
      <c r="P996" s="44"/>
      <c r="Q996" s="44">
        <v>0</v>
      </c>
      <c r="R996" s="84">
        <f>Q996/R978</f>
        <v>0</v>
      </c>
      <c r="S996" s="47"/>
      <c r="T996" s="47"/>
    </row>
    <row r="997" s="27" customFormat="1" ht="18" customHeight="1" spans="1:20">
      <c r="A997" s="34"/>
      <c r="B997" s="48">
        <v>7</v>
      </c>
      <c r="C997" s="48"/>
      <c r="D997" s="88" t="s">
        <v>472</v>
      </c>
      <c r="E997" s="72" t="str">
        <f>+VLOOKUP(D997,'材料表 '!C:F,2,0)</f>
        <v>套</v>
      </c>
      <c r="F997" s="77">
        <f t="shared" si="123"/>
        <v>1.55793573515092</v>
      </c>
      <c r="G997" s="89">
        <f>+VLOOKUP(D997,'材料表 '!C:F,4,0)</f>
        <v>0</v>
      </c>
      <c r="H997" s="74">
        <f t="shared" si="122"/>
        <v>1.55793573515092</v>
      </c>
      <c r="I997" s="74">
        <f>+VLOOKUP(D997,'材料表 '!C:F,3,0)</f>
        <v>2.47787610619469</v>
      </c>
      <c r="J997" s="95">
        <f t="shared" si="121"/>
        <v>3.86037173311732</v>
      </c>
      <c r="K997" s="92">
        <f ca="1">H997*K977</f>
        <v>226.201238558909</v>
      </c>
      <c r="L997" s="92"/>
      <c r="M997" s="44"/>
      <c r="N997" s="82"/>
      <c r="O997" s="44"/>
      <c r="P997" s="44"/>
      <c r="Q997" s="44"/>
      <c r="R997" s="84"/>
      <c r="S997" s="47"/>
      <c r="T997" s="47"/>
    </row>
    <row r="998" s="27" customFormat="1" ht="18" customHeight="1" spans="1:20">
      <c r="A998" s="34"/>
      <c r="B998" s="48">
        <v>8</v>
      </c>
      <c r="C998" s="48"/>
      <c r="D998" s="88" t="s">
        <v>474</v>
      </c>
      <c r="E998" s="72" t="str">
        <f>+VLOOKUP(D998,'材料表 '!C:F,2,0)</f>
        <v>套</v>
      </c>
      <c r="F998" s="77">
        <f t="shared" si="123"/>
        <v>3.11587147030185</v>
      </c>
      <c r="G998" s="89">
        <f>+VLOOKUP(D998,'材料表 '!C:F,4,0)</f>
        <v>0</v>
      </c>
      <c r="H998" s="74">
        <f t="shared" si="122"/>
        <v>3.11587147030185</v>
      </c>
      <c r="I998" s="74">
        <f>+VLOOKUP(D998,'材料表 '!C:F,3,0)</f>
        <v>2.21238938053097</v>
      </c>
      <c r="J998" s="95">
        <f t="shared" si="121"/>
        <v>6.89352095199523</v>
      </c>
      <c r="K998" s="92">
        <f ca="1">H998*K977</f>
        <v>452.402477117819</v>
      </c>
      <c r="L998" s="92"/>
      <c r="M998" s="44"/>
      <c r="N998" s="82"/>
      <c r="O998" s="44"/>
      <c r="P998" s="44"/>
      <c r="Q998" s="44"/>
      <c r="R998" s="84"/>
      <c r="S998" s="47"/>
      <c r="T998" s="47"/>
    </row>
    <row r="999" s="27" customFormat="1" ht="18" customHeight="1" spans="1:20">
      <c r="A999" s="34"/>
      <c r="B999" s="48">
        <v>9</v>
      </c>
      <c r="C999" s="48"/>
      <c r="D999" s="88" t="s">
        <v>476</v>
      </c>
      <c r="E999" s="72" t="str">
        <f>+VLOOKUP(D999,'材料表 '!C:F,2,0)</f>
        <v>支</v>
      </c>
      <c r="F999" s="77">
        <f t="shared" si="123"/>
        <v>0.185883989428293</v>
      </c>
      <c r="G999" s="89">
        <f>+VLOOKUP(D999,'材料表 '!C:F,4,0)</f>
        <v>0.15</v>
      </c>
      <c r="H999" s="74">
        <f t="shared" si="122"/>
        <v>0.213766587842537</v>
      </c>
      <c r="I999" s="74">
        <f>+VLOOKUP(D999,'材料表 '!C:F,3,0)</f>
        <v>11.5044247787611</v>
      </c>
      <c r="J999" s="95">
        <f t="shared" si="121"/>
        <v>2.45926163004689</v>
      </c>
      <c r="K999" s="92">
        <f ca="1">H999*K977</f>
        <v>31.0373950872944</v>
      </c>
      <c r="L999" s="90"/>
      <c r="M999" s="44"/>
      <c r="N999" s="82"/>
      <c r="O999" s="34"/>
      <c r="P999" s="44"/>
      <c r="Q999" s="44"/>
      <c r="R999" s="119"/>
      <c r="S999" s="47"/>
      <c r="T999" s="47"/>
    </row>
    <row r="1000" s="27" customFormat="1" ht="23" customHeight="1" spans="1:20">
      <c r="A1000" s="34"/>
      <c r="B1000" s="48">
        <v>10</v>
      </c>
      <c r="C1000" s="48"/>
      <c r="D1000" s="88" t="s">
        <v>499</v>
      </c>
      <c r="E1000" s="72" t="str">
        <f>+VLOOKUP(D1000,'材料表 '!C:F,2,0)</f>
        <v>套</v>
      </c>
      <c r="F1000" s="77">
        <f t="shared" si="123"/>
        <v>0</v>
      </c>
      <c r="G1000" s="89">
        <f>+VLOOKUP(D1000,'材料表 '!C:F,4,0)</f>
        <v>0</v>
      </c>
      <c r="H1000" s="74">
        <f t="shared" si="122"/>
        <v>0</v>
      </c>
      <c r="I1000" s="74">
        <f>+VLOOKUP(D1000,'材料表 '!C:F,3,0)</f>
        <v>1.32743362831858</v>
      </c>
      <c r="J1000" s="95">
        <f t="shared" si="121"/>
        <v>0</v>
      </c>
      <c r="K1000" s="92">
        <f ca="1">H1000*K977</f>
        <v>0</v>
      </c>
      <c r="L1000" s="92"/>
      <c r="M1000" s="120"/>
      <c r="N1000" s="82"/>
      <c r="O1000" s="44"/>
      <c r="P1000" s="44"/>
      <c r="Q1000" s="44"/>
      <c r="R1000" s="84"/>
      <c r="S1000" s="47"/>
      <c r="T1000" s="47"/>
    </row>
    <row r="1001" s="27" customFormat="1" ht="20" customHeight="1" spans="1:20">
      <c r="A1001" s="34"/>
      <c r="B1001" s="48">
        <v>11</v>
      </c>
      <c r="C1001" s="48"/>
      <c r="D1001" s="88"/>
      <c r="E1001" s="72"/>
      <c r="F1001" s="77"/>
      <c r="G1001" s="89"/>
      <c r="H1001" s="74"/>
      <c r="I1001" s="74"/>
      <c r="J1001" s="95"/>
      <c r="K1001" s="92">
        <f ca="1">H1001*K977</f>
        <v>0</v>
      </c>
      <c r="L1001" s="92"/>
      <c r="M1001" s="44"/>
      <c r="N1001" s="82"/>
      <c r="O1001" s="44"/>
      <c r="P1001" s="44"/>
      <c r="Q1001" s="44"/>
      <c r="R1001" s="84"/>
      <c r="S1001" s="47"/>
      <c r="T1001" s="47"/>
    </row>
    <row r="1002" s="27" customFormat="1" ht="24" customHeight="1" spans="1:20">
      <c r="A1002" s="34"/>
      <c r="B1002" s="48">
        <v>12</v>
      </c>
      <c r="C1002" s="48"/>
      <c r="D1002" s="127" t="s">
        <v>530</v>
      </c>
      <c r="E1002" s="72" t="str">
        <f>+VLOOKUP(D1002,'材料表 '!C:F,2,0)</f>
        <v>m2</v>
      </c>
      <c r="F1002" s="77">
        <v>1</v>
      </c>
      <c r="G1002" s="89">
        <f>+VLOOKUP(D1002,'材料表 '!C:F,4,0)</f>
        <v>0.02</v>
      </c>
      <c r="H1002" s="74">
        <f>F1002*(G1002+1)</f>
        <v>1.02</v>
      </c>
      <c r="I1002" s="74">
        <f>+VLOOKUP(D1002,'材料表 '!C:F,3,0)</f>
        <v>270.796460176991</v>
      </c>
      <c r="J1002" s="95">
        <f>H1002*I1002</f>
        <v>276.212389380531</v>
      </c>
      <c r="K1002" s="92">
        <f ca="1">H1002*K977</f>
        <v>148.0967784</v>
      </c>
      <c r="L1002" s="92"/>
      <c r="M1002" s="44"/>
      <c r="N1002" s="44"/>
      <c r="O1002" s="44"/>
      <c r="P1002" s="44"/>
      <c r="Q1002" s="44"/>
      <c r="R1002" s="84"/>
      <c r="S1002" s="47"/>
      <c r="T1002" s="47"/>
    </row>
    <row r="1003" s="27" customFormat="1" ht="18" customHeight="1" spans="1:20">
      <c r="A1003" s="34"/>
      <c r="B1003" s="48">
        <v>13</v>
      </c>
      <c r="C1003" s="48"/>
      <c r="D1003" s="88"/>
      <c r="E1003" s="72"/>
      <c r="F1003" s="77"/>
      <c r="G1003" s="89"/>
      <c r="H1003" s="74"/>
      <c r="I1003" s="74"/>
      <c r="J1003" s="95"/>
      <c r="K1003" s="92">
        <f ca="1">H1003*K977</f>
        <v>0</v>
      </c>
      <c r="L1003" s="92"/>
      <c r="M1003" s="44"/>
      <c r="N1003" s="44"/>
      <c r="O1003" s="44"/>
      <c r="P1003" s="44"/>
      <c r="Q1003" s="44"/>
      <c r="R1003" s="84"/>
      <c r="S1003" s="47"/>
      <c r="T1003" s="47"/>
    </row>
    <row r="1004" s="27" customFormat="1" ht="24" customHeight="1" spans="1:20">
      <c r="A1004" s="34"/>
      <c r="B1004" s="48">
        <v>14</v>
      </c>
      <c r="C1004" s="48"/>
      <c r="D1004" s="88"/>
      <c r="E1004" s="72"/>
      <c r="F1004" s="77"/>
      <c r="G1004" s="89"/>
      <c r="H1004" s="74"/>
      <c r="I1004" s="74"/>
      <c r="J1004" s="95"/>
      <c r="K1004" s="92">
        <f ca="1">H1004*K977</f>
        <v>0</v>
      </c>
      <c r="L1004" s="92"/>
      <c r="M1004" s="44"/>
      <c r="N1004" s="44"/>
      <c r="O1004" s="44"/>
      <c r="P1004" s="44"/>
      <c r="Q1004" s="44"/>
      <c r="R1004" s="84"/>
      <c r="S1004" s="47"/>
      <c r="T1004" s="47"/>
    </row>
    <row r="1005" s="27" customFormat="1" ht="18" customHeight="1" spans="1:20">
      <c r="A1005" s="34"/>
      <c r="B1005" s="48">
        <v>15</v>
      </c>
      <c r="C1005" s="48"/>
      <c r="D1005" s="88"/>
      <c r="E1005" s="72"/>
      <c r="F1005" s="77"/>
      <c r="G1005" s="89"/>
      <c r="H1005" s="74"/>
      <c r="I1005" s="74"/>
      <c r="J1005" s="95"/>
      <c r="K1005" s="92"/>
      <c r="L1005" s="92"/>
      <c r="M1005" s="44"/>
      <c r="N1005" s="44"/>
      <c r="O1005" s="44"/>
      <c r="P1005" s="44"/>
      <c r="Q1005" s="44"/>
      <c r="R1005" s="84"/>
      <c r="S1005" s="47"/>
      <c r="T1005" s="47"/>
    </row>
    <row r="1006" s="27" customFormat="1" ht="18" customHeight="1" spans="1:20">
      <c r="A1006" s="34"/>
      <c r="B1006" s="48">
        <v>16</v>
      </c>
      <c r="C1006" s="48"/>
      <c r="D1006" s="88"/>
      <c r="E1006" s="72"/>
      <c r="F1006" s="77"/>
      <c r="G1006" s="89"/>
      <c r="H1006" s="74"/>
      <c r="I1006" s="74"/>
      <c r="J1006" s="95"/>
      <c r="K1006" s="92"/>
      <c r="L1006" s="92"/>
      <c r="M1006" s="44"/>
      <c r="N1006" s="44"/>
      <c r="O1006" s="44"/>
      <c r="P1006" s="44"/>
      <c r="Q1006" s="44"/>
      <c r="R1006" s="84"/>
      <c r="S1006" s="47"/>
      <c r="T1006" s="47"/>
    </row>
    <row r="1007" s="27" customFormat="1" ht="18" customHeight="1" spans="1:20">
      <c r="A1007" s="34"/>
      <c r="B1007" s="48">
        <v>17</v>
      </c>
      <c r="C1007" s="48"/>
      <c r="D1007" s="121"/>
      <c r="E1007" s="72"/>
      <c r="F1007" s="77"/>
      <c r="G1007" s="89"/>
      <c r="H1007" s="74"/>
      <c r="I1007" s="74"/>
      <c r="J1007" s="95"/>
      <c r="K1007" s="92"/>
      <c r="L1007" s="92"/>
      <c r="M1007" s="44"/>
      <c r="N1007" s="44"/>
      <c r="O1007" s="44"/>
      <c r="P1007" s="44"/>
      <c r="Q1007" s="101"/>
      <c r="R1007" s="84"/>
      <c r="S1007" s="47"/>
      <c r="T1007" s="47"/>
    </row>
    <row r="1008" s="27" customFormat="1" ht="18" customHeight="1" spans="1:20">
      <c r="A1008" s="34"/>
      <c r="B1008" s="48">
        <v>18</v>
      </c>
      <c r="C1008" s="48"/>
      <c r="D1008" s="88"/>
      <c r="E1008" s="72"/>
      <c r="F1008" s="77"/>
      <c r="G1008" s="89"/>
      <c r="H1008" s="74"/>
      <c r="I1008" s="74"/>
      <c r="J1008" s="95"/>
      <c r="K1008" s="92"/>
      <c r="L1008" s="92"/>
      <c r="M1008" s="44"/>
      <c r="N1008" s="44"/>
      <c r="O1008" s="44"/>
      <c r="P1008" s="44"/>
      <c r="Q1008" s="44"/>
      <c r="R1008" s="84"/>
      <c r="S1008" s="47"/>
      <c r="T1008" s="47"/>
    </row>
    <row r="1009" s="27" customFormat="1" ht="18" customHeight="1" spans="1:20">
      <c r="A1009" s="34"/>
      <c r="B1009" s="48">
        <v>19</v>
      </c>
      <c r="C1009" s="48"/>
      <c r="D1009" s="27"/>
      <c r="E1009" s="72"/>
      <c r="F1009" s="77"/>
      <c r="G1009" s="89"/>
      <c r="H1009" s="74"/>
      <c r="I1009" s="74"/>
      <c r="J1009" s="95"/>
      <c r="K1009" s="92"/>
      <c r="L1009" s="92"/>
      <c r="M1009" s="44"/>
      <c r="N1009" s="44"/>
      <c r="O1009" s="44"/>
      <c r="P1009" s="44"/>
      <c r="Q1009" s="44"/>
      <c r="R1009" s="84"/>
      <c r="S1009" s="47"/>
      <c r="T1009" s="47"/>
    </row>
    <row r="1010" s="27" customFormat="1" ht="18" customHeight="1" spans="1:20">
      <c r="A1010" s="34"/>
      <c r="B1010" s="48">
        <v>20</v>
      </c>
      <c r="C1010" s="48"/>
      <c r="D1010" s="88"/>
      <c r="E1010" s="72"/>
      <c r="F1010" s="77"/>
      <c r="G1010" s="89"/>
      <c r="H1010" s="74"/>
      <c r="I1010" s="74"/>
      <c r="J1010" s="95"/>
      <c r="K1010" s="92"/>
      <c r="L1010" s="92"/>
      <c r="M1010" s="44"/>
      <c r="N1010" s="44"/>
      <c r="O1010" s="44"/>
      <c r="P1010" s="44"/>
      <c r="Q1010" s="44"/>
      <c r="R1010" s="84"/>
      <c r="S1010" s="47"/>
      <c r="T1010" s="47"/>
    </row>
    <row r="1011" s="27" customFormat="1" ht="18" customHeight="1" spans="1:20">
      <c r="A1011" s="34"/>
      <c r="B1011" s="48">
        <v>21</v>
      </c>
      <c r="C1011" s="48"/>
      <c r="D1011" s="88"/>
      <c r="E1011" s="72"/>
      <c r="F1011" s="77"/>
      <c r="G1011" s="89"/>
      <c r="H1011" s="74"/>
      <c r="I1011" s="74"/>
      <c r="J1011" s="95"/>
      <c r="K1011" s="92"/>
      <c r="L1011" s="92"/>
      <c r="M1011" s="44"/>
      <c r="N1011" s="44"/>
      <c r="O1011" s="44"/>
      <c r="P1011" s="44"/>
      <c r="Q1011" s="44"/>
      <c r="R1011" s="84"/>
      <c r="S1011" s="47"/>
      <c r="T1011" s="47"/>
    </row>
    <row r="1012" s="27" customFormat="1" ht="18" customHeight="1" spans="1:20">
      <c r="A1012" s="34"/>
      <c r="B1012" s="48">
        <v>22</v>
      </c>
      <c r="C1012" s="48"/>
      <c r="D1012" s="27"/>
      <c r="E1012" s="72"/>
      <c r="F1012" s="77"/>
      <c r="G1012" s="72"/>
      <c r="H1012" s="74"/>
      <c r="I1012" s="74"/>
      <c r="J1012" s="95"/>
      <c r="K1012" s="92"/>
      <c r="L1012" s="92"/>
      <c r="M1012" s="44"/>
      <c r="N1012" s="44"/>
      <c r="O1012" s="44"/>
      <c r="P1012" s="44"/>
      <c r="Q1012" s="44"/>
      <c r="R1012" s="62"/>
      <c r="S1012" s="47"/>
      <c r="T1012" s="47"/>
    </row>
    <row r="1013" s="27" customFormat="1" ht="18" customHeight="1" spans="1:20">
      <c r="A1013" s="34"/>
      <c r="B1013" s="48">
        <v>23</v>
      </c>
      <c r="C1013" s="48"/>
      <c r="D1013" s="88"/>
      <c r="E1013" s="72"/>
      <c r="F1013" s="77"/>
      <c r="G1013" s="89"/>
      <c r="H1013" s="74"/>
      <c r="I1013" s="74"/>
      <c r="J1013" s="95"/>
      <c r="K1013" s="92"/>
      <c r="L1013" s="92"/>
      <c r="M1013" s="44"/>
      <c r="N1013" s="44"/>
      <c r="O1013" s="44"/>
      <c r="P1013" s="44"/>
      <c r="Q1013" s="44"/>
      <c r="R1013" s="62"/>
      <c r="S1013" s="47"/>
      <c r="T1013" s="47"/>
    </row>
    <row r="1014" s="27" customFormat="1" ht="18" customHeight="1" spans="1:20">
      <c r="A1014" s="34"/>
      <c r="B1014" s="48">
        <v>24</v>
      </c>
      <c r="C1014" s="48"/>
      <c r="D1014" s="88" t="s">
        <v>478</v>
      </c>
      <c r="E1014" s="72" t="s">
        <v>43</v>
      </c>
      <c r="F1014" s="77"/>
      <c r="G1014" s="72">
        <v>1</v>
      </c>
      <c r="H1014" s="74">
        <v>1</v>
      </c>
      <c r="I1014" s="74">
        <f>+辅材及安装费!$E$3</f>
        <v>5</v>
      </c>
      <c r="J1014" s="95">
        <f t="shared" ref="J1013:J1016" si="124">H1014*I1014</f>
        <v>5</v>
      </c>
      <c r="K1014" s="92"/>
      <c r="L1014" s="92"/>
      <c r="M1014" s="44"/>
      <c r="N1014" s="44"/>
      <c r="O1014" s="44"/>
      <c r="P1014" s="44"/>
      <c r="Q1014" s="44"/>
      <c r="R1014" s="62"/>
      <c r="S1014" s="47"/>
      <c r="T1014" s="47"/>
    </row>
    <row r="1015" s="27" customFormat="1" ht="18" customHeight="1" spans="1:20">
      <c r="A1015" s="34"/>
      <c r="B1015" s="48">
        <v>25</v>
      </c>
      <c r="C1015" s="48"/>
      <c r="D1015" s="93" t="s">
        <v>442</v>
      </c>
      <c r="E1015" s="72"/>
      <c r="F1015" s="77"/>
      <c r="G1015" s="72"/>
      <c r="H1015" s="74"/>
      <c r="I1015" s="74"/>
      <c r="J1015" s="95">
        <f>SUM(J991:J1014)</f>
        <v>395.489499216058</v>
      </c>
      <c r="K1015" s="92"/>
      <c r="L1015" s="94"/>
      <c r="M1015" s="27"/>
      <c r="N1015" s="83"/>
      <c r="O1015" s="83"/>
      <c r="P1015" s="83"/>
      <c r="Q1015" s="83"/>
      <c r="R1015" s="87"/>
      <c r="S1015" s="47"/>
      <c r="T1015" s="47"/>
    </row>
    <row r="1016" s="27" customFormat="1" ht="18" customHeight="1" spans="1:20">
      <c r="A1016" s="34"/>
      <c r="B1016" s="48">
        <v>1</v>
      </c>
      <c r="C1016" s="48" t="s">
        <v>443</v>
      </c>
      <c r="D1016" s="48" t="s">
        <v>444</v>
      </c>
      <c r="E1016" s="72" t="s">
        <v>43</v>
      </c>
      <c r="F1016" s="50"/>
      <c r="G1016" s="48"/>
      <c r="H1016" s="51">
        <v>1</v>
      </c>
      <c r="I1016" s="74">
        <f>+辅材及安装费!$F$3</f>
        <v>5</v>
      </c>
      <c r="J1016" s="95">
        <f t="shared" si="124"/>
        <v>5</v>
      </c>
      <c r="K1016" s="118"/>
      <c r="L1016" s="96"/>
      <c r="M1016" s="97"/>
      <c r="N1016" s="98"/>
      <c r="O1016" s="98"/>
      <c r="P1016" s="98"/>
      <c r="Q1016" s="98"/>
      <c r="R1016" s="99"/>
      <c r="S1016" s="47"/>
      <c r="T1016" s="47"/>
    </row>
    <row r="1017" s="26" customFormat="1" ht="30" customHeight="1" spans="1:20">
      <c r="A1017" s="28"/>
      <c r="B1017" s="29" t="s">
        <v>386</v>
      </c>
      <c r="C1017" s="29"/>
      <c r="D1017" s="29"/>
      <c r="E1017" s="29"/>
      <c r="F1017" s="29"/>
      <c r="G1017" s="29"/>
      <c r="H1017" s="29"/>
      <c r="I1017" s="29"/>
      <c r="J1017" s="29"/>
      <c r="K1017" s="29"/>
      <c r="L1017" s="30"/>
      <c r="M1017" s="31"/>
      <c r="N1017" s="31"/>
      <c r="O1017" s="31"/>
      <c r="P1017" s="31"/>
      <c r="Q1017" s="31"/>
      <c r="R1017" s="32"/>
      <c r="S1017" s="33"/>
      <c r="T1017" s="33"/>
    </row>
    <row r="1018" s="27" customFormat="1" ht="33.75" customHeight="1" spans="1:20">
      <c r="A1018" s="34">
        <v>15</v>
      </c>
      <c r="B1018" s="35" t="s">
        <v>1</v>
      </c>
      <c r="C1018" s="35" t="s">
        <v>387</v>
      </c>
      <c r="D1018" s="36" t="str">
        <f>+A1026</f>
        <v>浅灰色瓦楞铝板</v>
      </c>
      <c r="E1018" s="37"/>
      <c r="F1018" s="38" t="s">
        <v>119</v>
      </c>
      <c r="G1018" s="39"/>
      <c r="H1018" s="35" t="s">
        <v>388</v>
      </c>
      <c r="I1018" s="40" t="s">
        <v>389</v>
      </c>
      <c r="J1018" s="41" t="s">
        <v>37</v>
      </c>
      <c r="K1018" s="42">
        <f ca="1">VLOOKUP(A1018,排屋工程量清单!$A$59:$D$86,4,)</f>
        <v>5.07936</v>
      </c>
      <c r="L1018" s="43"/>
      <c r="M1018" s="44"/>
      <c r="N1018" s="44"/>
      <c r="O1018" s="44"/>
      <c r="P1018" s="45"/>
      <c r="Q1018" s="44"/>
      <c r="R1018" s="46"/>
      <c r="S1018" s="47"/>
      <c r="T1018" s="47"/>
    </row>
    <row r="1019" s="27" customFormat="1" ht="25" customHeight="1" spans="1:20">
      <c r="A1019" s="34"/>
      <c r="B1019" s="48">
        <v>1</v>
      </c>
      <c r="C1019" s="49" t="s">
        <v>390</v>
      </c>
      <c r="D1019" s="48" t="s">
        <v>391</v>
      </c>
      <c r="E1019" s="48"/>
      <c r="F1019" s="50"/>
      <c r="G1019" s="48"/>
      <c r="H1019" s="51"/>
      <c r="I1019" s="52">
        <f>J1031</f>
        <v>165</v>
      </c>
      <c r="J1019" s="53" t="s">
        <v>392</v>
      </c>
      <c r="K1019" s="54"/>
      <c r="L1019" s="55" t="s">
        <v>531</v>
      </c>
      <c r="M1019" s="56"/>
      <c r="N1019" s="57"/>
      <c r="O1019" s="57">
        <v>2.86</v>
      </c>
      <c r="P1019" s="57">
        <v>0.64</v>
      </c>
      <c r="Q1019" s="57">
        <v>1</v>
      </c>
      <c r="R1019" s="58">
        <f>+Q1019*P1019*O1019</f>
        <v>1.8304</v>
      </c>
      <c r="S1019" s="47"/>
      <c r="T1019" s="47"/>
    </row>
    <row r="1020" s="27" customFormat="1" ht="18" customHeight="1" spans="1:20">
      <c r="A1020" s="34"/>
      <c r="B1020" s="48">
        <v>2</v>
      </c>
      <c r="C1020" s="59"/>
      <c r="D1020" s="48" t="s">
        <v>394</v>
      </c>
      <c r="E1020" s="48"/>
      <c r="F1020" s="50"/>
      <c r="G1020" s="48"/>
      <c r="H1020" s="51"/>
      <c r="I1020" s="52">
        <f>J1056</f>
        <v>501.035137778773</v>
      </c>
      <c r="J1020" s="53" t="s">
        <v>392</v>
      </c>
      <c r="K1020" s="60"/>
      <c r="L1020" s="61" t="s">
        <v>119</v>
      </c>
      <c r="M1020" s="44"/>
      <c r="N1020" s="44"/>
      <c r="O1020" s="44"/>
      <c r="P1020" s="44"/>
      <c r="Q1020" s="44"/>
      <c r="R1020" s="62"/>
      <c r="S1020" s="47"/>
      <c r="T1020" s="47"/>
    </row>
    <row r="1021" s="27" customFormat="1" ht="18" customHeight="1" spans="1:20">
      <c r="A1021" s="34"/>
      <c r="B1021" s="48">
        <v>3</v>
      </c>
      <c r="C1021" s="63"/>
      <c r="D1021" s="48" t="s">
        <v>395</v>
      </c>
      <c r="E1021" s="48"/>
      <c r="F1021" s="50"/>
      <c r="G1021" s="48"/>
      <c r="H1021" s="51"/>
      <c r="I1021" s="52">
        <f>J1057</f>
        <v>5</v>
      </c>
      <c r="J1021" s="53" t="s">
        <v>392</v>
      </c>
      <c r="K1021" s="60"/>
      <c r="L1021" s="60"/>
      <c r="M1021" s="65" t="s">
        <v>396</v>
      </c>
      <c r="N1021" s="65" t="s">
        <v>397</v>
      </c>
      <c r="O1021" s="65" t="s">
        <v>398</v>
      </c>
      <c r="P1021" s="65" t="s">
        <v>399</v>
      </c>
      <c r="Q1021" s="65" t="s">
        <v>400</v>
      </c>
      <c r="R1021" s="66" t="s">
        <v>401</v>
      </c>
      <c r="S1021" s="47"/>
      <c r="T1021" s="47"/>
    </row>
    <row r="1022" s="27" customFormat="1" ht="18" customHeight="1" spans="1:20">
      <c r="A1022" s="34"/>
      <c r="B1022" s="48">
        <v>4</v>
      </c>
      <c r="C1022" s="48" t="s">
        <v>402</v>
      </c>
      <c r="D1022" s="67" t="s">
        <v>403</v>
      </c>
      <c r="E1022" s="67"/>
      <c r="F1022" s="50"/>
      <c r="G1022" s="67"/>
      <c r="H1022" s="68"/>
      <c r="I1022" s="52">
        <f>SUM(I1019:I1021)</f>
        <v>671.035137778773</v>
      </c>
      <c r="J1022" s="53" t="s">
        <v>392</v>
      </c>
      <c r="K1022" s="60"/>
      <c r="L1022" s="69" t="s">
        <v>431</v>
      </c>
      <c r="M1022" s="34" t="s">
        <v>532</v>
      </c>
      <c r="N1022" s="102">
        <v>5.78</v>
      </c>
      <c r="O1022" s="34">
        <f>0.76</f>
        <v>0.76</v>
      </c>
      <c r="P1022" s="34">
        <v>2</v>
      </c>
      <c r="Q1022" s="44">
        <f t="shared" ref="Q1022:Q1029" si="125">+P1022*O1022*N1022</f>
        <v>8.7856</v>
      </c>
      <c r="R1022" s="71">
        <f>+Q1022/R1019</f>
        <v>4.79982517482518</v>
      </c>
      <c r="S1022" s="47"/>
      <c r="T1022" s="47"/>
    </row>
    <row r="1023" s="27" customFormat="1" ht="28" customHeight="1" spans="1:20">
      <c r="A1023" s="34"/>
      <c r="B1023" s="48">
        <v>5</v>
      </c>
      <c r="C1023" s="72" t="s">
        <v>406</v>
      </c>
      <c r="D1023" s="48" t="s">
        <v>407</v>
      </c>
      <c r="E1023" s="48"/>
      <c r="F1023" s="50"/>
      <c r="G1023" s="48"/>
      <c r="H1023" s="73">
        <f>+'材料表 '!$E$178</f>
        <v>0</v>
      </c>
      <c r="I1023" s="52">
        <f>H1023*I1022</f>
        <v>0</v>
      </c>
      <c r="J1023" s="53" t="s">
        <v>392</v>
      </c>
      <c r="K1023" s="60"/>
      <c r="L1023" s="69" t="s">
        <v>431</v>
      </c>
      <c r="M1023" s="34" t="s">
        <v>523</v>
      </c>
      <c r="N1023" s="102">
        <v>4.52</v>
      </c>
      <c r="O1023" s="34">
        <f>O1019</f>
        <v>2.86</v>
      </c>
      <c r="P1023" s="34">
        <v>0</v>
      </c>
      <c r="Q1023" s="44">
        <f t="shared" si="125"/>
        <v>0</v>
      </c>
      <c r="R1023" s="71">
        <f>+Q1023/R1019</f>
        <v>0</v>
      </c>
      <c r="S1023" s="47"/>
      <c r="T1023" s="47"/>
    </row>
    <row r="1024" s="27" customFormat="1" ht="18" customHeight="1" spans="1:20">
      <c r="A1024" s="34"/>
      <c r="B1024" s="48">
        <v>6</v>
      </c>
      <c r="C1024" s="48" t="s">
        <v>409</v>
      </c>
      <c r="D1024" s="48" t="s">
        <v>410</v>
      </c>
      <c r="E1024" s="48"/>
      <c r="F1024" s="50"/>
      <c r="G1024" s="48"/>
      <c r="H1024" s="73">
        <f>+'材料表 '!$E$179</f>
        <v>0</v>
      </c>
      <c r="I1024" s="52">
        <f>H1024*I1022</f>
        <v>0</v>
      </c>
      <c r="J1024" s="53" t="s">
        <v>392</v>
      </c>
      <c r="K1024" s="60"/>
      <c r="L1024" s="69" t="s">
        <v>461</v>
      </c>
      <c r="M1024" s="34" t="s">
        <v>462</v>
      </c>
      <c r="N1024" s="34">
        <v>3.77</v>
      </c>
      <c r="O1024" s="34">
        <f>O1019</f>
        <v>2.86</v>
      </c>
      <c r="P1024" s="34">
        <v>1</v>
      </c>
      <c r="Q1024" s="44">
        <f t="shared" si="125"/>
        <v>10.7822</v>
      </c>
      <c r="R1024" s="71">
        <f>+Q1024/R1019</f>
        <v>5.890625</v>
      </c>
      <c r="S1024" s="47"/>
      <c r="T1024" s="47"/>
    </row>
    <row r="1025" s="27" customFormat="1" ht="18" customHeight="1" spans="1:20">
      <c r="A1025" s="34"/>
      <c r="B1025" s="48">
        <v>7</v>
      </c>
      <c r="C1025" s="48" t="s">
        <v>412</v>
      </c>
      <c r="D1025" s="72" t="s">
        <v>413</v>
      </c>
      <c r="E1025" s="72"/>
      <c r="F1025" s="77"/>
      <c r="G1025" s="72"/>
      <c r="H1025" s="73">
        <f>+'材料表 '!$E$180</f>
        <v>0.09</v>
      </c>
      <c r="I1025" s="52">
        <f>(I1022+I1023+I1024)*H1025</f>
        <v>60.3931624000896</v>
      </c>
      <c r="J1025" s="53" t="s">
        <v>392</v>
      </c>
      <c r="K1025" s="60"/>
      <c r="L1025" s="69" t="s">
        <v>463</v>
      </c>
      <c r="M1025" s="34" t="s">
        <v>464</v>
      </c>
      <c r="N1025" s="34">
        <f>0.15*0.2*7.85*10</f>
        <v>2.355</v>
      </c>
      <c r="O1025" s="34">
        <v>1.5</v>
      </c>
      <c r="P1025" s="34">
        <f>P1022</f>
        <v>2</v>
      </c>
      <c r="Q1025" s="44">
        <f t="shared" si="125"/>
        <v>7.065</v>
      </c>
      <c r="R1025" s="71">
        <f>+Q1025/R1019</f>
        <v>3.85981206293706</v>
      </c>
      <c r="S1025" s="47"/>
      <c r="T1025" s="47"/>
    </row>
    <row r="1026" s="27" customFormat="1" ht="18" customHeight="1" spans="1:20">
      <c r="A1026" s="105" t="s">
        <v>148</v>
      </c>
      <c r="B1026" s="48">
        <v>8</v>
      </c>
      <c r="C1026" s="48" t="s">
        <v>363</v>
      </c>
      <c r="D1026" s="106" t="s">
        <v>415</v>
      </c>
      <c r="E1026" s="107"/>
      <c r="F1026" s="108"/>
      <c r="G1026" s="107"/>
      <c r="H1026" s="51"/>
      <c r="I1026" s="74">
        <f>SUM(I1022:I1025)</f>
        <v>731.428300178862</v>
      </c>
      <c r="J1026" s="53" t="s">
        <v>416</v>
      </c>
      <c r="K1026" s="60"/>
      <c r="L1026" s="69" t="s">
        <v>465</v>
      </c>
      <c r="M1026" s="34" t="s">
        <v>503</v>
      </c>
      <c r="N1026" s="126">
        <v>7.034</v>
      </c>
      <c r="O1026" s="34">
        <f>85/1000</f>
        <v>0.085</v>
      </c>
      <c r="P1026" s="44">
        <f>P1022*1.5*2</f>
        <v>6</v>
      </c>
      <c r="Q1026" s="44">
        <f t="shared" si="125"/>
        <v>3.58734</v>
      </c>
      <c r="R1026" s="84">
        <f>+Q1026/R1019</f>
        <v>1.9598666958042</v>
      </c>
      <c r="S1026" s="79"/>
      <c r="T1026" s="47"/>
    </row>
    <row r="1027" s="27" customFormat="1" ht="18" customHeight="1" spans="1:20">
      <c r="A1027" s="34"/>
      <c r="B1027" s="109" t="s">
        <v>418</v>
      </c>
      <c r="C1027" s="110"/>
      <c r="D1027" s="110"/>
      <c r="E1027" s="110"/>
      <c r="F1027" s="110"/>
      <c r="G1027" s="110"/>
      <c r="H1027" s="110"/>
      <c r="I1027" s="110"/>
      <c r="J1027" s="110"/>
      <c r="K1027" s="80"/>
      <c r="L1027" s="69" t="s">
        <v>433</v>
      </c>
      <c r="M1027" s="44" t="s">
        <v>498</v>
      </c>
      <c r="N1027" s="82">
        <f>0.045*3*2.71</f>
        <v>0.36585</v>
      </c>
      <c r="O1027" s="44">
        <f>O1019</f>
        <v>2.86</v>
      </c>
      <c r="P1027" s="44">
        <v>2</v>
      </c>
      <c r="Q1027" s="44">
        <f t="shared" si="125"/>
        <v>2.092662</v>
      </c>
      <c r="R1027" s="84">
        <f>+Q1027/R1019</f>
        <v>1.14328125</v>
      </c>
      <c r="S1027" s="47">
        <f>0.16*P1027*O1027/R1019</f>
        <v>0.5</v>
      </c>
      <c r="T1027" s="47"/>
    </row>
    <row r="1028" s="27" customFormat="1" ht="18" customHeight="1" spans="1:20">
      <c r="A1028" s="34"/>
      <c r="B1028" s="48">
        <v>1</v>
      </c>
      <c r="C1028" s="48" t="s">
        <v>391</v>
      </c>
      <c r="D1028" s="48" t="s">
        <v>396</v>
      </c>
      <c r="E1028" s="48" t="s">
        <v>37</v>
      </c>
      <c r="F1028" s="50"/>
      <c r="G1028" s="48"/>
      <c r="H1028" s="51" t="s">
        <v>399</v>
      </c>
      <c r="I1028" s="51" t="s">
        <v>420</v>
      </c>
      <c r="J1028" s="95" t="s">
        <v>421</v>
      </c>
      <c r="K1028" s="92"/>
      <c r="L1028" s="69" t="s">
        <v>433</v>
      </c>
      <c r="M1028" s="44" t="s">
        <v>498</v>
      </c>
      <c r="N1028" s="82">
        <f>0.045*3*2.71</f>
        <v>0.36585</v>
      </c>
      <c r="O1028" s="44">
        <f>P1019</f>
        <v>0.64</v>
      </c>
      <c r="P1028" s="44">
        <v>2</v>
      </c>
      <c r="Q1028" s="44">
        <f t="shared" si="125"/>
        <v>0.468288</v>
      </c>
      <c r="R1028" s="84">
        <f>+Q1028/R1019</f>
        <v>0.255839160839161</v>
      </c>
      <c r="S1028" s="47"/>
      <c r="T1028" s="47"/>
    </row>
    <row r="1029" s="27" customFormat="1" ht="18" customHeight="1" spans="1:20">
      <c r="A1029" s="34"/>
      <c r="B1029" s="48">
        <v>2</v>
      </c>
      <c r="C1029" s="48"/>
      <c r="D1029" s="111" t="s">
        <v>491</v>
      </c>
      <c r="E1029" s="49" t="s">
        <v>423</v>
      </c>
      <c r="F1029" s="112"/>
      <c r="G1029" s="111"/>
      <c r="H1029" s="113">
        <v>1</v>
      </c>
      <c r="I1029" s="113">
        <f>+辅材及安装费!$G$3</f>
        <v>165</v>
      </c>
      <c r="J1029" s="114">
        <f t="shared" ref="J1029:J1041" si="126">H1029*I1029</f>
        <v>165</v>
      </c>
      <c r="K1029" s="92"/>
      <c r="L1029" s="69"/>
      <c r="M1029" s="44"/>
      <c r="N1029" s="82"/>
      <c r="O1029" s="44"/>
      <c r="P1029" s="44"/>
      <c r="Q1029" s="44"/>
      <c r="R1029" s="84"/>
      <c r="S1029" s="47"/>
      <c r="T1029" s="47"/>
    </row>
    <row r="1030" s="27" customFormat="1" ht="18" customHeight="1" spans="1:20">
      <c r="A1030" s="34"/>
      <c r="B1030" s="48">
        <v>3</v>
      </c>
      <c r="C1030" s="48"/>
      <c r="D1030" s="115"/>
      <c r="E1030" s="63"/>
      <c r="F1030" s="116"/>
      <c r="G1030" s="115"/>
      <c r="H1030" s="117"/>
      <c r="I1030" s="117"/>
      <c r="J1030" s="118"/>
      <c r="K1030" s="92"/>
      <c r="L1030" s="90" t="s">
        <v>472</v>
      </c>
      <c r="M1030" s="44"/>
      <c r="N1030" s="82"/>
      <c r="O1030" s="44"/>
      <c r="P1030" s="44">
        <f>O1025*P1025*2</f>
        <v>6</v>
      </c>
      <c r="Q1030" s="44">
        <f>+P1030</f>
        <v>6</v>
      </c>
      <c r="R1030" s="84">
        <f>+Q1030/R1019</f>
        <v>3.27797202797203</v>
      </c>
      <c r="S1030" s="47"/>
      <c r="T1030" s="47"/>
    </row>
    <row r="1031" s="27" customFormat="1" ht="18" customHeight="1" spans="1:20">
      <c r="A1031" s="34"/>
      <c r="B1031" s="48">
        <v>4</v>
      </c>
      <c r="C1031" s="48"/>
      <c r="D1031" s="85" t="s">
        <v>426</v>
      </c>
      <c r="E1031" s="48" t="s">
        <v>392</v>
      </c>
      <c r="F1031" s="50"/>
      <c r="G1031" s="48"/>
      <c r="H1031" s="86"/>
      <c r="I1031" s="86"/>
      <c r="J1031" s="95">
        <f>SUM(J1029:J1029)</f>
        <v>165</v>
      </c>
      <c r="K1031" s="92"/>
      <c r="L1031" s="90"/>
      <c r="M1031" s="44"/>
      <c r="N1031" s="82"/>
      <c r="O1031" s="44"/>
      <c r="P1031" s="44"/>
      <c r="Q1031" s="44"/>
      <c r="R1031" s="84"/>
      <c r="S1031" s="47"/>
      <c r="T1031" s="47"/>
    </row>
    <row r="1032" s="27" customFormat="1" ht="22" customHeight="1" spans="1:20">
      <c r="A1032" s="34"/>
      <c r="B1032" s="48">
        <v>1</v>
      </c>
      <c r="C1032" s="48" t="s">
        <v>394</v>
      </c>
      <c r="D1032" s="88" t="s">
        <v>431</v>
      </c>
      <c r="E1032" s="72" t="str">
        <f>+VLOOKUP(D1032,'材料表 '!C:F,2,0)</f>
        <v>kg</v>
      </c>
      <c r="F1032" s="77">
        <f>+SUMIF($L$1019:$L$1057,D1032,$R$1019:$R$1057)</f>
        <v>4.79982517482518</v>
      </c>
      <c r="G1032" s="89">
        <f>+VLOOKUP(D1032,'材料表 '!C:F,4,0)</f>
        <v>0.03</v>
      </c>
      <c r="H1032" s="74">
        <f t="shared" ref="H1032:H1041" si="127">F1032*(G1032+1)</f>
        <v>4.94381993006994</v>
      </c>
      <c r="I1032" s="74">
        <f>+VLOOKUP(D1032,'材料表 '!C:F,3,0)</f>
        <v>3.80530973451327</v>
      </c>
      <c r="J1032" s="95">
        <f t="shared" si="126"/>
        <v>18.8127661055758</v>
      </c>
      <c r="K1032" s="92">
        <f ca="1">H1032*K1018</f>
        <v>25.1114412000001</v>
      </c>
      <c r="L1032" s="90"/>
      <c r="M1032" s="44"/>
      <c r="N1032" s="82"/>
      <c r="O1032" s="44"/>
      <c r="P1032" s="44"/>
      <c r="Q1032" s="44"/>
      <c r="R1032" s="84"/>
      <c r="S1032" s="47"/>
      <c r="T1032" s="47"/>
    </row>
    <row r="1033" s="27" customFormat="1" ht="18" customHeight="1" spans="1:20">
      <c r="A1033" s="34"/>
      <c r="B1033" s="48">
        <v>2</v>
      </c>
      <c r="C1033" s="48"/>
      <c r="D1033" s="88" t="s">
        <v>461</v>
      </c>
      <c r="E1033" s="72" t="str">
        <f>+VLOOKUP(D1033,'材料表 '!C:F,2,0)</f>
        <v>kg</v>
      </c>
      <c r="F1033" s="77">
        <f t="shared" ref="F1033:F1041" si="128">+SUMIF($L$1019:$L$1057,D1033,$R$1019:$R$1057)</f>
        <v>5.890625</v>
      </c>
      <c r="G1033" s="89">
        <f>+VLOOKUP(D1033,'材料表 '!C:F,4,0)</f>
        <v>0.03</v>
      </c>
      <c r="H1033" s="74">
        <f t="shared" si="127"/>
        <v>6.06734375</v>
      </c>
      <c r="I1033" s="74">
        <f>+VLOOKUP(D1033,'材料表 '!C:F,3,0)</f>
        <v>3.53982300884956</v>
      </c>
      <c r="J1033" s="95">
        <f t="shared" si="126"/>
        <v>21.4773230088496</v>
      </c>
      <c r="K1033" s="92">
        <f ca="1">H1033*K1018</f>
        <v>30.81822315</v>
      </c>
      <c r="L1033" s="90"/>
      <c r="M1033" s="44"/>
      <c r="N1033" s="82"/>
      <c r="O1033" s="44"/>
      <c r="P1033" s="44"/>
      <c r="Q1033" s="44"/>
      <c r="R1033" s="84"/>
      <c r="S1033" s="47"/>
      <c r="T1033" s="47"/>
    </row>
    <row r="1034" s="27" customFormat="1" ht="18" customHeight="1" spans="1:20">
      <c r="A1034" s="34"/>
      <c r="B1034" s="48">
        <v>3</v>
      </c>
      <c r="C1034" s="48"/>
      <c r="D1034" s="88" t="s">
        <v>465</v>
      </c>
      <c r="E1034" s="72" t="str">
        <f>+VLOOKUP(D1034,'材料表 '!C:F,2,0)</f>
        <v>kg</v>
      </c>
      <c r="F1034" s="77">
        <f t="shared" si="128"/>
        <v>1.9598666958042</v>
      </c>
      <c r="G1034" s="89">
        <f>+VLOOKUP(D1034,'材料表 '!C:F,4,0)</f>
        <v>0.03</v>
      </c>
      <c r="H1034" s="74">
        <f t="shared" si="127"/>
        <v>2.01866269667833</v>
      </c>
      <c r="I1034" s="74">
        <f>+VLOOKUP(D1034,'材料表 '!C:F,3,0)</f>
        <v>6.01769911504425</v>
      </c>
      <c r="J1034" s="95">
        <f t="shared" si="126"/>
        <v>12.147704723374</v>
      </c>
      <c r="K1034" s="92">
        <f ca="1">H1034*K1018</f>
        <v>10.253514555</v>
      </c>
      <c r="L1034" s="90"/>
      <c r="M1034" s="44"/>
      <c r="N1034" s="82"/>
      <c r="O1034" s="44"/>
      <c r="P1034" s="44"/>
      <c r="Q1034" s="44">
        <f>+P1034*O1034</f>
        <v>0</v>
      </c>
      <c r="R1034" s="84">
        <f>+Q1034/R1019</f>
        <v>0</v>
      </c>
      <c r="S1034" s="47"/>
      <c r="T1034" s="47"/>
    </row>
    <row r="1035" s="27" customFormat="1" ht="18" customHeight="1" spans="1:20">
      <c r="A1035" s="34"/>
      <c r="B1035" s="48">
        <v>4</v>
      </c>
      <c r="C1035" s="48"/>
      <c r="D1035" s="88" t="s">
        <v>463</v>
      </c>
      <c r="E1035" s="72" t="str">
        <f>+VLOOKUP(D1035,'材料表 '!C:F,2,0)</f>
        <v>kg</v>
      </c>
      <c r="F1035" s="77">
        <f t="shared" si="128"/>
        <v>3.85981206293706</v>
      </c>
      <c r="G1035" s="89">
        <f>+VLOOKUP(D1035,'材料表 '!C:F,4,0)</f>
        <v>0.03</v>
      </c>
      <c r="H1035" s="74">
        <f t="shared" si="127"/>
        <v>3.97560642482517</v>
      </c>
      <c r="I1035" s="74">
        <f>+VLOOKUP(D1035,'材料表 '!C:F,3,0)</f>
        <v>6.01769911504425</v>
      </c>
      <c r="J1035" s="95">
        <f t="shared" si="126"/>
        <v>23.9240032644347</v>
      </c>
      <c r="K1035" s="92">
        <f ca="1">H1035*K1018</f>
        <v>20.19353625</v>
      </c>
      <c r="L1035" s="90" t="s">
        <v>474</v>
      </c>
      <c r="M1035" s="44"/>
      <c r="N1035" s="82"/>
      <c r="O1035" s="44"/>
      <c r="P1035" s="44"/>
      <c r="Q1035" s="44">
        <f>+O1025*P1025*4</f>
        <v>12</v>
      </c>
      <c r="R1035" s="84">
        <f>+Q1035/R1019</f>
        <v>6.55594405594406</v>
      </c>
      <c r="S1035" s="47"/>
      <c r="T1035" s="47"/>
    </row>
    <row r="1036" s="27" customFormat="1" ht="18" customHeight="1" spans="1:20">
      <c r="A1036" s="34"/>
      <c r="B1036" s="48">
        <v>5</v>
      </c>
      <c r="C1036" s="48"/>
      <c r="D1036" s="88" t="s">
        <v>433</v>
      </c>
      <c r="E1036" s="72" t="str">
        <f>+VLOOKUP(D1036,'材料表 '!C:F,2,0)</f>
        <v>kg</v>
      </c>
      <c r="F1036" s="77">
        <f t="shared" si="128"/>
        <v>1.39912041083916</v>
      </c>
      <c r="G1036" s="89">
        <f>+VLOOKUP(D1036,'材料表 '!C:F,4,0)</f>
        <v>0.03</v>
      </c>
      <c r="H1036" s="74">
        <f t="shared" si="127"/>
        <v>1.44109402316433</v>
      </c>
      <c r="I1036" s="74">
        <f>+VLOOKUP(D1036,'材料表 '!C:F,3,0)</f>
        <v>26.1150442477876</v>
      </c>
      <c r="J1036" s="95">
        <f t="shared" si="126"/>
        <v>37.6342341801589</v>
      </c>
      <c r="K1036" s="92">
        <f ca="1">H1036*K1018</f>
        <v>7.31983533749997</v>
      </c>
      <c r="L1036" s="92" t="s">
        <v>476</v>
      </c>
      <c r="M1036" s="44"/>
      <c r="N1036" s="82"/>
      <c r="O1036" s="44"/>
      <c r="P1036" s="44"/>
      <c r="Q1036" s="44">
        <f>8*8*(O1019*2+P1019*2)/500</f>
        <v>0.896</v>
      </c>
      <c r="R1036" s="84">
        <f>+Q1036/R1019</f>
        <v>0.48951048951049</v>
      </c>
      <c r="S1036" s="47"/>
      <c r="T1036" s="47"/>
    </row>
    <row r="1037" s="27" customFormat="1" ht="18" customHeight="1" spans="1:20">
      <c r="A1037" s="34"/>
      <c r="B1037" s="48">
        <v>6</v>
      </c>
      <c r="C1037" s="48"/>
      <c r="D1037" s="88" t="s">
        <v>434</v>
      </c>
      <c r="E1037" s="72" t="str">
        <f>+VLOOKUP(D1037,'材料表 '!C:F,2,0)</f>
        <v>m2</v>
      </c>
      <c r="F1037" s="77">
        <f t="shared" si="128"/>
        <v>0</v>
      </c>
      <c r="G1037" s="89">
        <f>+VLOOKUP(D1037,'材料表 '!C:F,4,0)</f>
        <v>0</v>
      </c>
      <c r="H1037" s="74">
        <f t="shared" si="127"/>
        <v>0</v>
      </c>
      <c r="I1037" s="74">
        <f>+VLOOKUP(D1037,'材料表 '!C:F,3,0)</f>
        <v>49.5575221238938</v>
      </c>
      <c r="J1037" s="95">
        <f t="shared" si="126"/>
        <v>0</v>
      </c>
      <c r="K1037" s="92">
        <f ca="1">H1037*K1018</f>
        <v>0</v>
      </c>
      <c r="L1037" s="92" t="s">
        <v>499</v>
      </c>
      <c r="M1037" s="44"/>
      <c r="N1037" s="82"/>
      <c r="O1037" s="44"/>
      <c r="P1037" s="44"/>
      <c r="Q1037" s="44">
        <v>0</v>
      </c>
      <c r="R1037" s="84">
        <f>Q1037/R1019</f>
        <v>0</v>
      </c>
      <c r="S1037" s="47"/>
      <c r="T1037" s="47"/>
    </row>
    <row r="1038" s="27" customFormat="1" ht="18" customHeight="1" spans="1:20">
      <c r="A1038" s="34"/>
      <c r="B1038" s="48">
        <v>7</v>
      </c>
      <c r="C1038" s="48"/>
      <c r="D1038" s="88" t="s">
        <v>472</v>
      </c>
      <c r="E1038" s="72" t="str">
        <f>+VLOOKUP(D1038,'材料表 '!C:F,2,0)</f>
        <v>套</v>
      </c>
      <c r="F1038" s="77">
        <f t="shared" si="128"/>
        <v>3.27797202797203</v>
      </c>
      <c r="G1038" s="89">
        <f>+VLOOKUP(D1038,'材料表 '!C:F,4,0)</f>
        <v>0</v>
      </c>
      <c r="H1038" s="74">
        <f t="shared" si="127"/>
        <v>3.27797202797203</v>
      </c>
      <c r="I1038" s="74">
        <f>+VLOOKUP(D1038,'材料表 '!C:F,3,0)</f>
        <v>2.47787610619469</v>
      </c>
      <c r="J1038" s="95">
        <f t="shared" si="126"/>
        <v>8.12240856488645</v>
      </c>
      <c r="K1038" s="92">
        <f ca="1">H1038*K1018</f>
        <v>16.65</v>
      </c>
      <c r="L1038" s="92"/>
      <c r="M1038" s="44"/>
      <c r="N1038" s="82"/>
      <c r="O1038" s="44"/>
      <c r="P1038" s="44"/>
      <c r="Q1038" s="44"/>
      <c r="R1038" s="84"/>
      <c r="S1038" s="47"/>
      <c r="T1038" s="47"/>
    </row>
    <row r="1039" s="27" customFormat="1" ht="18" customHeight="1" spans="1:20">
      <c r="A1039" s="34"/>
      <c r="B1039" s="48">
        <v>8</v>
      </c>
      <c r="C1039" s="48"/>
      <c r="D1039" s="88" t="s">
        <v>474</v>
      </c>
      <c r="E1039" s="72" t="str">
        <f>+VLOOKUP(D1039,'材料表 '!C:F,2,0)</f>
        <v>套</v>
      </c>
      <c r="F1039" s="77">
        <f t="shared" si="128"/>
        <v>6.55594405594406</v>
      </c>
      <c r="G1039" s="89">
        <f>+VLOOKUP(D1039,'材料表 '!C:F,4,0)</f>
        <v>0</v>
      </c>
      <c r="H1039" s="74">
        <f t="shared" si="127"/>
        <v>6.55594405594406</v>
      </c>
      <c r="I1039" s="74">
        <f>+VLOOKUP(D1039,'材料表 '!C:F,3,0)</f>
        <v>2.21238938053097</v>
      </c>
      <c r="J1039" s="95">
        <f t="shared" si="126"/>
        <v>14.5043010087258</v>
      </c>
      <c r="K1039" s="92">
        <f ca="1">H1039*K1018</f>
        <v>33.3</v>
      </c>
      <c r="L1039" s="92"/>
      <c r="M1039" s="44"/>
      <c r="N1039" s="82"/>
      <c r="O1039" s="44"/>
      <c r="P1039" s="44"/>
      <c r="Q1039" s="44"/>
      <c r="R1039" s="84"/>
      <c r="S1039" s="47"/>
      <c r="T1039" s="47"/>
    </row>
    <row r="1040" s="27" customFormat="1" ht="18" customHeight="1" spans="1:20">
      <c r="A1040" s="34"/>
      <c r="B1040" s="48">
        <v>9</v>
      </c>
      <c r="C1040" s="48"/>
      <c r="D1040" s="88" t="s">
        <v>476</v>
      </c>
      <c r="E1040" s="72" t="str">
        <f>+VLOOKUP(D1040,'材料表 '!C:F,2,0)</f>
        <v>支</v>
      </c>
      <c r="F1040" s="77">
        <f t="shared" si="128"/>
        <v>0.48951048951049</v>
      </c>
      <c r="G1040" s="89">
        <f>+VLOOKUP(D1040,'材料表 '!C:F,4,0)</f>
        <v>0.15</v>
      </c>
      <c r="H1040" s="74">
        <f t="shared" si="127"/>
        <v>0.562937062937063</v>
      </c>
      <c r="I1040" s="74">
        <f>+VLOOKUP(D1040,'材料表 '!C:F,3,0)</f>
        <v>11.5044247787611</v>
      </c>
      <c r="J1040" s="95">
        <f t="shared" si="126"/>
        <v>6.47626709573615</v>
      </c>
      <c r="K1040" s="92">
        <f ca="1">H1040*K1018</f>
        <v>2.85936</v>
      </c>
      <c r="L1040" s="90"/>
      <c r="M1040" s="44"/>
      <c r="N1040" s="82"/>
      <c r="O1040" s="34"/>
      <c r="P1040" s="44"/>
      <c r="Q1040" s="44"/>
      <c r="R1040" s="119"/>
      <c r="S1040" s="47"/>
      <c r="T1040" s="47"/>
    </row>
    <row r="1041" s="27" customFormat="1" ht="23" customHeight="1" spans="1:20">
      <c r="A1041" s="34"/>
      <c r="B1041" s="48">
        <v>10</v>
      </c>
      <c r="C1041" s="48"/>
      <c r="D1041" s="88" t="s">
        <v>499</v>
      </c>
      <c r="E1041" s="72" t="str">
        <f>+VLOOKUP(D1041,'材料表 '!C:F,2,0)</f>
        <v>套</v>
      </c>
      <c r="F1041" s="77">
        <f t="shared" si="128"/>
        <v>0</v>
      </c>
      <c r="G1041" s="89">
        <f>+VLOOKUP(D1041,'材料表 '!C:F,4,0)</f>
        <v>0</v>
      </c>
      <c r="H1041" s="74">
        <f t="shared" si="127"/>
        <v>0</v>
      </c>
      <c r="I1041" s="74">
        <f>+VLOOKUP(D1041,'材料表 '!C:F,3,0)</f>
        <v>1.32743362831858</v>
      </c>
      <c r="J1041" s="95">
        <f t="shared" si="126"/>
        <v>0</v>
      </c>
      <c r="K1041" s="92">
        <f ca="1">H1041*K1018</f>
        <v>0</v>
      </c>
      <c r="L1041" s="92"/>
      <c r="M1041" s="120"/>
      <c r="N1041" s="82"/>
      <c r="O1041" s="44"/>
      <c r="P1041" s="44"/>
      <c r="Q1041" s="44"/>
      <c r="R1041" s="84"/>
      <c r="S1041" s="47"/>
      <c r="T1041" s="47"/>
    </row>
    <row r="1042" s="27" customFormat="1" ht="20" customHeight="1" spans="1:20">
      <c r="A1042" s="34"/>
      <c r="B1042" s="48">
        <v>11</v>
      </c>
      <c r="C1042" s="48"/>
      <c r="D1042" s="88"/>
      <c r="E1042" s="72"/>
      <c r="F1042" s="77"/>
      <c r="G1042" s="89"/>
      <c r="H1042" s="74"/>
      <c r="I1042" s="74"/>
      <c r="J1042" s="95"/>
      <c r="K1042" s="92">
        <f ca="1">H1042*K1018</f>
        <v>0</v>
      </c>
      <c r="L1042" s="92"/>
      <c r="M1042" s="44"/>
      <c r="N1042" s="82"/>
      <c r="O1042" s="44"/>
      <c r="P1042" s="44"/>
      <c r="Q1042" s="44"/>
      <c r="R1042" s="84"/>
      <c r="S1042" s="47"/>
      <c r="T1042" s="47"/>
    </row>
    <row r="1043" s="27" customFormat="1" ht="24" customHeight="1" spans="1:20">
      <c r="A1043" s="34"/>
      <c r="B1043" s="48">
        <v>12</v>
      </c>
      <c r="C1043" s="48"/>
      <c r="D1043" s="127" t="s">
        <v>533</v>
      </c>
      <c r="E1043" s="72" t="str">
        <f>+VLOOKUP(D1043,'材料表 '!C:F,2,0)</f>
        <v>m2</v>
      </c>
      <c r="F1043" s="77">
        <f>0.65*(2.86+0.095*2)/R1019</f>
        <v>1.08309659090909</v>
      </c>
      <c r="G1043" s="89">
        <f>+VLOOKUP(D1043,'材料表 '!C:F,4,0)</f>
        <v>0.02</v>
      </c>
      <c r="H1043" s="74">
        <f>F1043*(G1043+1)</f>
        <v>1.10475852272727</v>
      </c>
      <c r="I1043" s="74">
        <f>+VLOOKUP(D1043,'材料表 '!C:F,3,0)</f>
        <v>319.469026548673</v>
      </c>
      <c r="J1043" s="95">
        <f>H1043*I1043</f>
        <v>352.936129827032</v>
      </c>
      <c r="K1043" s="92">
        <f ca="1">H1043*K1018</f>
        <v>5.61146624999999</v>
      </c>
      <c r="L1043" s="92"/>
      <c r="M1043" s="44"/>
      <c r="N1043" s="44"/>
      <c r="O1043" s="44"/>
      <c r="P1043" s="44"/>
      <c r="Q1043" s="44"/>
      <c r="R1043" s="84"/>
      <c r="S1043" s="47"/>
      <c r="T1043" s="47"/>
    </row>
    <row r="1044" s="27" customFormat="1" ht="18" customHeight="1" spans="1:20">
      <c r="A1044" s="34"/>
      <c r="B1044" s="48">
        <v>13</v>
      </c>
      <c r="C1044" s="48"/>
      <c r="D1044" s="88"/>
      <c r="E1044" s="72"/>
      <c r="F1044" s="77"/>
      <c r="G1044" s="89"/>
      <c r="H1044" s="74"/>
      <c r="I1044" s="74"/>
      <c r="J1044" s="95"/>
      <c r="K1044" s="92">
        <f ca="1">H1044*K1018</f>
        <v>0</v>
      </c>
      <c r="L1044" s="92"/>
      <c r="M1044" s="44"/>
      <c r="N1044" s="44"/>
      <c r="O1044" s="44"/>
      <c r="P1044" s="44"/>
      <c r="Q1044" s="44"/>
      <c r="R1044" s="84"/>
      <c r="S1044" s="47"/>
      <c r="T1044" s="47"/>
    </row>
    <row r="1045" s="27" customFormat="1" ht="24" customHeight="1" spans="1:20">
      <c r="A1045" s="34"/>
      <c r="B1045" s="48">
        <v>14</v>
      </c>
      <c r="C1045" s="48"/>
      <c r="D1045" s="88"/>
      <c r="E1045" s="72"/>
      <c r="F1045" s="77"/>
      <c r="G1045" s="89"/>
      <c r="H1045" s="74"/>
      <c r="I1045" s="74"/>
      <c r="J1045" s="95"/>
      <c r="K1045" s="92">
        <f ca="1">H1045*K1018</f>
        <v>0</v>
      </c>
      <c r="L1045" s="92"/>
      <c r="M1045" s="44"/>
      <c r="N1045" s="44"/>
      <c r="O1045" s="44"/>
      <c r="P1045" s="44"/>
      <c r="Q1045" s="44"/>
      <c r="R1045" s="84"/>
      <c r="S1045" s="47"/>
      <c r="T1045" s="47"/>
    </row>
    <row r="1046" s="27" customFormat="1" ht="18" customHeight="1" spans="1:20">
      <c r="A1046" s="34"/>
      <c r="B1046" s="48">
        <v>15</v>
      </c>
      <c r="C1046" s="48"/>
      <c r="D1046" s="88"/>
      <c r="E1046" s="72"/>
      <c r="F1046" s="77"/>
      <c r="G1046" s="89"/>
      <c r="H1046" s="74"/>
      <c r="I1046" s="74"/>
      <c r="J1046" s="95"/>
      <c r="K1046" s="92"/>
      <c r="L1046" s="92"/>
      <c r="M1046" s="44"/>
      <c r="N1046" s="44"/>
      <c r="O1046" s="44"/>
      <c r="P1046" s="44"/>
      <c r="Q1046" s="44"/>
      <c r="R1046" s="84"/>
      <c r="S1046" s="47"/>
      <c r="T1046" s="47"/>
    </row>
    <row r="1047" s="27" customFormat="1" ht="18" customHeight="1" spans="1:20">
      <c r="A1047" s="34"/>
      <c r="B1047" s="48">
        <v>16</v>
      </c>
      <c r="C1047" s="48"/>
      <c r="D1047" s="88"/>
      <c r="E1047" s="72"/>
      <c r="F1047" s="77"/>
      <c r="G1047" s="89"/>
      <c r="H1047" s="74"/>
      <c r="I1047" s="74"/>
      <c r="J1047" s="95"/>
      <c r="K1047" s="92"/>
      <c r="L1047" s="92"/>
      <c r="M1047" s="44"/>
      <c r="N1047" s="44"/>
      <c r="O1047" s="44"/>
      <c r="P1047" s="44"/>
      <c r="Q1047" s="44"/>
      <c r="R1047" s="84"/>
      <c r="S1047" s="47"/>
      <c r="T1047" s="47"/>
    </row>
    <row r="1048" s="27" customFormat="1" ht="18" customHeight="1" spans="1:20">
      <c r="A1048" s="34"/>
      <c r="B1048" s="48">
        <v>17</v>
      </c>
      <c r="C1048" s="48"/>
      <c r="D1048" s="121"/>
      <c r="E1048" s="72"/>
      <c r="F1048" s="77"/>
      <c r="G1048" s="89"/>
      <c r="H1048" s="74"/>
      <c r="I1048" s="74"/>
      <c r="J1048" s="95"/>
      <c r="K1048" s="92"/>
      <c r="L1048" s="92"/>
      <c r="M1048" s="44"/>
      <c r="N1048" s="44"/>
      <c r="O1048" s="44"/>
      <c r="P1048" s="44"/>
      <c r="Q1048" s="101"/>
      <c r="R1048" s="84"/>
      <c r="S1048" s="47"/>
      <c r="T1048" s="47"/>
    </row>
    <row r="1049" s="27" customFormat="1" ht="18" customHeight="1" spans="1:20">
      <c r="A1049" s="34"/>
      <c r="B1049" s="48">
        <v>18</v>
      </c>
      <c r="C1049" s="48"/>
      <c r="D1049" s="88"/>
      <c r="E1049" s="72"/>
      <c r="F1049" s="77"/>
      <c r="G1049" s="89"/>
      <c r="H1049" s="74"/>
      <c r="I1049" s="74"/>
      <c r="J1049" s="95"/>
      <c r="K1049" s="92"/>
      <c r="L1049" s="92"/>
      <c r="M1049" s="44"/>
      <c r="N1049" s="44"/>
      <c r="O1049" s="44"/>
      <c r="P1049" s="44"/>
      <c r="Q1049" s="44"/>
      <c r="R1049" s="84"/>
      <c r="S1049" s="47"/>
      <c r="T1049" s="47"/>
    </row>
    <row r="1050" s="27" customFormat="1" ht="18" customHeight="1" spans="1:20">
      <c r="A1050" s="34"/>
      <c r="B1050" s="48">
        <v>19</v>
      </c>
      <c r="C1050" s="48"/>
      <c r="D1050" s="27"/>
      <c r="E1050" s="72"/>
      <c r="F1050" s="77"/>
      <c r="G1050" s="89"/>
      <c r="H1050" s="74"/>
      <c r="I1050" s="74"/>
      <c r="J1050" s="95"/>
      <c r="K1050" s="92"/>
      <c r="L1050" s="92"/>
      <c r="M1050" s="44"/>
      <c r="N1050" s="44"/>
      <c r="O1050" s="44"/>
      <c r="P1050" s="44"/>
      <c r="Q1050" s="44"/>
      <c r="R1050" s="84"/>
      <c r="S1050" s="47"/>
      <c r="T1050" s="47"/>
    </row>
    <row r="1051" s="27" customFormat="1" ht="18" customHeight="1" spans="1:20">
      <c r="A1051" s="34"/>
      <c r="B1051" s="48">
        <v>20</v>
      </c>
      <c r="C1051" s="48"/>
      <c r="D1051" s="88"/>
      <c r="E1051" s="72"/>
      <c r="F1051" s="77"/>
      <c r="G1051" s="89"/>
      <c r="H1051" s="74"/>
      <c r="I1051" s="74"/>
      <c r="J1051" s="95"/>
      <c r="K1051" s="92"/>
      <c r="L1051" s="92"/>
      <c r="M1051" s="44"/>
      <c r="N1051" s="44"/>
      <c r="O1051" s="44"/>
      <c r="P1051" s="44"/>
      <c r="Q1051" s="44"/>
      <c r="R1051" s="84"/>
      <c r="S1051" s="47"/>
      <c r="T1051" s="47"/>
    </row>
    <row r="1052" s="27" customFormat="1" ht="18" customHeight="1" spans="1:20">
      <c r="A1052" s="34"/>
      <c r="B1052" s="48">
        <v>21</v>
      </c>
      <c r="C1052" s="48"/>
      <c r="D1052" s="88"/>
      <c r="E1052" s="72"/>
      <c r="F1052" s="77"/>
      <c r="G1052" s="89"/>
      <c r="H1052" s="74"/>
      <c r="I1052" s="74"/>
      <c r="J1052" s="95"/>
      <c r="K1052" s="92"/>
      <c r="L1052" s="92"/>
      <c r="M1052" s="44"/>
      <c r="N1052" s="44"/>
      <c r="O1052" s="44"/>
      <c r="P1052" s="44"/>
      <c r="Q1052" s="44"/>
      <c r="R1052" s="84"/>
      <c r="S1052" s="47"/>
      <c r="T1052" s="47"/>
    </row>
    <row r="1053" s="27" customFormat="1" ht="18" customHeight="1" spans="1:20">
      <c r="A1053" s="34"/>
      <c r="B1053" s="48">
        <v>22</v>
      </c>
      <c r="C1053" s="48"/>
      <c r="D1053" s="27"/>
      <c r="E1053" s="72"/>
      <c r="F1053" s="77"/>
      <c r="G1053" s="72"/>
      <c r="H1053" s="74"/>
      <c r="I1053" s="74"/>
      <c r="J1053" s="95"/>
      <c r="K1053" s="92"/>
      <c r="L1053" s="92"/>
      <c r="M1053" s="44"/>
      <c r="N1053" s="44"/>
      <c r="O1053" s="44"/>
      <c r="P1053" s="44"/>
      <c r="Q1053" s="44"/>
      <c r="R1053" s="62"/>
      <c r="S1053" s="47"/>
      <c r="T1053" s="47"/>
    </row>
    <row r="1054" s="27" customFormat="1" ht="18" customHeight="1" spans="1:20">
      <c r="A1054" s="34"/>
      <c r="B1054" s="48">
        <v>23</v>
      </c>
      <c r="C1054" s="48"/>
      <c r="D1054" s="88"/>
      <c r="E1054" s="72"/>
      <c r="F1054" s="77"/>
      <c r="G1054" s="89"/>
      <c r="H1054" s="74"/>
      <c r="I1054" s="74"/>
      <c r="J1054" s="95"/>
      <c r="K1054" s="92"/>
      <c r="L1054" s="92"/>
      <c r="M1054" s="44"/>
      <c r="N1054" s="44"/>
      <c r="O1054" s="44"/>
      <c r="P1054" s="44"/>
      <c r="Q1054" s="44"/>
      <c r="R1054" s="62"/>
      <c r="S1054" s="47"/>
      <c r="T1054" s="47"/>
    </row>
    <row r="1055" s="27" customFormat="1" ht="18" customHeight="1" spans="1:20">
      <c r="A1055" s="34"/>
      <c r="B1055" s="48">
        <v>24</v>
      </c>
      <c r="C1055" s="48"/>
      <c r="D1055" s="88" t="s">
        <v>478</v>
      </c>
      <c r="E1055" s="72" t="s">
        <v>43</v>
      </c>
      <c r="F1055" s="77"/>
      <c r="G1055" s="72">
        <v>1</v>
      </c>
      <c r="H1055" s="74">
        <v>1</v>
      </c>
      <c r="I1055" s="74">
        <f>+辅材及安装费!$E$3</f>
        <v>5</v>
      </c>
      <c r="J1055" s="95">
        <f t="shared" ref="J1054:J1057" si="129">H1055*I1055</f>
        <v>5</v>
      </c>
      <c r="K1055" s="92"/>
      <c r="L1055" s="92"/>
      <c r="M1055" s="44"/>
      <c r="N1055" s="44"/>
      <c r="O1055" s="44"/>
      <c r="P1055" s="44"/>
      <c r="Q1055" s="44"/>
      <c r="R1055" s="62"/>
      <c r="S1055" s="47"/>
      <c r="T1055" s="47"/>
    </row>
    <row r="1056" s="27" customFormat="1" ht="18" customHeight="1" spans="1:20">
      <c r="A1056" s="34"/>
      <c r="B1056" s="48">
        <v>25</v>
      </c>
      <c r="C1056" s="48"/>
      <c r="D1056" s="93" t="s">
        <v>442</v>
      </c>
      <c r="E1056" s="72"/>
      <c r="F1056" s="77"/>
      <c r="G1056" s="72"/>
      <c r="H1056" s="74"/>
      <c r="I1056" s="74"/>
      <c r="J1056" s="95">
        <f>SUM(J1032:J1055)</f>
        <v>501.035137778773</v>
      </c>
      <c r="K1056" s="92"/>
      <c r="L1056" s="94"/>
      <c r="M1056" s="27"/>
      <c r="N1056" s="83"/>
      <c r="O1056" s="83"/>
      <c r="P1056" s="83"/>
      <c r="Q1056" s="83"/>
      <c r="R1056" s="87"/>
      <c r="S1056" s="47"/>
      <c r="T1056" s="47"/>
    </row>
    <row r="1057" s="27" customFormat="1" ht="18" customHeight="1" spans="1:20">
      <c r="A1057" s="34"/>
      <c r="B1057" s="48">
        <v>1</v>
      </c>
      <c r="C1057" s="48" t="s">
        <v>443</v>
      </c>
      <c r="D1057" s="48" t="s">
        <v>444</v>
      </c>
      <c r="E1057" s="72" t="s">
        <v>43</v>
      </c>
      <c r="F1057" s="50"/>
      <c r="G1057" s="48"/>
      <c r="H1057" s="51">
        <v>1</v>
      </c>
      <c r="I1057" s="74">
        <f>+辅材及安装费!$F$3</f>
        <v>5</v>
      </c>
      <c r="J1057" s="95">
        <f t="shared" si="129"/>
        <v>5</v>
      </c>
      <c r="K1057" s="118"/>
      <c r="L1057" s="96"/>
      <c r="M1057" s="97"/>
      <c r="N1057" s="98"/>
      <c r="O1057" s="98"/>
      <c r="P1057" s="98"/>
      <c r="Q1057" s="98"/>
      <c r="R1057" s="99"/>
      <c r="S1057" s="47"/>
      <c r="T1057" s="47"/>
    </row>
    <row r="1058" s="26" customFormat="1" ht="30" customHeight="1" spans="1:20">
      <c r="A1058" s="28"/>
      <c r="B1058" s="29" t="s">
        <v>386</v>
      </c>
      <c r="C1058" s="29"/>
      <c r="D1058" s="29"/>
      <c r="E1058" s="29"/>
      <c r="F1058" s="29"/>
      <c r="G1058" s="29"/>
      <c r="H1058" s="29"/>
      <c r="I1058" s="29"/>
      <c r="J1058" s="29"/>
      <c r="K1058" s="29"/>
      <c r="L1058" s="30"/>
      <c r="M1058" s="31"/>
      <c r="N1058" s="31"/>
      <c r="O1058" s="31"/>
      <c r="P1058" s="31"/>
      <c r="Q1058" s="31"/>
      <c r="R1058" s="32"/>
      <c r="S1058" s="33"/>
      <c r="T1058" s="33"/>
    </row>
    <row r="1059" s="27" customFormat="1" ht="33.75" customHeight="1" spans="1:20">
      <c r="A1059" s="34">
        <v>16</v>
      </c>
      <c r="B1059" s="35" t="s">
        <v>1</v>
      </c>
      <c r="C1059" s="35" t="s">
        <v>387</v>
      </c>
      <c r="D1059" s="36" t="str">
        <f>+A1067</f>
        <v>双色铝板造型线条(中灰色/浅灰色)</v>
      </c>
      <c r="E1059" s="37"/>
      <c r="F1059" s="38" t="s">
        <v>119</v>
      </c>
      <c r="G1059" s="39"/>
      <c r="H1059" s="35" t="s">
        <v>388</v>
      </c>
      <c r="I1059" s="40" t="s">
        <v>389</v>
      </c>
      <c r="J1059" s="41" t="s">
        <v>37</v>
      </c>
      <c r="K1059" s="42">
        <f ca="1">VLOOKUP(A1059,排屋工程量清单!$A$59:$D$86,4,)</f>
        <v>103.6594236</v>
      </c>
      <c r="L1059" s="43"/>
      <c r="M1059" s="44"/>
      <c r="N1059" s="44"/>
      <c r="O1059" s="44"/>
      <c r="P1059" s="45"/>
      <c r="Q1059" s="44"/>
      <c r="R1059" s="46"/>
      <c r="S1059" s="47"/>
      <c r="T1059" s="47"/>
    </row>
    <row r="1060" s="27" customFormat="1" ht="25" customHeight="1" spans="1:20">
      <c r="A1060" s="34"/>
      <c r="B1060" s="48">
        <v>1</v>
      </c>
      <c r="C1060" s="49" t="s">
        <v>390</v>
      </c>
      <c r="D1060" s="48" t="s">
        <v>391</v>
      </c>
      <c r="E1060" s="48"/>
      <c r="F1060" s="50"/>
      <c r="G1060" s="48"/>
      <c r="H1060" s="51"/>
      <c r="I1060" s="52">
        <f>J1072</f>
        <v>165</v>
      </c>
      <c r="J1060" s="53" t="s">
        <v>392</v>
      </c>
      <c r="K1060" s="54"/>
      <c r="L1060" s="55"/>
      <c r="M1060" s="56" t="s">
        <v>534</v>
      </c>
      <c r="N1060" s="57"/>
      <c r="O1060" s="57">
        <v>22.7</v>
      </c>
      <c r="P1060" s="57">
        <v>0.53</v>
      </c>
      <c r="Q1060" s="57">
        <v>1</v>
      </c>
      <c r="R1060" s="58">
        <f>+Q1060*P1060*O1060</f>
        <v>12.031</v>
      </c>
      <c r="S1060" s="47"/>
      <c r="T1060" s="47"/>
    </row>
    <row r="1061" s="27" customFormat="1" ht="18" customHeight="1" spans="1:20">
      <c r="A1061" s="34"/>
      <c r="B1061" s="48">
        <v>2</v>
      </c>
      <c r="C1061" s="59"/>
      <c r="D1061" s="48" t="s">
        <v>394</v>
      </c>
      <c r="E1061" s="48"/>
      <c r="F1061" s="50"/>
      <c r="G1061" s="48"/>
      <c r="H1061" s="51"/>
      <c r="I1061" s="52">
        <f>J1097</f>
        <v>470.566105477538</v>
      </c>
      <c r="J1061" s="53" t="s">
        <v>392</v>
      </c>
      <c r="K1061" s="60"/>
      <c r="L1061" s="61" t="s">
        <v>119</v>
      </c>
      <c r="M1061" s="44"/>
      <c r="N1061" s="44"/>
      <c r="O1061" s="44"/>
      <c r="P1061" s="44"/>
      <c r="Q1061" s="44"/>
      <c r="R1061" s="62"/>
      <c r="S1061" s="47"/>
      <c r="T1061" s="47"/>
    </row>
    <row r="1062" s="27" customFormat="1" ht="18" customHeight="1" spans="1:20">
      <c r="A1062" s="34"/>
      <c r="B1062" s="48">
        <v>3</v>
      </c>
      <c r="C1062" s="63"/>
      <c r="D1062" s="48" t="s">
        <v>395</v>
      </c>
      <c r="E1062" s="48"/>
      <c r="F1062" s="50"/>
      <c r="G1062" s="48"/>
      <c r="H1062" s="51"/>
      <c r="I1062" s="52">
        <f>J1098</f>
        <v>5</v>
      </c>
      <c r="J1062" s="53" t="s">
        <v>392</v>
      </c>
      <c r="K1062" s="60"/>
      <c r="L1062" s="60"/>
      <c r="M1062" s="65" t="s">
        <v>396</v>
      </c>
      <c r="N1062" s="65" t="s">
        <v>397</v>
      </c>
      <c r="O1062" s="65" t="s">
        <v>398</v>
      </c>
      <c r="P1062" s="65" t="s">
        <v>399</v>
      </c>
      <c r="Q1062" s="65" t="s">
        <v>400</v>
      </c>
      <c r="R1062" s="66" t="s">
        <v>401</v>
      </c>
      <c r="S1062" s="47"/>
      <c r="T1062" s="47"/>
    </row>
    <row r="1063" s="27" customFormat="1" ht="18" customHeight="1" spans="1:20">
      <c r="A1063" s="34"/>
      <c r="B1063" s="48">
        <v>4</v>
      </c>
      <c r="C1063" s="48" t="s">
        <v>402</v>
      </c>
      <c r="D1063" s="67" t="s">
        <v>403</v>
      </c>
      <c r="E1063" s="67"/>
      <c r="F1063" s="50"/>
      <c r="G1063" s="67"/>
      <c r="H1063" s="68"/>
      <c r="I1063" s="52">
        <f>SUM(I1060:I1062)</f>
        <v>640.566105477538</v>
      </c>
      <c r="J1063" s="53" t="s">
        <v>392</v>
      </c>
      <c r="K1063" s="60"/>
      <c r="L1063" s="69" t="s">
        <v>431</v>
      </c>
      <c r="M1063" s="34" t="s">
        <v>535</v>
      </c>
      <c r="N1063" s="102">
        <v>18.05</v>
      </c>
      <c r="O1063" s="34">
        <f>O1060</f>
        <v>22.7</v>
      </c>
      <c r="P1063" s="34">
        <v>0.5</v>
      </c>
      <c r="Q1063" s="44">
        <f t="shared" ref="Q1063:Q1070" si="130">+P1063*O1063*N1063</f>
        <v>204.8675</v>
      </c>
      <c r="R1063" s="71">
        <f>+Q1063/R1060</f>
        <v>17.0283018867925</v>
      </c>
      <c r="S1063" s="47"/>
      <c r="T1063" s="47"/>
    </row>
    <row r="1064" s="27" customFormat="1" ht="28" customHeight="1" spans="1:20">
      <c r="A1064" s="34"/>
      <c r="B1064" s="48">
        <v>5</v>
      </c>
      <c r="C1064" s="72" t="s">
        <v>406</v>
      </c>
      <c r="D1064" s="48" t="s">
        <v>407</v>
      </c>
      <c r="E1064" s="48"/>
      <c r="F1064" s="50"/>
      <c r="G1064" s="48"/>
      <c r="H1064" s="73">
        <f>+'材料表 '!$E$178</f>
        <v>0</v>
      </c>
      <c r="I1064" s="52">
        <f>H1064*I1063</f>
        <v>0</v>
      </c>
      <c r="J1064" s="53" t="s">
        <v>392</v>
      </c>
      <c r="K1064" s="60"/>
      <c r="L1064" s="69" t="s">
        <v>431</v>
      </c>
      <c r="M1064" s="34" t="s">
        <v>523</v>
      </c>
      <c r="N1064" s="102">
        <v>4.52</v>
      </c>
      <c r="O1064" s="34">
        <f>O1060</f>
        <v>22.7</v>
      </c>
      <c r="P1064" s="34">
        <v>0</v>
      </c>
      <c r="Q1064" s="44">
        <f t="shared" si="130"/>
        <v>0</v>
      </c>
      <c r="R1064" s="71">
        <f>+Q1064/R1060</f>
        <v>0</v>
      </c>
      <c r="S1064" s="47"/>
      <c r="T1064" s="47"/>
    </row>
    <row r="1065" s="27" customFormat="1" ht="18" customHeight="1" spans="1:20">
      <c r="A1065" s="34"/>
      <c r="B1065" s="48">
        <v>6</v>
      </c>
      <c r="C1065" s="48" t="s">
        <v>409</v>
      </c>
      <c r="D1065" s="48" t="s">
        <v>410</v>
      </c>
      <c r="E1065" s="48"/>
      <c r="F1065" s="50"/>
      <c r="G1065" s="48"/>
      <c r="H1065" s="73">
        <f>+'材料表 '!$E$179</f>
        <v>0</v>
      </c>
      <c r="I1065" s="52">
        <f>H1065*I1063</f>
        <v>0</v>
      </c>
      <c r="J1065" s="53" t="s">
        <v>392</v>
      </c>
      <c r="K1065" s="60"/>
      <c r="L1065" s="69" t="s">
        <v>461</v>
      </c>
      <c r="M1065" s="34" t="s">
        <v>462</v>
      </c>
      <c r="N1065" s="34">
        <v>3.77</v>
      </c>
      <c r="O1065" s="34">
        <f>O1060</f>
        <v>22.7</v>
      </c>
      <c r="P1065" s="34">
        <v>0</v>
      </c>
      <c r="Q1065" s="44">
        <f t="shared" si="130"/>
        <v>0</v>
      </c>
      <c r="R1065" s="71">
        <f>+Q1065/R1060</f>
        <v>0</v>
      </c>
      <c r="S1065" s="47"/>
      <c r="T1065" s="47"/>
    </row>
    <row r="1066" s="27" customFormat="1" ht="18" customHeight="1" spans="1:20">
      <c r="A1066" s="34"/>
      <c r="B1066" s="48">
        <v>7</v>
      </c>
      <c r="C1066" s="48" t="s">
        <v>412</v>
      </c>
      <c r="D1066" s="72" t="s">
        <v>413</v>
      </c>
      <c r="E1066" s="72"/>
      <c r="F1066" s="77"/>
      <c r="G1066" s="72"/>
      <c r="H1066" s="73">
        <f>+'材料表 '!$E$180</f>
        <v>0.09</v>
      </c>
      <c r="I1066" s="52">
        <f>(I1063+I1064+I1065)*H1066</f>
        <v>57.6509494929784</v>
      </c>
      <c r="J1066" s="53" t="s">
        <v>392</v>
      </c>
      <c r="K1066" s="60"/>
      <c r="L1066" s="69" t="s">
        <v>463</v>
      </c>
      <c r="M1066" s="34" t="s">
        <v>464</v>
      </c>
      <c r="N1066" s="34">
        <f>0.15*0.2*7.85*10</f>
        <v>2.355</v>
      </c>
      <c r="O1066" s="34">
        <v>1.5</v>
      </c>
      <c r="P1066" s="34">
        <v>0</v>
      </c>
      <c r="Q1066" s="44">
        <f t="shared" si="130"/>
        <v>0</v>
      </c>
      <c r="R1066" s="71">
        <f>+Q1066/R1060</f>
        <v>0</v>
      </c>
      <c r="S1066" s="47"/>
      <c r="T1066" s="47"/>
    </row>
    <row r="1067" s="27" customFormat="1" ht="18" customHeight="1" spans="1:20">
      <c r="A1067" s="105" t="s">
        <v>150</v>
      </c>
      <c r="B1067" s="48">
        <v>8</v>
      </c>
      <c r="C1067" s="48" t="s">
        <v>363</v>
      </c>
      <c r="D1067" s="106" t="s">
        <v>415</v>
      </c>
      <c r="E1067" s="107"/>
      <c r="F1067" s="108"/>
      <c r="G1067" s="107"/>
      <c r="H1067" s="51"/>
      <c r="I1067" s="74">
        <f>SUM(I1063:I1066)</f>
        <v>698.217054970516</v>
      </c>
      <c r="J1067" s="53" t="s">
        <v>416</v>
      </c>
      <c r="K1067" s="60"/>
      <c r="L1067" s="69" t="s">
        <v>465</v>
      </c>
      <c r="M1067" s="34" t="s">
        <v>503</v>
      </c>
      <c r="N1067" s="126">
        <v>7.034</v>
      </c>
      <c r="O1067" s="34">
        <f>85/1000</f>
        <v>0.085</v>
      </c>
      <c r="P1067" s="44">
        <v>0</v>
      </c>
      <c r="Q1067" s="44">
        <f t="shared" si="130"/>
        <v>0</v>
      </c>
      <c r="R1067" s="84">
        <f>+Q1067/R1060</f>
        <v>0</v>
      </c>
      <c r="S1067" s="79"/>
      <c r="T1067" s="47"/>
    </row>
    <row r="1068" s="27" customFormat="1" ht="18" customHeight="1" spans="1:20">
      <c r="A1068" s="34"/>
      <c r="B1068" s="109" t="s">
        <v>418</v>
      </c>
      <c r="C1068" s="110"/>
      <c r="D1068" s="110"/>
      <c r="E1068" s="110"/>
      <c r="F1068" s="110"/>
      <c r="G1068" s="110"/>
      <c r="H1068" s="110"/>
      <c r="I1068" s="110"/>
      <c r="J1068" s="110"/>
      <c r="K1068" s="80"/>
      <c r="L1068" s="69" t="s">
        <v>433</v>
      </c>
      <c r="M1068" s="44" t="s">
        <v>505</v>
      </c>
      <c r="N1068" s="82">
        <f>0.056*3*2.71+0.0675*3*2.71</f>
        <v>1.004055</v>
      </c>
      <c r="O1068" s="44">
        <f>O1060</f>
        <v>22.7</v>
      </c>
      <c r="P1068" s="44">
        <v>1</v>
      </c>
      <c r="Q1068" s="44">
        <f t="shared" si="130"/>
        <v>22.7920485</v>
      </c>
      <c r="R1068" s="84">
        <f>+Q1068/R1060</f>
        <v>1.89444339622642</v>
      </c>
      <c r="S1068" s="47">
        <f>0.16*P1068*O1068/R1060</f>
        <v>0.30188679245283</v>
      </c>
      <c r="T1068" s="47"/>
    </row>
    <row r="1069" s="27" customFormat="1" ht="18" customHeight="1" spans="1:20">
      <c r="A1069" s="34"/>
      <c r="B1069" s="48">
        <v>1</v>
      </c>
      <c r="C1069" s="48" t="s">
        <v>391</v>
      </c>
      <c r="D1069" s="48" t="s">
        <v>396</v>
      </c>
      <c r="E1069" s="48" t="s">
        <v>37</v>
      </c>
      <c r="F1069" s="50"/>
      <c r="G1069" s="48"/>
      <c r="H1069" s="51" t="s">
        <v>399</v>
      </c>
      <c r="I1069" s="51" t="s">
        <v>420</v>
      </c>
      <c r="J1069" s="95" t="s">
        <v>421</v>
      </c>
      <c r="K1069" s="92"/>
      <c r="L1069" s="69" t="s">
        <v>433</v>
      </c>
      <c r="M1069" s="44" t="s">
        <v>504</v>
      </c>
      <c r="N1069" s="82">
        <f>0.056*3*2.71+0.0675*3*2.71</f>
        <v>1.004055</v>
      </c>
      <c r="O1069" s="44">
        <f>0.574</f>
        <v>0.574</v>
      </c>
      <c r="P1069" s="44">
        <v>16</v>
      </c>
      <c r="Q1069" s="44">
        <f t="shared" si="130"/>
        <v>9.22124112</v>
      </c>
      <c r="R1069" s="84">
        <f>+Q1069/R1060</f>
        <v>0.766456746737595</v>
      </c>
      <c r="S1069" s="47"/>
      <c r="T1069" s="47"/>
    </row>
    <row r="1070" s="27" customFormat="1" ht="18" customHeight="1" spans="1:20">
      <c r="A1070" s="34"/>
      <c r="B1070" s="48">
        <v>2</v>
      </c>
      <c r="C1070" s="48"/>
      <c r="D1070" s="111" t="s">
        <v>491</v>
      </c>
      <c r="E1070" s="49" t="s">
        <v>423</v>
      </c>
      <c r="F1070" s="112"/>
      <c r="G1070" s="111"/>
      <c r="H1070" s="113">
        <v>1</v>
      </c>
      <c r="I1070" s="113">
        <f>+辅材及安装费!$G$3</f>
        <v>165</v>
      </c>
      <c r="J1070" s="114">
        <f t="shared" ref="J1070:J1082" si="131">H1070*I1070</f>
        <v>165</v>
      </c>
      <c r="K1070" s="92"/>
      <c r="L1070" s="69" t="s">
        <v>433</v>
      </c>
      <c r="M1070" s="44" t="s">
        <v>498</v>
      </c>
      <c r="N1070" s="82">
        <f>0.045*3*2.71</f>
        <v>0.36585</v>
      </c>
      <c r="O1070" s="44">
        <f>O1060</f>
        <v>22.7</v>
      </c>
      <c r="P1070" s="44">
        <v>1</v>
      </c>
      <c r="Q1070" s="44">
        <f t="shared" si="130"/>
        <v>8.304795</v>
      </c>
      <c r="R1070" s="84">
        <f>Q1070/R1060</f>
        <v>0.690283018867925</v>
      </c>
      <c r="S1070" s="47"/>
      <c r="T1070" s="47"/>
    </row>
    <row r="1071" s="27" customFormat="1" ht="18" customHeight="1" spans="1:20">
      <c r="A1071" s="34"/>
      <c r="B1071" s="48">
        <v>3</v>
      </c>
      <c r="C1071" s="48"/>
      <c r="D1071" s="115"/>
      <c r="E1071" s="63"/>
      <c r="F1071" s="116"/>
      <c r="G1071" s="115"/>
      <c r="H1071" s="117"/>
      <c r="I1071" s="117"/>
      <c r="J1071" s="118"/>
      <c r="K1071" s="92"/>
      <c r="L1071" s="90" t="s">
        <v>472</v>
      </c>
      <c r="M1071" s="44"/>
      <c r="N1071" s="82"/>
      <c r="O1071" s="44"/>
      <c r="P1071" s="44">
        <f>O1066*P1066*2</f>
        <v>0</v>
      </c>
      <c r="Q1071" s="44">
        <f>+P1071</f>
        <v>0</v>
      </c>
      <c r="R1071" s="84">
        <f>+Q1071/R1060</f>
        <v>0</v>
      </c>
      <c r="S1071" s="47"/>
      <c r="T1071" s="47"/>
    </row>
    <row r="1072" s="27" customFormat="1" ht="18" customHeight="1" spans="1:20">
      <c r="A1072" s="34"/>
      <c r="B1072" s="48">
        <v>4</v>
      </c>
      <c r="C1072" s="48"/>
      <c r="D1072" s="85" t="s">
        <v>426</v>
      </c>
      <c r="E1072" s="48" t="s">
        <v>392</v>
      </c>
      <c r="F1072" s="50"/>
      <c r="G1072" s="48"/>
      <c r="H1072" s="86"/>
      <c r="I1072" s="86"/>
      <c r="J1072" s="95">
        <f>SUM(J1070:J1070)</f>
        <v>165</v>
      </c>
      <c r="K1072" s="92"/>
      <c r="L1072" s="90"/>
      <c r="M1072" s="44"/>
      <c r="N1072" s="82"/>
      <c r="O1072" s="44"/>
      <c r="P1072" s="44"/>
      <c r="Q1072" s="44"/>
      <c r="R1072" s="84"/>
      <c r="S1072" s="47"/>
      <c r="T1072" s="47"/>
    </row>
    <row r="1073" s="27" customFormat="1" ht="22" customHeight="1" spans="1:20">
      <c r="A1073" s="34"/>
      <c r="B1073" s="48">
        <v>1</v>
      </c>
      <c r="C1073" s="48" t="s">
        <v>394</v>
      </c>
      <c r="D1073" s="88" t="s">
        <v>431</v>
      </c>
      <c r="E1073" s="72" t="str">
        <f>+VLOOKUP(D1073,'材料表 '!C:F,2,0)</f>
        <v>kg</v>
      </c>
      <c r="F1073" s="77">
        <f>+SUMIF($L$1060:$L$1098,D1073,$R$1060:$R$1098)</f>
        <v>17.0283018867925</v>
      </c>
      <c r="G1073" s="89">
        <f>+VLOOKUP(D1073,'材料表 '!C:F,4,0)</f>
        <v>0.03</v>
      </c>
      <c r="H1073" s="74">
        <f t="shared" ref="H1073:H1082" si="132">F1073*(G1073+1)</f>
        <v>17.5391509433963</v>
      </c>
      <c r="I1073" s="74">
        <f>+VLOOKUP(D1073,'材料表 '!C:F,3,0)</f>
        <v>3.80530973451327</v>
      </c>
      <c r="J1073" s="95">
        <f t="shared" si="131"/>
        <v>66.7419018200034</v>
      </c>
      <c r="K1073" s="92">
        <f ca="1">H1073*K1059</f>
        <v>1818.09827722586</v>
      </c>
      <c r="L1073" s="90"/>
      <c r="M1073" s="44"/>
      <c r="N1073" s="82"/>
      <c r="O1073" s="44"/>
      <c r="P1073" s="44"/>
      <c r="Q1073" s="44"/>
      <c r="R1073" s="84"/>
      <c r="S1073" s="47"/>
      <c r="T1073" s="47"/>
    </row>
    <row r="1074" s="27" customFormat="1" ht="18" customHeight="1" spans="1:20">
      <c r="A1074" s="34"/>
      <c r="B1074" s="48">
        <v>2</v>
      </c>
      <c r="C1074" s="48"/>
      <c r="D1074" s="88" t="s">
        <v>461</v>
      </c>
      <c r="E1074" s="72" t="str">
        <f>+VLOOKUP(D1074,'材料表 '!C:F,2,0)</f>
        <v>kg</v>
      </c>
      <c r="F1074" s="77">
        <f t="shared" ref="F1074:F1082" si="133">+SUMIF($L$1060:$L$1098,D1074,$R$1060:$R$1098)</f>
        <v>0</v>
      </c>
      <c r="G1074" s="89">
        <f>+VLOOKUP(D1074,'材料表 '!C:F,4,0)</f>
        <v>0.03</v>
      </c>
      <c r="H1074" s="74">
        <f t="shared" si="132"/>
        <v>0</v>
      </c>
      <c r="I1074" s="74">
        <f>+VLOOKUP(D1074,'材料表 '!C:F,3,0)</f>
        <v>3.53982300884956</v>
      </c>
      <c r="J1074" s="95">
        <f t="shared" si="131"/>
        <v>0</v>
      </c>
      <c r="K1074" s="92">
        <f ca="1">H1074*K1059</f>
        <v>0</v>
      </c>
      <c r="L1074" s="90"/>
      <c r="M1074" s="44"/>
      <c r="N1074" s="82"/>
      <c r="O1074" s="44"/>
      <c r="P1074" s="44"/>
      <c r="Q1074" s="44"/>
      <c r="R1074" s="84"/>
      <c r="S1074" s="47"/>
      <c r="T1074" s="47"/>
    </row>
    <row r="1075" s="27" customFormat="1" ht="18" customHeight="1" spans="1:20">
      <c r="A1075" s="34"/>
      <c r="B1075" s="48">
        <v>3</v>
      </c>
      <c r="C1075" s="48"/>
      <c r="D1075" s="88" t="s">
        <v>465</v>
      </c>
      <c r="E1075" s="72" t="str">
        <f>+VLOOKUP(D1075,'材料表 '!C:F,2,0)</f>
        <v>kg</v>
      </c>
      <c r="F1075" s="77">
        <f t="shared" si="133"/>
        <v>0</v>
      </c>
      <c r="G1075" s="89">
        <f>+VLOOKUP(D1075,'材料表 '!C:F,4,0)</f>
        <v>0.03</v>
      </c>
      <c r="H1075" s="74">
        <f t="shared" si="132"/>
        <v>0</v>
      </c>
      <c r="I1075" s="74">
        <f>+VLOOKUP(D1075,'材料表 '!C:F,3,0)</f>
        <v>6.01769911504425</v>
      </c>
      <c r="J1075" s="95">
        <f t="shared" si="131"/>
        <v>0</v>
      </c>
      <c r="K1075" s="92">
        <f ca="1">H1075*K1059</f>
        <v>0</v>
      </c>
      <c r="L1075" s="90"/>
      <c r="M1075" s="44"/>
      <c r="N1075" s="82"/>
      <c r="O1075" s="44"/>
      <c r="P1075" s="44"/>
      <c r="Q1075" s="44">
        <f>+P1075*O1075</f>
        <v>0</v>
      </c>
      <c r="R1075" s="84">
        <f>+Q1075/R1060</f>
        <v>0</v>
      </c>
      <c r="S1075" s="47"/>
      <c r="T1075" s="47"/>
    </row>
    <row r="1076" s="27" customFormat="1" ht="18" customHeight="1" spans="1:20">
      <c r="A1076" s="34"/>
      <c r="B1076" s="48">
        <v>4</v>
      </c>
      <c r="C1076" s="48"/>
      <c r="D1076" s="88" t="s">
        <v>463</v>
      </c>
      <c r="E1076" s="72" t="str">
        <f>+VLOOKUP(D1076,'材料表 '!C:F,2,0)</f>
        <v>kg</v>
      </c>
      <c r="F1076" s="77">
        <f t="shared" si="133"/>
        <v>0</v>
      </c>
      <c r="G1076" s="89">
        <f>+VLOOKUP(D1076,'材料表 '!C:F,4,0)</f>
        <v>0.03</v>
      </c>
      <c r="H1076" s="74">
        <f t="shared" si="132"/>
        <v>0</v>
      </c>
      <c r="I1076" s="74">
        <f>+VLOOKUP(D1076,'材料表 '!C:F,3,0)</f>
        <v>6.01769911504425</v>
      </c>
      <c r="J1076" s="95">
        <f t="shared" si="131"/>
        <v>0</v>
      </c>
      <c r="K1076" s="92">
        <f ca="1">H1076*K1059</f>
        <v>0</v>
      </c>
      <c r="L1076" s="90" t="s">
        <v>474</v>
      </c>
      <c r="M1076" s="44"/>
      <c r="N1076" s="82"/>
      <c r="O1076" s="44"/>
      <c r="P1076" s="44"/>
      <c r="Q1076" s="44">
        <f>+O1066*P1066*4</f>
        <v>0</v>
      </c>
      <c r="R1076" s="84">
        <f>+Q1076/R1060</f>
        <v>0</v>
      </c>
      <c r="S1076" s="47"/>
      <c r="T1076" s="47"/>
    </row>
    <row r="1077" s="27" customFormat="1" ht="18" customHeight="1" spans="1:20">
      <c r="A1077" s="34"/>
      <c r="B1077" s="48">
        <v>5</v>
      </c>
      <c r="C1077" s="48"/>
      <c r="D1077" s="88" t="s">
        <v>433</v>
      </c>
      <c r="E1077" s="72" t="str">
        <f>+VLOOKUP(D1077,'材料表 '!C:F,2,0)</f>
        <v>kg</v>
      </c>
      <c r="F1077" s="77">
        <f t="shared" si="133"/>
        <v>3.35118316183193</v>
      </c>
      <c r="G1077" s="89">
        <f>+VLOOKUP(D1077,'材料表 '!C:F,4,0)</f>
        <v>0.03</v>
      </c>
      <c r="H1077" s="74">
        <f t="shared" si="132"/>
        <v>3.45171865668689</v>
      </c>
      <c r="I1077" s="74">
        <f>+VLOOKUP(D1077,'材料表 '!C:F,3,0)</f>
        <v>26.1150442477876</v>
      </c>
      <c r="J1077" s="95">
        <f t="shared" si="131"/>
        <v>90.1417854502921</v>
      </c>
      <c r="K1077" s="92">
        <f ca="1">H1077*K1059</f>
        <v>357.803166381529</v>
      </c>
      <c r="L1077" s="92" t="s">
        <v>476</v>
      </c>
      <c r="M1077" s="44"/>
      <c r="N1077" s="82"/>
      <c r="O1077" s="44"/>
      <c r="P1077" s="44"/>
      <c r="Q1077" s="44">
        <f>8*8*(O1060*2+P1060*16)/500</f>
        <v>6.89664</v>
      </c>
      <c r="R1077" s="84">
        <f>+Q1077/R1060</f>
        <v>0.573239132241709</v>
      </c>
      <c r="S1077" s="47"/>
      <c r="T1077" s="47"/>
    </row>
    <row r="1078" s="27" customFormat="1" ht="18" customHeight="1" spans="1:20">
      <c r="A1078" s="34"/>
      <c r="B1078" s="48">
        <v>6</v>
      </c>
      <c r="C1078" s="48"/>
      <c r="D1078" s="88" t="s">
        <v>434</v>
      </c>
      <c r="E1078" s="72" t="str">
        <f>+VLOOKUP(D1078,'材料表 '!C:F,2,0)</f>
        <v>m2</v>
      </c>
      <c r="F1078" s="77">
        <f t="shared" si="133"/>
        <v>0</v>
      </c>
      <c r="G1078" s="89">
        <f>+VLOOKUP(D1078,'材料表 '!C:F,4,0)</f>
        <v>0</v>
      </c>
      <c r="H1078" s="74">
        <f t="shared" si="132"/>
        <v>0</v>
      </c>
      <c r="I1078" s="74">
        <f>+VLOOKUP(D1078,'材料表 '!C:F,3,0)</f>
        <v>49.5575221238938</v>
      </c>
      <c r="J1078" s="95">
        <f t="shared" si="131"/>
        <v>0</v>
      </c>
      <c r="K1078" s="92">
        <f ca="1">H1078*K1059</f>
        <v>0</v>
      </c>
      <c r="L1078" s="92" t="s">
        <v>499</v>
      </c>
      <c r="M1078" s="44"/>
      <c r="N1078" s="82"/>
      <c r="O1078" s="44"/>
      <c r="P1078" s="44"/>
      <c r="Q1078" s="44">
        <v>0</v>
      </c>
      <c r="R1078" s="84">
        <f>Q1078/R1060</f>
        <v>0</v>
      </c>
      <c r="S1078" s="47"/>
      <c r="T1078" s="47"/>
    </row>
    <row r="1079" s="27" customFormat="1" ht="18" customHeight="1" spans="1:20">
      <c r="A1079" s="34"/>
      <c r="B1079" s="48">
        <v>7</v>
      </c>
      <c r="C1079" s="48"/>
      <c r="D1079" s="88" t="s">
        <v>472</v>
      </c>
      <c r="E1079" s="72" t="str">
        <f>+VLOOKUP(D1079,'材料表 '!C:F,2,0)</f>
        <v>套</v>
      </c>
      <c r="F1079" s="77">
        <f t="shared" si="133"/>
        <v>0</v>
      </c>
      <c r="G1079" s="89">
        <f>+VLOOKUP(D1079,'材料表 '!C:F,4,0)</f>
        <v>0</v>
      </c>
      <c r="H1079" s="74">
        <f t="shared" si="132"/>
        <v>0</v>
      </c>
      <c r="I1079" s="74">
        <f>+VLOOKUP(D1079,'材料表 '!C:F,3,0)</f>
        <v>2.47787610619469</v>
      </c>
      <c r="J1079" s="95">
        <f t="shared" si="131"/>
        <v>0</v>
      </c>
      <c r="K1079" s="92">
        <f ca="1">H1079*K1059</f>
        <v>0</v>
      </c>
      <c r="L1079" s="92"/>
      <c r="M1079" s="44"/>
      <c r="N1079" s="82"/>
      <c r="O1079" s="44"/>
      <c r="P1079" s="44"/>
      <c r="Q1079" s="44"/>
      <c r="R1079" s="84"/>
      <c r="S1079" s="47"/>
      <c r="T1079" s="47"/>
    </row>
    <row r="1080" s="27" customFormat="1" ht="18" customHeight="1" spans="1:20">
      <c r="A1080" s="34"/>
      <c r="B1080" s="48">
        <v>8</v>
      </c>
      <c r="C1080" s="48"/>
      <c r="D1080" s="88" t="s">
        <v>474</v>
      </c>
      <c r="E1080" s="72" t="str">
        <f>+VLOOKUP(D1080,'材料表 '!C:F,2,0)</f>
        <v>套</v>
      </c>
      <c r="F1080" s="77">
        <f t="shared" si="133"/>
        <v>0</v>
      </c>
      <c r="G1080" s="89">
        <f>+VLOOKUP(D1080,'材料表 '!C:F,4,0)</f>
        <v>0</v>
      </c>
      <c r="H1080" s="74">
        <f t="shared" si="132"/>
        <v>0</v>
      </c>
      <c r="I1080" s="74">
        <f>+VLOOKUP(D1080,'材料表 '!C:F,3,0)</f>
        <v>2.21238938053097</v>
      </c>
      <c r="J1080" s="95">
        <f t="shared" si="131"/>
        <v>0</v>
      </c>
      <c r="K1080" s="92">
        <f ca="1">H1080*K1059</f>
        <v>0</v>
      </c>
      <c r="L1080" s="92"/>
      <c r="M1080" s="44"/>
      <c r="N1080" s="82"/>
      <c r="O1080" s="44"/>
      <c r="P1080" s="44"/>
      <c r="Q1080" s="44"/>
      <c r="R1080" s="84"/>
      <c r="S1080" s="47"/>
      <c r="T1080" s="47"/>
    </row>
    <row r="1081" s="27" customFormat="1" ht="18" customHeight="1" spans="1:20">
      <c r="A1081" s="34"/>
      <c r="B1081" s="48">
        <v>9</v>
      </c>
      <c r="C1081" s="48"/>
      <c r="D1081" s="88" t="s">
        <v>476</v>
      </c>
      <c r="E1081" s="72" t="str">
        <f>+VLOOKUP(D1081,'材料表 '!C:F,2,0)</f>
        <v>支</v>
      </c>
      <c r="F1081" s="77">
        <f t="shared" si="133"/>
        <v>0.573239132241709</v>
      </c>
      <c r="G1081" s="89">
        <f>+VLOOKUP(D1081,'材料表 '!C:F,4,0)</f>
        <v>0.15</v>
      </c>
      <c r="H1081" s="74">
        <f t="shared" si="132"/>
        <v>0.659225002077965</v>
      </c>
      <c r="I1081" s="74">
        <f>+VLOOKUP(D1081,'材料表 '!C:F,3,0)</f>
        <v>11.5044247787611</v>
      </c>
      <c r="J1081" s="95">
        <f t="shared" si="131"/>
        <v>7.58400444868458</v>
      </c>
      <c r="K1081" s="92">
        <f ca="1">H1081*K1059</f>
        <v>68.3348837381106</v>
      </c>
      <c r="L1081" s="90"/>
      <c r="M1081" s="44"/>
      <c r="N1081" s="82"/>
      <c r="O1081" s="34"/>
      <c r="P1081" s="44"/>
      <c r="Q1081" s="44"/>
      <c r="R1081" s="119"/>
      <c r="S1081" s="47"/>
      <c r="T1081" s="47"/>
    </row>
    <row r="1082" s="27" customFormat="1" ht="23" customHeight="1" spans="1:20">
      <c r="A1082" s="34"/>
      <c r="B1082" s="48">
        <v>10</v>
      </c>
      <c r="C1082" s="48"/>
      <c r="D1082" s="88" t="s">
        <v>499</v>
      </c>
      <c r="E1082" s="72" t="str">
        <f>+VLOOKUP(D1082,'材料表 '!C:F,2,0)</f>
        <v>套</v>
      </c>
      <c r="F1082" s="77">
        <f t="shared" si="133"/>
        <v>0</v>
      </c>
      <c r="G1082" s="89">
        <f>+VLOOKUP(D1082,'材料表 '!C:F,4,0)</f>
        <v>0</v>
      </c>
      <c r="H1082" s="74">
        <f t="shared" si="132"/>
        <v>0</v>
      </c>
      <c r="I1082" s="74">
        <f>+VLOOKUP(D1082,'材料表 '!C:F,3,0)</f>
        <v>1.32743362831858</v>
      </c>
      <c r="J1082" s="95">
        <f t="shared" si="131"/>
        <v>0</v>
      </c>
      <c r="K1082" s="92">
        <f ca="1">H1082*K1059</f>
        <v>0</v>
      </c>
      <c r="L1082" s="92"/>
      <c r="M1082" s="120"/>
      <c r="N1082" s="82"/>
      <c r="O1082" s="44"/>
      <c r="P1082" s="44"/>
      <c r="Q1082" s="44"/>
      <c r="R1082" s="84"/>
      <c r="S1082" s="47"/>
      <c r="T1082" s="47"/>
    </row>
    <row r="1083" s="27" customFormat="1" ht="20" customHeight="1" spans="1:20">
      <c r="A1083" s="34"/>
      <c r="B1083" s="48">
        <v>11</v>
      </c>
      <c r="C1083" s="48"/>
      <c r="D1083" s="88"/>
      <c r="E1083" s="72"/>
      <c r="F1083" s="77"/>
      <c r="G1083" s="89"/>
      <c r="H1083" s="74"/>
      <c r="I1083" s="74"/>
      <c r="J1083" s="95"/>
      <c r="K1083" s="92">
        <f ca="1">H1083*K1059</f>
        <v>0</v>
      </c>
      <c r="L1083" s="92"/>
      <c r="M1083" s="44"/>
      <c r="N1083" s="82"/>
      <c r="O1083" s="44"/>
      <c r="P1083" s="44"/>
      <c r="Q1083" s="44"/>
      <c r="R1083" s="84"/>
      <c r="S1083" s="47"/>
      <c r="T1083" s="47"/>
    </row>
    <row r="1084" s="27" customFormat="1" ht="24" customHeight="1" spans="1:20">
      <c r="A1084" s="34"/>
      <c r="B1084" s="48">
        <v>12</v>
      </c>
      <c r="C1084" s="48"/>
      <c r="D1084" s="127" t="s">
        <v>536</v>
      </c>
      <c r="E1084" s="72" t="str">
        <f>+VLOOKUP(D1084,'材料表 '!C:F,2,0)</f>
        <v>m2</v>
      </c>
      <c r="F1084" s="77">
        <f>0.574/0.53</f>
        <v>1.08301886792453</v>
      </c>
      <c r="G1084" s="89">
        <f>+VLOOKUP(D1084,'材料表 '!C:F,4,0)</f>
        <v>0.02</v>
      </c>
      <c r="H1084" s="74">
        <f>F1084*(G1084+1)</f>
        <v>1.10467924528302</v>
      </c>
      <c r="I1084" s="74">
        <f>+VLOOKUP(D1084,'材料表 '!C:F,3,0)</f>
        <v>272.566371681416</v>
      </c>
      <c r="J1084" s="95">
        <f>H1084*I1084</f>
        <v>301.098413758558</v>
      </c>
      <c r="K1084" s="92">
        <f ca="1">H1084*K1059</f>
        <v>114.510413828921</v>
      </c>
      <c r="L1084" s="92"/>
      <c r="M1084" s="44"/>
      <c r="N1084" s="44"/>
      <c r="O1084" s="44"/>
      <c r="P1084" s="44"/>
      <c r="Q1084" s="44"/>
      <c r="R1084" s="84"/>
      <c r="S1084" s="47"/>
      <c r="T1084" s="47"/>
    </row>
    <row r="1085" s="27" customFormat="1" ht="18" customHeight="1" spans="1:20">
      <c r="A1085" s="34"/>
      <c r="B1085" s="48">
        <v>13</v>
      </c>
      <c r="C1085" s="48"/>
      <c r="D1085" s="88"/>
      <c r="E1085" s="72"/>
      <c r="F1085" s="77"/>
      <c r="G1085" s="89"/>
      <c r="H1085" s="74"/>
      <c r="I1085" s="74"/>
      <c r="J1085" s="95"/>
      <c r="K1085" s="92">
        <f ca="1">H1085*K1059</f>
        <v>0</v>
      </c>
      <c r="L1085" s="92"/>
      <c r="M1085" s="44"/>
      <c r="N1085" s="44"/>
      <c r="O1085" s="44"/>
      <c r="P1085" s="44"/>
      <c r="Q1085" s="44"/>
      <c r="R1085" s="84"/>
      <c r="S1085" s="47"/>
      <c r="T1085" s="47"/>
    </row>
    <row r="1086" s="27" customFormat="1" ht="24" customHeight="1" spans="1:20">
      <c r="A1086" s="34"/>
      <c r="B1086" s="48">
        <v>14</v>
      </c>
      <c r="C1086" s="48"/>
      <c r="D1086" s="88"/>
      <c r="E1086" s="72"/>
      <c r="F1086" s="77"/>
      <c r="G1086" s="89"/>
      <c r="H1086" s="74"/>
      <c r="I1086" s="74"/>
      <c r="J1086" s="95"/>
      <c r="K1086" s="92">
        <f ca="1">H1086*K1059</f>
        <v>0</v>
      </c>
      <c r="L1086" s="92"/>
      <c r="M1086" s="44"/>
      <c r="N1086" s="44"/>
      <c r="O1086" s="44"/>
      <c r="P1086" s="44"/>
      <c r="Q1086" s="44"/>
      <c r="R1086" s="84"/>
      <c r="S1086" s="47"/>
      <c r="T1086" s="47"/>
    </row>
    <row r="1087" s="27" customFormat="1" ht="18" customHeight="1" spans="1:20">
      <c r="A1087" s="34"/>
      <c r="B1087" s="48">
        <v>15</v>
      </c>
      <c r="C1087" s="48"/>
      <c r="D1087" s="88"/>
      <c r="E1087" s="72"/>
      <c r="F1087" s="77"/>
      <c r="G1087" s="89"/>
      <c r="H1087" s="74"/>
      <c r="I1087" s="74"/>
      <c r="J1087" s="95"/>
      <c r="K1087" s="92"/>
      <c r="L1087" s="92"/>
      <c r="M1087" s="44"/>
      <c r="N1087" s="44"/>
      <c r="O1087" s="44"/>
      <c r="P1087" s="44"/>
      <c r="Q1087" s="44"/>
      <c r="R1087" s="84"/>
      <c r="S1087" s="47"/>
      <c r="T1087" s="47"/>
    </row>
    <row r="1088" s="27" customFormat="1" ht="18" customHeight="1" spans="1:20">
      <c r="A1088" s="34"/>
      <c r="B1088" s="48">
        <v>16</v>
      </c>
      <c r="C1088" s="48"/>
      <c r="D1088" s="88"/>
      <c r="E1088" s="72"/>
      <c r="F1088" s="77"/>
      <c r="G1088" s="89"/>
      <c r="H1088" s="74"/>
      <c r="I1088" s="74"/>
      <c r="J1088" s="95"/>
      <c r="K1088" s="92"/>
      <c r="L1088" s="92"/>
      <c r="M1088" s="44"/>
      <c r="N1088" s="44"/>
      <c r="O1088" s="44"/>
      <c r="P1088" s="44"/>
      <c r="Q1088" s="44"/>
      <c r="R1088" s="84"/>
      <c r="S1088" s="47"/>
      <c r="T1088" s="47"/>
    </row>
    <row r="1089" s="27" customFormat="1" ht="18" customHeight="1" spans="1:20">
      <c r="A1089" s="34"/>
      <c r="B1089" s="48">
        <v>17</v>
      </c>
      <c r="C1089" s="48"/>
      <c r="D1089" s="121"/>
      <c r="E1089" s="72"/>
      <c r="F1089" s="77"/>
      <c r="G1089" s="89"/>
      <c r="H1089" s="74"/>
      <c r="I1089" s="74"/>
      <c r="J1089" s="95"/>
      <c r="K1089" s="92"/>
      <c r="L1089" s="92"/>
      <c r="M1089" s="44"/>
      <c r="N1089" s="44"/>
      <c r="O1089" s="44"/>
      <c r="P1089" s="44"/>
      <c r="Q1089" s="101"/>
      <c r="R1089" s="84"/>
      <c r="S1089" s="47"/>
      <c r="T1089" s="47"/>
    </row>
    <row r="1090" s="27" customFormat="1" ht="18" customHeight="1" spans="1:20">
      <c r="A1090" s="34"/>
      <c r="B1090" s="48">
        <v>18</v>
      </c>
      <c r="C1090" s="48"/>
      <c r="D1090" s="88"/>
      <c r="E1090" s="72"/>
      <c r="F1090" s="77"/>
      <c r="G1090" s="89"/>
      <c r="H1090" s="74"/>
      <c r="I1090" s="74"/>
      <c r="J1090" s="95"/>
      <c r="K1090" s="92"/>
      <c r="L1090" s="92"/>
      <c r="M1090" s="44"/>
      <c r="N1090" s="44"/>
      <c r="O1090" s="44"/>
      <c r="P1090" s="44"/>
      <c r="Q1090" s="44"/>
      <c r="R1090" s="84"/>
      <c r="S1090" s="47"/>
      <c r="T1090" s="47"/>
    </row>
    <row r="1091" s="27" customFormat="1" ht="18" customHeight="1" spans="1:20">
      <c r="A1091" s="34"/>
      <c r="B1091" s="48">
        <v>19</v>
      </c>
      <c r="C1091" s="48"/>
      <c r="D1091" s="27"/>
      <c r="E1091" s="72"/>
      <c r="F1091" s="77"/>
      <c r="G1091" s="89"/>
      <c r="H1091" s="74"/>
      <c r="I1091" s="74"/>
      <c r="J1091" s="95"/>
      <c r="K1091" s="92"/>
      <c r="L1091" s="92"/>
      <c r="M1091" s="44"/>
      <c r="N1091" s="44"/>
      <c r="O1091" s="44"/>
      <c r="P1091" s="44"/>
      <c r="Q1091" s="44"/>
      <c r="R1091" s="84"/>
      <c r="S1091" s="47"/>
      <c r="T1091" s="47"/>
    </row>
    <row r="1092" s="27" customFormat="1" ht="18" customHeight="1" spans="1:20">
      <c r="A1092" s="34"/>
      <c r="B1092" s="48">
        <v>20</v>
      </c>
      <c r="C1092" s="48"/>
      <c r="D1092" s="88"/>
      <c r="E1092" s="72"/>
      <c r="F1092" s="77"/>
      <c r="G1092" s="89"/>
      <c r="H1092" s="74"/>
      <c r="I1092" s="74"/>
      <c r="J1092" s="95"/>
      <c r="K1092" s="92"/>
      <c r="L1092" s="92"/>
      <c r="M1092" s="44"/>
      <c r="N1092" s="44"/>
      <c r="O1092" s="44"/>
      <c r="P1092" s="44"/>
      <c r="Q1092" s="44"/>
      <c r="R1092" s="84"/>
      <c r="S1092" s="47"/>
      <c r="T1092" s="47"/>
    </row>
    <row r="1093" s="27" customFormat="1" ht="18" customHeight="1" spans="1:20">
      <c r="A1093" s="34"/>
      <c r="B1093" s="48">
        <v>21</v>
      </c>
      <c r="C1093" s="48"/>
      <c r="D1093" s="88"/>
      <c r="E1093" s="72"/>
      <c r="F1093" s="77"/>
      <c r="G1093" s="89"/>
      <c r="H1093" s="74"/>
      <c r="I1093" s="74"/>
      <c r="J1093" s="95"/>
      <c r="K1093" s="92"/>
      <c r="L1093" s="92"/>
      <c r="M1093" s="44"/>
      <c r="N1093" s="44"/>
      <c r="O1093" s="44"/>
      <c r="P1093" s="44"/>
      <c r="Q1093" s="44"/>
      <c r="R1093" s="84"/>
      <c r="S1093" s="47"/>
      <c r="T1093" s="47"/>
    </row>
    <row r="1094" s="27" customFormat="1" ht="18" customHeight="1" spans="1:20">
      <c r="A1094" s="34"/>
      <c r="B1094" s="48">
        <v>22</v>
      </c>
      <c r="C1094" s="48"/>
      <c r="D1094" s="27"/>
      <c r="E1094" s="72"/>
      <c r="F1094" s="77"/>
      <c r="G1094" s="72"/>
      <c r="H1094" s="74"/>
      <c r="I1094" s="74"/>
      <c r="J1094" s="95"/>
      <c r="K1094" s="92"/>
      <c r="L1094" s="92"/>
      <c r="M1094" s="44"/>
      <c r="N1094" s="44"/>
      <c r="O1094" s="44"/>
      <c r="P1094" s="44"/>
      <c r="Q1094" s="44"/>
      <c r="R1094" s="62"/>
      <c r="S1094" s="47"/>
      <c r="T1094" s="47"/>
    </row>
    <row r="1095" s="27" customFormat="1" ht="18" customHeight="1" spans="1:20">
      <c r="A1095" s="34"/>
      <c r="B1095" s="48">
        <v>23</v>
      </c>
      <c r="C1095" s="48"/>
      <c r="D1095" s="88"/>
      <c r="E1095" s="72"/>
      <c r="F1095" s="77"/>
      <c r="G1095" s="89"/>
      <c r="H1095" s="74"/>
      <c r="I1095" s="74"/>
      <c r="J1095" s="95"/>
      <c r="K1095" s="92"/>
      <c r="L1095" s="92"/>
      <c r="M1095" s="44"/>
      <c r="N1095" s="44"/>
      <c r="O1095" s="44"/>
      <c r="P1095" s="44"/>
      <c r="Q1095" s="44"/>
      <c r="R1095" s="62"/>
      <c r="S1095" s="47"/>
      <c r="T1095" s="47"/>
    </row>
    <row r="1096" s="27" customFormat="1" ht="18" customHeight="1" spans="1:20">
      <c r="A1096" s="34"/>
      <c r="B1096" s="48">
        <v>24</v>
      </c>
      <c r="C1096" s="48"/>
      <c r="D1096" s="88" t="s">
        <v>478</v>
      </c>
      <c r="E1096" s="72" t="s">
        <v>43</v>
      </c>
      <c r="F1096" s="77"/>
      <c r="G1096" s="72">
        <v>1</v>
      </c>
      <c r="H1096" s="74">
        <v>1</v>
      </c>
      <c r="I1096" s="74">
        <f>+辅材及安装费!$E$3</f>
        <v>5</v>
      </c>
      <c r="J1096" s="95">
        <f t="shared" ref="J1095:J1098" si="134">H1096*I1096</f>
        <v>5</v>
      </c>
      <c r="K1096" s="92"/>
      <c r="L1096" s="92"/>
      <c r="M1096" s="44"/>
      <c r="N1096" s="44"/>
      <c r="O1096" s="44"/>
      <c r="P1096" s="44"/>
      <c r="Q1096" s="44"/>
      <c r="R1096" s="62"/>
      <c r="S1096" s="47"/>
      <c r="T1096" s="47"/>
    </row>
    <row r="1097" s="27" customFormat="1" ht="18" customHeight="1" spans="1:20">
      <c r="A1097" s="34"/>
      <c r="B1097" s="48">
        <v>25</v>
      </c>
      <c r="C1097" s="48"/>
      <c r="D1097" s="93" t="s">
        <v>442</v>
      </c>
      <c r="E1097" s="72"/>
      <c r="F1097" s="77"/>
      <c r="G1097" s="72"/>
      <c r="H1097" s="74"/>
      <c r="I1097" s="74"/>
      <c r="J1097" s="95">
        <f>SUM(J1073:J1096)</f>
        <v>470.566105477538</v>
      </c>
      <c r="K1097" s="92"/>
      <c r="L1097" s="94"/>
      <c r="M1097" s="27"/>
      <c r="N1097" s="83"/>
      <c r="O1097" s="83"/>
      <c r="P1097" s="83"/>
      <c r="Q1097" s="83"/>
      <c r="R1097" s="87"/>
      <c r="S1097" s="47"/>
      <c r="T1097" s="47"/>
    </row>
    <row r="1098" s="27" customFormat="1" ht="18" customHeight="1" spans="1:20">
      <c r="A1098" s="34"/>
      <c r="B1098" s="48">
        <v>1</v>
      </c>
      <c r="C1098" s="48" t="s">
        <v>443</v>
      </c>
      <c r="D1098" s="48" t="s">
        <v>444</v>
      </c>
      <c r="E1098" s="72" t="s">
        <v>43</v>
      </c>
      <c r="F1098" s="50"/>
      <c r="G1098" s="48"/>
      <c r="H1098" s="51">
        <v>1</v>
      </c>
      <c r="I1098" s="74">
        <f>+辅材及安装费!$F$3</f>
        <v>5</v>
      </c>
      <c r="J1098" s="95">
        <f t="shared" si="134"/>
        <v>5</v>
      </c>
      <c r="K1098" s="118"/>
      <c r="L1098" s="96"/>
      <c r="M1098" s="97"/>
      <c r="N1098" s="98"/>
      <c r="O1098" s="98"/>
      <c r="P1098" s="98"/>
      <c r="Q1098" s="98"/>
      <c r="R1098" s="99"/>
      <c r="S1098" s="47"/>
      <c r="T1098" s="47"/>
    </row>
    <row r="1099" s="26" customFormat="1" ht="30" customHeight="1" spans="1:20">
      <c r="A1099" s="28"/>
      <c r="B1099" s="29" t="s">
        <v>386</v>
      </c>
      <c r="C1099" s="29"/>
      <c r="D1099" s="29"/>
      <c r="E1099" s="29"/>
      <c r="F1099" s="29"/>
      <c r="G1099" s="29"/>
      <c r="H1099" s="29"/>
      <c r="I1099" s="29"/>
      <c r="J1099" s="29"/>
      <c r="K1099" s="29"/>
      <c r="L1099" s="30"/>
      <c r="M1099" s="31"/>
      <c r="N1099" s="31"/>
      <c r="O1099" s="31"/>
      <c r="P1099" s="31"/>
      <c r="Q1099" s="31"/>
      <c r="R1099" s="32"/>
      <c r="S1099" s="33"/>
      <c r="T1099" s="33"/>
    </row>
    <row r="1100" s="27" customFormat="1" ht="33.75" customHeight="1" spans="1:20">
      <c r="A1100" s="34">
        <v>17</v>
      </c>
      <c r="B1100" s="35" t="s">
        <v>1</v>
      </c>
      <c r="C1100" s="35" t="s">
        <v>387</v>
      </c>
      <c r="D1100" s="36" t="str">
        <f>+A1108</f>
        <v>双色铝板造型线条(中灰色/浅灰色)弧形</v>
      </c>
      <c r="E1100" s="37"/>
      <c r="F1100" s="38" t="s">
        <v>119</v>
      </c>
      <c r="G1100" s="39"/>
      <c r="H1100" s="35" t="s">
        <v>388</v>
      </c>
      <c r="I1100" s="40" t="s">
        <v>389</v>
      </c>
      <c r="J1100" s="41" t="s">
        <v>37</v>
      </c>
      <c r="K1100" s="42">
        <f ca="1">VLOOKUP(A1100,排屋工程量清单!$A$59:$D$86,4,)</f>
        <v>5.029368</v>
      </c>
      <c r="L1100" s="43"/>
      <c r="M1100" s="44"/>
      <c r="N1100" s="44"/>
      <c r="O1100" s="44"/>
      <c r="P1100" s="45"/>
      <c r="Q1100" s="44"/>
      <c r="R1100" s="46"/>
      <c r="S1100" s="47"/>
      <c r="T1100" s="47"/>
    </row>
    <row r="1101" s="27" customFormat="1" ht="25" customHeight="1" spans="1:20">
      <c r="A1101" s="34"/>
      <c r="B1101" s="48">
        <v>1</v>
      </c>
      <c r="C1101" s="49" t="s">
        <v>390</v>
      </c>
      <c r="D1101" s="48" t="s">
        <v>391</v>
      </c>
      <c r="E1101" s="48"/>
      <c r="F1101" s="50"/>
      <c r="G1101" s="48"/>
      <c r="H1101" s="51"/>
      <c r="I1101" s="52">
        <f>J1113</f>
        <v>165</v>
      </c>
      <c r="J1101" s="53" t="s">
        <v>392</v>
      </c>
      <c r="K1101" s="54"/>
      <c r="L1101" s="55"/>
      <c r="M1101" s="56" t="s">
        <v>534</v>
      </c>
      <c r="N1101" s="57"/>
      <c r="O1101" s="57">
        <v>22.7</v>
      </c>
      <c r="P1101" s="57">
        <v>0.53</v>
      </c>
      <c r="Q1101" s="57">
        <v>1</v>
      </c>
      <c r="R1101" s="58">
        <f>+Q1101*P1101*O1101</f>
        <v>12.031</v>
      </c>
      <c r="S1101" s="47"/>
      <c r="T1101" s="47"/>
    </row>
    <row r="1102" s="27" customFormat="1" ht="18" customHeight="1" spans="1:20">
      <c r="A1102" s="34"/>
      <c r="B1102" s="48">
        <v>2</v>
      </c>
      <c r="C1102" s="59"/>
      <c r="D1102" s="48" t="s">
        <v>394</v>
      </c>
      <c r="E1102" s="48"/>
      <c r="F1102" s="50"/>
      <c r="G1102" s="48"/>
      <c r="H1102" s="51"/>
      <c r="I1102" s="52">
        <f>J1138</f>
        <v>480.342028002167</v>
      </c>
      <c r="J1102" s="53" t="s">
        <v>392</v>
      </c>
      <c r="K1102" s="60"/>
      <c r="L1102" s="61" t="s">
        <v>119</v>
      </c>
      <c r="M1102" s="44"/>
      <c r="N1102" s="44"/>
      <c r="O1102" s="44"/>
      <c r="P1102" s="44"/>
      <c r="Q1102" s="44"/>
      <c r="R1102" s="62"/>
      <c r="S1102" s="47"/>
      <c r="T1102" s="47"/>
    </row>
    <row r="1103" s="27" customFormat="1" ht="18" customHeight="1" spans="1:20">
      <c r="A1103" s="34"/>
      <c r="B1103" s="48">
        <v>3</v>
      </c>
      <c r="C1103" s="63"/>
      <c r="D1103" s="48" t="s">
        <v>395</v>
      </c>
      <c r="E1103" s="48"/>
      <c r="F1103" s="50"/>
      <c r="G1103" s="48"/>
      <c r="H1103" s="51"/>
      <c r="I1103" s="52">
        <f>J1139</f>
        <v>5</v>
      </c>
      <c r="J1103" s="53" t="s">
        <v>392</v>
      </c>
      <c r="K1103" s="60"/>
      <c r="L1103" s="60"/>
      <c r="M1103" s="65" t="s">
        <v>396</v>
      </c>
      <c r="N1103" s="65" t="s">
        <v>397</v>
      </c>
      <c r="O1103" s="65" t="s">
        <v>398</v>
      </c>
      <c r="P1103" s="65" t="s">
        <v>399</v>
      </c>
      <c r="Q1103" s="65" t="s">
        <v>400</v>
      </c>
      <c r="R1103" s="66" t="s">
        <v>401</v>
      </c>
      <c r="S1103" s="47"/>
      <c r="T1103" s="47"/>
    </row>
    <row r="1104" s="27" customFormat="1" ht="18" customHeight="1" spans="1:20">
      <c r="A1104" s="34"/>
      <c r="B1104" s="48">
        <v>4</v>
      </c>
      <c r="C1104" s="48" t="s">
        <v>402</v>
      </c>
      <c r="D1104" s="67" t="s">
        <v>403</v>
      </c>
      <c r="E1104" s="67"/>
      <c r="F1104" s="50"/>
      <c r="G1104" s="67"/>
      <c r="H1104" s="68"/>
      <c r="I1104" s="52">
        <f>SUM(I1101:I1103)</f>
        <v>650.342028002167</v>
      </c>
      <c r="J1104" s="53" t="s">
        <v>392</v>
      </c>
      <c r="K1104" s="60"/>
      <c r="L1104" s="69" t="s">
        <v>431</v>
      </c>
      <c r="M1104" s="34" t="s">
        <v>535</v>
      </c>
      <c r="N1104" s="102">
        <v>18.05</v>
      </c>
      <c r="O1104" s="34">
        <f>O1101</f>
        <v>22.7</v>
      </c>
      <c r="P1104" s="34">
        <v>0.5</v>
      </c>
      <c r="Q1104" s="44">
        <f t="shared" ref="Q1104:Q1111" si="135">+P1104*O1104*N1104</f>
        <v>204.8675</v>
      </c>
      <c r="R1104" s="71">
        <f>+Q1104/R1101</f>
        <v>17.0283018867925</v>
      </c>
      <c r="S1104" s="47"/>
      <c r="T1104" s="47"/>
    </row>
    <row r="1105" s="27" customFormat="1" ht="28" customHeight="1" spans="1:20">
      <c r="A1105" s="34"/>
      <c r="B1105" s="48">
        <v>5</v>
      </c>
      <c r="C1105" s="72" t="s">
        <v>406</v>
      </c>
      <c r="D1105" s="48" t="s">
        <v>407</v>
      </c>
      <c r="E1105" s="48"/>
      <c r="F1105" s="50"/>
      <c r="G1105" s="48"/>
      <c r="H1105" s="73">
        <f>+'材料表 '!$E$178</f>
        <v>0</v>
      </c>
      <c r="I1105" s="52">
        <f>H1105*I1104</f>
        <v>0</v>
      </c>
      <c r="J1105" s="53" t="s">
        <v>392</v>
      </c>
      <c r="K1105" s="60"/>
      <c r="L1105" s="69" t="s">
        <v>431</v>
      </c>
      <c r="M1105" s="34" t="s">
        <v>523</v>
      </c>
      <c r="N1105" s="102">
        <v>4.52</v>
      </c>
      <c r="O1105" s="34">
        <f>O1101</f>
        <v>22.7</v>
      </c>
      <c r="P1105" s="34">
        <v>0</v>
      </c>
      <c r="Q1105" s="44">
        <f t="shared" si="135"/>
        <v>0</v>
      </c>
      <c r="R1105" s="71">
        <f>+Q1105/R1101</f>
        <v>0</v>
      </c>
      <c r="S1105" s="47"/>
      <c r="T1105" s="47"/>
    </row>
    <row r="1106" s="27" customFormat="1" ht="18" customHeight="1" spans="1:20">
      <c r="A1106" s="34"/>
      <c r="B1106" s="48">
        <v>6</v>
      </c>
      <c r="C1106" s="48" t="s">
        <v>409</v>
      </c>
      <c r="D1106" s="48" t="s">
        <v>410</v>
      </c>
      <c r="E1106" s="48"/>
      <c r="F1106" s="50"/>
      <c r="G1106" s="48"/>
      <c r="H1106" s="73">
        <f>+'材料表 '!$E$179</f>
        <v>0</v>
      </c>
      <c r="I1106" s="52">
        <f>H1106*I1104</f>
        <v>0</v>
      </c>
      <c r="J1106" s="53" t="s">
        <v>392</v>
      </c>
      <c r="K1106" s="60"/>
      <c r="L1106" s="69" t="s">
        <v>461</v>
      </c>
      <c r="M1106" s="34" t="s">
        <v>462</v>
      </c>
      <c r="N1106" s="34">
        <v>3.77</v>
      </c>
      <c r="O1106" s="34">
        <f>O1101</f>
        <v>22.7</v>
      </c>
      <c r="P1106" s="34">
        <v>0</v>
      </c>
      <c r="Q1106" s="44">
        <f t="shared" si="135"/>
        <v>0</v>
      </c>
      <c r="R1106" s="71">
        <f>+Q1106/R1101</f>
        <v>0</v>
      </c>
      <c r="S1106" s="47"/>
      <c r="T1106" s="47"/>
    </row>
    <row r="1107" s="27" customFormat="1" ht="18" customHeight="1" spans="1:20">
      <c r="A1107" s="34"/>
      <c r="B1107" s="48">
        <v>7</v>
      </c>
      <c r="C1107" s="48" t="s">
        <v>412</v>
      </c>
      <c r="D1107" s="72" t="s">
        <v>413</v>
      </c>
      <c r="E1107" s="72"/>
      <c r="F1107" s="77"/>
      <c r="G1107" s="72"/>
      <c r="H1107" s="73">
        <f>+'材料表 '!$E$180</f>
        <v>0.09</v>
      </c>
      <c r="I1107" s="52">
        <f>(I1104+I1105+I1106)*H1107</f>
        <v>58.530782520195</v>
      </c>
      <c r="J1107" s="53" t="s">
        <v>392</v>
      </c>
      <c r="K1107" s="60"/>
      <c r="L1107" s="69" t="s">
        <v>463</v>
      </c>
      <c r="M1107" s="34" t="s">
        <v>464</v>
      </c>
      <c r="N1107" s="34">
        <f>0.15*0.2*7.85*10</f>
        <v>2.355</v>
      </c>
      <c r="O1107" s="34">
        <v>1.5</v>
      </c>
      <c r="P1107" s="34">
        <v>0</v>
      </c>
      <c r="Q1107" s="44">
        <f t="shared" si="135"/>
        <v>0</v>
      </c>
      <c r="R1107" s="71">
        <f>+Q1107/R1101</f>
        <v>0</v>
      </c>
      <c r="S1107" s="47"/>
      <c r="T1107" s="47"/>
    </row>
    <row r="1108" s="27" customFormat="1" ht="18" customHeight="1" spans="1:20">
      <c r="A1108" s="105" t="s">
        <v>152</v>
      </c>
      <c r="B1108" s="48">
        <v>8</v>
      </c>
      <c r="C1108" s="48" t="s">
        <v>363</v>
      </c>
      <c r="D1108" s="106" t="s">
        <v>415</v>
      </c>
      <c r="E1108" s="107"/>
      <c r="F1108" s="108"/>
      <c r="G1108" s="107"/>
      <c r="H1108" s="51"/>
      <c r="I1108" s="74">
        <f>SUM(I1104:I1107)</f>
        <v>708.872810522362</v>
      </c>
      <c r="J1108" s="53" t="s">
        <v>416</v>
      </c>
      <c r="K1108" s="60"/>
      <c r="L1108" s="69" t="s">
        <v>465</v>
      </c>
      <c r="M1108" s="34" t="s">
        <v>503</v>
      </c>
      <c r="N1108" s="126">
        <v>7.034</v>
      </c>
      <c r="O1108" s="34">
        <f>85/1000</f>
        <v>0.085</v>
      </c>
      <c r="P1108" s="44">
        <v>0</v>
      </c>
      <c r="Q1108" s="44">
        <f t="shared" si="135"/>
        <v>0</v>
      </c>
      <c r="R1108" s="84">
        <f>+Q1108/R1101</f>
        <v>0</v>
      </c>
      <c r="S1108" s="79"/>
      <c r="T1108" s="47"/>
    </row>
    <row r="1109" s="27" customFormat="1" ht="18" customHeight="1" spans="1:20">
      <c r="A1109" s="34"/>
      <c r="B1109" s="109" t="s">
        <v>418</v>
      </c>
      <c r="C1109" s="110"/>
      <c r="D1109" s="110"/>
      <c r="E1109" s="110"/>
      <c r="F1109" s="110"/>
      <c r="G1109" s="110"/>
      <c r="H1109" s="110"/>
      <c r="I1109" s="110"/>
      <c r="J1109" s="110"/>
      <c r="K1109" s="80"/>
      <c r="L1109" s="69" t="s">
        <v>433</v>
      </c>
      <c r="M1109" s="44" t="s">
        <v>505</v>
      </c>
      <c r="N1109" s="82">
        <f>0.056*3*2.71+0.0675*3*2.71</f>
        <v>1.004055</v>
      </c>
      <c r="O1109" s="44">
        <f>O1101</f>
        <v>22.7</v>
      </c>
      <c r="P1109" s="44">
        <v>1</v>
      </c>
      <c r="Q1109" s="44">
        <f t="shared" si="135"/>
        <v>22.7920485</v>
      </c>
      <c r="R1109" s="84">
        <f>+Q1109/R1101</f>
        <v>1.89444339622642</v>
      </c>
      <c r="S1109" s="47">
        <f>0.16*P1109*O1109/R1101</f>
        <v>0.30188679245283</v>
      </c>
      <c r="T1109" s="47"/>
    </row>
    <row r="1110" s="27" customFormat="1" ht="18" customHeight="1" spans="1:20">
      <c r="A1110" s="34"/>
      <c r="B1110" s="48">
        <v>1</v>
      </c>
      <c r="C1110" s="48" t="s">
        <v>391</v>
      </c>
      <c r="D1110" s="48" t="s">
        <v>396</v>
      </c>
      <c r="E1110" s="48" t="s">
        <v>37</v>
      </c>
      <c r="F1110" s="50"/>
      <c r="G1110" s="48"/>
      <c r="H1110" s="51" t="s">
        <v>399</v>
      </c>
      <c r="I1110" s="51" t="s">
        <v>420</v>
      </c>
      <c r="J1110" s="95" t="s">
        <v>421</v>
      </c>
      <c r="K1110" s="92"/>
      <c r="L1110" s="69" t="s">
        <v>433</v>
      </c>
      <c r="M1110" s="44" t="s">
        <v>504</v>
      </c>
      <c r="N1110" s="82">
        <f>0.056*3*2.71+0.0675*3*2.71</f>
        <v>1.004055</v>
      </c>
      <c r="O1110" s="44">
        <f>0.574</f>
        <v>0.574</v>
      </c>
      <c r="P1110" s="44">
        <v>16</v>
      </c>
      <c r="Q1110" s="44">
        <f t="shared" si="135"/>
        <v>9.22124112</v>
      </c>
      <c r="R1110" s="84">
        <f>+Q1110/R1101</f>
        <v>0.766456746737595</v>
      </c>
      <c r="S1110" s="47"/>
      <c r="T1110" s="47"/>
    </row>
    <row r="1111" s="27" customFormat="1" ht="18" customHeight="1" spans="1:20">
      <c r="A1111" s="34"/>
      <c r="B1111" s="48">
        <v>2</v>
      </c>
      <c r="C1111" s="48"/>
      <c r="D1111" s="111" t="s">
        <v>491</v>
      </c>
      <c r="E1111" s="49" t="s">
        <v>423</v>
      </c>
      <c r="F1111" s="112"/>
      <c r="G1111" s="111"/>
      <c r="H1111" s="113">
        <v>1</v>
      </c>
      <c r="I1111" s="113">
        <f>+辅材及安装费!$G$3</f>
        <v>165</v>
      </c>
      <c r="J1111" s="114">
        <f t="shared" ref="J1111:J1123" si="136">H1111*I1111</f>
        <v>165</v>
      </c>
      <c r="K1111" s="92"/>
      <c r="L1111" s="69" t="s">
        <v>433</v>
      </c>
      <c r="M1111" s="44" t="s">
        <v>498</v>
      </c>
      <c r="N1111" s="82">
        <f>0.045*3*2.71</f>
        <v>0.36585</v>
      </c>
      <c r="O1111" s="44">
        <f>O1101</f>
        <v>22.7</v>
      </c>
      <c r="P1111" s="44">
        <v>1</v>
      </c>
      <c r="Q1111" s="44">
        <f t="shared" si="135"/>
        <v>8.304795</v>
      </c>
      <c r="R1111" s="84">
        <f>Q1111/R1101</f>
        <v>0.690283018867925</v>
      </c>
      <c r="S1111" s="47"/>
      <c r="T1111" s="47"/>
    </row>
    <row r="1112" s="27" customFormat="1" ht="18" customHeight="1" spans="1:20">
      <c r="A1112" s="34"/>
      <c r="B1112" s="48">
        <v>3</v>
      </c>
      <c r="C1112" s="48"/>
      <c r="D1112" s="115"/>
      <c r="E1112" s="63"/>
      <c r="F1112" s="116"/>
      <c r="G1112" s="115"/>
      <c r="H1112" s="117"/>
      <c r="I1112" s="117"/>
      <c r="J1112" s="118"/>
      <c r="K1112" s="92"/>
      <c r="L1112" s="90" t="s">
        <v>472</v>
      </c>
      <c r="M1112" s="44"/>
      <c r="N1112" s="82"/>
      <c r="O1112" s="44"/>
      <c r="P1112" s="44">
        <f>O1107*P1107*2</f>
        <v>0</v>
      </c>
      <c r="Q1112" s="44">
        <f>+P1112</f>
        <v>0</v>
      </c>
      <c r="R1112" s="84">
        <f>+Q1112/R1101</f>
        <v>0</v>
      </c>
      <c r="S1112" s="47"/>
      <c r="T1112" s="47"/>
    </row>
    <row r="1113" s="27" customFormat="1" ht="18" customHeight="1" spans="1:20">
      <c r="A1113" s="34"/>
      <c r="B1113" s="48">
        <v>4</v>
      </c>
      <c r="C1113" s="48"/>
      <c r="D1113" s="85" t="s">
        <v>426</v>
      </c>
      <c r="E1113" s="48" t="s">
        <v>392</v>
      </c>
      <c r="F1113" s="50"/>
      <c r="G1113" s="48"/>
      <c r="H1113" s="86"/>
      <c r="I1113" s="86"/>
      <c r="J1113" s="95">
        <f>SUM(J1111:J1111)</f>
        <v>165</v>
      </c>
      <c r="K1113" s="92"/>
      <c r="L1113" s="90"/>
      <c r="M1113" s="44"/>
      <c r="N1113" s="82"/>
      <c r="O1113" s="44"/>
      <c r="P1113" s="44"/>
      <c r="Q1113" s="44"/>
      <c r="R1113" s="84"/>
      <c r="S1113" s="47"/>
      <c r="T1113" s="47"/>
    </row>
    <row r="1114" s="27" customFormat="1" ht="22" customHeight="1" spans="1:20">
      <c r="A1114" s="34"/>
      <c r="B1114" s="48">
        <v>1</v>
      </c>
      <c r="C1114" s="48" t="s">
        <v>394</v>
      </c>
      <c r="D1114" s="88" t="s">
        <v>431</v>
      </c>
      <c r="E1114" s="72" t="str">
        <f>+VLOOKUP(D1114,'材料表 '!C:F,2,0)</f>
        <v>kg</v>
      </c>
      <c r="F1114" s="77">
        <f>+SUMIF($L$1101:$L$1139,D1114,$R$1101:$R$1139)</f>
        <v>17.0283018867925</v>
      </c>
      <c r="G1114" s="89">
        <f>+VLOOKUP(D1114,'材料表 '!C:F,4,0)</f>
        <v>0.03</v>
      </c>
      <c r="H1114" s="74">
        <f t="shared" ref="H1114:H1123" si="137">F1114*(G1114+1)</f>
        <v>17.5391509433963</v>
      </c>
      <c r="I1114" s="74">
        <f>+VLOOKUP(D1114,'材料表 '!C:F,3,0)</f>
        <v>3.80530973451327</v>
      </c>
      <c r="J1114" s="95">
        <f t="shared" si="136"/>
        <v>66.7419018200034</v>
      </c>
      <c r="K1114" s="92">
        <f ca="1">H1114*K1100</f>
        <v>88.2108445018872</v>
      </c>
      <c r="L1114" s="90"/>
      <c r="M1114" s="44"/>
      <c r="N1114" s="82"/>
      <c r="O1114" s="44"/>
      <c r="P1114" s="44"/>
      <c r="Q1114" s="44"/>
      <c r="R1114" s="84"/>
      <c r="S1114" s="47"/>
      <c r="T1114" s="47"/>
    </row>
    <row r="1115" s="27" customFormat="1" ht="18" customHeight="1" spans="1:20">
      <c r="A1115" s="34"/>
      <c r="B1115" s="48">
        <v>2</v>
      </c>
      <c r="C1115" s="48"/>
      <c r="D1115" s="88" t="s">
        <v>461</v>
      </c>
      <c r="E1115" s="72" t="str">
        <f>+VLOOKUP(D1115,'材料表 '!C:F,2,0)</f>
        <v>kg</v>
      </c>
      <c r="F1115" s="77">
        <f t="shared" ref="F1115:F1123" si="138">+SUMIF($L$1101:$L$1139,D1115,$R$1101:$R$1139)</f>
        <v>0</v>
      </c>
      <c r="G1115" s="89">
        <f>+VLOOKUP(D1115,'材料表 '!C:F,4,0)</f>
        <v>0.03</v>
      </c>
      <c r="H1115" s="74">
        <f t="shared" si="137"/>
        <v>0</v>
      </c>
      <c r="I1115" s="74">
        <f>+VLOOKUP(D1115,'材料表 '!C:F,3,0)</f>
        <v>3.53982300884956</v>
      </c>
      <c r="J1115" s="95">
        <f t="shared" si="136"/>
        <v>0</v>
      </c>
      <c r="K1115" s="92">
        <f ca="1">H1115*K1100</f>
        <v>0</v>
      </c>
      <c r="L1115" s="90"/>
      <c r="M1115" s="44"/>
      <c r="N1115" s="82"/>
      <c r="O1115" s="44"/>
      <c r="P1115" s="44"/>
      <c r="Q1115" s="44"/>
      <c r="R1115" s="84"/>
      <c r="S1115" s="47"/>
      <c r="T1115" s="47"/>
    </row>
    <row r="1116" s="27" customFormat="1" ht="18" customHeight="1" spans="1:20">
      <c r="A1116" s="34"/>
      <c r="B1116" s="48">
        <v>3</v>
      </c>
      <c r="C1116" s="48"/>
      <c r="D1116" s="88" t="s">
        <v>465</v>
      </c>
      <c r="E1116" s="72" t="str">
        <f>+VLOOKUP(D1116,'材料表 '!C:F,2,0)</f>
        <v>kg</v>
      </c>
      <c r="F1116" s="77">
        <f t="shared" si="138"/>
        <v>0</v>
      </c>
      <c r="G1116" s="89">
        <f>+VLOOKUP(D1116,'材料表 '!C:F,4,0)</f>
        <v>0.03</v>
      </c>
      <c r="H1116" s="74">
        <f t="shared" si="137"/>
        <v>0</v>
      </c>
      <c r="I1116" s="74">
        <f>+VLOOKUP(D1116,'材料表 '!C:F,3,0)</f>
        <v>6.01769911504425</v>
      </c>
      <c r="J1116" s="95">
        <f t="shared" si="136"/>
        <v>0</v>
      </c>
      <c r="K1116" s="92">
        <f ca="1">H1116*K1100</f>
        <v>0</v>
      </c>
      <c r="L1116" s="90"/>
      <c r="M1116" s="44"/>
      <c r="N1116" s="82"/>
      <c r="O1116" s="44"/>
      <c r="P1116" s="44"/>
      <c r="Q1116" s="44">
        <f>+P1116*O1116</f>
        <v>0</v>
      </c>
      <c r="R1116" s="84">
        <f>+Q1116/R1101</f>
        <v>0</v>
      </c>
      <c r="S1116" s="47"/>
      <c r="T1116" s="47"/>
    </row>
    <row r="1117" s="27" customFormat="1" ht="18" customHeight="1" spans="1:20">
      <c r="A1117" s="34"/>
      <c r="B1117" s="48">
        <v>4</v>
      </c>
      <c r="C1117" s="48"/>
      <c r="D1117" s="88" t="s">
        <v>463</v>
      </c>
      <c r="E1117" s="72" t="str">
        <f>+VLOOKUP(D1117,'材料表 '!C:F,2,0)</f>
        <v>kg</v>
      </c>
      <c r="F1117" s="77">
        <f t="shared" si="138"/>
        <v>0</v>
      </c>
      <c r="G1117" s="89">
        <f>+VLOOKUP(D1117,'材料表 '!C:F,4,0)</f>
        <v>0.03</v>
      </c>
      <c r="H1117" s="74">
        <f t="shared" si="137"/>
        <v>0</v>
      </c>
      <c r="I1117" s="74">
        <f>+VLOOKUP(D1117,'材料表 '!C:F,3,0)</f>
        <v>6.01769911504425</v>
      </c>
      <c r="J1117" s="95">
        <f t="shared" si="136"/>
        <v>0</v>
      </c>
      <c r="K1117" s="92">
        <f ca="1">H1117*K1100</f>
        <v>0</v>
      </c>
      <c r="L1117" s="90" t="s">
        <v>474</v>
      </c>
      <c r="M1117" s="44"/>
      <c r="N1117" s="82"/>
      <c r="O1117" s="44"/>
      <c r="P1117" s="44"/>
      <c r="Q1117" s="44">
        <f>+O1107*P1107*4</f>
        <v>0</v>
      </c>
      <c r="R1117" s="84">
        <f>+Q1117/R1101</f>
        <v>0</v>
      </c>
      <c r="S1117" s="47"/>
      <c r="T1117" s="47"/>
    </row>
    <row r="1118" s="27" customFormat="1" ht="18" customHeight="1" spans="1:20">
      <c r="A1118" s="34"/>
      <c r="B1118" s="48">
        <v>5</v>
      </c>
      <c r="C1118" s="48"/>
      <c r="D1118" s="88" t="s">
        <v>433</v>
      </c>
      <c r="E1118" s="72" t="str">
        <f>+VLOOKUP(D1118,'材料表 '!C:F,2,0)</f>
        <v>kg</v>
      </c>
      <c r="F1118" s="77">
        <f t="shared" si="138"/>
        <v>3.35118316183193</v>
      </c>
      <c r="G1118" s="89">
        <f>+VLOOKUP(D1118,'材料表 '!C:F,4,0)</f>
        <v>0.03</v>
      </c>
      <c r="H1118" s="74">
        <f t="shared" si="137"/>
        <v>3.45171865668689</v>
      </c>
      <c r="I1118" s="74">
        <f>+VLOOKUP(D1118,'材料表 '!C:F,3,0)</f>
        <v>26.1150442477876</v>
      </c>
      <c r="J1118" s="95">
        <f t="shared" si="136"/>
        <v>90.1417854502921</v>
      </c>
      <c r="K1118" s="92">
        <f ca="1">H1118*K1100</f>
        <v>17.359963356944</v>
      </c>
      <c r="L1118" s="92" t="s">
        <v>476</v>
      </c>
      <c r="M1118" s="44"/>
      <c r="N1118" s="82"/>
      <c r="O1118" s="44"/>
      <c r="P1118" s="44"/>
      <c r="Q1118" s="44">
        <f>8*8*(O1101*2+P1101*16)/500</f>
        <v>6.89664</v>
      </c>
      <c r="R1118" s="84">
        <f>+Q1118/R1101</f>
        <v>0.573239132241709</v>
      </c>
      <c r="S1118" s="47"/>
      <c r="T1118" s="47"/>
    </row>
    <row r="1119" s="27" customFormat="1" ht="18" customHeight="1" spans="1:20">
      <c r="A1119" s="34"/>
      <c r="B1119" s="48">
        <v>6</v>
      </c>
      <c r="C1119" s="48"/>
      <c r="D1119" s="88" t="s">
        <v>434</v>
      </c>
      <c r="E1119" s="72" t="str">
        <f>+VLOOKUP(D1119,'材料表 '!C:F,2,0)</f>
        <v>m2</v>
      </c>
      <c r="F1119" s="77">
        <f t="shared" si="138"/>
        <v>0</v>
      </c>
      <c r="G1119" s="89">
        <f>+VLOOKUP(D1119,'材料表 '!C:F,4,0)</f>
        <v>0</v>
      </c>
      <c r="H1119" s="74">
        <f t="shared" si="137"/>
        <v>0</v>
      </c>
      <c r="I1119" s="74">
        <f>+VLOOKUP(D1119,'材料表 '!C:F,3,0)</f>
        <v>49.5575221238938</v>
      </c>
      <c r="J1119" s="95">
        <f t="shared" si="136"/>
        <v>0</v>
      </c>
      <c r="K1119" s="92">
        <f ca="1">H1119*K1100</f>
        <v>0</v>
      </c>
      <c r="L1119" s="92" t="s">
        <v>499</v>
      </c>
      <c r="M1119" s="44"/>
      <c r="N1119" s="82"/>
      <c r="O1119" s="44"/>
      <c r="P1119" s="44"/>
      <c r="Q1119" s="44">
        <v>0</v>
      </c>
      <c r="R1119" s="84">
        <f>Q1119/R1101</f>
        <v>0</v>
      </c>
      <c r="S1119" s="47"/>
      <c r="T1119" s="47"/>
    </row>
    <row r="1120" s="27" customFormat="1" ht="18" customHeight="1" spans="1:20">
      <c r="A1120" s="34"/>
      <c r="B1120" s="48">
        <v>7</v>
      </c>
      <c r="C1120" s="48"/>
      <c r="D1120" s="88" t="s">
        <v>472</v>
      </c>
      <c r="E1120" s="72" t="str">
        <f>+VLOOKUP(D1120,'材料表 '!C:F,2,0)</f>
        <v>套</v>
      </c>
      <c r="F1120" s="77">
        <f t="shared" si="138"/>
        <v>0</v>
      </c>
      <c r="G1120" s="89">
        <f>+VLOOKUP(D1120,'材料表 '!C:F,4,0)</f>
        <v>0</v>
      </c>
      <c r="H1120" s="74">
        <f t="shared" si="137"/>
        <v>0</v>
      </c>
      <c r="I1120" s="74">
        <f>+VLOOKUP(D1120,'材料表 '!C:F,3,0)</f>
        <v>2.47787610619469</v>
      </c>
      <c r="J1120" s="95">
        <f t="shared" si="136"/>
        <v>0</v>
      </c>
      <c r="K1120" s="92">
        <f ca="1">H1120*K1100</f>
        <v>0</v>
      </c>
      <c r="L1120" s="92"/>
      <c r="M1120" s="44"/>
      <c r="N1120" s="82"/>
      <c r="O1120" s="44"/>
      <c r="P1120" s="44"/>
      <c r="Q1120" s="44"/>
      <c r="R1120" s="84"/>
      <c r="S1120" s="47"/>
      <c r="T1120" s="47"/>
    </row>
    <row r="1121" s="27" customFormat="1" ht="18" customHeight="1" spans="1:20">
      <c r="A1121" s="34"/>
      <c r="B1121" s="48">
        <v>8</v>
      </c>
      <c r="C1121" s="48"/>
      <c r="D1121" s="88" t="s">
        <v>474</v>
      </c>
      <c r="E1121" s="72" t="str">
        <f>+VLOOKUP(D1121,'材料表 '!C:F,2,0)</f>
        <v>套</v>
      </c>
      <c r="F1121" s="77">
        <f t="shared" si="138"/>
        <v>0</v>
      </c>
      <c r="G1121" s="89">
        <f>+VLOOKUP(D1121,'材料表 '!C:F,4,0)</f>
        <v>0</v>
      </c>
      <c r="H1121" s="74">
        <f t="shared" si="137"/>
        <v>0</v>
      </c>
      <c r="I1121" s="74">
        <f>+VLOOKUP(D1121,'材料表 '!C:F,3,0)</f>
        <v>2.21238938053097</v>
      </c>
      <c r="J1121" s="95">
        <f t="shared" si="136"/>
        <v>0</v>
      </c>
      <c r="K1121" s="92">
        <f ca="1">H1121*K1100</f>
        <v>0</v>
      </c>
      <c r="L1121" s="92"/>
      <c r="M1121" s="44"/>
      <c r="N1121" s="82"/>
      <c r="O1121" s="44"/>
      <c r="P1121" s="44"/>
      <c r="Q1121" s="44"/>
      <c r="R1121" s="84"/>
      <c r="S1121" s="47"/>
      <c r="T1121" s="47"/>
    </row>
    <row r="1122" s="27" customFormat="1" ht="18" customHeight="1" spans="1:20">
      <c r="A1122" s="34"/>
      <c r="B1122" s="48">
        <v>9</v>
      </c>
      <c r="C1122" s="48"/>
      <c r="D1122" s="88" t="s">
        <v>476</v>
      </c>
      <c r="E1122" s="72" t="str">
        <f>+VLOOKUP(D1122,'材料表 '!C:F,2,0)</f>
        <v>支</v>
      </c>
      <c r="F1122" s="77">
        <f t="shared" si="138"/>
        <v>0.573239132241709</v>
      </c>
      <c r="G1122" s="89">
        <f>+VLOOKUP(D1122,'材料表 '!C:F,4,0)</f>
        <v>0.15</v>
      </c>
      <c r="H1122" s="74">
        <f t="shared" si="137"/>
        <v>0.659225002077965</v>
      </c>
      <c r="I1122" s="74">
        <f>+VLOOKUP(D1122,'材料表 '!C:F,3,0)</f>
        <v>11.5044247787611</v>
      </c>
      <c r="J1122" s="95">
        <f t="shared" si="136"/>
        <v>7.58400444868458</v>
      </c>
      <c r="K1122" s="92">
        <f ca="1">H1122*K1100</f>
        <v>3.31548513025085</v>
      </c>
      <c r="L1122" s="90"/>
      <c r="M1122" s="44"/>
      <c r="N1122" s="82"/>
      <c r="O1122" s="34"/>
      <c r="P1122" s="44"/>
      <c r="Q1122" s="44"/>
      <c r="R1122" s="119"/>
      <c r="S1122" s="47"/>
      <c r="T1122" s="47"/>
    </row>
    <row r="1123" s="27" customFormat="1" ht="23" customHeight="1" spans="1:20">
      <c r="A1123" s="34"/>
      <c r="B1123" s="48">
        <v>10</v>
      </c>
      <c r="C1123" s="48"/>
      <c r="D1123" s="88" t="s">
        <v>499</v>
      </c>
      <c r="E1123" s="72" t="str">
        <f>+VLOOKUP(D1123,'材料表 '!C:F,2,0)</f>
        <v>套</v>
      </c>
      <c r="F1123" s="77">
        <f t="shared" si="138"/>
        <v>0</v>
      </c>
      <c r="G1123" s="89">
        <f>+VLOOKUP(D1123,'材料表 '!C:F,4,0)</f>
        <v>0</v>
      </c>
      <c r="H1123" s="74">
        <f t="shared" si="137"/>
        <v>0</v>
      </c>
      <c r="I1123" s="74">
        <f>+VLOOKUP(D1123,'材料表 '!C:F,3,0)</f>
        <v>1.32743362831858</v>
      </c>
      <c r="J1123" s="95">
        <f t="shared" si="136"/>
        <v>0</v>
      </c>
      <c r="K1123" s="92">
        <f ca="1">H1123*K1100</f>
        <v>0</v>
      </c>
      <c r="L1123" s="92"/>
      <c r="M1123" s="120"/>
      <c r="N1123" s="82"/>
      <c r="O1123" s="44"/>
      <c r="P1123" s="44"/>
      <c r="Q1123" s="44"/>
      <c r="R1123" s="84"/>
      <c r="S1123" s="47"/>
      <c r="T1123" s="47"/>
    </row>
    <row r="1124" s="27" customFormat="1" ht="20" customHeight="1" spans="1:20">
      <c r="A1124" s="34"/>
      <c r="B1124" s="48">
        <v>11</v>
      </c>
      <c r="C1124" s="48"/>
      <c r="D1124" s="88"/>
      <c r="E1124" s="72"/>
      <c r="F1124" s="77"/>
      <c r="G1124" s="89"/>
      <c r="H1124" s="74"/>
      <c r="I1124" s="74"/>
      <c r="J1124" s="95"/>
      <c r="K1124" s="92">
        <f ca="1">H1124*K1100</f>
        <v>0</v>
      </c>
      <c r="L1124" s="92"/>
      <c r="M1124" s="44"/>
      <c r="N1124" s="82"/>
      <c r="O1124" s="44"/>
      <c r="P1124" s="44"/>
      <c r="Q1124" s="44"/>
      <c r="R1124" s="84"/>
      <c r="S1124" s="47"/>
      <c r="T1124" s="47"/>
    </row>
    <row r="1125" s="27" customFormat="1" ht="24" customHeight="1" spans="1:20">
      <c r="A1125" s="34"/>
      <c r="B1125" s="48">
        <v>12</v>
      </c>
      <c r="C1125" s="48"/>
      <c r="D1125" s="127" t="s">
        <v>537</v>
      </c>
      <c r="E1125" s="72" t="str">
        <f>+VLOOKUP(D1125,'材料表 '!C:F,2,0)</f>
        <v>m2</v>
      </c>
      <c r="F1125" s="77">
        <f>0.574/0.53</f>
        <v>1.08301886792453</v>
      </c>
      <c r="G1125" s="89">
        <f>+VLOOKUP(D1125,'材料表 '!C:F,4,0)</f>
        <v>0.02</v>
      </c>
      <c r="H1125" s="74">
        <f>F1125*(G1125+1)</f>
        <v>1.10467924528302</v>
      </c>
      <c r="I1125" s="74">
        <f>+VLOOKUP(D1125,'材料表 '!C:F,3,0)</f>
        <v>281.41592920354</v>
      </c>
      <c r="J1125" s="95">
        <f>H1125*I1125</f>
        <v>310.874336283187</v>
      </c>
      <c r="K1125" s="92">
        <f ca="1">H1125*K1100</f>
        <v>5.55583844649057</v>
      </c>
      <c r="L1125" s="92"/>
      <c r="M1125" s="44"/>
      <c r="N1125" s="44"/>
      <c r="O1125" s="44"/>
      <c r="P1125" s="44"/>
      <c r="Q1125" s="44"/>
      <c r="R1125" s="84"/>
      <c r="S1125" s="47"/>
      <c r="T1125" s="47"/>
    </row>
    <row r="1126" s="27" customFormat="1" ht="18" customHeight="1" spans="1:20">
      <c r="A1126" s="34"/>
      <c r="B1126" s="48">
        <v>13</v>
      </c>
      <c r="C1126" s="48"/>
      <c r="D1126" s="88"/>
      <c r="E1126" s="72"/>
      <c r="F1126" s="77"/>
      <c r="G1126" s="89"/>
      <c r="H1126" s="74"/>
      <c r="I1126" s="74"/>
      <c r="J1126" s="95"/>
      <c r="K1126" s="92">
        <f ca="1">H1126*K1100</f>
        <v>0</v>
      </c>
      <c r="L1126" s="92"/>
      <c r="M1126" s="44"/>
      <c r="N1126" s="44"/>
      <c r="O1126" s="44"/>
      <c r="P1126" s="44"/>
      <c r="Q1126" s="44"/>
      <c r="R1126" s="84"/>
      <c r="S1126" s="47"/>
      <c r="T1126" s="47"/>
    </row>
    <row r="1127" s="27" customFormat="1" ht="24" customHeight="1" spans="1:20">
      <c r="A1127" s="34"/>
      <c r="B1127" s="48">
        <v>14</v>
      </c>
      <c r="C1127" s="48"/>
      <c r="D1127" s="88"/>
      <c r="E1127" s="72"/>
      <c r="F1127" s="77"/>
      <c r="G1127" s="89"/>
      <c r="H1127" s="74"/>
      <c r="I1127" s="74"/>
      <c r="J1127" s="95"/>
      <c r="K1127" s="92">
        <f ca="1">H1127*K1100</f>
        <v>0</v>
      </c>
      <c r="L1127" s="92"/>
      <c r="M1127" s="44"/>
      <c r="N1127" s="44"/>
      <c r="O1127" s="44"/>
      <c r="P1127" s="44"/>
      <c r="Q1127" s="44"/>
      <c r="R1127" s="84"/>
      <c r="S1127" s="47"/>
      <c r="T1127" s="47"/>
    </row>
    <row r="1128" s="27" customFormat="1" ht="18" customHeight="1" spans="1:20">
      <c r="A1128" s="34"/>
      <c r="B1128" s="48">
        <v>15</v>
      </c>
      <c r="C1128" s="48"/>
      <c r="D1128" s="88"/>
      <c r="E1128" s="72"/>
      <c r="F1128" s="77"/>
      <c r="G1128" s="89"/>
      <c r="H1128" s="74"/>
      <c r="I1128" s="74"/>
      <c r="J1128" s="95"/>
      <c r="K1128" s="92"/>
      <c r="L1128" s="92"/>
      <c r="M1128" s="44"/>
      <c r="N1128" s="44"/>
      <c r="O1128" s="44"/>
      <c r="P1128" s="44"/>
      <c r="Q1128" s="44"/>
      <c r="R1128" s="84"/>
      <c r="S1128" s="47"/>
      <c r="T1128" s="47"/>
    </row>
    <row r="1129" s="27" customFormat="1" ht="18" customHeight="1" spans="1:20">
      <c r="A1129" s="34"/>
      <c r="B1129" s="48">
        <v>16</v>
      </c>
      <c r="C1129" s="48"/>
      <c r="D1129" s="88"/>
      <c r="E1129" s="72"/>
      <c r="F1129" s="77"/>
      <c r="G1129" s="89"/>
      <c r="H1129" s="74"/>
      <c r="I1129" s="74"/>
      <c r="J1129" s="95"/>
      <c r="K1129" s="92"/>
      <c r="L1129" s="92"/>
      <c r="M1129" s="44"/>
      <c r="N1129" s="44"/>
      <c r="O1129" s="44"/>
      <c r="P1129" s="44"/>
      <c r="Q1129" s="44"/>
      <c r="R1129" s="84"/>
      <c r="S1129" s="47"/>
      <c r="T1129" s="47"/>
    </row>
    <row r="1130" s="27" customFormat="1" ht="18" customHeight="1" spans="1:20">
      <c r="A1130" s="34"/>
      <c r="B1130" s="48">
        <v>17</v>
      </c>
      <c r="C1130" s="48"/>
      <c r="D1130" s="121"/>
      <c r="E1130" s="72"/>
      <c r="F1130" s="77"/>
      <c r="G1130" s="89"/>
      <c r="H1130" s="74"/>
      <c r="I1130" s="74"/>
      <c r="J1130" s="95"/>
      <c r="K1130" s="92"/>
      <c r="L1130" s="92"/>
      <c r="M1130" s="44"/>
      <c r="N1130" s="44"/>
      <c r="O1130" s="44"/>
      <c r="P1130" s="44"/>
      <c r="Q1130" s="101"/>
      <c r="R1130" s="84"/>
      <c r="S1130" s="47"/>
      <c r="T1130" s="47"/>
    </row>
    <row r="1131" s="27" customFormat="1" ht="18" customHeight="1" spans="1:20">
      <c r="A1131" s="34"/>
      <c r="B1131" s="48">
        <v>18</v>
      </c>
      <c r="C1131" s="48"/>
      <c r="D1131" s="88"/>
      <c r="E1131" s="72"/>
      <c r="F1131" s="77"/>
      <c r="G1131" s="89"/>
      <c r="H1131" s="74"/>
      <c r="I1131" s="74"/>
      <c r="J1131" s="95"/>
      <c r="K1131" s="92"/>
      <c r="L1131" s="92"/>
      <c r="M1131" s="44"/>
      <c r="N1131" s="44"/>
      <c r="O1131" s="44"/>
      <c r="P1131" s="44"/>
      <c r="Q1131" s="44"/>
      <c r="R1131" s="84"/>
      <c r="S1131" s="47"/>
      <c r="T1131" s="47"/>
    </row>
    <row r="1132" s="27" customFormat="1" ht="18" customHeight="1" spans="1:20">
      <c r="A1132" s="34"/>
      <c r="B1132" s="48">
        <v>19</v>
      </c>
      <c r="C1132" s="48"/>
      <c r="D1132" s="27"/>
      <c r="E1132" s="72"/>
      <c r="F1132" s="77"/>
      <c r="G1132" s="89"/>
      <c r="H1132" s="74"/>
      <c r="I1132" s="74"/>
      <c r="J1132" s="95"/>
      <c r="K1132" s="92"/>
      <c r="L1132" s="92"/>
      <c r="M1132" s="44"/>
      <c r="N1132" s="44"/>
      <c r="O1132" s="44"/>
      <c r="P1132" s="44"/>
      <c r="Q1132" s="44"/>
      <c r="R1132" s="84"/>
      <c r="S1132" s="47"/>
      <c r="T1132" s="47"/>
    </row>
    <row r="1133" s="27" customFormat="1" ht="18" customHeight="1" spans="1:20">
      <c r="A1133" s="34"/>
      <c r="B1133" s="48">
        <v>20</v>
      </c>
      <c r="C1133" s="48"/>
      <c r="D1133" s="88"/>
      <c r="E1133" s="72"/>
      <c r="F1133" s="77"/>
      <c r="G1133" s="89"/>
      <c r="H1133" s="74"/>
      <c r="I1133" s="74"/>
      <c r="J1133" s="95"/>
      <c r="K1133" s="92"/>
      <c r="L1133" s="92"/>
      <c r="M1133" s="44"/>
      <c r="N1133" s="44"/>
      <c r="O1133" s="44"/>
      <c r="P1133" s="44"/>
      <c r="Q1133" s="44"/>
      <c r="R1133" s="84"/>
      <c r="S1133" s="47"/>
      <c r="T1133" s="47"/>
    </row>
    <row r="1134" s="27" customFormat="1" ht="18" customHeight="1" spans="1:20">
      <c r="A1134" s="34"/>
      <c r="B1134" s="48">
        <v>21</v>
      </c>
      <c r="C1134" s="48"/>
      <c r="D1134" s="88"/>
      <c r="E1134" s="72"/>
      <c r="F1134" s="77"/>
      <c r="G1134" s="89"/>
      <c r="H1134" s="74"/>
      <c r="I1134" s="74"/>
      <c r="J1134" s="95"/>
      <c r="K1134" s="92"/>
      <c r="L1134" s="92"/>
      <c r="M1134" s="44"/>
      <c r="N1134" s="44"/>
      <c r="O1134" s="44"/>
      <c r="P1134" s="44"/>
      <c r="Q1134" s="44"/>
      <c r="R1134" s="84"/>
      <c r="S1134" s="47"/>
      <c r="T1134" s="47"/>
    </row>
    <row r="1135" s="27" customFormat="1" ht="18" customHeight="1" spans="1:20">
      <c r="A1135" s="34"/>
      <c r="B1135" s="48">
        <v>22</v>
      </c>
      <c r="C1135" s="48"/>
      <c r="D1135" s="27"/>
      <c r="E1135" s="72"/>
      <c r="F1135" s="77"/>
      <c r="G1135" s="72"/>
      <c r="H1135" s="74"/>
      <c r="I1135" s="74"/>
      <c r="J1135" s="95"/>
      <c r="K1135" s="92"/>
      <c r="L1135" s="92"/>
      <c r="M1135" s="44"/>
      <c r="N1135" s="44"/>
      <c r="O1135" s="44"/>
      <c r="P1135" s="44"/>
      <c r="Q1135" s="44"/>
      <c r="R1135" s="62"/>
      <c r="S1135" s="47"/>
      <c r="T1135" s="47"/>
    </row>
    <row r="1136" s="27" customFormat="1" ht="18" customHeight="1" spans="1:20">
      <c r="A1136" s="34"/>
      <c r="B1136" s="48">
        <v>23</v>
      </c>
      <c r="C1136" s="48"/>
      <c r="D1136" s="88"/>
      <c r="E1136" s="72"/>
      <c r="F1136" s="77"/>
      <c r="G1136" s="89"/>
      <c r="H1136" s="74"/>
      <c r="I1136" s="74"/>
      <c r="J1136" s="95"/>
      <c r="K1136" s="92"/>
      <c r="L1136" s="92"/>
      <c r="M1136" s="44"/>
      <c r="N1136" s="44"/>
      <c r="O1136" s="44"/>
      <c r="P1136" s="44"/>
      <c r="Q1136" s="44"/>
      <c r="R1136" s="62"/>
      <c r="S1136" s="47"/>
      <c r="T1136" s="47"/>
    </row>
    <row r="1137" s="27" customFormat="1" ht="18" customHeight="1" spans="1:20">
      <c r="A1137" s="34"/>
      <c r="B1137" s="48">
        <v>24</v>
      </c>
      <c r="C1137" s="48"/>
      <c r="D1137" s="88" t="s">
        <v>478</v>
      </c>
      <c r="E1137" s="72" t="s">
        <v>43</v>
      </c>
      <c r="F1137" s="77"/>
      <c r="G1137" s="72">
        <v>1</v>
      </c>
      <c r="H1137" s="74">
        <v>1</v>
      </c>
      <c r="I1137" s="74">
        <f>+辅材及安装费!$E$3</f>
        <v>5</v>
      </c>
      <c r="J1137" s="95">
        <f>H1137*I1137</f>
        <v>5</v>
      </c>
      <c r="K1137" s="92"/>
      <c r="L1137" s="92"/>
      <c r="M1137" s="44"/>
      <c r="N1137" s="44"/>
      <c r="O1137" s="44"/>
      <c r="P1137" s="44"/>
      <c r="Q1137" s="44"/>
      <c r="R1137" s="62"/>
      <c r="S1137" s="47"/>
      <c r="T1137" s="47"/>
    </row>
    <row r="1138" s="27" customFormat="1" ht="18" customHeight="1" spans="1:20">
      <c r="A1138" s="34"/>
      <c r="B1138" s="48">
        <v>25</v>
      </c>
      <c r="C1138" s="48"/>
      <c r="D1138" s="93" t="s">
        <v>442</v>
      </c>
      <c r="E1138" s="72"/>
      <c r="F1138" s="77"/>
      <c r="G1138" s="72"/>
      <c r="H1138" s="74"/>
      <c r="I1138" s="74"/>
      <c r="J1138" s="95">
        <f>SUM(J1114:J1137)</f>
        <v>480.342028002167</v>
      </c>
      <c r="K1138" s="92"/>
      <c r="L1138" s="94"/>
      <c r="M1138" s="27"/>
      <c r="N1138" s="83"/>
      <c r="O1138" s="83"/>
      <c r="P1138" s="83"/>
      <c r="Q1138" s="83"/>
      <c r="R1138" s="87"/>
      <c r="S1138" s="47"/>
      <c r="T1138" s="47"/>
    </row>
    <row r="1139" s="27" customFormat="1" ht="18" customHeight="1" spans="1:20">
      <c r="A1139" s="34"/>
      <c r="B1139" s="48">
        <v>1</v>
      </c>
      <c r="C1139" s="48" t="s">
        <v>443</v>
      </c>
      <c r="D1139" s="48" t="s">
        <v>444</v>
      </c>
      <c r="E1139" s="72" t="s">
        <v>43</v>
      </c>
      <c r="F1139" s="50"/>
      <c r="G1139" s="48"/>
      <c r="H1139" s="51">
        <v>1</v>
      </c>
      <c r="I1139" s="74">
        <f>+辅材及安装费!$F$3</f>
        <v>5</v>
      </c>
      <c r="J1139" s="95">
        <f>H1139*I1139</f>
        <v>5</v>
      </c>
      <c r="K1139" s="118"/>
      <c r="L1139" s="96"/>
      <c r="M1139" s="97"/>
      <c r="N1139" s="98"/>
      <c r="O1139" s="98"/>
      <c r="P1139" s="98"/>
      <c r="Q1139" s="98"/>
      <c r="R1139" s="99"/>
      <c r="S1139" s="47"/>
      <c r="T1139" s="47"/>
    </row>
    <row r="1140" s="26" customFormat="1" ht="30" customHeight="1" spans="1:20">
      <c r="A1140" s="28"/>
      <c r="B1140" s="29" t="s">
        <v>386</v>
      </c>
      <c r="C1140" s="29"/>
      <c r="D1140" s="29"/>
      <c r="E1140" s="29"/>
      <c r="F1140" s="29"/>
      <c r="G1140" s="29"/>
      <c r="H1140" s="29"/>
      <c r="I1140" s="29"/>
      <c r="J1140" s="29"/>
      <c r="K1140" s="29"/>
      <c r="L1140" s="30"/>
      <c r="M1140" s="31"/>
      <c r="N1140" s="31"/>
      <c r="O1140" s="31"/>
      <c r="P1140" s="31"/>
      <c r="Q1140" s="31"/>
      <c r="R1140" s="32"/>
      <c r="S1140" s="33"/>
      <c r="T1140" s="33"/>
    </row>
    <row r="1141" s="27" customFormat="1" ht="33.75" customHeight="1" spans="1:20">
      <c r="A1141" s="34">
        <v>18</v>
      </c>
      <c r="B1141" s="35" t="s">
        <v>1</v>
      </c>
      <c r="C1141" s="35" t="s">
        <v>387</v>
      </c>
      <c r="D1141" s="36" t="str">
        <f>+A1149</f>
        <v>浅灰色铝板（包栏杆反坎）</v>
      </c>
      <c r="E1141" s="37"/>
      <c r="F1141" s="38" t="s">
        <v>119</v>
      </c>
      <c r="G1141" s="39"/>
      <c r="H1141" s="35" t="s">
        <v>388</v>
      </c>
      <c r="I1141" s="40" t="s">
        <v>389</v>
      </c>
      <c r="J1141" s="41" t="s">
        <v>37</v>
      </c>
      <c r="K1141" s="42">
        <f ca="1">VLOOKUP(A1141,排屋工程量清单!$A$59:$D$86,4,)</f>
        <v>25.71036</v>
      </c>
      <c r="L1141" s="43"/>
      <c r="M1141" s="44"/>
      <c r="N1141" s="44"/>
      <c r="O1141" s="44"/>
      <c r="P1141" s="45"/>
      <c r="Q1141" s="44"/>
      <c r="R1141" s="46"/>
      <c r="S1141" s="47"/>
      <c r="T1141" s="47"/>
    </row>
    <row r="1142" s="27" customFormat="1" ht="25" customHeight="1" spans="1:20">
      <c r="A1142" s="34"/>
      <c r="B1142" s="48">
        <v>1</v>
      </c>
      <c r="C1142" s="49" t="s">
        <v>390</v>
      </c>
      <c r="D1142" s="48" t="s">
        <v>391</v>
      </c>
      <c r="E1142" s="48"/>
      <c r="F1142" s="50"/>
      <c r="G1142" s="48"/>
      <c r="H1142" s="51"/>
      <c r="I1142" s="52">
        <f>J1154</f>
        <v>165</v>
      </c>
      <c r="J1142" s="53" t="s">
        <v>392</v>
      </c>
      <c r="K1142" s="54"/>
      <c r="L1142" s="55"/>
      <c r="M1142" s="56" t="s">
        <v>538</v>
      </c>
      <c r="N1142" s="57"/>
      <c r="O1142" s="57">
        <v>22.7</v>
      </c>
      <c r="P1142" s="57">
        <v>0.53</v>
      </c>
      <c r="Q1142" s="57">
        <v>1</v>
      </c>
      <c r="R1142" s="58">
        <f>+Q1142*P1142*O1142</f>
        <v>12.031</v>
      </c>
      <c r="S1142" s="47"/>
      <c r="T1142" s="47"/>
    </row>
    <row r="1143" s="27" customFormat="1" ht="18" customHeight="1" spans="1:20">
      <c r="A1143" s="34"/>
      <c r="B1143" s="48">
        <v>2</v>
      </c>
      <c r="C1143" s="59"/>
      <c r="D1143" s="48" t="s">
        <v>394</v>
      </c>
      <c r="E1143" s="48"/>
      <c r="F1143" s="50"/>
      <c r="G1143" s="48"/>
      <c r="H1143" s="51"/>
      <c r="I1143" s="52">
        <f>J1179</f>
        <v>300.168146017699</v>
      </c>
      <c r="J1143" s="53" t="s">
        <v>392</v>
      </c>
      <c r="K1143" s="60"/>
      <c r="L1143" s="61" t="s">
        <v>119</v>
      </c>
      <c r="M1143" s="44"/>
      <c r="N1143" s="44"/>
      <c r="O1143" s="44"/>
      <c r="P1143" s="44"/>
      <c r="Q1143" s="44"/>
      <c r="R1143" s="62"/>
      <c r="S1143" s="47"/>
      <c r="T1143" s="47"/>
    </row>
    <row r="1144" s="27" customFormat="1" ht="18" customHeight="1" spans="1:20">
      <c r="A1144" s="34"/>
      <c r="B1144" s="48">
        <v>3</v>
      </c>
      <c r="C1144" s="63"/>
      <c r="D1144" s="48" t="s">
        <v>395</v>
      </c>
      <c r="E1144" s="48"/>
      <c r="F1144" s="50"/>
      <c r="G1144" s="48"/>
      <c r="H1144" s="51"/>
      <c r="I1144" s="52">
        <f>J1180</f>
        <v>5</v>
      </c>
      <c r="J1144" s="53" t="s">
        <v>392</v>
      </c>
      <c r="K1144" s="60"/>
      <c r="L1144" s="60"/>
      <c r="M1144" s="65" t="s">
        <v>396</v>
      </c>
      <c r="N1144" s="65" t="s">
        <v>397</v>
      </c>
      <c r="O1144" s="65" t="s">
        <v>398</v>
      </c>
      <c r="P1144" s="65" t="s">
        <v>399</v>
      </c>
      <c r="Q1144" s="65" t="s">
        <v>400</v>
      </c>
      <c r="R1144" s="66" t="s">
        <v>401</v>
      </c>
      <c r="S1144" s="47"/>
      <c r="T1144" s="47"/>
    </row>
    <row r="1145" s="27" customFormat="1" ht="18" customHeight="1" spans="1:20">
      <c r="A1145" s="34"/>
      <c r="B1145" s="48">
        <v>4</v>
      </c>
      <c r="C1145" s="48" t="s">
        <v>402</v>
      </c>
      <c r="D1145" s="67" t="s">
        <v>403</v>
      </c>
      <c r="E1145" s="67"/>
      <c r="F1145" s="50"/>
      <c r="G1145" s="67"/>
      <c r="H1145" s="68"/>
      <c r="I1145" s="52">
        <f>SUM(I1142:I1144)</f>
        <v>470.168146017699</v>
      </c>
      <c r="J1145" s="53" t="s">
        <v>392</v>
      </c>
      <c r="K1145" s="60"/>
      <c r="L1145" s="69" t="s">
        <v>431</v>
      </c>
      <c r="M1145" s="34" t="s">
        <v>535</v>
      </c>
      <c r="N1145" s="102">
        <v>18.05</v>
      </c>
      <c r="O1145" s="34">
        <f>O1142</f>
        <v>22.7</v>
      </c>
      <c r="P1145" s="34">
        <v>0</v>
      </c>
      <c r="Q1145" s="44">
        <f t="shared" ref="Q1145:Q1152" si="139">+P1145*O1145*N1145</f>
        <v>0</v>
      </c>
      <c r="R1145" s="71">
        <f>+Q1145/R1142</f>
        <v>0</v>
      </c>
      <c r="S1145" s="47"/>
      <c r="T1145" s="47"/>
    </row>
    <row r="1146" s="27" customFormat="1" ht="28" customHeight="1" spans="1:20">
      <c r="A1146" s="34"/>
      <c r="B1146" s="48">
        <v>5</v>
      </c>
      <c r="C1146" s="72" t="s">
        <v>406</v>
      </c>
      <c r="D1146" s="48" t="s">
        <v>407</v>
      </c>
      <c r="E1146" s="48"/>
      <c r="F1146" s="50"/>
      <c r="G1146" s="48"/>
      <c r="H1146" s="73">
        <f>+'材料表 '!$E$178</f>
        <v>0</v>
      </c>
      <c r="I1146" s="52">
        <f>H1146*I1145</f>
        <v>0</v>
      </c>
      <c r="J1146" s="53" t="s">
        <v>392</v>
      </c>
      <c r="K1146" s="60"/>
      <c r="L1146" s="69" t="s">
        <v>431</v>
      </c>
      <c r="M1146" s="34" t="s">
        <v>523</v>
      </c>
      <c r="N1146" s="102">
        <v>4.52</v>
      </c>
      <c r="O1146" s="34">
        <f>O1142</f>
        <v>22.7</v>
      </c>
      <c r="P1146" s="34">
        <v>0</v>
      </c>
      <c r="Q1146" s="44">
        <f t="shared" si="139"/>
        <v>0</v>
      </c>
      <c r="R1146" s="71">
        <f>+Q1146/R1142</f>
        <v>0</v>
      </c>
      <c r="S1146" s="47"/>
      <c r="T1146" s="47"/>
    </row>
    <row r="1147" s="27" customFormat="1" ht="18" customHeight="1" spans="1:20">
      <c r="A1147" s="34"/>
      <c r="B1147" s="48">
        <v>6</v>
      </c>
      <c r="C1147" s="48" t="s">
        <v>409</v>
      </c>
      <c r="D1147" s="48" t="s">
        <v>410</v>
      </c>
      <c r="E1147" s="48"/>
      <c r="F1147" s="50"/>
      <c r="G1147" s="48"/>
      <c r="H1147" s="73">
        <f>+'材料表 '!$E$179</f>
        <v>0</v>
      </c>
      <c r="I1147" s="52">
        <f>H1147*I1145</f>
        <v>0</v>
      </c>
      <c r="J1147" s="53" t="s">
        <v>392</v>
      </c>
      <c r="K1147" s="60"/>
      <c r="L1147" s="69" t="s">
        <v>461</v>
      </c>
      <c r="M1147" s="34" t="s">
        <v>462</v>
      </c>
      <c r="N1147" s="34">
        <v>3.77</v>
      </c>
      <c r="O1147" s="34">
        <f>O1142</f>
        <v>22.7</v>
      </c>
      <c r="P1147" s="34">
        <v>0</v>
      </c>
      <c r="Q1147" s="44">
        <f t="shared" si="139"/>
        <v>0</v>
      </c>
      <c r="R1147" s="71">
        <f>+Q1147/R1142</f>
        <v>0</v>
      </c>
      <c r="S1147" s="47"/>
      <c r="T1147" s="47"/>
    </row>
    <row r="1148" s="27" customFormat="1" ht="18" customHeight="1" spans="1:20">
      <c r="A1148" s="34"/>
      <c r="B1148" s="48">
        <v>7</v>
      </c>
      <c r="C1148" s="48" t="s">
        <v>412</v>
      </c>
      <c r="D1148" s="72" t="s">
        <v>413</v>
      </c>
      <c r="E1148" s="72"/>
      <c r="F1148" s="77"/>
      <c r="G1148" s="72"/>
      <c r="H1148" s="73">
        <f>+'材料表 '!$E$180</f>
        <v>0.09</v>
      </c>
      <c r="I1148" s="52">
        <f>(I1145+I1146+I1147)*H1148</f>
        <v>42.3151331415929</v>
      </c>
      <c r="J1148" s="53" t="s">
        <v>392</v>
      </c>
      <c r="K1148" s="60"/>
      <c r="L1148" s="69" t="s">
        <v>463</v>
      </c>
      <c r="M1148" s="34" t="s">
        <v>464</v>
      </c>
      <c r="N1148" s="34">
        <f>0.15*0.2*7.85*10</f>
        <v>2.355</v>
      </c>
      <c r="O1148" s="34">
        <v>1.5</v>
      </c>
      <c r="P1148" s="34">
        <v>0</v>
      </c>
      <c r="Q1148" s="44">
        <f t="shared" si="139"/>
        <v>0</v>
      </c>
      <c r="R1148" s="71">
        <f>+Q1148/R1142</f>
        <v>0</v>
      </c>
      <c r="S1148" s="47"/>
      <c r="T1148" s="47"/>
    </row>
    <row r="1149" s="27" customFormat="1" ht="18" customHeight="1" spans="1:20">
      <c r="A1149" s="105" t="s">
        <v>539</v>
      </c>
      <c r="B1149" s="48">
        <v>8</v>
      </c>
      <c r="C1149" s="48" t="s">
        <v>363</v>
      </c>
      <c r="D1149" s="106" t="s">
        <v>415</v>
      </c>
      <c r="E1149" s="107"/>
      <c r="F1149" s="108"/>
      <c r="G1149" s="107"/>
      <c r="H1149" s="51"/>
      <c r="I1149" s="74">
        <f>SUM(I1145:I1148)</f>
        <v>512.483279159292</v>
      </c>
      <c r="J1149" s="53" t="s">
        <v>416</v>
      </c>
      <c r="K1149" s="60"/>
      <c r="L1149" s="69" t="s">
        <v>465</v>
      </c>
      <c r="M1149" s="34" t="s">
        <v>503</v>
      </c>
      <c r="N1149" s="126">
        <v>7.034</v>
      </c>
      <c r="O1149" s="34">
        <f>85/1000</f>
        <v>0.085</v>
      </c>
      <c r="P1149" s="44">
        <v>0</v>
      </c>
      <c r="Q1149" s="44">
        <f t="shared" si="139"/>
        <v>0</v>
      </c>
      <c r="R1149" s="84">
        <f>+Q1149/R1142</f>
        <v>0</v>
      </c>
      <c r="S1149" s="79"/>
      <c r="T1149" s="47"/>
    </row>
    <row r="1150" s="27" customFormat="1" ht="18" customHeight="1" spans="1:20">
      <c r="A1150" s="34"/>
      <c r="B1150" s="109" t="s">
        <v>418</v>
      </c>
      <c r="C1150" s="110"/>
      <c r="D1150" s="110"/>
      <c r="E1150" s="110"/>
      <c r="F1150" s="110"/>
      <c r="G1150" s="110"/>
      <c r="H1150" s="110"/>
      <c r="I1150" s="110"/>
      <c r="J1150" s="110"/>
      <c r="K1150" s="80"/>
      <c r="L1150" s="69" t="s">
        <v>433</v>
      </c>
      <c r="M1150" s="44" t="s">
        <v>505</v>
      </c>
      <c r="N1150" s="82">
        <f>0.056*3*2.71+0.0675*3*2.71</f>
        <v>1.004055</v>
      </c>
      <c r="O1150" s="44">
        <f>O1142</f>
        <v>22.7</v>
      </c>
      <c r="P1150" s="44">
        <v>0</v>
      </c>
      <c r="Q1150" s="44">
        <f t="shared" si="139"/>
        <v>0</v>
      </c>
      <c r="R1150" s="84">
        <f>+Q1150/R1142</f>
        <v>0</v>
      </c>
      <c r="S1150" s="47">
        <f>0.16*P1150*O1150/R1142</f>
        <v>0</v>
      </c>
      <c r="T1150" s="47"/>
    </row>
    <row r="1151" s="27" customFormat="1" ht="18" customHeight="1" spans="1:20">
      <c r="A1151" s="34"/>
      <c r="B1151" s="48">
        <v>1</v>
      </c>
      <c r="C1151" s="48" t="s">
        <v>391</v>
      </c>
      <c r="D1151" s="48" t="s">
        <v>396</v>
      </c>
      <c r="E1151" s="48" t="s">
        <v>37</v>
      </c>
      <c r="F1151" s="50"/>
      <c r="G1151" s="48"/>
      <c r="H1151" s="51" t="s">
        <v>399</v>
      </c>
      <c r="I1151" s="51" t="s">
        <v>420</v>
      </c>
      <c r="J1151" s="95" t="s">
        <v>421</v>
      </c>
      <c r="K1151" s="92"/>
      <c r="L1151" s="69" t="s">
        <v>433</v>
      </c>
      <c r="M1151" s="44" t="s">
        <v>504</v>
      </c>
      <c r="N1151" s="82">
        <f>0.056*3*2.71+0.0675*3*2.71</f>
        <v>1.004055</v>
      </c>
      <c r="O1151" s="44">
        <f>0.574</f>
        <v>0.574</v>
      </c>
      <c r="P1151" s="44">
        <v>0</v>
      </c>
      <c r="Q1151" s="44">
        <f t="shared" si="139"/>
        <v>0</v>
      </c>
      <c r="R1151" s="84">
        <f>+Q1151/R1142</f>
        <v>0</v>
      </c>
      <c r="S1151" s="47"/>
      <c r="T1151" s="47"/>
    </row>
    <row r="1152" s="27" customFormat="1" ht="18" customHeight="1" spans="1:20">
      <c r="A1152" s="34"/>
      <c r="B1152" s="48">
        <v>2</v>
      </c>
      <c r="C1152" s="48"/>
      <c r="D1152" s="111" t="s">
        <v>491</v>
      </c>
      <c r="E1152" s="49" t="s">
        <v>423</v>
      </c>
      <c r="F1152" s="112"/>
      <c r="G1152" s="111"/>
      <c r="H1152" s="113">
        <v>1</v>
      </c>
      <c r="I1152" s="113">
        <f>+辅材及安装费!$G$3</f>
        <v>165</v>
      </c>
      <c r="J1152" s="114">
        <f t="shared" ref="J1152:J1164" si="140">H1152*I1152</f>
        <v>165</v>
      </c>
      <c r="K1152" s="92"/>
      <c r="L1152" s="69" t="s">
        <v>433</v>
      </c>
      <c r="M1152" s="44" t="s">
        <v>498</v>
      </c>
      <c r="N1152" s="82">
        <f>0.045*3*2.71</f>
        <v>0.36585</v>
      </c>
      <c r="O1152" s="44">
        <f>O1142</f>
        <v>22.7</v>
      </c>
      <c r="P1152" s="44">
        <v>0</v>
      </c>
      <c r="Q1152" s="44">
        <f t="shared" si="139"/>
        <v>0</v>
      </c>
      <c r="R1152" s="84">
        <f>Q1152/R1142</f>
        <v>0</v>
      </c>
      <c r="S1152" s="47"/>
      <c r="T1152" s="47"/>
    </row>
    <row r="1153" s="27" customFormat="1" ht="18" customHeight="1" spans="1:20">
      <c r="A1153" s="34"/>
      <c r="B1153" s="48">
        <v>3</v>
      </c>
      <c r="C1153" s="48"/>
      <c r="D1153" s="115"/>
      <c r="E1153" s="63"/>
      <c r="F1153" s="116"/>
      <c r="G1153" s="115"/>
      <c r="H1153" s="117"/>
      <c r="I1153" s="117"/>
      <c r="J1153" s="118"/>
      <c r="K1153" s="92"/>
      <c r="L1153" s="90" t="s">
        <v>472</v>
      </c>
      <c r="M1153" s="44"/>
      <c r="N1153" s="82"/>
      <c r="O1153" s="44"/>
      <c r="P1153" s="44">
        <f>O1148*P1148*2</f>
        <v>0</v>
      </c>
      <c r="Q1153" s="44">
        <f>+P1153</f>
        <v>0</v>
      </c>
      <c r="R1153" s="84">
        <f>+Q1153/R1142</f>
        <v>0</v>
      </c>
      <c r="S1153" s="47"/>
      <c r="T1153" s="47"/>
    </row>
    <row r="1154" s="27" customFormat="1" ht="18" customHeight="1" spans="1:20">
      <c r="A1154" s="34"/>
      <c r="B1154" s="48">
        <v>4</v>
      </c>
      <c r="C1154" s="48"/>
      <c r="D1154" s="85" t="s">
        <v>426</v>
      </c>
      <c r="E1154" s="48" t="s">
        <v>392</v>
      </c>
      <c r="F1154" s="50"/>
      <c r="G1154" s="48"/>
      <c r="H1154" s="86"/>
      <c r="I1154" s="86"/>
      <c r="J1154" s="95">
        <f>SUM(J1152:J1152)</f>
        <v>165</v>
      </c>
      <c r="K1154" s="92"/>
      <c r="L1154" s="90"/>
      <c r="M1154" s="44"/>
      <c r="N1154" s="82"/>
      <c r="O1154" s="44"/>
      <c r="P1154" s="44"/>
      <c r="Q1154" s="44"/>
      <c r="R1154" s="84"/>
      <c r="S1154" s="47"/>
      <c r="T1154" s="47"/>
    </row>
    <row r="1155" s="27" customFormat="1" ht="22" customHeight="1" spans="1:20">
      <c r="A1155" s="34"/>
      <c r="B1155" s="48">
        <v>1</v>
      </c>
      <c r="C1155" s="48" t="s">
        <v>394</v>
      </c>
      <c r="D1155" s="88" t="s">
        <v>431</v>
      </c>
      <c r="E1155" s="72" t="str">
        <f>+VLOOKUP(D1155,'材料表 '!C:F,2,0)</f>
        <v>kg</v>
      </c>
      <c r="F1155" s="77">
        <v>0</v>
      </c>
      <c r="G1155" s="89">
        <f>+VLOOKUP(D1155,'材料表 '!C:F,4,0)</f>
        <v>0.03</v>
      </c>
      <c r="H1155" s="74">
        <f t="shared" ref="H1155:H1164" si="141">F1155*(G1155+1)</f>
        <v>0</v>
      </c>
      <c r="I1155" s="74">
        <f>+VLOOKUP(D1155,'材料表 '!C:F,3,0)</f>
        <v>3.80530973451327</v>
      </c>
      <c r="J1155" s="95">
        <f t="shared" si="140"/>
        <v>0</v>
      </c>
      <c r="K1155" s="92">
        <f ca="1">H1155*K1141</f>
        <v>0</v>
      </c>
      <c r="L1155" s="90"/>
      <c r="M1155" s="44"/>
      <c r="N1155" s="82"/>
      <c r="O1155" s="44"/>
      <c r="P1155" s="44"/>
      <c r="Q1155" s="44"/>
      <c r="R1155" s="84"/>
      <c r="S1155" s="47"/>
      <c r="T1155" s="47"/>
    </row>
    <row r="1156" s="27" customFormat="1" ht="18" customHeight="1" spans="1:20">
      <c r="A1156" s="34"/>
      <c r="B1156" s="48">
        <v>2</v>
      </c>
      <c r="C1156" s="48"/>
      <c r="D1156" s="88" t="s">
        <v>461</v>
      </c>
      <c r="E1156" s="72" t="str">
        <f>+VLOOKUP(D1156,'材料表 '!C:F,2,0)</f>
        <v>kg</v>
      </c>
      <c r="F1156" s="77">
        <v>0</v>
      </c>
      <c r="G1156" s="89">
        <f>+VLOOKUP(D1156,'材料表 '!C:F,4,0)</f>
        <v>0.03</v>
      </c>
      <c r="H1156" s="74">
        <f t="shared" si="141"/>
        <v>0</v>
      </c>
      <c r="I1156" s="74">
        <f>+VLOOKUP(D1156,'材料表 '!C:F,3,0)</f>
        <v>3.53982300884956</v>
      </c>
      <c r="J1156" s="95">
        <f t="shared" si="140"/>
        <v>0</v>
      </c>
      <c r="K1156" s="92">
        <f ca="1">H1156*K1141</f>
        <v>0</v>
      </c>
      <c r="L1156" s="90"/>
      <c r="M1156" s="44"/>
      <c r="N1156" s="82"/>
      <c r="O1156" s="44"/>
      <c r="P1156" s="44"/>
      <c r="Q1156" s="44"/>
      <c r="R1156" s="84"/>
      <c r="S1156" s="47"/>
      <c r="T1156" s="47"/>
    </row>
    <row r="1157" s="27" customFormat="1" ht="18" customHeight="1" spans="1:20">
      <c r="A1157" s="34"/>
      <c r="B1157" s="48">
        <v>3</v>
      </c>
      <c r="C1157" s="48"/>
      <c r="D1157" s="88" t="s">
        <v>465</v>
      </c>
      <c r="E1157" s="72" t="str">
        <f>+VLOOKUP(D1157,'材料表 '!C:F,2,0)</f>
        <v>kg</v>
      </c>
      <c r="F1157" s="77">
        <v>1</v>
      </c>
      <c r="G1157" s="89">
        <f>+VLOOKUP(D1157,'材料表 '!C:F,4,0)</f>
        <v>0.03</v>
      </c>
      <c r="H1157" s="74">
        <f t="shared" si="141"/>
        <v>1.03</v>
      </c>
      <c r="I1157" s="74">
        <f>+VLOOKUP(D1157,'材料表 '!C:F,3,0)</f>
        <v>6.01769911504425</v>
      </c>
      <c r="J1157" s="95">
        <f t="shared" si="140"/>
        <v>6.19823008849558</v>
      </c>
      <c r="K1157" s="92">
        <f ca="1">H1157*K1141</f>
        <v>26.4816708</v>
      </c>
      <c r="L1157" s="90"/>
      <c r="M1157" s="44"/>
      <c r="N1157" s="82"/>
      <c r="O1157" s="44"/>
      <c r="P1157" s="44"/>
      <c r="Q1157" s="44">
        <f>+P1157*O1157</f>
        <v>0</v>
      </c>
      <c r="R1157" s="84">
        <f>+Q1157/R1142</f>
        <v>0</v>
      </c>
      <c r="S1157" s="47"/>
      <c r="T1157" s="47"/>
    </row>
    <row r="1158" s="27" customFormat="1" ht="18" customHeight="1" spans="1:20">
      <c r="A1158" s="34"/>
      <c r="B1158" s="48">
        <v>4</v>
      </c>
      <c r="C1158" s="48"/>
      <c r="D1158" s="88" t="s">
        <v>463</v>
      </c>
      <c r="E1158" s="72" t="str">
        <f>+VLOOKUP(D1158,'材料表 '!C:F,2,0)</f>
        <v>kg</v>
      </c>
      <c r="F1158" s="77">
        <v>0</v>
      </c>
      <c r="G1158" s="89">
        <f>+VLOOKUP(D1158,'材料表 '!C:F,4,0)</f>
        <v>0.03</v>
      </c>
      <c r="H1158" s="74">
        <f t="shared" si="141"/>
        <v>0</v>
      </c>
      <c r="I1158" s="74">
        <f>+VLOOKUP(D1158,'材料表 '!C:F,3,0)</f>
        <v>6.01769911504425</v>
      </c>
      <c r="J1158" s="95">
        <f t="shared" si="140"/>
        <v>0</v>
      </c>
      <c r="K1158" s="92">
        <f ca="1">H1158*K1141</f>
        <v>0</v>
      </c>
      <c r="L1158" s="90" t="s">
        <v>474</v>
      </c>
      <c r="M1158" s="44"/>
      <c r="N1158" s="82"/>
      <c r="O1158" s="44"/>
      <c r="P1158" s="44"/>
      <c r="Q1158" s="44">
        <f>+O1148*P1148*4</f>
        <v>0</v>
      </c>
      <c r="R1158" s="84">
        <f>+Q1158/R1142</f>
        <v>0</v>
      </c>
      <c r="S1158" s="47"/>
      <c r="T1158" s="47"/>
    </row>
    <row r="1159" s="27" customFormat="1" ht="18" customHeight="1" spans="1:20">
      <c r="A1159" s="34"/>
      <c r="B1159" s="48">
        <v>5</v>
      </c>
      <c r="C1159" s="48"/>
      <c r="D1159" s="88" t="s">
        <v>433</v>
      </c>
      <c r="E1159" s="72" t="str">
        <f>+VLOOKUP(D1159,'材料表 '!C:F,2,0)</f>
        <v>kg</v>
      </c>
      <c r="F1159" s="77">
        <v>0.85</v>
      </c>
      <c r="G1159" s="89">
        <f>+VLOOKUP(D1159,'材料表 '!C:F,4,0)</f>
        <v>0.03</v>
      </c>
      <c r="H1159" s="74">
        <f t="shared" si="141"/>
        <v>0.8755</v>
      </c>
      <c r="I1159" s="74">
        <f>+VLOOKUP(D1159,'材料表 '!C:F,3,0)</f>
        <v>26.1150442477876</v>
      </c>
      <c r="J1159" s="95">
        <f t="shared" si="140"/>
        <v>22.863721238938</v>
      </c>
      <c r="K1159" s="92">
        <f ca="1">H1159*K1141</f>
        <v>22.50942018</v>
      </c>
      <c r="L1159" s="92" t="s">
        <v>476</v>
      </c>
      <c r="M1159" s="44"/>
      <c r="N1159" s="82"/>
      <c r="O1159" s="44"/>
      <c r="P1159" s="44"/>
      <c r="Q1159" s="44">
        <v>0</v>
      </c>
      <c r="R1159" s="84">
        <f>+Q1159/R1142</f>
        <v>0</v>
      </c>
      <c r="S1159" s="47"/>
      <c r="T1159" s="47"/>
    </row>
    <row r="1160" s="27" customFormat="1" ht="18" customHeight="1" spans="1:20">
      <c r="A1160" s="34"/>
      <c r="B1160" s="48">
        <v>6</v>
      </c>
      <c r="C1160" s="48"/>
      <c r="D1160" s="88" t="s">
        <v>434</v>
      </c>
      <c r="E1160" s="72" t="str">
        <f>+VLOOKUP(D1160,'材料表 '!C:F,2,0)</f>
        <v>m2</v>
      </c>
      <c r="F1160" s="77">
        <v>0</v>
      </c>
      <c r="G1160" s="89">
        <f>+VLOOKUP(D1160,'材料表 '!C:F,4,0)</f>
        <v>0</v>
      </c>
      <c r="H1160" s="74">
        <f t="shared" si="141"/>
        <v>0</v>
      </c>
      <c r="I1160" s="74">
        <f>+VLOOKUP(D1160,'材料表 '!C:F,3,0)</f>
        <v>49.5575221238938</v>
      </c>
      <c r="J1160" s="95">
        <f t="shared" si="140"/>
        <v>0</v>
      </c>
      <c r="K1160" s="92">
        <f ca="1">H1160*K1141</f>
        <v>0</v>
      </c>
      <c r="L1160" s="92" t="s">
        <v>499</v>
      </c>
      <c r="M1160" s="44"/>
      <c r="N1160" s="82"/>
      <c r="O1160" s="44"/>
      <c r="P1160" s="44"/>
      <c r="Q1160" s="44">
        <v>0</v>
      </c>
      <c r="R1160" s="84">
        <f>Q1160/R1142</f>
        <v>0</v>
      </c>
      <c r="S1160" s="47"/>
      <c r="T1160" s="47"/>
    </row>
    <row r="1161" s="27" customFormat="1" ht="18" customHeight="1" spans="1:20">
      <c r="A1161" s="34"/>
      <c r="B1161" s="48">
        <v>7</v>
      </c>
      <c r="C1161" s="48"/>
      <c r="D1161" s="88" t="s">
        <v>472</v>
      </c>
      <c r="E1161" s="72" t="str">
        <f>+VLOOKUP(D1161,'材料表 '!C:F,2,0)</f>
        <v>套</v>
      </c>
      <c r="F1161" s="77">
        <f>+SUMIF($L$1060:$L$1098,D1161,$R$1060:$R$1098)</f>
        <v>0</v>
      </c>
      <c r="G1161" s="89">
        <f>+VLOOKUP(D1161,'材料表 '!C:F,4,0)</f>
        <v>0</v>
      </c>
      <c r="H1161" s="74">
        <f t="shared" si="141"/>
        <v>0</v>
      </c>
      <c r="I1161" s="74">
        <f>+VLOOKUP(D1161,'材料表 '!C:F,3,0)</f>
        <v>2.47787610619469</v>
      </c>
      <c r="J1161" s="95">
        <f t="shared" si="140"/>
        <v>0</v>
      </c>
      <c r="K1161" s="92">
        <f ca="1">H1161*K1141</f>
        <v>0</v>
      </c>
      <c r="L1161" s="92"/>
      <c r="M1161" s="44"/>
      <c r="N1161" s="82"/>
      <c r="O1161" s="44"/>
      <c r="P1161" s="44"/>
      <c r="Q1161" s="44"/>
      <c r="R1161" s="84"/>
      <c r="S1161" s="47"/>
      <c r="T1161" s="47"/>
    </row>
    <row r="1162" s="27" customFormat="1" ht="18" customHeight="1" spans="1:20">
      <c r="A1162" s="34"/>
      <c r="B1162" s="48">
        <v>8</v>
      </c>
      <c r="C1162" s="48"/>
      <c r="D1162" s="88" t="s">
        <v>474</v>
      </c>
      <c r="E1162" s="72" t="str">
        <f>+VLOOKUP(D1162,'材料表 '!C:F,2,0)</f>
        <v>套</v>
      </c>
      <c r="F1162" s="77">
        <f>+SUMIF($L$1060:$L$1098,D1162,$R$1060:$R$1098)</f>
        <v>0</v>
      </c>
      <c r="G1162" s="89">
        <f>+VLOOKUP(D1162,'材料表 '!C:F,4,0)</f>
        <v>0</v>
      </c>
      <c r="H1162" s="74">
        <f t="shared" si="141"/>
        <v>0</v>
      </c>
      <c r="I1162" s="74">
        <f>+VLOOKUP(D1162,'材料表 '!C:F,3,0)</f>
        <v>2.21238938053097</v>
      </c>
      <c r="J1162" s="95">
        <f t="shared" si="140"/>
        <v>0</v>
      </c>
      <c r="K1162" s="92">
        <f ca="1">H1162*K1141</f>
        <v>0</v>
      </c>
      <c r="L1162" s="92"/>
      <c r="M1162" s="44"/>
      <c r="N1162" s="82"/>
      <c r="O1162" s="44"/>
      <c r="P1162" s="44"/>
      <c r="Q1162" s="44"/>
      <c r="R1162" s="84"/>
      <c r="S1162" s="47"/>
      <c r="T1162" s="47"/>
    </row>
    <row r="1163" s="27" customFormat="1" ht="18" customHeight="1" spans="1:20">
      <c r="A1163" s="34"/>
      <c r="B1163" s="48">
        <v>9</v>
      </c>
      <c r="C1163" s="48"/>
      <c r="D1163" s="88" t="s">
        <v>476</v>
      </c>
      <c r="E1163" s="72" t="str">
        <f>+VLOOKUP(D1163,'材料表 '!C:F,2,0)</f>
        <v>支</v>
      </c>
      <c r="F1163" s="77">
        <v>0.4</v>
      </c>
      <c r="G1163" s="89">
        <f>+VLOOKUP(D1163,'材料表 '!C:F,4,0)</f>
        <v>0.15</v>
      </c>
      <c r="H1163" s="74">
        <f t="shared" si="141"/>
        <v>0.46</v>
      </c>
      <c r="I1163" s="74">
        <f>+VLOOKUP(D1163,'材料表 '!C:F,3,0)</f>
        <v>11.5044247787611</v>
      </c>
      <c r="J1163" s="95">
        <f t="shared" si="140"/>
        <v>5.29203539823011</v>
      </c>
      <c r="K1163" s="92">
        <f ca="1">H1163*K1141</f>
        <v>11.8267656</v>
      </c>
      <c r="L1163" s="90"/>
      <c r="M1163" s="44"/>
      <c r="N1163" s="82"/>
      <c r="O1163" s="34"/>
      <c r="P1163" s="44"/>
      <c r="Q1163" s="44"/>
      <c r="R1163" s="119"/>
      <c r="S1163" s="47"/>
      <c r="T1163" s="47"/>
    </row>
    <row r="1164" s="27" customFormat="1" ht="23" customHeight="1" spans="1:20">
      <c r="A1164" s="34"/>
      <c r="B1164" s="48">
        <v>10</v>
      </c>
      <c r="C1164" s="48"/>
      <c r="D1164" s="88" t="s">
        <v>499</v>
      </c>
      <c r="E1164" s="72" t="str">
        <f>+VLOOKUP(D1164,'材料表 '!C:F,2,0)</f>
        <v>套</v>
      </c>
      <c r="F1164" s="77">
        <v>2</v>
      </c>
      <c r="G1164" s="89">
        <f>+VLOOKUP(D1164,'材料表 '!C:F,4,0)</f>
        <v>0</v>
      </c>
      <c r="H1164" s="74">
        <f t="shared" si="141"/>
        <v>2</v>
      </c>
      <c r="I1164" s="74">
        <f>+VLOOKUP(D1164,'材料表 '!C:F,3,0)</f>
        <v>1.32743362831858</v>
      </c>
      <c r="J1164" s="95">
        <f t="shared" si="140"/>
        <v>2.65486725663716</v>
      </c>
      <c r="K1164" s="92">
        <f ca="1">H1164*K1141</f>
        <v>51.42072</v>
      </c>
      <c r="L1164" s="92"/>
      <c r="M1164" s="120"/>
      <c r="N1164" s="82"/>
      <c r="O1164" s="44"/>
      <c r="P1164" s="44"/>
      <c r="Q1164" s="44"/>
      <c r="R1164" s="84"/>
      <c r="S1164" s="47"/>
      <c r="T1164" s="47"/>
    </row>
    <row r="1165" s="27" customFormat="1" ht="20" customHeight="1" spans="1:20">
      <c r="A1165" s="34"/>
      <c r="B1165" s="48">
        <v>11</v>
      </c>
      <c r="C1165" s="48"/>
      <c r="D1165" s="88"/>
      <c r="E1165" s="72"/>
      <c r="F1165" s="77"/>
      <c r="G1165" s="89"/>
      <c r="H1165" s="74"/>
      <c r="I1165" s="74"/>
      <c r="J1165" s="95"/>
      <c r="K1165" s="92">
        <f ca="1">H1165*K1141</f>
        <v>0</v>
      </c>
      <c r="L1165" s="92"/>
      <c r="M1165" s="44"/>
      <c r="N1165" s="82"/>
      <c r="O1165" s="44"/>
      <c r="P1165" s="44"/>
      <c r="Q1165" s="44"/>
      <c r="R1165" s="84"/>
      <c r="S1165" s="47"/>
      <c r="T1165" s="47"/>
    </row>
    <row r="1166" s="27" customFormat="1" ht="24" customHeight="1" spans="1:20">
      <c r="A1166" s="34"/>
      <c r="B1166" s="48">
        <v>12</v>
      </c>
      <c r="C1166" s="48"/>
      <c r="D1166" s="127" t="s">
        <v>506</v>
      </c>
      <c r="E1166" s="72" t="str">
        <f>+VLOOKUP(D1166,'材料表 '!C:F,2,0)</f>
        <v>m2</v>
      </c>
      <c r="F1166" s="77">
        <v>1</v>
      </c>
      <c r="G1166" s="89">
        <f>+VLOOKUP(D1166,'材料表 '!C:F,4,0)</f>
        <v>0.02</v>
      </c>
      <c r="H1166" s="74">
        <f>F1166*(G1166+1)</f>
        <v>1.02</v>
      </c>
      <c r="I1166" s="74">
        <f>+VLOOKUP(D1166,'材料表 '!C:F,3,0)</f>
        <v>253.097345132743</v>
      </c>
      <c r="J1166" s="95">
        <f>H1166*I1166</f>
        <v>258.159292035398</v>
      </c>
      <c r="K1166" s="92">
        <f ca="1">H1166*K1141</f>
        <v>26.2245672</v>
      </c>
      <c r="L1166" s="92"/>
      <c r="M1166" s="44"/>
      <c r="N1166" s="44"/>
      <c r="O1166" s="44"/>
      <c r="P1166" s="44"/>
      <c r="Q1166" s="44"/>
      <c r="R1166" s="84"/>
      <c r="S1166" s="47"/>
      <c r="T1166" s="47"/>
    </row>
    <row r="1167" s="27" customFormat="1" ht="18" customHeight="1" spans="1:20">
      <c r="A1167" s="34"/>
      <c r="B1167" s="48">
        <v>13</v>
      </c>
      <c r="C1167" s="48"/>
      <c r="D1167" s="88"/>
      <c r="E1167" s="72"/>
      <c r="F1167" s="77"/>
      <c r="G1167" s="89"/>
      <c r="H1167" s="74"/>
      <c r="I1167" s="74"/>
      <c r="J1167" s="95"/>
      <c r="K1167" s="92">
        <f ca="1">H1167*K1141</f>
        <v>0</v>
      </c>
      <c r="L1167" s="92"/>
      <c r="M1167" s="44"/>
      <c r="N1167" s="44"/>
      <c r="O1167" s="44"/>
      <c r="P1167" s="44"/>
      <c r="Q1167" s="44"/>
      <c r="R1167" s="84"/>
      <c r="S1167" s="47"/>
      <c r="T1167" s="47"/>
    </row>
    <row r="1168" s="27" customFormat="1" ht="24" customHeight="1" spans="1:20">
      <c r="A1168" s="34"/>
      <c r="B1168" s="48">
        <v>14</v>
      </c>
      <c r="C1168" s="48"/>
      <c r="D1168" s="88"/>
      <c r="E1168" s="72"/>
      <c r="F1168" s="77"/>
      <c r="G1168" s="89"/>
      <c r="H1168" s="74"/>
      <c r="I1168" s="74"/>
      <c r="J1168" s="95"/>
      <c r="K1168" s="92">
        <f ca="1">H1168*K1141</f>
        <v>0</v>
      </c>
      <c r="L1168" s="92"/>
      <c r="M1168" s="44"/>
      <c r="N1168" s="44"/>
      <c r="O1168" s="44"/>
      <c r="P1168" s="44"/>
      <c r="Q1168" s="44"/>
      <c r="R1168" s="84"/>
      <c r="S1168" s="47"/>
      <c r="T1168" s="47"/>
    </row>
    <row r="1169" s="27" customFormat="1" ht="18" customHeight="1" spans="1:20">
      <c r="A1169" s="34"/>
      <c r="B1169" s="48">
        <v>15</v>
      </c>
      <c r="C1169" s="48"/>
      <c r="D1169" s="88"/>
      <c r="E1169" s="72"/>
      <c r="F1169" s="77"/>
      <c r="G1169" s="89"/>
      <c r="H1169" s="74"/>
      <c r="I1169" s="74"/>
      <c r="J1169" s="95"/>
      <c r="K1169" s="92"/>
      <c r="L1169" s="92"/>
      <c r="M1169" s="44"/>
      <c r="N1169" s="44"/>
      <c r="O1169" s="44"/>
      <c r="P1169" s="44"/>
      <c r="Q1169" s="44"/>
      <c r="R1169" s="84"/>
      <c r="S1169" s="47"/>
      <c r="T1169" s="47"/>
    </row>
    <row r="1170" s="27" customFormat="1" ht="18" customHeight="1" spans="1:20">
      <c r="A1170" s="34"/>
      <c r="B1170" s="48">
        <v>16</v>
      </c>
      <c r="C1170" s="48"/>
      <c r="D1170" s="88"/>
      <c r="E1170" s="72"/>
      <c r="F1170" s="77"/>
      <c r="G1170" s="89"/>
      <c r="H1170" s="74"/>
      <c r="I1170" s="74"/>
      <c r="J1170" s="95"/>
      <c r="K1170" s="92"/>
      <c r="L1170" s="92"/>
      <c r="M1170" s="44"/>
      <c r="N1170" s="44"/>
      <c r="O1170" s="44"/>
      <c r="P1170" s="44"/>
      <c r="Q1170" s="44"/>
      <c r="R1170" s="84"/>
      <c r="S1170" s="47"/>
      <c r="T1170" s="47"/>
    </row>
    <row r="1171" s="27" customFormat="1" ht="18" customHeight="1" spans="1:20">
      <c r="A1171" s="34"/>
      <c r="B1171" s="48">
        <v>17</v>
      </c>
      <c r="C1171" s="48"/>
      <c r="D1171" s="121"/>
      <c r="E1171" s="72"/>
      <c r="F1171" s="77"/>
      <c r="G1171" s="89"/>
      <c r="H1171" s="74"/>
      <c r="I1171" s="74"/>
      <c r="J1171" s="95"/>
      <c r="K1171" s="92"/>
      <c r="L1171" s="92"/>
      <c r="M1171" s="44"/>
      <c r="N1171" s="44"/>
      <c r="O1171" s="44"/>
      <c r="P1171" s="44"/>
      <c r="Q1171" s="101"/>
      <c r="R1171" s="84"/>
      <c r="S1171" s="47"/>
      <c r="T1171" s="47"/>
    </row>
    <row r="1172" s="27" customFormat="1" ht="18" customHeight="1" spans="1:20">
      <c r="A1172" s="34"/>
      <c r="B1172" s="48">
        <v>18</v>
      </c>
      <c r="C1172" s="48"/>
      <c r="D1172" s="88"/>
      <c r="E1172" s="72"/>
      <c r="F1172" s="77"/>
      <c r="G1172" s="89"/>
      <c r="H1172" s="74"/>
      <c r="I1172" s="74"/>
      <c r="J1172" s="95"/>
      <c r="K1172" s="92"/>
      <c r="L1172" s="92"/>
      <c r="M1172" s="44"/>
      <c r="N1172" s="44"/>
      <c r="O1172" s="44"/>
      <c r="P1172" s="44"/>
      <c r="Q1172" s="44"/>
      <c r="R1172" s="84"/>
      <c r="S1172" s="47"/>
      <c r="T1172" s="47"/>
    </row>
    <row r="1173" s="27" customFormat="1" ht="18" customHeight="1" spans="1:20">
      <c r="A1173" s="34"/>
      <c r="B1173" s="48">
        <v>19</v>
      </c>
      <c r="C1173" s="48"/>
      <c r="D1173" s="27"/>
      <c r="E1173" s="72"/>
      <c r="F1173" s="77"/>
      <c r="G1173" s="89"/>
      <c r="H1173" s="74"/>
      <c r="I1173" s="74"/>
      <c r="J1173" s="95"/>
      <c r="K1173" s="92"/>
      <c r="L1173" s="92"/>
      <c r="M1173" s="44"/>
      <c r="N1173" s="44"/>
      <c r="O1173" s="44"/>
      <c r="P1173" s="44"/>
      <c r="Q1173" s="44"/>
      <c r="R1173" s="84"/>
      <c r="S1173" s="47"/>
      <c r="T1173" s="47"/>
    </row>
    <row r="1174" s="27" customFormat="1" ht="18" customHeight="1" spans="1:20">
      <c r="A1174" s="34"/>
      <c r="B1174" s="48">
        <v>20</v>
      </c>
      <c r="C1174" s="48"/>
      <c r="D1174" s="88"/>
      <c r="E1174" s="72"/>
      <c r="F1174" s="77"/>
      <c r="G1174" s="89"/>
      <c r="H1174" s="74"/>
      <c r="I1174" s="74"/>
      <c r="J1174" s="95"/>
      <c r="K1174" s="92"/>
      <c r="L1174" s="92"/>
      <c r="M1174" s="44"/>
      <c r="N1174" s="44"/>
      <c r="O1174" s="44"/>
      <c r="P1174" s="44"/>
      <c r="Q1174" s="44"/>
      <c r="R1174" s="84"/>
      <c r="S1174" s="47"/>
      <c r="T1174" s="47"/>
    </row>
    <row r="1175" s="27" customFormat="1" ht="18" customHeight="1" spans="1:20">
      <c r="A1175" s="34"/>
      <c r="B1175" s="48">
        <v>21</v>
      </c>
      <c r="C1175" s="48"/>
      <c r="D1175" s="88"/>
      <c r="E1175" s="72"/>
      <c r="F1175" s="77"/>
      <c r="G1175" s="89"/>
      <c r="H1175" s="74"/>
      <c r="I1175" s="74"/>
      <c r="J1175" s="95"/>
      <c r="K1175" s="92"/>
      <c r="L1175" s="92"/>
      <c r="M1175" s="44"/>
      <c r="N1175" s="44"/>
      <c r="O1175" s="44"/>
      <c r="P1175" s="44"/>
      <c r="Q1175" s="44"/>
      <c r="R1175" s="84"/>
      <c r="S1175" s="47"/>
      <c r="T1175" s="47"/>
    </row>
    <row r="1176" s="27" customFormat="1" ht="18" customHeight="1" spans="1:20">
      <c r="A1176" s="34"/>
      <c r="B1176" s="48">
        <v>22</v>
      </c>
      <c r="C1176" s="48"/>
      <c r="D1176" s="27"/>
      <c r="E1176" s="72"/>
      <c r="F1176" s="77"/>
      <c r="G1176" s="72"/>
      <c r="H1176" s="74"/>
      <c r="I1176" s="74"/>
      <c r="J1176" s="95"/>
      <c r="K1176" s="92"/>
      <c r="L1176" s="92"/>
      <c r="M1176" s="44"/>
      <c r="N1176" s="44"/>
      <c r="O1176" s="44"/>
      <c r="P1176" s="44"/>
      <c r="Q1176" s="44"/>
      <c r="R1176" s="62"/>
      <c r="S1176" s="47"/>
      <c r="T1176" s="47"/>
    </row>
    <row r="1177" s="27" customFormat="1" ht="18" customHeight="1" spans="1:20">
      <c r="A1177" s="34"/>
      <c r="B1177" s="48">
        <v>23</v>
      </c>
      <c r="C1177" s="48"/>
      <c r="D1177" s="88"/>
      <c r="E1177" s="72"/>
      <c r="F1177" s="77"/>
      <c r="G1177" s="89"/>
      <c r="H1177" s="74"/>
      <c r="I1177" s="74"/>
      <c r="J1177" s="95"/>
      <c r="K1177" s="92"/>
      <c r="L1177" s="92"/>
      <c r="M1177" s="44"/>
      <c r="N1177" s="44"/>
      <c r="O1177" s="44"/>
      <c r="P1177" s="44"/>
      <c r="Q1177" s="44"/>
      <c r="R1177" s="62"/>
      <c r="S1177" s="47"/>
      <c r="T1177" s="47"/>
    </row>
    <row r="1178" s="27" customFormat="1" ht="18" customHeight="1" spans="1:20">
      <c r="A1178" s="34"/>
      <c r="B1178" s="48">
        <v>24</v>
      </c>
      <c r="C1178" s="48"/>
      <c r="D1178" s="88" t="s">
        <v>478</v>
      </c>
      <c r="E1178" s="72" t="s">
        <v>43</v>
      </c>
      <c r="F1178" s="77"/>
      <c r="G1178" s="72">
        <v>1</v>
      </c>
      <c r="H1178" s="74">
        <v>1</v>
      </c>
      <c r="I1178" s="74">
        <f>+辅材及安装费!$E$3</f>
        <v>5</v>
      </c>
      <c r="J1178" s="95">
        <f t="shared" ref="J1177:J1180" si="142">H1178*I1178</f>
        <v>5</v>
      </c>
      <c r="K1178" s="92"/>
      <c r="L1178" s="92"/>
      <c r="M1178" s="44"/>
      <c r="N1178" s="44"/>
      <c r="O1178" s="44"/>
      <c r="P1178" s="44"/>
      <c r="Q1178" s="44"/>
      <c r="R1178" s="62"/>
      <c r="S1178" s="47"/>
      <c r="T1178" s="47"/>
    </row>
    <row r="1179" s="27" customFormat="1" ht="18" customHeight="1" spans="1:20">
      <c r="A1179" s="34"/>
      <c r="B1179" s="48">
        <v>25</v>
      </c>
      <c r="C1179" s="48"/>
      <c r="D1179" s="93" t="s">
        <v>442</v>
      </c>
      <c r="E1179" s="72"/>
      <c r="F1179" s="77"/>
      <c r="G1179" s="72"/>
      <c r="H1179" s="74"/>
      <c r="I1179" s="74"/>
      <c r="J1179" s="95">
        <f>SUM(J1155:J1178)</f>
        <v>300.168146017699</v>
      </c>
      <c r="K1179" s="92"/>
      <c r="L1179" s="94"/>
      <c r="M1179" s="27"/>
      <c r="N1179" s="83"/>
      <c r="O1179" s="83"/>
      <c r="P1179" s="83"/>
      <c r="Q1179" s="83"/>
      <c r="R1179" s="87"/>
      <c r="S1179" s="47"/>
      <c r="T1179" s="47"/>
    </row>
    <row r="1180" s="27" customFormat="1" ht="18" customHeight="1" spans="1:20">
      <c r="A1180" s="34"/>
      <c r="B1180" s="48">
        <v>1</v>
      </c>
      <c r="C1180" s="48" t="s">
        <v>443</v>
      </c>
      <c r="D1180" s="48" t="s">
        <v>444</v>
      </c>
      <c r="E1180" s="72" t="s">
        <v>43</v>
      </c>
      <c r="F1180" s="50"/>
      <c r="G1180" s="48"/>
      <c r="H1180" s="51">
        <v>1</v>
      </c>
      <c r="I1180" s="74">
        <f>+辅材及安装费!$F$3</f>
        <v>5</v>
      </c>
      <c r="J1180" s="95">
        <f t="shared" si="142"/>
        <v>5</v>
      </c>
      <c r="K1180" s="118"/>
      <c r="L1180" s="96"/>
      <c r="M1180" s="97"/>
      <c r="N1180" s="98"/>
      <c r="O1180" s="98"/>
      <c r="P1180" s="98"/>
      <c r="Q1180" s="98"/>
      <c r="R1180" s="99"/>
      <c r="S1180" s="47"/>
      <c r="T1180" s="47"/>
    </row>
    <row r="1181" s="26" customFormat="1" ht="30" customHeight="1" spans="1:20">
      <c r="A1181" s="28"/>
      <c r="B1181" s="29" t="s">
        <v>386</v>
      </c>
      <c r="C1181" s="29"/>
      <c r="D1181" s="29"/>
      <c r="E1181" s="29"/>
      <c r="F1181" s="29"/>
      <c r="G1181" s="29"/>
      <c r="H1181" s="29"/>
      <c r="I1181" s="29"/>
      <c r="J1181" s="29"/>
      <c r="K1181" s="29"/>
      <c r="L1181" s="30"/>
      <c r="M1181" s="31"/>
      <c r="N1181" s="31"/>
      <c r="O1181" s="31"/>
      <c r="P1181" s="31"/>
      <c r="Q1181" s="31"/>
      <c r="R1181" s="32"/>
      <c r="S1181" s="33"/>
      <c r="T1181" s="33"/>
    </row>
    <row r="1182" s="27" customFormat="1" ht="33.75" customHeight="1" spans="1:20">
      <c r="A1182" s="34">
        <v>19</v>
      </c>
      <c r="B1182" s="35" t="s">
        <v>1</v>
      </c>
      <c r="C1182" s="35" t="s">
        <v>387</v>
      </c>
      <c r="D1182" s="36" t="str">
        <f>+A1190</f>
        <v>蓝眼睛仿石铝板（带圆弧，带拉槽）</v>
      </c>
      <c r="E1182" s="37"/>
      <c r="F1182" s="38" t="s">
        <v>119</v>
      </c>
      <c r="G1182" s="39"/>
      <c r="H1182" s="35" t="s">
        <v>388</v>
      </c>
      <c r="I1182" s="40" t="s">
        <v>389</v>
      </c>
      <c r="J1182" s="41" t="s">
        <v>37</v>
      </c>
      <c r="K1182" s="42">
        <f ca="1">VLOOKUP(A1182,排屋工程量清单!$A$59:$D$86,4,)</f>
        <v>49.2768</v>
      </c>
      <c r="L1182" s="43"/>
      <c r="M1182" s="44"/>
      <c r="N1182" s="44"/>
      <c r="O1182" s="44"/>
      <c r="P1182" s="45"/>
      <c r="Q1182" s="44"/>
      <c r="R1182" s="46"/>
      <c r="S1182" s="47"/>
      <c r="T1182" s="47"/>
    </row>
    <row r="1183" s="27" customFormat="1" ht="25" customHeight="1" spans="1:20">
      <c r="A1183" s="34"/>
      <c r="B1183" s="48">
        <v>1</v>
      </c>
      <c r="C1183" s="49" t="s">
        <v>390</v>
      </c>
      <c r="D1183" s="48" t="s">
        <v>391</v>
      </c>
      <c r="E1183" s="48"/>
      <c r="F1183" s="50"/>
      <c r="G1183" s="48"/>
      <c r="H1183" s="51"/>
      <c r="I1183" s="52">
        <f>J1195</f>
        <v>165</v>
      </c>
      <c r="J1183" s="53" t="s">
        <v>392</v>
      </c>
      <c r="K1183" s="54"/>
      <c r="L1183" s="55" t="s">
        <v>313</v>
      </c>
      <c r="M1183" s="56" t="s">
        <v>540</v>
      </c>
      <c r="N1183" s="57"/>
      <c r="O1183" s="57">
        <v>6.2</v>
      </c>
      <c r="P1183" s="57">
        <v>1.349</v>
      </c>
      <c r="Q1183" s="57">
        <v>1</v>
      </c>
      <c r="R1183" s="58">
        <f>+Q1183*P1183*O1183</f>
        <v>8.3638</v>
      </c>
      <c r="S1183" s="47"/>
      <c r="T1183" s="47"/>
    </row>
    <row r="1184" s="27" customFormat="1" ht="18" customHeight="1" spans="1:20">
      <c r="A1184" s="34"/>
      <c r="B1184" s="48">
        <v>2</v>
      </c>
      <c r="C1184" s="59"/>
      <c r="D1184" s="48" t="s">
        <v>394</v>
      </c>
      <c r="E1184" s="48"/>
      <c r="F1184" s="50"/>
      <c r="G1184" s="48"/>
      <c r="H1184" s="51"/>
      <c r="I1184" s="52">
        <f>J1220</f>
        <v>564.150057939089</v>
      </c>
      <c r="J1184" s="53" t="s">
        <v>392</v>
      </c>
      <c r="K1184" s="60"/>
      <c r="L1184" s="61" t="s">
        <v>119</v>
      </c>
      <c r="M1184" s="44"/>
      <c r="N1184" s="44"/>
      <c r="O1184" s="44"/>
      <c r="P1184" s="44"/>
      <c r="Q1184" s="44"/>
      <c r="R1184" s="62"/>
      <c r="S1184" s="47"/>
      <c r="T1184" s="47"/>
    </row>
    <row r="1185" s="27" customFormat="1" ht="18" customHeight="1" spans="1:20">
      <c r="A1185" s="34"/>
      <c r="B1185" s="48">
        <v>3</v>
      </c>
      <c r="C1185" s="63"/>
      <c r="D1185" s="48" t="s">
        <v>395</v>
      </c>
      <c r="E1185" s="48"/>
      <c r="F1185" s="50"/>
      <c r="G1185" s="48"/>
      <c r="H1185" s="51"/>
      <c r="I1185" s="52">
        <f>J1221</f>
        <v>5</v>
      </c>
      <c r="J1185" s="53" t="s">
        <v>392</v>
      </c>
      <c r="K1185" s="60"/>
      <c r="L1185" s="60"/>
      <c r="M1185" s="65" t="s">
        <v>396</v>
      </c>
      <c r="N1185" s="65" t="s">
        <v>397</v>
      </c>
      <c r="O1185" s="65" t="s">
        <v>398</v>
      </c>
      <c r="P1185" s="65" t="s">
        <v>399</v>
      </c>
      <c r="Q1185" s="65" t="s">
        <v>400</v>
      </c>
      <c r="R1185" s="66" t="s">
        <v>401</v>
      </c>
      <c r="S1185" s="47"/>
      <c r="T1185" s="47"/>
    </row>
    <row r="1186" s="27" customFormat="1" ht="18" customHeight="1" spans="1:20">
      <c r="A1186" s="34"/>
      <c r="B1186" s="48">
        <v>4</v>
      </c>
      <c r="C1186" s="48" t="s">
        <v>402</v>
      </c>
      <c r="D1186" s="67" t="s">
        <v>403</v>
      </c>
      <c r="E1186" s="67"/>
      <c r="F1186" s="50"/>
      <c r="G1186" s="67"/>
      <c r="H1186" s="68"/>
      <c r="I1186" s="52">
        <f>SUM(I1183:I1185)</f>
        <v>734.150057939089</v>
      </c>
      <c r="J1186" s="53" t="s">
        <v>392</v>
      </c>
      <c r="K1186" s="60"/>
      <c r="L1186" s="69" t="s">
        <v>431</v>
      </c>
      <c r="M1186" s="34" t="s">
        <v>495</v>
      </c>
      <c r="N1186" s="102">
        <v>7.034</v>
      </c>
      <c r="O1186" s="34">
        <v>1.17</v>
      </c>
      <c r="P1186" s="34">
        <v>14</v>
      </c>
      <c r="Q1186" s="44">
        <f t="shared" ref="Q1186:Q1193" si="143">+P1186*O1186*N1186</f>
        <v>115.21692</v>
      </c>
      <c r="R1186" s="71">
        <f>+Q1186/R1183</f>
        <v>13.7756665630455</v>
      </c>
      <c r="S1186" s="47"/>
      <c r="T1186" s="47"/>
    </row>
    <row r="1187" s="27" customFormat="1" ht="28" customHeight="1" spans="1:20">
      <c r="A1187" s="34"/>
      <c r="B1187" s="48">
        <v>5</v>
      </c>
      <c r="C1187" s="72" t="s">
        <v>406</v>
      </c>
      <c r="D1187" s="48" t="s">
        <v>407</v>
      </c>
      <c r="E1187" s="48"/>
      <c r="F1187" s="50"/>
      <c r="G1187" s="48"/>
      <c r="H1187" s="73">
        <f>+'材料表 '!$E$178</f>
        <v>0</v>
      </c>
      <c r="I1187" s="52">
        <f>H1187*I1186</f>
        <v>0</v>
      </c>
      <c r="J1187" s="53" t="s">
        <v>392</v>
      </c>
      <c r="K1187" s="60"/>
      <c r="L1187" s="69" t="s">
        <v>431</v>
      </c>
      <c r="M1187" s="34" t="s">
        <v>523</v>
      </c>
      <c r="N1187" s="102">
        <v>4.52</v>
      </c>
      <c r="O1187" s="34">
        <f>O1183</f>
        <v>6.2</v>
      </c>
      <c r="P1187" s="34">
        <v>0</v>
      </c>
      <c r="Q1187" s="44">
        <f t="shared" si="143"/>
        <v>0</v>
      </c>
      <c r="R1187" s="71">
        <f>+Q1187/R1183</f>
        <v>0</v>
      </c>
      <c r="S1187" s="47"/>
      <c r="T1187" s="47"/>
    </row>
    <row r="1188" s="27" customFormat="1" ht="18" customHeight="1" spans="1:20">
      <c r="A1188" s="34"/>
      <c r="B1188" s="48">
        <v>6</v>
      </c>
      <c r="C1188" s="48" t="s">
        <v>409</v>
      </c>
      <c r="D1188" s="48" t="s">
        <v>410</v>
      </c>
      <c r="E1188" s="48"/>
      <c r="F1188" s="50"/>
      <c r="G1188" s="48"/>
      <c r="H1188" s="73">
        <f>+'材料表 '!$E$179</f>
        <v>0</v>
      </c>
      <c r="I1188" s="52">
        <f>H1188*I1186</f>
        <v>0</v>
      </c>
      <c r="J1188" s="53" t="s">
        <v>392</v>
      </c>
      <c r="K1188" s="60"/>
      <c r="L1188" s="69" t="s">
        <v>461</v>
      </c>
      <c r="M1188" s="34" t="s">
        <v>462</v>
      </c>
      <c r="N1188" s="34">
        <v>3.77</v>
      </c>
      <c r="O1188" s="34">
        <f>O1183</f>
        <v>6.2</v>
      </c>
      <c r="P1188" s="34">
        <v>2</v>
      </c>
      <c r="Q1188" s="44">
        <f t="shared" si="143"/>
        <v>46.748</v>
      </c>
      <c r="R1188" s="71">
        <f>+Q1188/R1183</f>
        <v>5.58932542624166</v>
      </c>
      <c r="S1188" s="47"/>
      <c r="T1188" s="47"/>
    </row>
    <row r="1189" s="27" customFormat="1" ht="18" customHeight="1" spans="1:20">
      <c r="A1189" s="34"/>
      <c r="B1189" s="48">
        <v>7</v>
      </c>
      <c r="C1189" s="48" t="s">
        <v>412</v>
      </c>
      <c r="D1189" s="72" t="s">
        <v>413</v>
      </c>
      <c r="E1189" s="72"/>
      <c r="F1189" s="77"/>
      <c r="G1189" s="72"/>
      <c r="H1189" s="73">
        <f>+'材料表 '!$E$180</f>
        <v>0.09</v>
      </c>
      <c r="I1189" s="52">
        <f>(I1186+I1187+I1188)*H1189</f>
        <v>66.073505214518</v>
      </c>
      <c r="J1189" s="53" t="s">
        <v>392</v>
      </c>
      <c r="K1189" s="60"/>
      <c r="L1189" s="69" t="s">
        <v>463</v>
      </c>
      <c r="M1189" s="34" t="s">
        <v>464</v>
      </c>
      <c r="N1189" s="34">
        <f>0.15*0.2*7.85*10</f>
        <v>2.355</v>
      </c>
      <c r="O1189" s="34">
        <v>2</v>
      </c>
      <c r="P1189" s="34">
        <f>P1186</f>
        <v>14</v>
      </c>
      <c r="Q1189" s="44">
        <f t="shared" si="143"/>
        <v>65.94</v>
      </c>
      <c r="R1189" s="71">
        <f>+Q1189/R1183</f>
        <v>7.88397618307468</v>
      </c>
      <c r="S1189" s="47"/>
      <c r="T1189" s="47"/>
    </row>
    <row r="1190" s="27" customFormat="1" ht="18" customHeight="1" spans="1:20">
      <c r="A1190" s="105" t="s">
        <v>155</v>
      </c>
      <c r="B1190" s="48">
        <v>8</v>
      </c>
      <c r="C1190" s="48" t="s">
        <v>363</v>
      </c>
      <c r="D1190" s="106" t="s">
        <v>415</v>
      </c>
      <c r="E1190" s="107"/>
      <c r="F1190" s="108"/>
      <c r="G1190" s="107"/>
      <c r="H1190" s="51"/>
      <c r="I1190" s="74">
        <f>SUM(I1186:I1189)</f>
        <v>800.223563153607</v>
      </c>
      <c r="J1190" s="53" t="s">
        <v>416</v>
      </c>
      <c r="K1190" s="60"/>
      <c r="L1190" s="69" t="s">
        <v>465</v>
      </c>
      <c r="M1190" s="34" t="s">
        <v>503</v>
      </c>
      <c r="N1190" s="126">
        <v>7.034</v>
      </c>
      <c r="O1190" s="34">
        <f>85/1000</f>
        <v>0.085</v>
      </c>
      <c r="P1190" s="44">
        <f>2*14</f>
        <v>28</v>
      </c>
      <c r="Q1190" s="44">
        <f t="shared" si="143"/>
        <v>16.74092</v>
      </c>
      <c r="R1190" s="84">
        <f>+Q1190/R1183</f>
        <v>2.00159257753653</v>
      </c>
      <c r="S1190" s="79"/>
      <c r="T1190" s="47"/>
    </row>
    <row r="1191" s="27" customFormat="1" ht="18" customHeight="1" spans="1:20">
      <c r="A1191" s="34"/>
      <c r="B1191" s="109" t="s">
        <v>418</v>
      </c>
      <c r="C1191" s="110"/>
      <c r="D1191" s="110"/>
      <c r="E1191" s="110"/>
      <c r="F1191" s="110"/>
      <c r="G1191" s="110"/>
      <c r="H1191" s="110"/>
      <c r="I1191" s="110"/>
      <c r="J1191" s="110"/>
      <c r="K1191" s="80"/>
      <c r="L1191" s="69" t="s">
        <v>433</v>
      </c>
      <c r="M1191" s="44" t="s">
        <v>505</v>
      </c>
      <c r="N1191" s="82">
        <f>0.056*3*2.71+0.0675*3*2.71</f>
        <v>1.004055</v>
      </c>
      <c r="O1191" s="44">
        <f>P1183</f>
        <v>1.349</v>
      </c>
      <c r="P1191" s="44">
        <f>P1186</f>
        <v>14</v>
      </c>
      <c r="Q1191" s="44">
        <f t="shared" si="143"/>
        <v>18.96258273</v>
      </c>
      <c r="R1191" s="84">
        <f>+Q1191/R1183</f>
        <v>2.26722096774194</v>
      </c>
      <c r="S1191" s="47">
        <f>0.16*P1191*O1191/R1183</f>
        <v>0.361290322580645</v>
      </c>
      <c r="T1191" s="47"/>
    </row>
    <row r="1192" s="27" customFormat="1" ht="18" customHeight="1" spans="1:20">
      <c r="A1192" s="34"/>
      <c r="B1192" s="48">
        <v>1</v>
      </c>
      <c r="C1192" s="48" t="s">
        <v>391</v>
      </c>
      <c r="D1192" s="48" t="s">
        <v>396</v>
      </c>
      <c r="E1192" s="48" t="s">
        <v>37</v>
      </c>
      <c r="F1192" s="50"/>
      <c r="G1192" s="48"/>
      <c r="H1192" s="51" t="s">
        <v>399</v>
      </c>
      <c r="I1192" s="51" t="s">
        <v>420</v>
      </c>
      <c r="J1192" s="95" t="s">
        <v>421</v>
      </c>
      <c r="K1192" s="92"/>
      <c r="L1192" s="69" t="s">
        <v>433</v>
      </c>
      <c r="M1192" s="44" t="s">
        <v>504</v>
      </c>
      <c r="N1192" s="82">
        <f>0.056*3*2.71+0.0675*3*2.71</f>
        <v>1.004055</v>
      </c>
      <c r="O1192" s="44">
        <f>O1183</f>
        <v>6.2</v>
      </c>
      <c r="P1192" s="44">
        <f>2</f>
        <v>2</v>
      </c>
      <c r="Q1192" s="44">
        <f t="shared" si="143"/>
        <v>12.450282</v>
      </c>
      <c r="R1192" s="84">
        <f>+Q1192/R1183</f>
        <v>1.48859154929577</v>
      </c>
      <c r="S1192" s="47"/>
      <c r="T1192" s="47"/>
    </row>
    <row r="1193" s="27" customFormat="1" ht="18" customHeight="1" spans="1:20">
      <c r="A1193" s="34"/>
      <c r="B1193" s="48">
        <v>2</v>
      </c>
      <c r="C1193" s="48"/>
      <c r="D1193" s="111" t="s">
        <v>491</v>
      </c>
      <c r="E1193" s="49" t="s">
        <v>423</v>
      </c>
      <c r="F1193" s="112"/>
      <c r="G1193" s="111"/>
      <c r="H1193" s="113">
        <v>1</v>
      </c>
      <c r="I1193" s="113">
        <f>+辅材及安装费!$G$3</f>
        <v>165</v>
      </c>
      <c r="J1193" s="114">
        <f t="shared" ref="J1193:J1205" si="144">H1193*I1193</f>
        <v>165</v>
      </c>
      <c r="K1193" s="92"/>
      <c r="L1193" s="69" t="s">
        <v>433</v>
      </c>
      <c r="M1193" s="44" t="s">
        <v>498</v>
      </c>
      <c r="N1193" s="82">
        <f>0.045*3*2.71</f>
        <v>0.36585</v>
      </c>
      <c r="O1193" s="44">
        <f>O1183</f>
        <v>6.2</v>
      </c>
      <c r="P1193" s="44">
        <v>0</v>
      </c>
      <c r="Q1193" s="44">
        <f t="shared" si="143"/>
        <v>0</v>
      </c>
      <c r="R1193" s="84">
        <f>Q1193/R1183</f>
        <v>0</v>
      </c>
      <c r="S1193" s="47"/>
      <c r="T1193" s="47"/>
    </row>
    <row r="1194" s="27" customFormat="1" ht="18" customHeight="1" spans="1:20">
      <c r="A1194" s="34"/>
      <c r="B1194" s="48">
        <v>3</v>
      </c>
      <c r="C1194" s="48"/>
      <c r="D1194" s="115"/>
      <c r="E1194" s="63"/>
      <c r="F1194" s="116"/>
      <c r="G1194" s="115"/>
      <c r="H1194" s="117"/>
      <c r="I1194" s="117"/>
      <c r="J1194" s="118"/>
      <c r="K1194" s="92"/>
      <c r="L1194" s="90" t="s">
        <v>472</v>
      </c>
      <c r="M1194" s="44"/>
      <c r="N1194" s="82"/>
      <c r="O1194" s="44"/>
      <c r="P1194" s="44">
        <f>O1189*P1189*0</f>
        <v>0</v>
      </c>
      <c r="Q1194" s="44">
        <f>+P1194</f>
        <v>0</v>
      </c>
      <c r="R1194" s="84">
        <f>+Q1194/R1183</f>
        <v>0</v>
      </c>
      <c r="S1194" s="47"/>
      <c r="T1194" s="47"/>
    </row>
    <row r="1195" s="27" customFormat="1" ht="18" customHeight="1" spans="1:20">
      <c r="A1195" s="34"/>
      <c r="B1195" s="48">
        <v>4</v>
      </c>
      <c r="C1195" s="48"/>
      <c r="D1195" s="85" t="s">
        <v>426</v>
      </c>
      <c r="E1195" s="48" t="s">
        <v>392</v>
      </c>
      <c r="F1195" s="50"/>
      <c r="G1195" s="48"/>
      <c r="H1195" s="86"/>
      <c r="I1195" s="86"/>
      <c r="J1195" s="95">
        <f>SUM(J1193:J1193)</f>
        <v>165</v>
      </c>
      <c r="K1195" s="92"/>
      <c r="L1195" s="90"/>
      <c r="M1195" s="44"/>
      <c r="N1195" s="82"/>
      <c r="O1195" s="44"/>
      <c r="P1195" s="44"/>
      <c r="Q1195" s="44"/>
      <c r="R1195" s="84"/>
      <c r="S1195" s="47"/>
      <c r="T1195" s="47"/>
    </row>
    <row r="1196" s="27" customFormat="1" ht="22" customHeight="1" spans="1:20">
      <c r="A1196" s="34"/>
      <c r="B1196" s="48">
        <v>1</v>
      </c>
      <c r="C1196" s="48" t="s">
        <v>394</v>
      </c>
      <c r="D1196" s="88" t="s">
        <v>431</v>
      </c>
      <c r="E1196" s="72" t="str">
        <f>+VLOOKUP(D1196,'材料表 '!C:F,2,0)</f>
        <v>kg</v>
      </c>
      <c r="F1196" s="77">
        <f>+SUMIF($L$1183:$L$1221,D1196,$R$1183:$R$1221)</f>
        <v>13.7756665630455</v>
      </c>
      <c r="G1196" s="89">
        <f>+VLOOKUP(D1196,'材料表 '!C:F,4,0)</f>
        <v>0.03</v>
      </c>
      <c r="H1196" s="74">
        <f t="shared" ref="H1196:H1205" si="145">F1196*(G1196+1)</f>
        <v>14.1889365599369</v>
      </c>
      <c r="I1196" s="74">
        <f>+VLOOKUP(D1196,'材料表 '!C:F,3,0)</f>
        <v>3.80530973451327</v>
      </c>
      <c r="J1196" s="95">
        <f t="shared" si="144"/>
        <v>53.993298413919</v>
      </c>
      <c r="K1196" s="92">
        <f ca="1">H1196*K1182</f>
        <v>699.185389076699</v>
      </c>
      <c r="L1196" s="90"/>
      <c r="M1196" s="44"/>
      <c r="N1196" s="82"/>
      <c r="O1196" s="44"/>
      <c r="P1196" s="44"/>
      <c r="Q1196" s="44"/>
      <c r="R1196" s="84"/>
      <c r="S1196" s="47"/>
      <c r="T1196" s="47"/>
    </row>
    <row r="1197" s="27" customFormat="1" ht="18" customHeight="1" spans="1:20">
      <c r="A1197" s="34"/>
      <c r="B1197" s="48">
        <v>2</v>
      </c>
      <c r="C1197" s="48"/>
      <c r="D1197" s="88" t="s">
        <v>461</v>
      </c>
      <c r="E1197" s="72" t="str">
        <f>+VLOOKUP(D1197,'材料表 '!C:F,2,0)</f>
        <v>kg</v>
      </c>
      <c r="F1197" s="77">
        <f t="shared" ref="F1197:F1205" si="146">+SUMIF($L$1183:$L$1221,D1197,$R$1183:$R$1221)</f>
        <v>5.58932542624166</v>
      </c>
      <c r="G1197" s="89">
        <f>+VLOOKUP(D1197,'材料表 '!C:F,4,0)</f>
        <v>0.03</v>
      </c>
      <c r="H1197" s="74">
        <f t="shared" si="145"/>
        <v>5.75700518902891</v>
      </c>
      <c r="I1197" s="74">
        <f>+VLOOKUP(D1197,'材料表 '!C:F,3,0)</f>
        <v>3.53982300884956</v>
      </c>
      <c r="J1197" s="95">
        <f t="shared" si="144"/>
        <v>20.3787794301908</v>
      </c>
      <c r="K1197" s="92">
        <f ca="1">H1197*K1182</f>
        <v>283.68679329874</v>
      </c>
      <c r="L1197" s="90"/>
      <c r="M1197" s="44"/>
      <c r="N1197" s="82"/>
      <c r="O1197" s="44"/>
      <c r="P1197" s="44"/>
      <c r="Q1197" s="44"/>
      <c r="R1197" s="84"/>
      <c r="S1197" s="47"/>
      <c r="T1197" s="47"/>
    </row>
    <row r="1198" s="27" customFormat="1" ht="18" customHeight="1" spans="1:20">
      <c r="A1198" s="34"/>
      <c r="B1198" s="48">
        <v>3</v>
      </c>
      <c r="C1198" s="48"/>
      <c r="D1198" s="88" t="s">
        <v>465</v>
      </c>
      <c r="E1198" s="72" t="str">
        <f>+VLOOKUP(D1198,'材料表 '!C:F,2,0)</f>
        <v>kg</v>
      </c>
      <c r="F1198" s="77">
        <f t="shared" si="146"/>
        <v>2.00159257753653</v>
      </c>
      <c r="G1198" s="89">
        <f>+VLOOKUP(D1198,'材料表 '!C:F,4,0)</f>
        <v>0.03</v>
      </c>
      <c r="H1198" s="74">
        <f t="shared" si="145"/>
        <v>2.06164035486263</v>
      </c>
      <c r="I1198" s="74">
        <f>+VLOOKUP(D1198,'材料表 '!C:F,3,0)</f>
        <v>6.01769911504425</v>
      </c>
      <c r="J1198" s="95">
        <f t="shared" si="144"/>
        <v>12.4063313389963</v>
      </c>
      <c r="K1198" s="92">
        <f ca="1">H1198*K1182</f>
        <v>101.591039438495</v>
      </c>
      <c r="L1198" s="90"/>
      <c r="M1198" s="44"/>
      <c r="N1198" s="82"/>
      <c r="O1198" s="44"/>
      <c r="P1198" s="44"/>
      <c r="Q1198" s="44">
        <f>+P1198*O1198</f>
        <v>0</v>
      </c>
      <c r="R1198" s="84">
        <f>+Q1198/R1183</f>
        <v>0</v>
      </c>
      <c r="S1198" s="47"/>
      <c r="T1198" s="47"/>
    </row>
    <row r="1199" s="27" customFormat="1" ht="18" customHeight="1" spans="1:20">
      <c r="A1199" s="34"/>
      <c r="B1199" s="48">
        <v>4</v>
      </c>
      <c r="C1199" s="48"/>
      <c r="D1199" s="88" t="s">
        <v>463</v>
      </c>
      <c r="E1199" s="72" t="str">
        <f>+VLOOKUP(D1199,'材料表 '!C:F,2,0)</f>
        <v>kg</v>
      </c>
      <c r="F1199" s="77">
        <f t="shared" si="146"/>
        <v>7.88397618307468</v>
      </c>
      <c r="G1199" s="89">
        <f>+VLOOKUP(D1199,'材料表 '!C:F,4,0)</f>
        <v>0.03</v>
      </c>
      <c r="H1199" s="74">
        <f t="shared" si="145"/>
        <v>8.12049546856692</v>
      </c>
      <c r="I1199" s="74">
        <f>+VLOOKUP(D1199,'材料表 '!C:F,3,0)</f>
        <v>6.01769911504425</v>
      </c>
      <c r="J1199" s="95">
        <f t="shared" si="144"/>
        <v>48.866698394916</v>
      </c>
      <c r="K1199" s="92">
        <f ca="1">H1199*K1182</f>
        <v>400.152031105478</v>
      </c>
      <c r="L1199" s="90" t="s">
        <v>474</v>
      </c>
      <c r="M1199" s="44"/>
      <c r="N1199" s="82"/>
      <c r="O1199" s="44"/>
      <c r="P1199" s="44"/>
      <c r="Q1199" s="44">
        <f>+O1189*P1189*4</f>
        <v>112</v>
      </c>
      <c r="R1199" s="84">
        <f>+Q1199/R1183</f>
        <v>13.3910423491714</v>
      </c>
      <c r="S1199" s="47"/>
      <c r="T1199" s="47"/>
    </row>
    <row r="1200" s="27" customFormat="1" ht="18" customHeight="1" spans="1:20">
      <c r="A1200" s="34"/>
      <c r="B1200" s="48">
        <v>5</v>
      </c>
      <c r="C1200" s="48"/>
      <c r="D1200" s="88" t="s">
        <v>433</v>
      </c>
      <c r="E1200" s="72" t="str">
        <f>+VLOOKUP(D1200,'材料表 '!C:F,2,0)</f>
        <v>kg</v>
      </c>
      <c r="F1200" s="77">
        <f t="shared" si="146"/>
        <v>3.75581251703771</v>
      </c>
      <c r="G1200" s="89">
        <f>+VLOOKUP(D1200,'材料表 '!C:F,4,0)</f>
        <v>0.03</v>
      </c>
      <c r="H1200" s="74">
        <f t="shared" si="145"/>
        <v>3.86848689254884</v>
      </c>
      <c r="I1200" s="74">
        <f>+VLOOKUP(D1200,'材料表 '!C:F,3,0)</f>
        <v>26.1150442477876</v>
      </c>
      <c r="J1200" s="95">
        <f t="shared" si="144"/>
        <v>101.025706370899</v>
      </c>
      <c r="K1200" s="92">
        <f ca="1">H1200*K1182</f>
        <v>190.626654906751</v>
      </c>
      <c r="L1200" s="92" t="s">
        <v>476</v>
      </c>
      <c r="M1200" s="44"/>
      <c r="N1200" s="82"/>
      <c r="O1200" s="44"/>
      <c r="P1200" s="44"/>
      <c r="Q1200" s="44">
        <f>8*8*(O1183*2+P1183*15)/500</f>
        <v>4.17728</v>
      </c>
      <c r="R1200" s="84">
        <f>+Q1200/R1183</f>
        <v>0.499447619503097</v>
      </c>
      <c r="S1200" s="47"/>
      <c r="T1200" s="47"/>
    </row>
    <row r="1201" s="27" customFormat="1" ht="18" customHeight="1" spans="1:20">
      <c r="A1201" s="34"/>
      <c r="B1201" s="48">
        <v>6</v>
      </c>
      <c r="C1201" s="48"/>
      <c r="D1201" s="88" t="s">
        <v>434</v>
      </c>
      <c r="E1201" s="72" t="str">
        <f>+VLOOKUP(D1201,'材料表 '!C:F,2,0)</f>
        <v>m2</v>
      </c>
      <c r="F1201" s="77">
        <f t="shared" si="146"/>
        <v>0</v>
      </c>
      <c r="G1201" s="89">
        <f>+VLOOKUP(D1201,'材料表 '!C:F,4,0)</f>
        <v>0</v>
      </c>
      <c r="H1201" s="74">
        <f t="shared" si="145"/>
        <v>0</v>
      </c>
      <c r="I1201" s="74">
        <f>+VLOOKUP(D1201,'材料表 '!C:F,3,0)</f>
        <v>49.5575221238938</v>
      </c>
      <c r="J1201" s="95">
        <f t="shared" si="144"/>
        <v>0</v>
      </c>
      <c r="K1201" s="92">
        <f ca="1">H1201*K1182</f>
        <v>0</v>
      </c>
      <c r="L1201" s="92" t="s">
        <v>499</v>
      </c>
      <c r="M1201" s="44"/>
      <c r="N1201" s="82"/>
      <c r="O1201" s="44"/>
      <c r="P1201" s="44"/>
      <c r="Q1201" s="44">
        <v>0</v>
      </c>
      <c r="R1201" s="84">
        <f>Q1201/R1183</f>
        <v>0</v>
      </c>
      <c r="S1201" s="47"/>
      <c r="T1201" s="47"/>
    </row>
    <row r="1202" s="27" customFormat="1" ht="18" customHeight="1" spans="1:20">
      <c r="A1202" s="34"/>
      <c r="B1202" s="48">
        <v>7</v>
      </c>
      <c r="C1202" s="48"/>
      <c r="D1202" s="88" t="s">
        <v>472</v>
      </c>
      <c r="E1202" s="72" t="str">
        <f>+VLOOKUP(D1202,'材料表 '!C:F,2,0)</f>
        <v>套</v>
      </c>
      <c r="F1202" s="77">
        <f t="shared" si="146"/>
        <v>0</v>
      </c>
      <c r="G1202" s="89">
        <f>+VLOOKUP(D1202,'材料表 '!C:F,4,0)</f>
        <v>0</v>
      </c>
      <c r="H1202" s="74">
        <f t="shared" si="145"/>
        <v>0</v>
      </c>
      <c r="I1202" s="74">
        <f>+VLOOKUP(D1202,'材料表 '!C:F,3,0)</f>
        <v>2.47787610619469</v>
      </c>
      <c r="J1202" s="95">
        <f t="shared" si="144"/>
        <v>0</v>
      </c>
      <c r="K1202" s="92">
        <f ca="1">H1202*K1182</f>
        <v>0</v>
      </c>
      <c r="L1202" s="92"/>
      <c r="M1202" s="44"/>
      <c r="N1202" s="82"/>
      <c r="O1202" s="44"/>
      <c r="P1202" s="44"/>
      <c r="Q1202" s="44"/>
      <c r="R1202" s="84"/>
      <c r="S1202" s="47"/>
      <c r="T1202" s="47"/>
    </row>
    <row r="1203" s="27" customFormat="1" ht="18" customHeight="1" spans="1:20">
      <c r="A1203" s="34"/>
      <c r="B1203" s="48">
        <v>8</v>
      </c>
      <c r="C1203" s="48"/>
      <c r="D1203" s="88" t="s">
        <v>474</v>
      </c>
      <c r="E1203" s="72" t="str">
        <f>+VLOOKUP(D1203,'材料表 '!C:F,2,0)</f>
        <v>套</v>
      </c>
      <c r="F1203" s="77">
        <f t="shared" si="146"/>
        <v>13.3910423491714</v>
      </c>
      <c r="G1203" s="89">
        <f>+VLOOKUP(D1203,'材料表 '!C:F,4,0)</f>
        <v>0</v>
      </c>
      <c r="H1203" s="74">
        <f t="shared" si="145"/>
        <v>13.3910423491714</v>
      </c>
      <c r="I1203" s="74">
        <f>+VLOOKUP(D1203,'材料表 '!C:F,3,0)</f>
        <v>2.21238938053097</v>
      </c>
      <c r="J1203" s="95">
        <f t="shared" si="144"/>
        <v>29.6261998875473</v>
      </c>
      <c r="K1203" s="92">
        <f ca="1">H1203*K1182</f>
        <v>659.867715631649</v>
      </c>
      <c r="L1203" s="92"/>
      <c r="M1203" s="44"/>
      <c r="N1203" s="82"/>
      <c r="O1203" s="44"/>
      <c r="P1203" s="44"/>
      <c r="Q1203" s="44"/>
      <c r="R1203" s="84"/>
      <c r="S1203" s="47"/>
      <c r="T1203" s="47"/>
    </row>
    <row r="1204" s="27" customFormat="1" ht="18" customHeight="1" spans="1:20">
      <c r="A1204" s="34"/>
      <c r="B1204" s="48">
        <v>9</v>
      </c>
      <c r="C1204" s="48"/>
      <c r="D1204" s="88" t="s">
        <v>476</v>
      </c>
      <c r="E1204" s="72" t="str">
        <f>+VLOOKUP(D1204,'材料表 '!C:F,2,0)</f>
        <v>支</v>
      </c>
      <c r="F1204" s="77">
        <f t="shared" si="146"/>
        <v>0.499447619503097</v>
      </c>
      <c r="G1204" s="89">
        <f>+VLOOKUP(D1204,'材料表 '!C:F,4,0)</f>
        <v>0.15</v>
      </c>
      <c r="H1204" s="74">
        <f t="shared" si="145"/>
        <v>0.574364762428561</v>
      </c>
      <c r="I1204" s="74">
        <f>+VLOOKUP(D1204,'材料表 '!C:F,3,0)</f>
        <v>11.5044247787611</v>
      </c>
      <c r="J1204" s="95">
        <f t="shared" si="144"/>
        <v>6.60773620493038</v>
      </c>
      <c r="K1204" s="92">
        <f ca="1">H1204*K1182</f>
        <v>28.3028575252397</v>
      </c>
      <c r="L1204" s="90"/>
      <c r="M1204" s="44"/>
      <c r="N1204" s="82"/>
      <c r="O1204" s="34"/>
      <c r="P1204" s="44"/>
      <c r="Q1204" s="44"/>
      <c r="R1204" s="119"/>
      <c r="S1204" s="47"/>
      <c r="T1204" s="47"/>
    </row>
    <row r="1205" s="27" customFormat="1" ht="23" customHeight="1" spans="1:20">
      <c r="A1205" s="34"/>
      <c r="B1205" s="48">
        <v>10</v>
      </c>
      <c r="C1205" s="48"/>
      <c r="D1205" s="88" t="s">
        <v>499</v>
      </c>
      <c r="E1205" s="72" t="str">
        <f>+VLOOKUP(D1205,'材料表 '!C:F,2,0)</f>
        <v>套</v>
      </c>
      <c r="F1205" s="77">
        <f t="shared" si="146"/>
        <v>0</v>
      </c>
      <c r="G1205" s="89">
        <f>+VLOOKUP(D1205,'材料表 '!C:F,4,0)</f>
        <v>0</v>
      </c>
      <c r="H1205" s="74">
        <f t="shared" si="145"/>
        <v>0</v>
      </c>
      <c r="I1205" s="74">
        <f>+VLOOKUP(D1205,'材料表 '!C:F,3,0)</f>
        <v>1.32743362831858</v>
      </c>
      <c r="J1205" s="95">
        <f t="shared" si="144"/>
        <v>0</v>
      </c>
      <c r="K1205" s="92">
        <f ca="1">H1205*K1182</f>
        <v>0</v>
      </c>
      <c r="L1205" s="92"/>
      <c r="M1205" s="120"/>
      <c r="N1205" s="82"/>
      <c r="O1205" s="44"/>
      <c r="P1205" s="44"/>
      <c r="Q1205" s="44"/>
      <c r="R1205" s="84"/>
      <c r="S1205" s="47"/>
      <c r="T1205" s="47"/>
    </row>
    <row r="1206" s="27" customFormat="1" ht="20" customHeight="1" spans="1:20">
      <c r="A1206" s="34"/>
      <c r="B1206" s="48">
        <v>11</v>
      </c>
      <c r="C1206" s="48"/>
      <c r="D1206" s="88"/>
      <c r="E1206" s="72"/>
      <c r="F1206" s="77"/>
      <c r="G1206" s="89"/>
      <c r="H1206" s="74"/>
      <c r="I1206" s="74"/>
      <c r="J1206" s="95"/>
      <c r="K1206" s="92">
        <f ca="1">H1206*K1182</f>
        <v>0</v>
      </c>
      <c r="L1206" s="92"/>
      <c r="M1206" s="44"/>
      <c r="N1206" s="82"/>
      <c r="O1206" s="44"/>
      <c r="P1206" s="44"/>
      <c r="Q1206" s="44"/>
      <c r="R1206" s="84"/>
      <c r="S1206" s="47"/>
      <c r="T1206" s="47"/>
    </row>
    <row r="1207" s="27" customFormat="1" ht="24" customHeight="1" spans="1:20">
      <c r="A1207" s="34"/>
      <c r="B1207" s="48">
        <v>12</v>
      </c>
      <c r="C1207" s="48"/>
      <c r="D1207" s="127" t="s">
        <v>541</v>
      </c>
      <c r="E1207" s="72" t="str">
        <f>+VLOOKUP(D1207,'材料表 '!C:F,2,0)</f>
        <v>m2</v>
      </c>
      <c r="F1207" s="77">
        <f>1.398/1.349</f>
        <v>1.03632320237213</v>
      </c>
      <c r="G1207" s="89">
        <f>+VLOOKUP(D1207,'材料表 '!C:F,4,0)</f>
        <v>0.02</v>
      </c>
      <c r="H1207" s="74">
        <f>F1207*(G1207+1)</f>
        <v>1.05704966641957</v>
      </c>
      <c r="I1207" s="74">
        <f>+VLOOKUP(D1207,'材料表 '!C:F,3,0)</f>
        <v>270.796460176991</v>
      </c>
      <c r="J1207" s="95">
        <f>H1207*I1207</f>
        <v>286.245307897689</v>
      </c>
      <c r="K1207" s="92">
        <f ca="1">H1207*K1182</f>
        <v>52.0880250022239</v>
      </c>
      <c r="L1207" s="92"/>
      <c r="M1207" s="44"/>
      <c r="N1207" s="44"/>
      <c r="O1207" s="44"/>
      <c r="P1207" s="44"/>
      <c r="Q1207" s="44"/>
      <c r="R1207" s="84"/>
      <c r="S1207" s="47"/>
      <c r="T1207" s="47"/>
    </row>
    <row r="1208" s="27" customFormat="1" ht="18" customHeight="1" spans="1:20">
      <c r="A1208" s="34"/>
      <c r="B1208" s="48">
        <v>13</v>
      </c>
      <c r="C1208" s="48"/>
      <c r="D1208" s="88"/>
      <c r="E1208" s="72"/>
      <c r="F1208" s="77"/>
      <c r="G1208" s="89"/>
      <c r="H1208" s="74"/>
      <c r="I1208" s="74"/>
      <c r="J1208" s="95"/>
      <c r="K1208" s="92">
        <f ca="1">H1208*K1182</f>
        <v>0</v>
      </c>
      <c r="L1208" s="92"/>
      <c r="M1208" s="44"/>
      <c r="N1208" s="44"/>
      <c r="O1208" s="44"/>
      <c r="P1208" s="44"/>
      <c r="Q1208" s="44"/>
      <c r="R1208" s="84"/>
      <c r="S1208" s="47"/>
      <c r="T1208" s="47"/>
    </row>
    <row r="1209" s="27" customFormat="1" ht="24" customHeight="1" spans="1:20">
      <c r="A1209" s="34"/>
      <c r="B1209" s="48">
        <v>14</v>
      </c>
      <c r="C1209" s="48"/>
      <c r="D1209" s="88"/>
      <c r="E1209" s="72"/>
      <c r="F1209" s="77"/>
      <c r="G1209" s="89"/>
      <c r="H1209" s="74"/>
      <c r="I1209" s="74"/>
      <c r="J1209" s="95"/>
      <c r="K1209" s="92">
        <f ca="1">H1209*K1182</f>
        <v>0</v>
      </c>
      <c r="L1209" s="92"/>
      <c r="M1209" s="44"/>
      <c r="N1209" s="44"/>
      <c r="O1209" s="44"/>
      <c r="P1209" s="44"/>
      <c r="Q1209" s="44"/>
      <c r="R1209" s="84"/>
      <c r="S1209" s="47"/>
      <c r="T1209" s="47"/>
    </row>
    <row r="1210" s="27" customFormat="1" ht="18" customHeight="1" spans="1:20">
      <c r="A1210" s="34"/>
      <c r="B1210" s="48">
        <v>15</v>
      </c>
      <c r="C1210" s="48"/>
      <c r="D1210" s="88"/>
      <c r="E1210" s="72"/>
      <c r="F1210" s="77"/>
      <c r="G1210" s="89"/>
      <c r="H1210" s="74"/>
      <c r="I1210" s="74"/>
      <c r="J1210" s="95"/>
      <c r="K1210" s="92"/>
      <c r="L1210" s="92"/>
      <c r="M1210" s="44"/>
      <c r="N1210" s="44"/>
      <c r="O1210" s="44"/>
      <c r="P1210" s="44"/>
      <c r="Q1210" s="44"/>
      <c r="R1210" s="84"/>
      <c r="S1210" s="47"/>
      <c r="T1210" s="47"/>
    </row>
    <row r="1211" s="27" customFormat="1" ht="18" customHeight="1" spans="1:20">
      <c r="A1211" s="34"/>
      <c r="B1211" s="48">
        <v>16</v>
      </c>
      <c r="C1211" s="48"/>
      <c r="D1211" s="88"/>
      <c r="E1211" s="72"/>
      <c r="F1211" s="77"/>
      <c r="G1211" s="89"/>
      <c r="H1211" s="74"/>
      <c r="I1211" s="74"/>
      <c r="J1211" s="95"/>
      <c r="K1211" s="92"/>
      <c r="L1211" s="92"/>
      <c r="M1211" s="44"/>
      <c r="N1211" s="44"/>
      <c r="O1211" s="44"/>
      <c r="P1211" s="44"/>
      <c r="Q1211" s="44"/>
      <c r="R1211" s="84"/>
      <c r="S1211" s="47"/>
      <c r="T1211" s="47"/>
    </row>
    <row r="1212" s="27" customFormat="1" ht="18" customHeight="1" spans="1:20">
      <c r="A1212" s="34"/>
      <c r="B1212" s="48">
        <v>17</v>
      </c>
      <c r="C1212" s="48"/>
      <c r="D1212" s="121"/>
      <c r="E1212" s="72"/>
      <c r="F1212" s="77"/>
      <c r="G1212" s="89"/>
      <c r="H1212" s="74"/>
      <c r="I1212" s="74"/>
      <c r="J1212" s="95"/>
      <c r="K1212" s="92"/>
      <c r="L1212" s="92"/>
      <c r="M1212" s="44"/>
      <c r="N1212" s="44"/>
      <c r="O1212" s="44"/>
      <c r="P1212" s="44"/>
      <c r="Q1212" s="101"/>
      <c r="R1212" s="84"/>
      <c r="S1212" s="47"/>
      <c r="T1212" s="47"/>
    </row>
    <row r="1213" s="27" customFormat="1" ht="18" customHeight="1" spans="1:20">
      <c r="A1213" s="34"/>
      <c r="B1213" s="48">
        <v>18</v>
      </c>
      <c r="C1213" s="48"/>
      <c r="D1213" s="88"/>
      <c r="E1213" s="72"/>
      <c r="F1213" s="77"/>
      <c r="G1213" s="89"/>
      <c r="H1213" s="74"/>
      <c r="I1213" s="74"/>
      <c r="J1213" s="95"/>
      <c r="K1213" s="92"/>
      <c r="L1213" s="92"/>
      <c r="M1213" s="44"/>
      <c r="N1213" s="44"/>
      <c r="O1213" s="44"/>
      <c r="P1213" s="44"/>
      <c r="Q1213" s="44"/>
      <c r="R1213" s="84"/>
      <c r="S1213" s="47"/>
      <c r="T1213" s="47"/>
    </row>
    <row r="1214" s="27" customFormat="1" ht="18" customHeight="1" spans="1:20">
      <c r="A1214" s="34"/>
      <c r="B1214" s="48">
        <v>19</v>
      </c>
      <c r="C1214" s="48"/>
      <c r="D1214" s="27"/>
      <c r="E1214" s="72"/>
      <c r="F1214" s="77"/>
      <c r="G1214" s="89"/>
      <c r="H1214" s="74"/>
      <c r="I1214" s="74"/>
      <c r="J1214" s="95"/>
      <c r="K1214" s="92"/>
      <c r="L1214" s="92"/>
      <c r="M1214" s="44"/>
      <c r="N1214" s="44"/>
      <c r="O1214" s="44"/>
      <c r="P1214" s="44"/>
      <c r="Q1214" s="44"/>
      <c r="R1214" s="84"/>
      <c r="S1214" s="47"/>
      <c r="T1214" s="47"/>
    </row>
    <row r="1215" s="27" customFormat="1" ht="18" customHeight="1" spans="1:20">
      <c r="A1215" s="34"/>
      <c r="B1215" s="48">
        <v>20</v>
      </c>
      <c r="C1215" s="48"/>
      <c r="D1215" s="88"/>
      <c r="E1215" s="72"/>
      <c r="F1215" s="77"/>
      <c r="G1215" s="89"/>
      <c r="H1215" s="74"/>
      <c r="I1215" s="74"/>
      <c r="J1215" s="95"/>
      <c r="K1215" s="92"/>
      <c r="L1215" s="92"/>
      <c r="M1215" s="44"/>
      <c r="N1215" s="44"/>
      <c r="O1215" s="44"/>
      <c r="P1215" s="44"/>
      <c r="Q1215" s="44"/>
      <c r="R1215" s="84"/>
      <c r="S1215" s="47"/>
      <c r="T1215" s="47"/>
    </row>
    <row r="1216" s="27" customFormat="1" ht="18" customHeight="1" spans="1:20">
      <c r="A1216" s="34"/>
      <c r="B1216" s="48">
        <v>21</v>
      </c>
      <c r="C1216" s="48"/>
      <c r="D1216" s="88"/>
      <c r="E1216" s="72"/>
      <c r="F1216" s="77"/>
      <c r="G1216" s="89"/>
      <c r="H1216" s="74"/>
      <c r="I1216" s="74"/>
      <c r="J1216" s="95"/>
      <c r="K1216" s="92"/>
      <c r="L1216" s="92"/>
      <c r="M1216" s="44"/>
      <c r="N1216" s="44"/>
      <c r="O1216" s="44"/>
      <c r="P1216" s="44"/>
      <c r="Q1216" s="44"/>
      <c r="R1216" s="84"/>
      <c r="S1216" s="47"/>
      <c r="T1216" s="47"/>
    </row>
    <row r="1217" s="27" customFormat="1" ht="18" customHeight="1" spans="1:20">
      <c r="A1217" s="34"/>
      <c r="B1217" s="48">
        <v>22</v>
      </c>
      <c r="C1217" s="48"/>
      <c r="D1217" s="27"/>
      <c r="E1217" s="72"/>
      <c r="F1217" s="77"/>
      <c r="G1217" s="72"/>
      <c r="H1217" s="74"/>
      <c r="I1217" s="74"/>
      <c r="J1217" s="95"/>
      <c r="K1217" s="92"/>
      <c r="L1217" s="92"/>
      <c r="M1217" s="44"/>
      <c r="N1217" s="44"/>
      <c r="O1217" s="44"/>
      <c r="P1217" s="44"/>
      <c r="Q1217" s="44"/>
      <c r="R1217" s="62"/>
      <c r="S1217" s="47"/>
      <c r="T1217" s="47"/>
    </row>
    <row r="1218" s="27" customFormat="1" ht="18" customHeight="1" spans="1:20">
      <c r="A1218" s="34"/>
      <c r="B1218" s="48">
        <v>23</v>
      </c>
      <c r="C1218" s="48"/>
      <c r="D1218" s="88"/>
      <c r="E1218" s="72"/>
      <c r="F1218" s="77"/>
      <c r="G1218" s="89"/>
      <c r="H1218" s="74"/>
      <c r="I1218" s="74"/>
      <c r="J1218" s="95"/>
      <c r="K1218" s="92"/>
      <c r="L1218" s="92"/>
      <c r="M1218" s="44"/>
      <c r="N1218" s="44"/>
      <c r="O1218" s="44"/>
      <c r="P1218" s="44"/>
      <c r="Q1218" s="44"/>
      <c r="R1218" s="62"/>
      <c r="S1218" s="47"/>
      <c r="T1218" s="47"/>
    </row>
    <row r="1219" s="27" customFormat="1" ht="18" customHeight="1" spans="1:20">
      <c r="A1219" s="34"/>
      <c r="B1219" s="48">
        <v>24</v>
      </c>
      <c r="C1219" s="48"/>
      <c r="D1219" s="88" t="s">
        <v>478</v>
      </c>
      <c r="E1219" s="72" t="s">
        <v>43</v>
      </c>
      <c r="F1219" s="77"/>
      <c r="G1219" s="72">
        <v>1</v>
      </c>
      <c r="H1219" s="74">
        <v>1</v>
      </c>
      <c r="I1219" s="74">
        <f>+辅材及安装费!$E$3</f>
        <v>5</v>
      </c>
      <c r="J1219" s="95">
        <f>H1219*I1219</f>
        <v>5</v>
      </c>
      <c r="K1219" s="92"/>
      <c r="L1219" s="92"/>
      <c r="M1219" s="44"/>
      <c r="N1219" s="44"/>
      <c r="O1219" s="44"/>
      <c r="P1219" s="44"/>
      <c r="Q1219" s="44"/>
      <c r="R1219" s="62"/>
      <c r="S1219" s="47"/>
      <c r="T1219" s="47"/>
    </row>
    <row r="1220" s="27" customFormat="1" ht="18" customHeight="1" spans="1:20">
      <c r="A1220" s="34"/>
      <c r="B1220" s="48">
        <v>25</v>
      </c>
      <c r="C1220" s="48"/>
      <c r="D1220" s="93" t="s">
        <v>442</v>
      </c>
      <c r="E1220" s="72"/>
      <c r="F1220" s="77"/>
      <c r="G1220" s="72"/>
      <c r="H1220" s="74"/>
      <c r="I1220" s="74"/>
      <c r="J1220" s="95">
        <f>SUM(J1196:J1219)</f>
        <v>564.150057939089</v>
      </c>
      <c r="K1220" s="92"/>
      <c r="L1220" s="94"/>
      <c r="M1220" s="27"/>
      <c r="N1220" s="83"/>
      <c r="O1220" s="83"/>
      <c r="P1220" s="83"/>
      <c r="Q1220" s="83"/>
      <c r="R1220" s="87"/>
      <c r="S1220" s="47"/>
      <c r="T1220" s="47"/>
    </row>
    <row r="1221" s="27" customFormat="1" ht="18" customHeight="1" spans="1:20">
      <c r="A1221" s="34"/>
      <c r="B1221" s="48">
        <v>1</v>
      </c>
      <c r="C1221" s="48" t="s">
        <v>443</v>
      </c>
      <c r="D1221" s="48" t="s">
        <v>444</v>
      </c>
      <c r="E1221" s="72" t="s">
        <v>43</v>
      </c>
      <c r="F1221" s="50"/>
      <c r="G1221" s="48"/>
      <c r="H1221" s="51">
        <v>1</v>
      </c>
      <c r="I1221" s="74">
        <f>+辅材及安装费!$F$3</f>
        <v>5</v>
      </c>
      <c r="J1221" s="95">
        <f>H1221*I1221</f>
        <v>5</v>
      </c>
      <c r="K1221" s="118"/>
      <c r="L1221" s="96"/>
      <c r="M1221" s="97"/>
      <c r="N1221" s="98"/>
      <c r="O1221" s="98"/>
      <c r="P1221" s="98"/>
      <c r="Q1221" s="98"/>
      <c r="R1221" s="99"/>
      <c r="S1221" s="47"/>
      <c r="T1221" s="47"/>
    </row>
    <row r="1222" s="26" customFormat="1" ht="30" customHeight="1" spans="1:20">
      <c r="A1222" s="28"/>
      <c r="B1222" s="29" t="s">
        <v>386</v>
      </c>
      <c r="C1222" s="29"/>
      <c r="D1222" s="29"/>
      <c r="E1222" s="29"/>
      <c r="F1222" s="29"/>
      <c r="G1222" s="29"/>
      <c r="H1222" s="29"/>
      <c r="I1222" s="29"/>
      <c r="J1222" s="29"/>
      <c r="K1222" s="29"/>
      <c r="L1222" s="30"/>
      <c r="M1222" s="31"/>
      <c r="N1222" s="31"/>
      <c r="O1222" s="31"/>
      <c r="P1222" s="31"/>
      <c r="Q1222" s="31"/>
      <c r="R1222" s="32"/>
      <c r="S1222" s="33"/>
      <c r="T1222" s="33"/>
    </row>
    <row r="1223" s="27" customFormat="1" ht="33.75" customHeight="1" spans="1:20">
      <c r="A1223" s="34">
        <v>20</v>
      </c>
      <c r="B1223" s="35" t="s">
        <v>1</v>
      </c>
      <c r="C1223" s="35" t="s">
        <v>387</v>
      </c>
      <c r="D1223" s="36" t="str">
        <f>+A1231</f>
        <v>蓝眼睛仿石铝板（四边带圆弧）</v>
      </c>
      <c r="E1223" s="37"/>
      <c r="F1223" s="38" t="s">
        <v>119</v>
      </c>
      <c r="G1223" s="39"/>
      <c r="H1223" s="35" t="s">
        <v>388</v>
      </c>
      <c r="I1223" s="40" t="s">
        <v>389</v>
      </c>
      <c r="J1223" s="41" t="s">
        <v>37</v>
      </c>
      <c r="K1223" s="42">
        <f ca="1">VLOOKUP(A1223,排屋工程量清单!$A$59:$D$86,4,)</f>
        <v>34.25784</v>
      </c>
      <c r="L1223" s="43"/>
      <c r="M1223" s="44"/>
      <c r="N1223" s="44"/>
      <c r="O1223" s="44"/>
      <c r="P1223" s="45"/>
      <c r="Q1223" s="44"/>
      <c r="R1223" s="46"/>
      <c r="S1223" s="47"/>
      <c r="T1223" s="47"/>
    </row>
    <row r="1224" s="27" customFormat="1" ht="25" customHeight="1" spans="1:20">
      <c r="A1224" s="34"/>
      <c r="B1224" s="48">
        <v>1</v>
      </c>
      <c r="C1224" s="49" t="s">
        <v>390</v>
      </c>
      <c r="D1224" s="48" t="s">
        <v>391</v>
      </c>
      <c r="E1224" s="48"/>
      <c r="F1224" s="50"/>
      <c r="G1224" s="48"/>
      <c r="H1224" s="51"/>
      <c r="I1224" s="52">
        <f>J1236</f>
        <v>165</v>
      </c>
      <c r="J1224" s="53" t="s">
        <v>392</v>
      </c>
      <c r="K1224" s="54"/>
      <c r="L1224" s="55" t="s">
        <v>542</v>
      </c>
      <c r="M1224" s="56" t="s">
        <v>543</v>
      </c>
      <c r="N1224" s="57"/>
      <c r="O1224" s="57">
        <v>4.09</v>
      </c>
      <c r="P1224" s="57">
        <v>3.49</v>
      </c>
      <c r="Q1224" s="57">
        <v>1</v>
      </c>
      <c r="R1224" s="58">
        <f>+Q1224*P1224*O1224</f>
        <v>14.2741</v>
      </c>
      <c r="S1224" s="47"/>
      <c r="T1224" s="47"/>
    </row>
    <row r="1225" s="27" customFormat="1" ht="18" customHeight="1" spans="1:20">
      <c r="A1225" s="34"/>
      <c r="B1225" s="48">
        <v>2</v>
      </c>
      <c r="C1225" s="59"/>
      <c r="D1225" s="48" t="s">
        <v>394</v>
      </c>
      <c r="E1225" s="48"/>
      <c r="F1225" s="50"/>
      <c r="G1225" s="48"/>
      <c r="H1225" s="51"/>
      <c r="I1225" s="52">
        <f>J1261</f>
        <v>412.170099727667</v>
      </c>
      <c r="J1225" s="53" t="s">
        <v>392</v>
      </c>
      <c r="K1225" s="60"/>
      <c r="L1225" s="61" t="s">
        <v>119</v>
      </c>
      <c r="M1225" s="44"/>
      <c r="N1225" s="44"/>
      <c r="O1225" s="44"/>
      <c r="P1225" s="44"/>
      <c r="Q1225" s="44"/>
      <c r="R1225" s="62"/>
      <c r="S1225" s="47"/>
      <c r="T1225" s="47"/>
    </row>
    <row r="1226" s="27" customFormat="1" ht="18" customHeight="1" spans="1:20">
      <c r="A1226" s="34"/>
      <c r="B1226" s="48">
        <v>3</v>
      </c>
      <c r="C1226" s="63"/>
      <c r="D1226" s="48" t="s">
        <v>395</v>
      </c>
      <c r="E1226" s="48"/>
      <c r="F1226" s="50"/>
      <c r="G1226" s="48"/>
      <c r="H1226" s="51"/>
      <c r="I1226" s="52">
        <f>J1262</f>
        <v>5</v>
      </c>
      <c r="J1226" s="53" t="s">
        <v>392</v>
      </c>
      <c r="K1226" s="60"/>
      <c r="L1226" s="60"/>
      <c r="M1226" s="65" t="s">
        <v>396</v>
      </c>
      <c r="N1226" s="65" t="s">
        <v>397</v>
      </c>
      <c r="O1226" s="65" t="s">
        <v>398</v>
      </c>
      <c r="P1226" s="65" t="s">
        <v>399</v>
      </c>
      <c r="Q1226" s="65" t="s">
        <v>400</v>
      </c>
      <c r="R1226" s="66" t="s">
        <v>401</v>
      </c>
      <c r="S1226" s="47"/>
      <c r="T1226" s="47"/>
    </row>
    <row r="1227" s="27" customFormat="1" ht="18" customHeight="1" spans="1:20">
      <c r="A1227" s="34"/>
      <c r="B1227" s="48">
        <v>4</v>
      </c>
      <c r="C1227" s="48" t="s">
        <v>402</v>
      </c>
      <c r="D1227" s="67" t="s">
        <v>403</v>
      </c>
      <c r="E1227" s="67"/>
      <c r="F1227" s="50"/>
      <c r="G1227" s="67"/>
      <c r="H1227" s="68"/>
      <c r="I1227" s="52">
        <f>SUM(I1224:I1226)</f>
        <v>582.170099727667</v>
      </c>
      <c r="J1227" s="53" t="s">
        <v>392</v>
      </c>
      <c r="K1227" s="60"/>
      <c r="L1227" s="69" t="s">
        <v>431</v>
      </c>
      <c r="M1227" s="34" t="s">
        <v>460</v>
      </c>
      <c r="N1227" s="34">
        <v>10.21</v>
      </c>
      <c r="O1227" s="34">
        <f>P1224</f>
        <v>3.49</v>
      </c>
      <c r="P1227" s="34">
        <v>5</v>
      </c>
      <c r="Q1227" s="44">
        <f t="shared" ref="Q1227:Q1234" si="147">+P1227*O1227*N1227</f>
        <v>178.1645</v>
      </c>
      <c r="R1227" s="71">
        <f>+Q1227/R1224</f>
        <v>12.481662591687</v>
      </c>
      <c r="S1227" s="47"/>
      <c r="T1227" s="47"/>
    </row>
    <row r="1228" s="27" customFormat="1" ht="28" customHeight="1" spans="1:20">
      <c r="A1228" s="34"/>
      <c r="B1228" s="48">
        <v>5</v>
      </c>
      <c r="C1228" s="72" t="s">
        <v>406</v>
      </c>
      <c r="D1228" s="48" t="s">
        <v>407</v>
      </c>
      <c r="E1228" s="48"/>
      <c r="F1228" s="50"/>
      <c r="G1228" s="48"/>
      <c r="H1228" s="73">
        <f>+'材料表 '!$E$178</f>
        <v>0</v>
      </c>
      <c r="I1228" s="52">
        <f>H1228*I1227</f>
        <v>0</v>
      </c>
      <c r="J1228" s="53" t="s">
        <v>392</v>
      </c>
      <c r="K1228" s="60"/>
      <c r="L1228" s="69" t="s">
        <v>431</v>
      </c>
      <c r="M1228" s="34" t="s">
        <v>523</v>
      </c>
      <c r="N1228" s="102">
        <v>4.52</v>
      </c>
      <c r="O1228" s="34">
        <f>O1224</f>
        <v>4.09</v>
      </c>
      <c r="P1228" s="34">
        <v>0</v>
      </c>
      <c r="Q1228" s="44">
        <f t="shared" si="147"/>
        <v>0</v>
      </c>
      <c r="R1228" s="71">
        <f>+Q1228/R1224</f>
        <v>0</v>
      </c>
      <c r="S1228" s="47"/>
      <c r="T1228" s="47"/>
    </row>
    <row r="1229" s="27" customFormat="1" ht="18" customHeight="1" spans="1:20">
      <c r="A1229" s="34"/>
      <c r="B1229" s="48">
        <v>6</v>
      </c>
      <c r="C1229" s="48" t="s">
        <v>409</v>
      </c>
      <c r="D1229" s="48" t="s">
        <v>410</v>
      </c>
      <c r="E1229" s="48"/>
      <c r="F1229" s="50"/>
      <c r="G1229" s="48"/>
      <c r="H1229" s="73">
        <f>+'材料表 '!$E$179</f>
        <v>0</v>
      </c>
      <c r="I1229" s="52">
        <f>H1229*I1227</f>
        <v>0</v>
      </c>
      <c r="J1229" s="53" t="s">
        <v>392</v>
      </c>
      <c r="K1229" s="60"/>
      <c r="L1229" s="69" t="s">
        <v>461</v>
      </c>
      <c r="M1229" s="34" t="s">
        <v>462</v>
      </c>
      <c r="N1229" s="34">
        <v>3.77</v>
      </c>
      <c r="O1229" s="34">
        <f>O1224</f>
        <v>4.09</v>
      </c>
      <c r="P1229" s="34">
        <v>2</v>
      </c>
      <c r="Q1229" s="44">
        <f t="shared" si="147"/>
        <v>30.8386</v>
      </c>
      <c r="R1229" s="71">
        <f>+Q1229/R1224</f>
        <v>2.16045845272206</v>
      </c>
      <c r="S1229" s="47"/>
      <c r="T1229" s="47"/>
    </row>
    <row r="1230" s="27" customFormat="1" ht="18" customHeight="1" spans="1:20">
      <c r="A1230" s="34"/>
      <c r="B1230" s="48">
        <v>7</v>
      </c>
      <c r="C1230" s="48" t="s">
        <v>412</v>
      </c>
      <c r="D1230" s="72" t="s">
        <v>413</v>
      </c>
      <c r="E1230" s="72"/>
      <c r="F1230" s="77"/>
      <c r="G1230" s="72"/>
      <c r="H1230" s="73">
        <f>+'材料表 '!$E$180</f>
        <v>0.09</v>
      </c>
      <c r="I1230" s="52">
        <f>(I1227+I1228+I1229)*H1230</f>
        <v>52.39530897549</v>
      </c>
      <c r="J1230" s="53" t="s">
        <v>392</v>
      </c>
      <c r="K1230" s="60"/>
      <c r="L1230" s="69" t="s">
        <v>463</v>
      </c>
      <c r="M1230" s="34" t="s">
        <v>464</v>
      </c>
      <c r="N1230" s="34">
        <f>0.15*0.2*7.85*10</f>
        <v>2.355</v>
      </c>
      <c r="O1230" s="34">
        <v>1</v>
      </c>
      <c r="P1230" s="34">
        <f>P1227</f>
        <v>5</v>
      </c>
      <c r="Q1230" s="44">
        <f t="shared" si="147"/>
        <v>11.775</v>
      </c>
      <c r="R1230" s="71">
        <f>+Q1230/R1224</f>
        <v>0.824920660496984</v>
      </c>
      <c r="S1230" s="47"/>
      <c r="T1230" s="47"/>
    </row>
    <row r="1231" s="27" customFormat="1" ht="18" customHeight="1" spans="1:20">
      <c r="A1231" s="105" t="s">
        <v>157</v>
      </c>
      <c r="B1231" s="48">
        <v>8</v>
      </c>
      <c r="C1231" s="48" t="s">
        <v>363</v>
      </c>
      <c r="D1231" s="106" t="s">
        <v>415</v>
      </c>
      <c r="E1231" s="107"/>
      <c r="F1231" s="108"/>
      <c r="G1231" s="107"/>
      <c r="H1231" s="51"/>
      <c r="I1231" s="74">
        <f>SUM(I1227:I1230)</f>
        <v>634.565408703157</v>
      </c>
      <c r="J1231" s="53" t="s">
        <v>416</v>
      </c>
      <c r="K1231" s="60"/>
      <c r="L1231" s="69" t="s">
        <v>465</v>
      </c>
      <c r="M1231" s="34" t="s">
        <v>503</v>
      </c>
      <c r="N1231" s="126">
        <v>7.034</v>
      </c>
      <c r="O1231" s="34">
        <f>85/1000</f>
        <v>0.085</v>
      </c>
      <c r="P1231" s="44">
        <f>P1227</f>
        <v>5</v>
      </c>
      <c r="Q1231" s="44">
        <f t="shared" si="147"/>
        <v>2.98945</v>
      </c>
      <c r="R1231" s="84">
        <f>+Q1231/R1224</f>
        <v>0.209431768027406</v>
      </c>
      <c r="S1231" s="79"/>
      <c r="T1231" s="47"/>
    </row>
    <row r="1232" s="27" customFormat="1" ht="18" customHeight="1" spans="1:20">
      <c r="A1232" s="34"/>
      <c r="B1232" s="109" t="s">
        <v>418</v>
      </c>
      <c r="C1232" s="110"/>
      <c r="D1232" s="110"/>
      <c r="E1232" s="110"/>
      <c r="F1232" s="110"/>
      <c r="G1232" s="110"/>
      <c r="H1232" s="110"/>
      <c r="I1232" s="110"/>
      <c r="J1232" s="110"/>
      <c r="K1232" s="80"/>
      <c r="L1232" s="69" t="s">
        <v>433</v>
      </c>
      <c r="M1232" s="44" t="s">
        <v>505</v>
      </c>
      <c r="N1232" s="82">
        <f>0.056*3*2.71+0.0675*3*2.71</f>
        <v>1.004055</v>
      </c>
      <c r="O1232" s="44">
        <f>P1224</f>
        <v>3.49</v>
      </c>
      <c r="P1232" s="44">
        <f>P1227</f>
        <v>5</v>
      </c>
      <c r="Q1232" s="44">
        <f t="shared" si="147"/>
        <v>17.52075975</v>
      </c>
      <c r="R1232" s="84">
        <f>+Q1232/R1224</f>
        <v>1.2274511002445</v>
      </c>
      <c r="S1232" s="47">
        <f>0.16*P1232*O1232/R1224</f>
        <v>0.19559902200489</v>
      </c>
      <c r="T1232" s="47"/>
    </row>
    <row r="1233" s="27" customFormat="1" ht="18" customHeight="1" spans="1:20">
      <c r="A1233" s="34"/>
      <c r="B1233" s="48">
        <v>1</v>
      </c>
      <c r="C1233" s="48" t="s">
        <v>391</v>
      </c>
      <c r="D1233" s="48" t="s">
        <v>396</v>
      </c>
      <c r="E1233" s="48" t="s">
        <v>37</v>
      </c>
      <c r="F1233" s="50"/>
      <c r="G1233" s="48"/>
      <c r="H1233" s="51" t="s">
        <v>399</v>
      </c>
      <c r="I1233" s="51" t="s">
        <v>420</v>
      </c>
      <c r="J1233" s="95" t="s">
        <v>421</v>
      </c>
      <c r="K1233" s="92"/>
      <c r="L1233" s="69" t="s">
        <v>433</v>
      </c>
      <c r="M1233" s="44" t="s">
        <v>504</v>
      </c>
      <c r="N1233" s="82">
        <f>0.056*3*2.71+0.0675*3*2.71</f>
        <v>1.004055</v>
      </c>
      <c r="O1233" s="44">
        <f>O1224</f>
        <v>4.09</v>
      </c>
      <c r="P1233" s="44">
        <f>2</f>
        <v>2</v>
      </c>
      <c r="Q1233" s="44">
        <f t="shared" si="147"/>
        <v>8.2131699</v>
      </c>
      <c r="R1233" s="84">
        <f>+Q1233/R1224</f>
        <v>0.575389684813754</v>
      </c>
      <c r="S1233" s="47"/>
      <c r="T1233" s="47"/>
    </row>
    <row r="1234" s="27" customFormat="1" ht="18" customHeight="1" spans="1:20">
      <c r="A1234" s="34"/>
      <c r="B1234" s="48">
        <v>2</v>
      </c>
      <c r="C1234" s="48"/>
      <c r="D1234" s="111" t="s">
        <v>491</v>
      </c>
      <c r="E1234" s="49" t="s">
        <v>423</v>
      </c>
      <c r="F1234" s="112"/>
      <c r="G1234" s="111"/>
      <c r="H1234" s="113">
        <v>1</v>
      </c>
      <c r="I1234" s="113">
        <f>+辅材及安装费!$G$3</f>
        <v>165</v>
      </c>
      <c r="J1234" s="114">
        <f t="shared" ref="J1234:J1246" si="148">H1234*I1234</f>
        <v>165</v>
      </c>
      <c r="K1234" s="92"/>
      <c r="L1234" s="69" t="s">
        <v>433</v>
      </c>
      <c r="M1234" s="44" t="s">
        <v>498</v>
      </c>
      <c r="N1234" s="82">
        <f>0.045*3*2.71</f>
        <v>0.36585</v>
      </c>
      <c r="O1234" s="44">
        <f>O1224</f>
        <v>4.09</v>
      </c>
      <c r="P1234" s="44">
        <v>0</v>
      </c>
      <c r="Q1234" s="44">
        <f t="shared" si="147"/>
        <v>0</v>
      </c>
      <c r="R1234" s="84">
        <f>Q1234/R1224</f>
        <v>0</v>
      </c>
      <c r="S1234" s="47"/>
      <c r="T1234" s="47"/>
    </row>
    <row r="1235" s="27" customFormat="1" ht="18" customHeight="1" spans="1:20">
      <c r="A1235" s="34"/>
      <c r="B1235" s="48">
        <v>3</v>
      </c>
      <c r="C1235" s="48"/>
      <c r="D1235" s="115"/>
      <c r="E1235" s="63"/>
      <c r="F1235" s="116"/>
      <c r="G1235" s="115"/>
      <c r="H1235" s="117"/>
      <c r="I1235" s="117"/>
      <c r="J1235" s="118"/>
      <c r="K1235" s="92"/>
      <c r="L1235" s="90" t="s">
        <v>472</v>
      </c>
      <c r="M1235" s="44"/>
      <c r="N1235" s="82"/>
      <c r="O1235" s="44"/>
      <c r="P1235" s="44">
        <f>O1230*P1230*0</f>
        <v>0</v>
      </c>
      <c r="Q1235" s="44">
        <f>+P1235</f>
        <v>0</v>
      </c>
      <c r="R1235" s="84">
        <f>+Q1235/R1224</f>
        <v>0</v>
      </c>
      <c r="S1235" s="47"/>
      <c r="T1235" s="47"/>
    </row>
    <row r="1236" s="27" customFormat="1" ht="18" customHeight="1" spans="1:20">
      <c r="A1236" s="34"/>
      <c r="B1236" s="48">
        <v>4</v>
      </c>
      <c r="C1236" s="48"/>
      <c r="D1236" s="85" t="s">
        <v>426</v>
      </c>
      <c r="E1236" s="48" t="s">
        <v>392</v>
      </c>
      <c r="F1236" s="50"/>
      <c r="G1236" s="48"/>
      <c r="H1236" s="86"/>
      <c r="I1236" s="86"/>
      <c r="J1236" s="95">
        <f>SUM(J1234:J1234)</f>
        <v>165</v>
      </c>
      <c r="K1236" s="92"/>
      <c r="L1236" s="90"/>
      <c r="M1236" s="44"/>
      <c r="N1236" s="82"/>
      <c r="O1236" s="44"/>
      <c r="P1236" s="44"/>
      <c r="Q1236" s="44"/>
      <c r="R1236" s="84"/>
      <c r="S1236" s="47"/>
      <c r="T1236" s="47"/>
    </row>
    <row r="1237" s="27" customFormat="1" ht="22" customHeight="1" spans="1:20">
      <c r="A1237" s="34"/>
      <c r="B1237" s="48">
        <v>1</v>
      </c>
      <c r="C1237" s="48" t="s">
        <v>394</v>
      </c>
      <c r="D1237" s="88" t="s">
        <v>431</v>
      </c>
      <c r="E1237" s="72" t="str">
        <f>+VLOOKUP(D1237,'材料表 '!C:F,2,0)</f>
        <v>kg</v>
      </c>
      <c r="F1237" s="77">
        <f>+SUMIF($L$1224:$L$1262,D1237,$R$1224:$R$1262)</f>
        <v>12.481662591687</v>
      </c>
      <c r="G1237" s="89">
        <f>+VLOOKUP(D1237,'材料表 '!C:F,4,0)</f>
        <v>0.03</v>
      </c>
      <c r="H1237" s="74">
        <f t="shared" ref="H1237:H1246" si="149">F1237*(G1237+1)</f>
        <v>12.8561124694376</v>
      </c>
      <c r="I1237" s="74">
        <f>+VLOOKUP(D1237,'材料表 '!C:F,3,0)</f>
        <v>3.80530973451327</v>
      </c>
      <c r="J1237" s="95">
        <f t="shared" si="148"/>
        <v>48.9214899279484</v>
      </c>
      <c r="K1237" s="92">
        <f ca="1">H1237*K1223</f>
        <v>440.422643999998</v>
      </c>
      <c r="L1237" s="90"/>
      <c r="M1237" s="44"/>
      <c r="N1237" s="82"/>
      <c r="O1237" s="44"/>
      <c r="P1237" s="44"/>
      <c r="Q1237" s="44"/>
      <c r="R1237" s="84"/>
      <c r="S1237" s="47"/>
      <c r="T1237" s="47"/>
    </row>
    <row r="1238" s="27" customFormat="1" ht="18" customHeight="1" spans="1:20">
      <c r="A1238" s="34"/>
      <c r="B1238" s="48">
        <v>2</v>
      </c>
      <c r="C1238" s="48"/>
      <c r="D1238" s="88" t="s">
        <v>461</v>
      </c>
      <c r="E1238" s="72" t="str">
        <f>+VLOOKUP(D1238,'材料表 '!C:F,2,0)</f>
        <v>kg</v>
      </c>
      <c r="F1238" s="77">
        <f t="shared" ref="F1238:F1246" si="150">+SUMIF($L$1224:$L$1262,D1238,$R$1224:$R$1262)</f>
        <v>2.16045845272206</v>
      </c>
      <c r="G1238" s="89">
        <f>+VLOOKUP(D1238,'材料表 '!C:F,4,0)</f>
        <v>0.03</v>
      </c>
      <c r="H1238" s="74">
        <f t="shared" si="149"/>
        <v>2.22527220630372</v>
      </c>
      <c r="I1238" s="74">
        <f>+VLOOKUP(D1238,'材料表 '!C:F,3,0)</f>
        <v>3.53982300884956</v>
      </c>
      <c r="J1238" s="95">
        <f t="shared" si="148"/>
        <v>7.87706975682734</v>
      </c>
      <c r="K1238" s="92">
        <f ca="1">H1238*K1223</f>
        <v>76.2330191999998</v>
      </c>
      <c r="L1238" s="90"/>
      <c r="M1238" s="44"/>
      <c r="N1238" s="82"/>
      <c r="O1238" s="44"/>
      <c r="P1238" s="44"/>
      <c r="Q1238" s="44"/>
      <c r="R1238" s="84"/>
      <c r="S1238" s="47"/>
      <c r="T1238" s="47"/>
    </row>
    <row r="1239" s="27" customFormat="1" ht="18" customHeight="1" spans="1:20">
      <c r="A1239" s="34"/>
      <c r="B1239" s="48">
        <v>3</v>
      </c>
      <c r="C1239" s="48"/>
      <c r="D1239" s="88" t="s">
        <v>465</v>
      </c>
      <c r="E1239" s="72" t="str">
        <f>+VLOOKUP(D1239,'材料表 '!C:F,2,0)</f>
        <v>kg</v>
      </c>
      <c r="F1239" s="77">
        <f t="shared" si="150"/>
        <v>0.209431768027406</v>
      </c>
      <c r="G1239" s="89">
        <f>+VLOOKUP(D1239,'材料表 '!C:F,4,0)</f>
        <v>0.03</v>
      </c>
      <c r="H1239" s="74">
        <f t="shared" si="149"/>
        <v>0.215714721068228</v>
      </c>
      <c r="I1239" s="74">
        <f>+VLOOKUP(D1239,'材料表 '!C:F,3,0)</f>
        <v>6.01769911504425</v>
      </c>
      <c r="J1239" s="95">
        <f t="shared" si="148"/>
        <v>1.29810628607429</v>
      </c>
      <c r="K1239" s="92">
        <f ca="1">H1239*K1223</f>
        <v>7.38992039999998</v>
      </c>
      <c r="L1239" s="90"/>
      <c r="M1239" s="44"/>
      <c r="N1239" s="82"/>
      <c r="O1239" s="44"/>
      <c r="P1239" s="44"/>
      <c r="Q1239" s="44">
        <f>+P1239*O1239</f>
        <v>0</v>
      </c>
      <c r="R1239" s="84">
        <f>+Q1239/R1224</f>
        <v>0</v>
      </c>
      <c r="S1239" s="47"/>
      <c r="T1239" s="47"/>
    </row>
    <row r="1240" s="27" customFormat="1" ht="18" customHeight="1" spans="1:20">
      <c r="A1240" s="34"/>
      <c r="B1240" s="48">
        <v>4</v>
      </c>
      <c r="C1240" s="48"/>
      <c r="D1240" s="88" t="s">
        <v>463</v>
      </c>
      <c r="E1240" s="72" t="str">
        <f>+VLOOKUP(D1240,'材料表 '!C:F,2,0)</f>
        <v>kg</v>
      </c>
      <c r="F1240" s="77">
        <f t="shared" si="150"/>
        <v>0.824920660496984</v>
      </c>
      <c r="G1240" s="89">
        <f>+VLOOKUP(D1240,'材料表 '!C:F,4,0)</f>
        <v>0.03</v>
      </c>
      <c r="H1240" s="74">
        <f t="shared" si="149"/>
        <v>0.849668280311894</v>
      </c>
      <c r="I1240" s="74">
        <f>+VLOOKUP(D1240,'材料表 '!C:F,3,0)</f>
        <v>6.01769911504425</v>
      </c>
      <c r="J1240" s="95">
        <f t="shared" si="148"/>
        <v>5.11304805851405</v>
      </c>
      <c r="K1240" s="92">
        <f ca="1">H1240*K1223</f>
        <v>29.1078</v>
      </c>
      <c r="L1240" s="90" t="s">
        <v>474</v>
      </c>
      <c r="M1240" s="44"/>
      <c r="N1240" s="82"/>
      <c r="O1240" s="44"/>
      <c r="P1240" s="44"/>
      <c r="Q1240" s="44">
        <f>+O1230*P1230*4</f>
        <v>20</v>
      </c>
      <c r="R1240" s="84">
        <f>+Q1240/R1224</f>
        <v>1.40113912610953</v>
      </c>
      <c r="S1240" s="47"/>
      <c r="T1240" s="47"/>
    </row>
    <row r="1241" s="27" customFormat="1" ht="18" customHeight="1" spans="1:20">
      <c r="A1241" s="34"/>
      <c r="B1241" s="48">
        <v>5</v>
      </c>
      <c r="C1241" s="48"/>
      <c r="D1241" s="88" t="s">
        <v>433</v>
      </c>
      <c r="E1241" s="72" t="str">
        <f>+VLOOKUP(D1241,'材料表 '!C:F,2,0)</f>
        <v>kg</v>
      </c>
      <c r="F1241" s="77">
        <f t="shared" si="150"/>
        <v>1.80284078505825</v>
      </c>
      <c r="G1241" s="89">
        <f>+VLOOKUP(D1241,'材料表 '!C:F,4,0)</f>
        <v>0.03</v>
      </c>
      <c r="H1241" s="74">
        <f t="shared" si="149"/>
        <v>1.85692600861</v>
      </c>
      <c r="I1241" s="74">
        <f>+VLOOKUP(D1241,'材料表 '!C:F,3,0)</f>
        <v>26.1150442477876</v>
      </c>
      <c r="J1241" s="95">
        <f t="shared" si="148"/>
        <v>48.4937048797177</v>
      </c>
      <c r="K1241" s="92">
        <f ca="1">H1241*K1223</f>
        <v>63.6142740948</v>
      </c>
      <c r="L1241" s="92" t="s">
        <v>476</v>
      </c>
      <c r="M1241" s="44"/>
      <c r="N1241" s="82"/>
      <c r="O1241" s="44"/>
      <c r="P1241" s="44"/>
      <c r="Q1241" s="44">
        <f>8*8*(O1224*2+P1224*8)/500</f>
        <v>4.6208</v>
      </c>
      <c r="R1241" s="84">
        <f>+Q1241/R1224</f>
        <v>0.323719183696345</v>
      </c>
      <c r="S1241" s="47"/>
      <c r="T1241" s="47"/>
    </row>
    <row r="1242" s="27" customFormat="1" ht="18" customHeight="1" spans="1:20">
      <c r="A1242" s="34"/>
      <c r="B1242" s="48">
        <v>6</v>
      </c>
      <c r="C1242" s="48"/>
      <c r="D1242" s="88" t="s">
        <v>434</v>
      </c>
      <c r="E1242" s="72" t="str">
        <f>+VLOOKUP(D1242,'材料表 '!C:F,2,0)</f>
        <v>m2</v>
      </c>
      <c r="F1242" s="77">
        <f t="shared" si="150"/>
        <v>0</v>
      </c>
      <c r="G1242" s="89">
        <f>+VLOOKUP(D1242,'材料表 '!C:F,4,0)</f>
        <v>0</v>
      </c>
      <c r="H1242" s="74">
        <f t="shared" si="149"/>
        <v>0</v>
      </c>
      <c r="I1242" s="74">
        <f>+VLOOKUP(D1242,'材料表 '!C:F,3,0)</f>
        <v>49.5575221238938</v>
      </c>
      <c r="J1242" s="95">
        <f t="shared" si="148"/>
        <v>0</v>
      </c>
      <c r="K1242" s="92">
        <f ca="1">H1242*K1223</f>
        <v>0</v>
      </c>
      <c r="L1242" s="92" t="s">
        <v>499</v>
      </c>
      <c r="M1242" s="44"/>
      <c r="N1242" s="82"/>
      <c r="O1242" s="44"/>
      <c r="P1242" s="44"/>
      <c r="Q1242" s="44">
        <v>0</v>
      </c>
      <c r="R1242" s="84">
        <f>Q1242/R1224</f>
        <v>0</v>
      </c>
      <c r="S1242" s="47"/>
      <c r="T1242" s="47"/>
    </row>
    <row r="1243" s="27" customFormat="1" ht="18" customHeight="1" spans="1:20">
      <c r="A1243" s="34"/>
      <c r="B1243" s="48">
        <v>7</v>
      </c>
      <c r="C1243" s="48"/>
      <c r="D1243" s="88" t="s">
        <v>472</v>
      </c>
      <c r="E1243" s="72" t="str">
        <f>+VLOOKUP(D1243,'材料表 '!C:F,2,0)</f>
        <v>套</v>
      </c>
      <c r="F1243" s="77">
        <f t="shared" si="150"/>
        <v>0</v>
      </c>
      <c r="G1243" s="89">
        <f>+VLOOKUP(D1243,'材料表 '!C:F,4,0)</f>
        <v>0</v>
      </c>
      <c r="H1243" s="74">
        <f t="shared" si="149"/>
        <v>0</v>
      </c>
      <c r="I1243" s="74">
        <f>+VLOOKUP(D1243,'材料表 '!C:F,3,0)</f>
        <v>2.47787610619469</v>
      </c>
      <c r="J1243" s="95">
        <f t="shared" si="148"/>
        <v>0</v>
      </c>
      <c r="K1243" s="92">
        <f ca="1">H1243*K1223</f>
        <v>0</v>
      </c>
      <c r="L1243" s="92"/>
      <c r="M1243" s="44"/>
      <c r="N1243" s="82"/>
      <c r="O1243" s="44"/>
      <c r="P1243" s="44"/>
      <c r="Q1243" s="44"/>
      <c r="R1243" s="84"/>
      <c r="S1243" s="47"/>
      <c r="T1243" s="47"/>
    </row>
    <row r="1244" s="27" customFormat="1" ht="18" customHeight="1" spans="1:20">
      <c r="A1244" s="34"/>
      <c r="B1244" s="48">
        <v>8</v>
      </c>
      <c r="C1244" s="48"/>
      <c r="D1244" s="88" t="s">
        <v>474</v>
      </c>
      <c r="E1244" s="72" t="str">
        <f>+VLOOKUP(D1244,'材料表 '!C:F,2,0)</f>
        <v>套</v>
      </c>
      <c r="F1244" s="77">
        <f t="shared" si="150"/>
        <v>1.40113912610953</v>
      </c>
      <c r="G1244" s="89">
        <f>+VLOOKUP(D1244,'材料表 '!C:F,4,0)</f>
        <v>0</v>
      </c>
      <c r="H1244" s="74">
        <f t="shared" si="149"/>
        <v>1.40113912610953</v>
      </c>
      <c r="I1244" s="74">
        <f>+VLOOKUP(D1244,'材料表 '!C:F,3,0)</f>
        <v>2.21238938053097</v>
      </c>
      <c r="J1244" s="95">
        <f t="shared" si="148"/>
        <v>3.09986532325117</v>
      </c>
      <c r="K1244" s="92">
        <f ca="1">H1244*K1223</f>
        <v>48.0000000000001</v>
      </c>
      <c r="L1244" s="92"/>
      <c r="M1244" s="44"/>
      <c r="N1244" s="82"/>
      <c r="O1244" s="44"/>
      <c r="P1244" s="44"/>
      <c r="Q1244" s="44"/>
      <c r="R1244" s="84"/>
      <c r="S1244" s="47"/>
      <c r="T1244" s="47"/>
    </row>
    <row r="1245" s="27" customFormat="1" ht="18" customHeight="1" spans="1:20">
      <c r="A1245" s="34"/>
      <c r="B1245" s="48">
        <v>9</v>
      </c>
      <c r="C1245" s="48"/>
      <c r="D1245" s="88" t="s">
        <v>476</v>
      </c>
      <c r="E1245" s="72" t="str">
        <f>+VLOOKUP(D1245,'材料表 '!C:F,2,0)</f>
        <v>支</v>
      </c>
      <c r="F1245" s="77">
        <f t="shared" si="150"/>
        <v>0.323719183696345</v>
      </c>
      <c r="G1245" s="89">
        <f>+VLOOKUP(D1245,'材料表 '!C:F,4,0)</f>
        <v>0.15</v>
      </c>
      <c r="H1245" s="74">
        <f t="shared" si="149"/>
        <v>0.372277061250797</v>
      </c>
      <c r="I1245" s="74">
        <f>+VLOOKUP(D1245,'材料表 '!C:F,3,0)</f>
        <v>11.5044247787611</v>
      </c>
      <c r="J1245" s="95">
        <f t="shared" si="148"/>
        <v>4.28283344801803</v>
      </c>
      <c r="K1245" s="92">
        <f ca="1">H1245*K1223</f>
        <v>12.753408</v>
      </c>
      <c r="L1245" s="90"/>
      <c r="M1245" s="44"/>
      <c r="N1245" s="82"/>
      <c r="O1245" s="34"/>
      <c r="P1245" s="44"/>
      <c r="Q1245" s="44"/>
      <c r="R1245" s="119"/>
      <c r="S1245" s="47"/>
      <c r="T1245" s="47"/>
    </row>
    <row r="1246" s="27" customFormat="1" ht="23" customHeight="1" spans="1:20">
      <c r="A1246" s="34"/>
      <c r="B1246" s="48">
        <v>10</v>
      </c>
      <c r="C1246" s="48"/>
      <c r="D1246" s="88" t="s">
        <v>499</v>
      </c>
      <c r="E1246" s="72" t="str">
        <f>+VLOOKUP(D1246,'材料表 '!C:F,2,0)</f>
        <v>套</v>
      </c>
      <c r="F1246" s="77">
        <f t="shared" si="150"/>
        <v>0</v>
      </c>
      <c r="G1246" s="89">
        <f>+VLOOKUP(D1246,'材料表 '!C:F,4,0)</f>
        <v>0</v>
      </c>
      <c r="H1246" s="74">
        <f t="shared" si="149"/>
        <v>0</v>
      </c>
      <c r="I1246" s="74">
        <f>+VLOOKUP(D1246,'材料表 '!C:F,3,0)</f>
        <v>1.32743362831858</v>
      </c>
      <c r="J1246" s="95">
        <f t="shared" si="148"/>
        <v>0</v>
      </c>
      <c r="K1246" s="92">
        <f ca="1">H1246*K1223</f>
        <v>0</v>
      </c>
      <c r="L1246" s="92"/>
      <c r="M1246" s="120"/>
      <c r="N1246" s="82"/>
      <c r="O1246" s="44"/>
      <c r="P1246" s="44"/>
      <c r="Q1246" s="44"/>
      <c r="R1246" s="84"/>
      <c r="S1246" s="47"/>
      <c r="T1246" s="47"/>
    </row>
    <row r="1247" s="27" customFormat="1" ht="20" customHeight="1" spans="1:20">
      <c r="A1247" s="34"/>
      <c r="B1247" s="48">
        <v>11</v>
      </c>
      <c r="C1247" s="48"/>
      <c r="D1247" s="88"/>
      <c r="E1247" s="72"/>
      <c r="F1247" s="77"/>
      <c r="G1247" s="89"/>
      <c r="H1247" s="74"/>
      <c r="I1247" s="74"/>
      <c r="J1247" s="95"/>
      <c r="K1247" s="92">
        <f ca="1">H1247*K1223</f>
        <v>0</v>
      </c>
      <c r="L1247" s="92"/>
      <c r="M1247" s="44"/>
      <c r="N1247" s="82"/>
      <c r="O1247" s="44"/>
      <c r="P1247" s="44"/>
      <c r="Q1247" s="44"/>
      <c r="R1247" s="84"/>
      <c r="S1247" s="47"/>
      <c r="T1247" s="47"/>
    </row>
    <row r="1248" s="27" customFormat="1" ht="24" customHeight="1" spans="1:20">
      <c r="A1248" s="34"/>
      <c r="B1248" s="48">
        <v>12</v>
      </c>
      <c r="C1248" s="48"/>
      <c r="D1248" s="127" t="s">
        <v>541</v>
      </c>
      <c r="E1248" s="72" t="str">
        <f>+VLOOKUP(D1248,'材料表 '!C:F,2,0)</f>
        <v>m2</v>
      </c>
      <c r="F1248" s="77">
        <f>(3.49+0.075*2)/3.49</f>
        <v>1.04297994269341</v>
      </c>
      <c r="G1248" s="89">
        <f>+VLOOKUP(D1248,'材料表 '!C:F,4,0)</f>
        <v>0.02</v>
      </c>
      <c r="H1248" s="74">
        <f>F1248*(G1248+1)</f>
        <v>1.06383954154728</v>
      </c>
      <c r="I1248" s="74">
        <f>+VLOOKUP(D1248,'材料表 '!C:F,3,0)</f>
        <v>270.796460176991</v>
      </c>
      <c r="J1248" s="95">
        <f>H1248*I1248</f>
        <v>288.083982047316</v>
      </c>
      <c r="K1248" s="92">
        <f ca="1">H1248*K1223</f>
        <v>36.4448448000001</v>
      </c>
      <c r="L1248" s="92"/>
      <c r="M1248" s="44"/>
      <c r="N1248" s="44"/>
      <c r="O1248" s="44"/>
      <c r="P1248" s="44"/>
      <c r="Q1248" s="44"/>
      <c r="R1248" s="84"/>
      <c r="S1248" s="47"/>
      <c r="T1248" s="47"/>
    </row>
    <row r="1249" s="27" customFormat="1" ht="18" customHeight="1" spans="1:20">
      <c r="A1249" s="34"/>
      <c r="B1249" s="48">
        <v>13</v>
      </c>
      <c r="C1249" s="48"/>
      <c r="D1249" s="88"/>
      <c r="E1249" s="72"/>
      <c r="F1249" s="77"/>
      <c r="G1249" s="89"/>
      <c r="H1249" s="74"/>
      <c r="I1249" s="74"/>
      <c r="J1249" s="95"/>
      <c r="K1249" s="92">
        <f ca="1">H1249*K1223</f>
        <v>0</v>
      </c>
      <c r="L1249" s="92"/>
      <c r="M1249" s="44"/>
      <c r="N1249" s="44"/>
      <c r="O1249" s="44"/>
      <c r="P1249" s="44"/>
      <c r="Q1249" s="44"/>
      <c r="R1249" s="84"/>
      <c r="S1249" s="47"/>
      <c r="T1249" s="47"/>
    </row>
    <row r="1250" s="27" customFormat="1" ht="24" customHeight="1" spans="1:20">
      <c r="A1250" s="34"/>
      <c r="B1250" s="48">
        <v>14</v>
      </c>
      <c r="C1250" s="48"/>
      <c r="D1250" s="88"/>
      <c r="E1250" s="72"/>
      <c r="F1250" s="77"/>
      <c r="G1250" s="89"/>
      <c r="H1250" s="74"/>
      <c r="I1250" s="74"/>
      <c r="J1250" s="95"/>
      <c r="K1250" s="92">
        <f ca="1">H1250*K1223</f>
        <v>0</v>
      </c>
      <c r="L1250" s="92"/>
      <c r="M1250" s="44"/>
      <c r="N1250" s="44"/>
      <c r="O1250" s="44"/>
      <c r="P1250" s="44"/>
      <c r="Q1250" s="44"/>
      <c r="R1250" s="84"/>
      <c r="S1250" s="47"/>
      <c r="T1250" s="47"/>
    </row>
    <row r="1251" s="27" customFormat="1" ht="18" customHeight="1" spans="1:20">
      <c r="A1251" s="34"/>
      <c r="B1251" s="48">
        <v>15</v>
      </c>
      <c r="C1251" s="48"/>
      <c r="D1251" s="88"/>
      <c r="E1251" s="72"/>
      <c r="F1251" s="77"/>
      <c r="G1251" s="89"/>
      <c r="H1251" s="74"/>
      <c r="I1251" s="74"/>
      <c r="J1251" s="95"/>
      <c r="K1251" s="92"/>
      <c r="L1251" s="92"/>
      <c r="M1251" s="44"/>
      <c r="N1251" s="44"/>
      <c r="O1251" s="44"/>
      <c r="P1251" s="44"/>
      <c r="Q1251" s="44"/>
      <c r="R1251" s="84"/>
      <c r="S1251" s="47"/>
      <c r="T1251" s="47"/>
    </row>
    <row r="1252" s="27" customFormat="1" ht="18" customHeight="1" spans="1:20">
      <c r="A1252" s="34"/>
      <c r="B1252" s="48">
        <v>16</v>
      </c>
      <c r="C1252" s="48"/>
      <c r="D1252" s="88"/>
      <c r="E1252" s="72"/>
      <c r="F1252" s="77"/>
      <c r="G1252" s="89"/>
      <c r="H1252" s="74"/>
      <c r="I1252" s="74"/>
      <c r="J1252" s="95"/>
      <c r="K1252" s="92"/>
      <c r="L1252" s="92"/>
      <c r="M1252" s="44"/>
      <c r="N1252" s="44"/>
      <c r="O1252" s="44"/>
      <c r="P1252" s="44"/>
      <c r="Q1252" s="44"/>
      <c r="R1252" s="84"/>
      <c r="S1252" s="47"/>
      <c r="T1252" s="47"/>
    </row>
    <row r="1253" s="27" customFormat="1" ht="18" customHeight="1" spans="1:20">
      <c r="A1253" s="34"/>
      <c r="B1253" s="48">
        <v>17</v>
      </c>
      <c r="C1253" s="48"/>
      <c r="D1253" s="121"/>
      <c r="E1253" s="72"/>
      <c r="F1253" s="77"/>
      <c r="G1253" s="89"/>
      <c r="H1253" s="74"/>
      <c r="I1253" s="74"/>
      <c r="J1253" s="95"/>
      <c r="K1253" s="92"/>
      <c r="L1253" s="92"/>
      <c r="M1253" s="44"/>
      <c r="N1253" s="44"/>
      <c r="O1253" s="44"/>
      <c r="P1253" s="44"/>
      <c r="Q1253" s="101"/>
      <c r="R1253" s="84"/>
      <c r="S1253" s="47"/>
      <c r="T1253" s="47"/>
    </row>
    <row r="1254" s="27" customFormat="1" ht="18" customHeight="1" spans="1:20">
      <c r="A1254" s="34"/>
      <c r="B1254" s="48">
        <v>18</v>
      </c>
      <c r="C1254" s="48"/>
      <c r="D1254" s="88"/>
      <c r="E1254" s="72"/>
      <c r="F1254" s="77"/>
      <c r="G1254" s="89"/>
      <c r="H1254" s="74"/>
      <c r="I1254" s="74"/>
      <c r="J1254" s="95"/>
      <c r="K1254" s="92"/>
      <c r="L1254" s="92"/>
      <c r="M1254" s="44"/>
      <c r="N1254" s="44"/>
      <c r="O1254" s="44"/>
      <c r="P1254" s="44"/>
      <c r="Q1254" s="44"/>
      <c r="R1254" s="84"/>
      <c r="S1254" s="47"/>
      <c r="T1254" s="47"/>
    </row>
    <row r="1255" s="27" customFormat="1" ht="18" customHeight="1" spans="1:20">
      <c r="A1255" s="34"/>
      <c r="B1255" s="48">
        <v>19</v>
      </c>
      <c r="C1255" s="48"/>
      <c r="D1255" s="27"/>
      <c r="E1255" s="72"/>
      <c r="F1255" s="77"/>
      <c r="G1255" s="89"/>
      <c r="H1255" s="74"/>
      <c r="I1255" s="74"/>
      <c r="J1255" s="95"/>
      <c r="K1255" s="92"/>
      <c r="L1255" s="92"/>
      <c r="M1255" s="44"/>
      <c r="N1255" s="44"/>
      <c r="O1255" s="44"/>
      <c r="P1255" s="44"/>
      <c r="Q1255" s="44"/>
      <c r="R1255" s="84"/>
      <c r="S1255" s="47"/>
      <c r="T1255" s="47"/>
    </row>
    <row r="1256" s="27" customFormat="1" ht="18" customHeight="1" spans="1:20">
      <c r="A1256" s="34"/>
      <c r="B1256" s="48">
        <v>20</v>
      </c>
      <c r="C1256" s="48"/>
      <c r="D1256" s="88"/>
      <c r="E1256" s="72"/>
      <c r="F1256" s="77"/>
      <c r="G1256" s="89"/>
      <c r="H1256" s="74"/>
      <c r="I1256" s="74"/>
      <c r="J1256" s="95"/>
      <c r="K1256" s="92"/>
      <c r="L1256" s="92"/>
      <c r="M1256" s="44"/>
      <c r="N1256" s="44"/>
      <c r="O1256" s="44"/>
      <c r="P1256" s="44"/>
      <c r="Q1256" s="44"/>
      <c r="R1256" s="84"/>
      <c r="S1256" s="47"/>
      <c r="T1256" s="47"/>
    </row>
    <row r="1257" s="27" customFormat="1" ht="18" customHeight="1" spans="1:20">
      <c r="A1257" s="34"/>
      <c r="B1257" s="48">
        <v>21</v>
      </c>
      <c r="C1257" s="48"/>
      <c r="D1257" s="88"/>
      <c r="E1257" s="72"/>
      <c r="F1257" s="77"/>
      <c r="G1257" s="89"/>
      <c r="H1257" s="74"/>
      <c r="I1257" s="74"/>
      <c r="J1257" s="95"/>
      <c r="K1257" s="92"/>
      <c r="L1257" s="92"/>
      <c r="M1257" s="44"/>
      <c r="N1257" s="44"/>
      <c r="O1257" s="44"/>
      <c r="P1257" s="44"/>
      <c r="Q1257" s="44"/>
      <c r="R1257" s="84"/>
      <c r="S1257" s="47"/>
      <c r="T1257" s="47"/>
    </row>
    <row r="1258" s="27" customFormat="1" ht="18" customHeight="1" spans="1:20">
      <c r="A1258" s="34"/>
      <c r="B1258" s="48">
        <v>22</v>
      </c>
      <c r="C1258" s="48"/>
      <c r="D1258" s="27"/>
      <c r="E1258" s="72"/>
      <c r="F1258" s="77"/>
      <c r="G1258" s="72"/>
      <c r="H1258" s="74"/>
      <c r="I1258" s="74"/>
      <c r="J1258" s="95"/>
      <c r="K1258" s="92"/>
      <c r="L1258" s="92"/>
      <c r="M1258" s="44"/>
      <c r="N1258" s="44"/>
      <c r="O1258" s="44"/>
      <c r="P1258" s="44"/>
      <c r="Q1258" s="44"/>
      <c r="R1258" s="62"/>
      <c r="S1258" s="47"/>
      <c r="T1258" s="47"/>
    </row>
    <row r="1259" s="27" customFormat="1" ht="18" customHeight="1" spans="1:20">
      <c r="A1259" s="34"/>
      <c r="B1259" s="48">
        <v>23</v>
      </c>
      <c r="C1259" s="48"/>
      <c r="D1259" s="88"/>
      <c r="E1259" s="72"/>
      <c r="F1259" s="77"/>
      <c r="G1259" s="89"/>
      <c r="H1259" s="74"/>
      <c r="I1259" s="74"/>
      <c r="J1259" s="95"/>
      <c r="K1259" s="92"/>
      <c r="L1259" s="92"/>
      <c r="M1259" s="44"/>
      <c r="N1259" s="44"/>
      <c r="O1259" s="44"/>
      <c r="P1259" s="44"/>
      <c r="Q1259" s="44"/>
      <c r="R1259" s="62"/>
      <c r="S1259" s="47"/>
      <c r="T1259" s="47"/>
    </row>
    <row r="1260" s="27" customFormat="1" ht="18" customHeight="1" spans="1:20">
      <c r="A1260" s="34"/>
      <c r="B1260" s="48">
        <v>24</v>
      </c>
      <c r="C1260" s="48"/>
      <c r="D1260" s="88" t="s">
        <v>478</v>
      </c>
      <c r="E1260" s="72" t="s">
        <v>43</v>
      </c>
      <c r="F1260" s="77"/>
      <c r="G1260" s="72">
        <v>1</v>
      </c>
      <c r="H1260" s="74">
        <v>1</v>
      </c>
      <c r="I1260" s="74">
        <f>+辅材及安装费!$E$3</f>
        <v>5</v>
      </c>
      <c r="J1260" s="95">
        <f>H1260*I1260</f>
        <v>5</v>
      </c>
      <c r="K1260" s="92"/>
      <c r="L1260" s="92"/>
      <c r="M1260" s="44"/>
      <c r="N1260" s="44"/>
      <c r="O1260" s="44"/>
      <c r="P1260" s="44"/>
      <c r="Q1260" s="44"/>
      <c r="R1260" s="62"/>
      <c r="S1260" s="47"/>
      <c r="T1260" s="47"/>
    </row>
    <row r="1261" s="27" customFormat="1" ht="18" customHeight="1" spans="1:20">
      <c r="A1261" s="34"/>
      <c r="B1261" s="48">
        <v>25</v>
      </c>
      <c r="C1261" s="48"/>
      <c r="D1261" s="93" t="s">
        <v>442</v>
      </c>
      <c r="E1261" s="72"/>
      <c r="F1261" s="77"/>
      <c r="G1261" s="72"/>
      <c r="H1261" s="74"/>
      <c r="I1261" s="74"/>
      <c r="J1261" s="95">
        <f>SUM(J1237:J1260)</f>
        <v>412.170099727667</v>
      </c>
      <c r="K1261" s="92"/>
      <c r="L1261" s="94"/>
      <c r="M1261" s="27"/>
      <c r="N1261" s="83"/>
      <c r="O1261" s="83"/>
      <c r="P1261" s="83"/>
      <c r="Q1261" s="83"/>
      <c r="R1261" s="87"/>
      <c r="S1261" s="47"/>
      <c r="T1261" s="47"/>
    </row>
    <row r="1262" s="27" customFormat="1" ht="18" customHeight="1" spans="1:20">
      <c r="A1262" s="34"/>
      <c r="B1262" s="48">
        <v>1</v>
      </c>
      <c r="C1262" s="48" t="s">
        <v>443</v>
      </c>
      <c r="D1262" s="48" t="s">
        <v>444</v>
      </c>
      <c r="E1262" s="72" t="s">
        <v>43</v>
      </c>
      <c r="F1262" s="50"/>
      <c r="G1262" s="48"/>
      <c r="H1262" s="51">
        <v>1</v>
      </c>
      <c r="I1262" s="74">
        <f>+辅材及安装费!$F$3</f>
        <v>5</v>
      </c>
      <c r="J1262" s="95">
        <f>H1262*I1262</f>
        <v>5</v>
      </c>
      <c r="K1262" s="118"/>
      <c r="L1262" s="96"/>
      <c r="M1262" s="97"/>
      <c r="N1262" s="98"/>
      <c r="O1262" s="98"/>
      <c r="P1262" s="98"/>
      <c r="Q1262" s="98"/>
      <c r="R1262" s="99"/>
      <c r="S1262" s="47"/>
      <c r="T1262" s="47"/>
    </row>
    <row r="1263" s="26" customFormat="1" ht="30" customHeight="1" spans="1:20">
      <c r="A1263" s="28"/>
      <c r="B1263" s="29" t="s">
        <v>386</v>
      </c>
      <c r="C1263" s="29"/>
      <c r="D1263" s="29"/>
      <c r="E1263" s="29"/>
      <c r="F1263" s="29"/>
      <c r="G1263" s="29"/>
      <c r="H1263" s="29"/>
      <c r="I1263" s="29"/>
      <c r="J1263" s="29"/>
      <c r="K1263" s="29"/>
      <c r="L1263" s="30"/>
      <c r="M1263" s="31"/>
      <c r="N1263" s="31"/>
      <c r="O1263" s="31"/>
      <c r="P1263" s="31"/>
      <c r="Q1263" s="31"/>
      <c r="R1263" s="32"/>
      <c r="S1263" s="33"/>
      <c r="T1263" s="33"/>
    </row>
    <row r="1264" s="27" customFormat="1" ht="33.75" customHeight="1" spans="1:20">
      <c r="A1264" s="34">
        <v>21</v>
      </c>
      <c r="B1264" s="35" t="s">
        <v>1</v>
      </c>
      <c r="C1264" s="35" t="s">
        <v>387</v>
      </c>
      <c r="D1264" s="36" t="str">
        <f>+A1272</f>
        <v>葡萄牙米黄仿石铝板（瓦楞板）</v>
      </c>
      <c r="E1264" s="37"/>
      <c r="F1264" s="38" t="s">
        <v>119</v>
      </c>
      <c r="G1264" s="39"/>
      <c r="H1264" s="35" t="s">
        <v>388</v>
      </c>
      <c r="I1264" s="40" t="s">
        <v>389</v>
      </c>
      <c r="J1264" s="41" t="s">
        <v>37</v>
      </c>
      <c r="K1264" s="42">
        <f ca="1">VLOOKUP(A1264,排屋工程量清单!$A$59:$D$86,4,)</f>
        <v>142.086528</v>
      </c>
      <c r="L1264" s="43"/>
      <c r="M1264" s="44"/>
      <c r="N1264" s="44"/>
      <c r="O1264" s="44"/>
      <c r="P1264" s="45"/>
      <c r="Q1264" s="44"/>
      <c r="R1264" s="46"/>
      <c r="S1264" s="47"/>
      <c r="T1264" s="47"/>
    </row>
    <row r="1265" s="27" customFormat="1" ht="25" customHeight="1" spans="1:20">
      <c r="A1265" s="34"/>
      <c r="B1265" s="48">
        <v>1</v>
      </c>
      <c r="C1265" s="49" t="s">
        <v>390</v>
      </c>
      <c r="D1265" s="48" t="s">
        <v>391</v>
      </c>
      <c r="E1265" s="48"/>
      <c r="F1265" s="50"/>
      <c r="G1265" s="48"/>
      <c r="H1265" s="51"/>
      <c r="I1265" s="52">
        <f>J1277</f>
        <v>165</v>
      </c>
      <c r="J1265" s="53" t="s">
        <v>392</v>
      </c>
      <c r="K1265" s="54"/>
      <c r="L1265" s="55" t="s">
        <v>313</v>
      </c>
      <c r="M1265" s="56" t="s">
        <v>544</v>
      </c>
      <c r="N1265" s="57"/>
      <c r="O1265" s="57">
        <v>2.4</v>
      </c>
      <c r="P1265" s="57">
        <v>7.87</v>
      </c>
      <c r="Q1265" s="57">
        <v>1</v>
      </c>
      <c r="R1265" s="58">
        <f>+Q1265*P1265*O1265</f>
        <v>18.888</v>
      </c>
      <c r="S1265" s="47"/>
      <c r="T1265" s="47"/>
    </row>
    <row r="1266" s="27" customFormat="1" ht="18" customHeight="1" spans="1:20">
      <c r="A1266" s="34"/>
      <c r="B1266" s="48">
        <v>2</v>
      </c>
      <c r="C1266" s="59"/>
      <c r="D1266" s="48" t="s">
        <v>394</v>
      </c>
      <c r="E1266" s="48"/>
      <c r="F1266" s="50"/>
      <c r="G1266" s="48"/>
      <c r="H1266" s="51"/>
      <c r="I1266" s="52">
        <f>J1302</f>
        <v>508.27357470569</v>
      </c>
      <c r="J1266" s="53" t="s">
        <v>392</v>
      </c>
      <c r="K1266" s="60"/>
      <c r="L1266" s="61" t="s">
        <v>119</v>
      </c>
      <c r="M1266" s="44"/>
      <c r="N1266" s="44"/>
      <c r="O1266" s="44"/>
      <c r="P1266" s="44"/>
      <c r="Q1266" s="44"/>
      <c r="R1266" s="62"/>
      <c r="S1266" s="47"/>
      <c r="T1266" s="47"/>
    </row>
    <row r="1267" s="27" customFormat="1" ht="18" customHeight="1" spans="1:20">
      <c r="A1267" s="34"/>
      <c r="B1267" s="48">
        <v>3</v>
      </c>
      <c r="C1267" s="63"/>
      <c r="D1267" s="48" t="s">
        <v>395</v>
      </c>
      <c r="E1267" s="48"/>
      <c r="F1267" s="50"/>
      <c r="G1267" s="48"/>
      <c r="H1267" s="51"/>
      <c r="I1267" s="52">
        <f>J1303</f>
        <v>5</v>
      </c>
      <c r="J1267" s="53" t="s">
        <v>392</v>
      </c>
      <c r="K1267" s="60"/>
      <c r="L1267" s="60"/>
      <c r="M1267" s="65" t="s">
        <v>396</v>
      </c>
      <c r="N1267" s="65" t="s">
        <v>397</v>
      </c>
      <c r="O1267" s="65" t="s">
        <v>398</v>
      </c>
      <c r="P1267" s="65" t="s">
        <v>399</v>
      </c>
      <c r="Q1267" s="65" t="s">
        <v>400</v>
      </c>
      <c r="R1267" s="66" t="s">
        <v>401</v>
      </c>
      <c r="S1267" s="47"/>
      <c r="T1267" s="47"/>
    </row>
    <row r="1268" s="27" customFormat="1" ht="18" customHeight="1" spans="1:20">
      <c r="A1268" s="34"/>
      <c r="B1268" s="48">
        <v>4</v>
      </c>
      <c r="C1268" s="48" t="s">
        <v>402</v>
      </c>
      <c r="D1268" s="67" t="s">
        <v>403</v>
      </c>
      <c r="E1268" s="67"/>
      <c r="F1268" s="50"/>
      <c r="G1268" s="67"/>
      <c r="H1268" s="68"/>
      <c r="I1268" s="52">
        <f>SUM(I1265:I1267)</f>
        <v>678.27357470569</v>
      </c>
      <c r="J1268" s="53" t="s">
        <v>392</v>
      </c>
      <c r="K1268" s="60"/>
      <c r="L1268" s="69" t="s">
        <v>431</v>
      </c>
      <c r="M1268" s="34" t="s">
        <v>545</v>
      </c>
      <c r="N1268" s="34">
        <v>18.05</v>
      </c>
      <c r="O1268" s="34">
        <f>P1265</f>
        <v>7.87</v>
      </c>
      <c r="P1268" s="34">
        <v>2</v>
      </c>
      <c r="Q1268" s="44">
        <f t="shared" ref="Q1268:Q1275" si="151">+P1268*O1268*N1268</f>
        <v>284.107</v>
      </c>
      <c r="R1268" s="71">
        <f>+Q1268/R1265</f>
        <v>15.0416666666667</v>
      </c>
      <c r="S1268" s="47"/>
      <c r="T1268" s="47"/>
    </row>
    <row r="1269" s="27" customFormat="1" ht="28" customHeight="1" spans="1:20">
      <c r="A1269" s="34"/>
      <c r="B1269" s="48">
        <v>5</v>
      </c>
      <c r="C1269" s="72" t="s">
        <v>406</v>
      </c>
      <c r="D1269" s="48" t="s">
        <v>407</v>
      </c>
      <c r="E1269" s="48"/>
      <c r="F1269" s="50"/>
      <c r="G1269" s="48"/>
      <c r="H1269" s="73">
        <f>+'材料表 '!$E$178</f>
        <v>0</v>
      </c>
      <c r="I1269" s="52">
        <f>H1269*I1268</f>
        <v>0</v>
      </c>
      <c r="J1269" s="53" t="s">
        <v>392</v>
      </c>
      <c r="K1269" s="60"/>
      <c r="L1269" s="69" t="s">
        <v>431</v>
      </c>
      <c r="M1269" s="34" t="s">
        <v>523</v>
      </c>
      <c r="N1269" s="102">
        <v>4.52</v>
      </c>
      <c r="O1269" s="34">
        <f>O1265</f>
        <v>2.4</v>
      </c>
      <c r="P1269" s="34">
        <v>0</v>
      </c>
      <c r="Q1269" s="44">
        <f t="shared" si="151"/>
        <v>0</v>
      </c>
      <c r="R1269" s="71">
        <f>+Q1269/R1265</f>
        <v>0</v>
      </c>
      <c r="S1269" s="47"/>
      <c r="T1269" s="47"/>
    </row>
    <row r="1270" s="27" customFormat="1" ht="18" customHeight="1" spans="1:20">
      <c r="A1270" s="34"/>
      <c r="B1270" s="48">
        <v>6</v>
      </c>
      <c r="C1270" s="48" t="s">
        <v>409</v>
      </c>
      <c r="D1270" s="48" t="s">
        <v>410</v>
      </c>
      <c r="E1270" s="48"/>
      <c r="F1270" s="50"/>
      <c r="G1270" s="48"/>
      <c r="H1270" s="73">
        <f>+'材料表 '!$E$179</f>
        <v>0</v>
      </c>
      <c r="I1270" s="52">
        <f>H1270*I1268</f>
        <v>0</v>
      </c>
      <c r="J1270" s="53" t="s">
        <v>392</v>
      </c>
      <c r="K1270" s="60"/>
      <c r="L1270" s="69" t="s">
        <v>461</v>
      </c>
      <c r="M1270" s="34" t="s">
        <v>546</v>
      </c>
      <c r="N1270" s="34">
        <v>4.81</v>
      </c>
      <c r="O1270" s="34">
        <f>O1265</f>
        <v>2.4</v>
      </c>
      <c r="P1270" s="34">
        <v>7</v>
      </c>
      <c r="Q1270" s="44">
        <f t="shared" si="151"/>
        <v>80.808</v>
      </c>
      <c r="R1270" s="71">
        <f>+Q1270/R1265</f>
        <v>4.27827191867853</v>
      </c>
      <c r="S1270" s="47"/>
      <c r="T1270" s="47"/>
    </row>
    <row r="1271" s="27" customFormat="1" ht="18" customHeight="1" spans="1:20">
      <c r="A1271" s="34"/>
      <c r="B1271" s="48">
        <v>7</v>
      </c>
      <c r="C1271" s="48" t="s">
        <v>412</v>
      </c>
      <c r="D1271" s="72" t="s">
        <v>413</v>
      </c>
      <c r="E1271" s="72"/>
      <c r="F1271" s="77"/>
      <c r="G1271" s="72"/>
      <c r="H1271" s="73">
        <f>+'材料表 '!$E$180</f>
        <v>0.09</v>
      </c>
      <c r="I1271" s="52">
        <f>(I1268+I1269+I1270)*H1271</f>
        <v>61.0446217235121</v>
      </c>
      <c r="J1271" s="53" t="s">
        <v>392</v>
      </c>
      <c r="K1271" s="60"/>
      <c r="L1271" s="69" t="s">
        <v>463</v>
      </c>
      <c r="M1271" s="34" t="s">
        <v>464</v>
      </c>
      <c r="N1271" s="34">
        <f>0.15*0.2*7.85*10</f>
        <v>2.355</v>
      </c>
      <c r="O1271" s="34">
        <v>5</v>
      </c>
      <c r="P1271" s="34">
        <f>P1268</f>
        <v>2</v>
      </c>
      <c r="Q1271" s="44">
        <f t="shared" si="151"/>
        <v>23.55</v>
      </c>
      <c r="R1271" s="71">
        <f>+Q1271/R1265</f>
        <v>1.24682337992376</v>
      </c>
      <c r="S1271" s="47"/>
      <c r="T1271" s="47"/>
    </row>
    <row r="1272" s="27" customFormat="1" ht="18" customHeight="1" spans="1:20">
      <c r="A1272" s="105" t="s">
        <v>159</v>
      </c>
      <c r="B1272" s="48">
        <v>8</v>
      </c>
      <c r="C1272" s="48" t="s">
        <v>363</v>
      </c>
      <c r="D1272" s="106" t="s">
        <v>415</v>
      </c>
      <c r="E1272" s="107"/>
      <c r="F1272" s="108"/>
      <c r="G1272" s="107"/>
      <c r="H1272" s="51"/>
      <c r="I1272" s="74">
        <f>SUM(I1268:I1271)</f>
        <v>739.318196429202</v>
      </c>
      <c r="J1272" s="53" t="s">
        <v>416</v>
      </c>
      <c r="K1272" s="60"/>
      <c r="L1272" s="69" t="s">
        <v>465</v>
      </c>
      <c r="M1272" s="34" t="s">
        <v>503</v>
      </c>
      <c r="N1272" s="126">
        <v>7.034</v>
      </c>
      <c r="O1272" s="34">
        <f>85/1000</f>
        <v>0.085</v>
      </c>
      <c r="P1272" s="44">
        <f>5*P1268</f>
        <v>10</v>
      </c>
      <c r="Q1272" s="44">
        <f t="shared" si="151"/>
        <v>5.9789</v>
      </c>
      <c r="R1272" s="84">
        <f>+Q1272/R1265</f>
        <v>0.316544896230411</v>
      </c>
      <c r="S1272" s="79"/>
      <c r="T1272" s="47"/>
    </row>
    <row r="1273" s="27" customFormat="1" ht="18" customHeight="1" spans="1:20">
      <c r="A1273" s="34"/>
      <c r="B1273" s="109" t="s">
        <v>418</v>
      </c>
      <c r="C1273" s="110"/>
      <c r="D1273" s="110"/>
      <c r="E1273" s="110"/>
      <c r="F1273" s="110"/>
      <c r="G1273" s="110"/>
      <c r="H1273" s="110"/>
      <c r="I1273" s="110"/>
      <c r="J1273" s="110"/>
      <c r="K1273" s="80"/>
      <c r="L1273" s="69" t="s">
        <v>433</v>
      </c>
      <c r="M1273" s="44" t="s">
        <v>505</v>
      </c>
      <c r="N1273" s="82">
        <f>0.056*3*2.71+0.0675*3*2.71</f>
        <v>1.004055</v>
      </c>
      <c r="O1273" s="44">
        <f>P1265</f>
        <v>7.87</v>
      </c>
      <c r="P1273" s="44">
        <f>P1268</f>
        <v>2</v>
      </c>
      <c r="Q1273" s="44">
        <f t="shared" si="151"/>
        <v>15.8038257</v>
      </c>
      <c r="R1273" s="84">
        <f>+Q1273/R1265</f>
        <v>0.8367125</v>
      </c>
      <c r="S1273" s="47"/>
      <c r="T1273" s="47"/>
    </row>
    <row r="1274" s="27" customFormat="1" ht="18" customHeight="1" spans="1:20">
      <c r="A1274" s="34"/>
      <c r="B1274" s="48">
        <v>1</v>
      </c>
      <c r="C1274" s="48" t="s">
        <v>391</v>
      </c>
      <c r="D1274" s="48" t="s">
        <v>396</v>
      </c>
      <c r="E1274" s="48" t="s">
        <v>37</v>
      </c>
      <c r="F1274" s="50"/>
      <c r="G1274" s="48"/>
      <c r="H1274" s="51" t="s">
        <v>399</v>
      </c>
      <c r="I1274" s="51" t="s">
        <v>420</v>
      </c>
      <c r="J1274" s="95" t="s">
        <v>421</v>
      </c>
      <c r="K1274" s="92"/>
      <c r="L1274" s="69" t="s">
        <v>433</v>
      </c>
      <c r="M1274" s="44" t="s">
        <v>504</v>
      </c>
      <c r="N1274" s="82">
        <f>0.056*3*2.71+0.0675*3*2.71</f>
        <v>1.004055</v>
      </c>
      <c r="O1274" s="44">
        <f>O1265</f>
        <v>2.4</v>
      </c>
      <c r="P1274" s="44">
        <v>7</v>
      </c>
      <c r="Q1274" s="44">
        <f t="shared" si="151"/>
        <v>16.868124</v>
      </c>
      <c r="R1274" s="84">
        <f>+Q1274/R1265</f>
        <v>0.893060355781449</v>
      </c>
      <c r="S1274" s="47"/>
      <c r="T1274" s="47"/>
    </row>
    <row r="1275" s="27" customFormat="1" ht="18" customHeight="1" spans="1:20">
      <c r="A1275" s="34"/>
      <c r="B1275" s="48">
        <v>2</v>
      </c>
      <c r="C1275" s="48"/>
      <c r="D1275" s="111" t="s">
        <v>491</v>
      </c>
      <c r="E1275" s="49" t="s">
        <v>423</v>
      </c>
      <c r="F1275" s="112"/>
      <c r="G1275" s="111"/>
      <c r="H1275" s="113">
        <v>1</v>
      </c>
      <c r="I1275" s="113">
        <f>+辅材及安装费!$G$3</f>
        <v>165</v>
      </c>
      <c r="J1275" s="114">
        <f t="shared" ref="J1275:J1287" si="152">H1275*I1275</f>
        <v>165</v>
      </c>
      <c r="K1275" s="92"/>
      <c r="L1275" s="69" t="s">
        <v>433</v>
      </c>
      <c r="M1275" s="44" t="s">
        <v>498</v>
      </c>
      <c r="N1275" s="82">
        <f>0.045*3*2.71</f>
        <v>0.36585</v>
      </c>
      <c r="O1275" s="44">
        <f>O1265</f>
        <v>2.4</v>
      </c>
      <c r="P1275" s="44">
        <v>0</v>
      </c>
      <c r="Q1275" s="44">
        <f t="shared" si="151"/>
        <v>0</v>
      </c>
      <c r="R1275" s="84">
        <f>Q1275/R1265</f>
        <v>0</v>
      </c>
      <c r="S1275" s="47"/>
      <c r="T1275" s="47"/>
    </row>
    <row r="1276" s="27" customFormat="1" ht="18" customHeight="1" spans="1:20">
      <c r="A1276" s="34"/>
      <c r="B1276" s="48">
        <v>3</v>
      </c>
      <c r="C1276" s="48"/>
      <c r="D1276" s="115"/>
      <c r="E1276" s="63"/>
      <c r="F1276" s="116"/>
      <c r="G1276" s="115"/>
      <c r="H1276" s="117"/>
      <c r="I1276" s="117"/>
      <c r="J1276" s="118"/>
      <c r="K1276" s="92"/>
      <c r="L1276" s="90" t="s">
        <v>472</v>
      </c>
      <c r="M1276" s="44"/>
      <c r="N1276" s="82"/>
      <c r="O1276" s="44"/>
      <c r="P1276" s="44">
        <f>O1271*P1271*0</f>
        <v>0</v>
      </c>
      <c r="Q1276" s="44">
        <f>+P1276</f>
        <v>0</v>
      </c>
      <c r="R1276" s="84">
        <f>+Q1276/R1265</f>
        <v>0</v>
      </c>
      <c r="S1276" s="47"/>
      <c r="T1276" s="47"/>
    </row>
    <row r="1277" s="27" customFormat="1" ht="18" customHeight="1" spans="1:20">
      <c r="A1277" s="34"/>
      <c r="B1277" s="48">
        <v>4</v>
      </c>
      <c r="C1277" s="48"/>
      <c r="D1277" s="85" t="s">
        <v>426</v>
      </c>
      <c r="E1277" s="48" t="s">
        <v>392</v>
      </c>
      <c r="F1277" s="50"/>
      <c r="G1277" s="48"/>
      <c r="H1277" s="86"/>
      <c r="I1277" s="86"/>
      <c r="J1277" s="95">
        <f>SUM(J1275:J1275)</f>
        <v>165</v>
      </c>
      <c r="K1277" s="92"/>
      <c r="L1277" s="90"/>
      <c r="M1277" s="44"/>
      <c r="N1277" s="82"/>
      <c r="O1277" s="44"/>
      <c r="P1277" s="44"/>
      <c r="Q1277" s="44"/>
      <c r="R1277" s="84"/>
      <c r="S1277" s="47"/>
      <c r="T1277" s="47"/>
    </row>
    <row r="1278" s="27" customFormat="1" ht="22" customHeight="1" spans="1:20">
      <c r="A1278" s="34"/>
      <c r="B1278" s="48">
        <v>1</v>
      </c>
      <c r="C1278" s="48" t="s">
        <v>394</v>
      </c>
      <c r="D1278" s="88" t="s">
        <v>431</v>
      </c>
      <c r="E1278" s="72" t="str">
        <f>+VLOOKUP(D1278,'材料表 '!C:F,2,0)</f>
        <v>kg</v>
      </c>
      <c r="F1278" s="77">
        <f>+SUMIF($L$1265:$L$1303,D1278,$R$1265:$R$1303)</f>
        <v>15.0416666666667</v>
      </c>
      <c r="G1278" s="89">
        <f>+VLOOKUP(D1278,'材料表 '!C:F,4,0)</f>
        <v>0.03</v>
      </c>
      <c r="H1278" s="74">
        <f t="shared" ref="H1278:H1287" si="153">F1278*(G1278+1)</f>
        <v>15.4929166666667</v>
      </c>
      <c r="I1278" s="74">
        <f>+VLOOKUP(D1278,'材料表 '!C:F,3,0)</f>
        <v>3.80530973451327</v>
      </c>
      <c r="J1278" s="95">
        <f t="shared" si="152"/>
        <v>58.9553466076697</v>
      </c>
      <c r="K1278" s="92">
        <f ca="1">H1278*K1264</f>
        <v>2201.33473776</v>
      </c>
      <c r="L1278" s="90"/>
      <c r="M1278" s="44"/>
      <c r="N1278" s="82"/>
      <c r="O1278" s="44"/>
      <c r="P1278" s="44"/>
      <c r="Q1278" s="44"/>
      <c r="R1278" s="84"/>
      <c r="S1278" s="47"/>
      <c r="T1278" s="47"/>
    </row>
    <row r="1279" s="27" customFormat="1" ht="18" customHeight="1" spans="1:20">
      <c r="A1279" s="34"/>
      <c r="B1279" s="48">
        <v>2</v>
      </c>
      <c r="C1279" s="48"/>
      <c r="D1279" s="88" t="s">
        <v>461</v>
      </c>
      <c r="E1279" s="72" t="str">
        <f>+VLOOKUP(D1279,'材料表 '!C:F,2,0)</f>
        <v>kg</v>
      </c>
      <c r="F1279" s="77">
        <f t="shared" ref="F1279:F1287" si="154">+SUMIF($L$1265:$L$1303,D1279,$R$1265:$R$1303)</f>
        <v>4.27827191867853</v>
      </c>
      <c r="G1279" s="89">
        <f>+VLOOKUP(D1279,'材料表 '!C:F,4,0)</f>
        <v>0.03</v>
      </c>
      <c r="H1279" s="74">
        <f t="shared" si="153"/>
        <v>4.40662007623889</v>
      </c>
      <c r="I1279" s="74">
        <f>+VLOOKUP(D1279,'材料表 '!C:F,3,0)</f>
        <v>3.53982300884956</v>
      </c>
      <c r="J1279" s="95">
        <f t="shared" si="152"/>
        <v>15.5986551371288</v>
      </c>
      <c r="K1279" s="92">
        <f ca="1">H1279*K1264</f>
        <v>626.121346847879</v>
      </c>
      <c r="L1279" s="90"/>
      <c r="M1279" s="44"/>
      <c r="N1279" s="82"/>
      <c r="O1279" s="44"/>
      <c r="P1279" s="44"/>
      <c r="Q1279" s="44"/>
      <c r="R1279" s="84"/>
      <c r="S1279" s="47"/>
      <c r="T1279" s="47"/>
    </row>
    <row r="1280" s="27" customFormat="1" ht="18" customHeight="1" spans="1:20">
      <c r="A1280" s="34"/>
      <c r="B1280" s="48">
        <v>3</v>
      </c>
      <c r="C1280" s="48"/>
      <c r="D1280" s="88" t="s">
        <v>465</v>
      </c>
      <c r="E1280" s="72" t="str">
        <f>+VLOOKUP(D1280,'材料表 '!C:F,2,0)</f>
        <v>kg</v>
      </c>
      <c r="F1280" s="77">
        <f t="shared" si="154"/>
        <v>0.316544896230411</v>
      </c>
      <c r="G1280" s="89">
        <f>+VLOOKUP(D1280,'材料表 '!C:F,4,0)</f>
        <v>0.03</v>
      </c>
      <c r="H1280" s="74">
        <f t="shared" si="153"/>
        <v>0.326041243117323</v>
      </c>
      <c r="I1280" s="74">
        <f>+VLOOKUP(D1280,'材料表 '!C:F,3,0)</f>
        <v>6.01769911504425</v>
      </c>
      <c r="J1280" s="95">
        <f t="shared" si="152"/>
        <v>1.96201810017504</v>
      </c>
      <c r="K1280" s="92">
        <f ca="1">H1280*K1264</f>
        <v>46.3260682193443</v>
      </c>
      <c r="L1280" s="90"/>
      <c r="M1280" s="44"/>
      <c r="N1280" s="82"/>
      <c r="O1280" s="44"/>
      <c r="P1280" s="44"/>
      <c r="Q1280" s="44">
        <f>+P1280*O1280</f>
        <v>0</v>
      </c>
      <c r="R1280" s="84">
        <f>+Q1280/R1265</f>
        <v>0</v>
      </c>
      <c r="S1280" s="47"/>
      <c r="T1280" s="47"/>
    </row>
    <row r="1281" s="27" customFormat="1" ht="18" customHeight="1" spans="1:20">
      <c r="A1281" s="34"/>
      <c r="B1281" s="48">
        <v>4</v>
      </c>
      <c r="C1281" s="48"/>
      <c r="D1281" s="88" t="s">
        <v>463</v>
      </c>
      <c r="E1281" s="72" t="str">
        <f>+VLOOKUP(D1281,'材料表 '!C:F,2,0)</f>
        <v>kg</v>
      </c>
      <c r="F1281" s="77">
        <f t="shared" si="154"/>
        <v>1.24682337992376</v>
      </c>
      <c r="G1281" s="89">
        <f>+VLOOKUP(D1281,'材料表 '!C:F,4,0)</f>
        <v>0.03</v>
      </c>
      <c r="H1281" s="74">
        <f t="shared" si="153"/>
        <v>1.28422808132147</v>
      </c>
      <c r="I1281" s="74">
        <f>+VLOOKUP(D1281,'材料表 '!C:F,3,0)</f>
        <v>6.01769911504425</v>
      </c>
      <c r="J1281" s="95">
        <f t="shared" si="152"/>
        <v>7.7280981884832</v>
      </c>
      <c r="K1281" s="92">
        <f ca="1">H1281*K1264</f>
        <v>182.471509235069</v>
      </c>
      <c r="L1281" s="90" t="s">
        <v>474</v>
      </c>
      <c r="M1281" s="44"/>
      <c r="N1281" s="82"/>
      <c r="O1281" s="44"/>
      <c r="P1281" s="44"/>
      <c r="Q1281" s="44">
        <f>+O1271*P1271*4</f>
        <v>40</v>
      </c>
      <c r="R1281" s="84">
        <f>+Q1281/R1265</f>
        <v>2.11774671749259</v>
      </c>
      <c r="S1281" s="47"/>
      <c r="T1281" s="47"/>
    </row>
    <row r="1282" s="27" customFormat="1" ht="18" customHeight="1" spans="1:20">
      <c r="A1282" s="34"/>
      <c r="B1282" s="48">
        <v>5</v>
      </c>
      <c r="C1282" s="48"/>
      <c r="D1282" s="88" t="s">
        <v>433</v>
      </c>
      <c r="E1282" s="72" t="str">
        <f>+VLOOKUP(D1282,'材料表 '!C:F,2,0)</f>
        <v>kg</v>
      </c>
      <c r="F1282" s="77">
        <f t="shared" si="154"/>
        <v>1.72977285578145</v>
      </c>
      <c r="G1282" s="89">
        <f>+VLOOKUP(D1282,'材料表 '!C:F,4,0)</f>
        <v>0.03</v>
      </c>
      <c r="H1282" s="74">
        <f t="shared" si="153"/>
        <v>1.78166604145489</v>
      </c>
      <c r="I1282" s="74">
        <f>+VLOOKUP(D1282,'材料表 '!C:F,3,0)</f>
        <v>26.1150442477876</v>
      </c>
      <c r="J1282" s="95">
        <f t="shared" si="152"/>
        <v>46.5282875073751</v>
      </c>
      <c r="K1282" s="92">
        <f ca="1">H1282*K1264</f>
        <v>253.150741885829</v>
      </c>
      <c r="L1282" s="92" t="s">
        <v>476</v>
      </c>
      <c r="M1282" s="44"/>
      <c r="N1282" s="82"/>
      <c r="O1282" s="44"/>
      <c r="P1282" s="44"/>
      <c r="Q1282" s="44">
        <f>8*8*(O1265*2+P1265*7)/500</f>
        <v>7.66592</v>
      </c>
      <c r="R1282" s="84">
        <f>+Q1282/R1265</f>
        <v>0.40586192291402</v>
      </c>
      <c r="S1282" s="47"/>
      <c r="T1282" s="47"/>
    </row>
    <row r="1283" s="27" customFormat="1" ht="18" customHeight="1" spans="1:20">
      <c r="A1283" s="34"/>
      <c r="B1283" s="48">
        <v>6</v>
      </c>
      <c r="C1283" s="48"/>
      <c r="D1283" s="88" t="s">
        <v>434</v>
      </c>
      <c r="E1283" s="72" t="str">
        <f>+VLOOKUP(D1283,'材料表 '!C:F,2,0)</f>
        <v>m2</v>
      </c>
      <c r="F1283" s="77">
        <f t="shared" si="154"/>
        <v>0</v>
      </c>
      <c r="G1283" s="89">
        <f>+VLOOKUP(D1283,'材料表 '!C:F,4,0)</f>
        <v>0</v>
      </c>
      <c r="H1283" s="74">
        <f t="shared" si="153"/>
        <v>0</v>
      </c>
      <c r="I1283" s="74">
        <f>+VLOOKUP(D1283,'材料表 '!C:F,3,0)</f>
        <v>49.5575221238938</v>
      </c>
      <c r="J1283" s="95">
        <f t="shared" si="152"/>
        <v>0</v>
      </c>
      <c r="K1283" s="92">
        <f ca="1">H1283*K1264</f>
        <v>0</v>
      </c>
      <c r="L1283" s="92" t="s">
        <v>499</v>
      </c>
      <c r="M1283" s="44"/>
      <c r="N1283" s="82"/>
      <c r="O1283" s="44"/>
      <c r="P1283" s="44"/>
      <c r="Q1283" s="44">
        <v>0</v>
      </c>
      <c r="R1283" s="84">
        <f>Q1283/R1265</f>
        <v>0</v>
      </c>
      <c r="S1283" s="47"/>
      <c r="T1283" s="47"/>
    </row>
    <row r="1284" s="27" customFormat="1" ht="18" customHeight="1" spans="1:20">
      <c r="A1284" s="34"/>
      <c r="B1284" s="48">
        <v>7</v>
      </c>
      <c r="C1284" s="48"/>
      <c r="D1284" s="88" t="s">
        <v>472</v>
      </c>
      <c r="E1284" s="72" t="str">
        <f>+VLOOKUP(D1284,'材料表 '!C:F,2,0)</f>
        <v>套</v>
      </c>
      <c r="F1284" s="77">
        <f t="shared" si="154"/>
        <v>0</v>
      </c>
      <c r="G1284" s="89">
        <f>+VLOOKUP(D1284,'材料表 '!C:F,4,0)</f>
        <v>0</v>
      </c>
      <c r="H1284" s="74">
        <f t="shared" si="153"/>
        <v>0</v>
      </c>
      <c r="I1284" s="74">
        <f>+VLOOKUP(D1284,'材料表 '!C:F,3,0)</f>
        <v>2.47787610619469</v>
      </c>
      <c r="J1284" s="95">
        <f t="shared" si="152"/>
        <v>0</v>
      </c>
      <c r="K1284" s="92">
        <f ca="1">H1284*K1264</f>
        <v>0</v>
      </c>
      <c r="L1284" s="92"/>
      <c r="M1284" s="44"/>
      <c r="N1284" s="82"/>
      <c r="O1284" s="44"/>
      <c r="P1284" s="44"/>
      <c r="Q1284" s="44"/>
      <c r="R1284" s="84"/>
      <c r="S1284" s="47"/>
      <c r="T1284" s="47"/>
    </row>
    <row r="1285" s="27" customFormat="1" ht="18" customHeight="1" spans="1:20">
      <c r="A1285" s="34"/>
      <c r="B1285" s="48">
        <v>8</v>
      </c>
      <c r="C1285" s="48"/>
      <c r="D1285" s="88" t="s">
        <v>474</v>
      </c>
      <c r="E1285" s="72" t="str">
        <f>+VLOOKUP(D1285,'材料表 '!C:F,2,0)</f>
        <v>套</v>
      </c>
      <c r="F1285" s="77">
        <f t="shared" si="154"/>
        <v>2.11774671749259</v>
      </c>
      <c r="G1285" s="89">
        <f>+VLOOKUP(D1285,'材料表 '!C:F,4,0)</f>
        <v>0</v>
      </c>
      <c r="H1285" s="74">
        <f t="shared" si="153"/>
        <v>2.11774671749259</v>
      </c>
      <c r="I1285" s="74">
        <f>+VLOOKUP(D1285,'材料表 '!C:F,3,0)</f>
        <v>2.21238938053097</v>
      </c>
      <c r="J1285" s="95">
        <f t="shared" si="152"/>
        <v>4.68528034843493</v>
      </c>
      <c r="K1285" s="92">
        <f ca="1">H1285*K1264</f>
        <v>300.903278271919</v>
      </c>
      <c r="L1285" s="92"/>
      <c r="M1285" s="44"/>
      <c r="N1285" s="82"/>
      <c r="O1285" s="44"/>
      <c r="P1285" s="44"/>
      <c r="Q1285" s="44"/>
      <c r="R1285" s="84"/>
      <c r="S1285" s="47"/>
      <c r="T1285" s="47"/>
    </row>
    <row r="1286" s="27" customFormat="1" ht="18" customHeight="1" spans="1:20">
      <c r="A1286" s="34"/>
      <c r="B1286" s="48">
        <v>9</v>
      </c>
      <c r="C1286" s="48"/>
      <c r="D1286" s="88" t="s">
        <v>476</v>
      </c>
      <c r="E1286" s="72" t="str">
        <f>+VLOOKUP(D1286,'材料表 '!C:F,2,0)</f>
        <v>支</v>
      </c>
      <c r="F1286" s="77">
        <f t="shared" si="154"/>
        <v>0.40586192291402</v>
      </c>
      <c r="G1286" s="89">
        <f>+VLOOKUP(D1286,'材料表 '!C:F,4,0)</f>
        <v>0.15</v>
      </c>
      <c r="H1286" s="74">
        <f t="shared" si="153"/>
        <v>0.466741211351123</v>
      </c>
      <c r="I1286" s="74">
        <f>+VLOOKUP(D1286,'材料表 '!C:F,3,0)</f>
        <v>11.5044247787611</v>
      </c>
      <c r="J1286" s="95">
        <f t="shared" si="152"/>
        <v>5.36958915713683</v>
      </c>
      <c r="K1286" s="92">
        <f ca="1">H1286*K1264</f>
        <v>66.3176381953953</v>
      </c>
      <c r="L1286" s="90"/>
      <c r="M1286" s="44"/>
      <c r="N1286" s="82"/>
      <c r="O1286" s="34"/>
      <c r="P1286" s="44"/>
      <c r="Q1286" s="44"/>
      <c r="R1286" s="119"/>
      <c r="S1286" s="47"/>
      <c r="T1286" s="47"/>
    </row>
    <row r="1287" s="27" customFormat="1" ht="23" customHeight="1" spans="1:20">
      <c r="A1287" s="34"/>
      <c r="B1287" s="48">
        <v>10</v>
      </c>
      <c r="C1287" s="48"/>
      <c r="D1287" s="88" t="s">
        <v>499</v>
      </c>
      <c r="E1287" s="72" t="str">
        <f>+VLOOKUP(D1287,'材料表 '!C:F,2,0)</f>
        <v>套</v>
      </c>
      <c r="F1287" s="77">
        <f t="shared" si="154"/>
        <v>0</v>
      </c>
      <c r="G1287" s="89">
        <f>+VLOOKUP(D1287,'材料表 '!C:F,4,0)</f>
        <v>0</v>
      </c>
      <c r="H1287" s="74">
        <f t="shared" si="153"/>
        <v>0</v>
      </c>
      <c r="I1287" s="74">
        <f>+VLOOKUP(D1287,'材料表 '!C:F,3,0)</f>
        <v>1.32743362831858</v>
      </c>
      <c r="J1287" s="95">
        <f t="shared" si="152"/>
        <v>0</v>
      </c>
      <c r="K1287" s="92">
        <f ca="1">H1287*K1264</f>
        <v>0</v>
      </c>
      <c r="L1287" s="92"/>
      <c r="M1287" s="120"/>
      <c r="N1287" s="82"/>
      <c r="O1287" s="44"/>
      <c r="P1287" s="44"/>
      <c r="Q1287" s="44"/>
      <c r="R1287" s="84"/>
      <c r="S1287" s="47"/>
      <c r="T1287" s="47"/>
    </row>
    <row r="1288" s="27" customFormat="1" ht="20" customHeight="1" spans="1:20">
      <c r="A1288" s="34"/>
      <c r="B1288" s="48">
        <v>11</v>
      </c>
      <c r="C1288" s="48"/>
      <c r="D1288" s="88"/>
      <c r="E1288" s="72"/>
      <c r="F1288" s="77"/>
      <c r="G1288" s="89"/>
      <c r="H1288" s="74"/>
      <c r="I1288" s="74"/>
      <c r="J1288" s="95"/>
      <c r="K1288" s="92">
        <f ca="1">H1288*K1264</f>
        <v>0</v>
      </c>
      <c r="L1288" s="92"/>
      <c r="M1288" s="44"/>
      <c r="N1288" s="82"/>
      <c r="O1288" s="44"/>
      <c r="P1288" s="44"/>
      <c r="Q1288" s="44"/>
      <c r="R1288" s="84"/>
      <c r="S1288" s="47"/>
      <c r="T1288" s="47"/>
    </row>
    <row r="1289" s="27" customFormat="1" ht="24" customHeight="1" spans="1:20">
      <c r="A1289" s="34"/>
      <c r="B1289" s="48">
        <v>12</v>
      </c>
      <c r="C1289" s="48"/>
      <c r="D1289" s="127" t="s">
        <v>547</v>
      </c>
      <c r="E1289" s="72" t="str">
        <f>+VLOOKUP(D1289,'材料表 '!C:F,2,0)</f>
        <v>m2</v>
      </c>
      <c r="F1289" s="128">
        <f>(O1265+0.095*2)*(P1265+0.095*12)/R1265</f>
        <v>1.23548814061838</v>
      </c>
      <c r="G1289" s="89">
        <f>+VLOOKUP(D1289,'材料表 '!C:F,4,0)</f>
        <v>0.02</v>
      </c>
      <c r="H1289" s="74">
        <f>F1289*(G1289+1)</f>
        <v>1.26019790343075</v>
      </c>
      <c r="I1289" s="74">
        <f>+VLOOKUP(D1289,'材料表 '!C:F,3,0)</f>
        <v>287.610619469027</v>
      </c>
      <c r="J1289" s="95">
        <f>H1289*I1289</f>
        <v>362.446299659286</v>
      </c>
      <c r="K1289" s="92">
        <f ca="1">H1289*K1264</f>
        <v>179.057144691355</v>
      </c>
      <c r="L1289" s="92"/>
      <c r="M1289" s="44"/>
      <c r="N1289" s="44"/>
      <c r="O1289" s="44"/>
      <c r="P1289" s="44"/>
      <c r="Q1289" s="44"/>
      <c r="R1289" s="84"/>
      <c r="S1289" s="47"/>
      <c r="T1289" s="47"/>
    </row>
    <row r="1290" s="27" customFormat="1" ht="18" customHeight="1" spans="1:20">
      <c r="A1290" s="34"/>
      <c r="B1290" s="48">
        <v>13</v>
      </c>
      <c r="C1290" s="48"/>
      <c r="D1290" s="88"/>
      <c r="E1290" s="72"/>
      <c r="F1290" s="77"/>
      <c r="G1290" s="89"/>
      <c r="H1290" s="74"/>
      <c r="I1290" s="74"/>
      <c r="J1290" s="95"/>
      <c r="K1290" s="92">
        <f ca="1">H1290*K1264</f>
        <v>0</v>
      </c>
      <c r="L1290" s="92"/>
      <c r="M1290" s="44"/>
      <c r="N1290" s="44"/>
      <c r="O1290" s="44"/>
      <c r="P1290" s="44"/>
      <c r="Q1290" s="44"/>
      <c r="R1290" s="84"/>
      <c r="S1290" s="47"/>
      <c r="T1290" s="47"/>
    </row>
    <row r="1291" s="27" customFormat="1" ht="24" customHeight="1" spans="1:20">
      <c r="A1291" s="34"/>
      <c r="B1291" s="48">
        <v>14</v>
      </c>
      <c r="C1291" s="48"/>
      <c r="D1291" s="88"/>
      <c r="E1291" s="72"/>
      <c r="F1291" s="77"/>
      <c r="G1291" s="89"/>
      <c r="H1291" s="74"/>
      <c r="I1291" s="74"/>
      <c r="J1291" s="95"/>
      <c r="K1291" s="92">
        <f ca="1">H1291*K1264</f>
        <v>0</v>
      </c>
      <c r="L1291" s="92"/>
      <c r="M1291" s="44"/>
      <c r="N1291" s="44"/>
      <c r="O1291" s="44"/>
      <c r="P1291" s="44"/>
      <c r="Q1291" s="44"/>
      <c r="R1291" s="84"/>
      <c r="S1291" s="47"/>
      <c r="T1291" s="47"/>
    </row>
    <row r="1292" s="27" customFormat="1" ht="18" customHeight="1" spans="1:20">
      <c r="A1292" s="34"/>
      <c r="B1292" s="48">
        <v>15</v>
      </c>
      <c r="C1292" s="48"/>
      <c r="D1292" s="88"/>
      <c r="E1292" s="72"/>
      <c r="F1292" s="77"/>
      <c r="G1292" s="89"/>
      <c r="H1292" s="74"/>
      <c r="I1292" s="74"/>
      <c r="J1292" s="95"/>
      <c r="K1292" s="92"/>
      <c r="L1292" s="92"/>
      <c r="M1292" s="44"/>
      <c r="N1292" s="44"/>
      <c r="O1292" s="44"/>
      <c r="P1292" s="44"/>
      <c r="Q1292" s="44"/>
      <c r="R1292" s="84"/>
      <c r="S1292" s="47"/>
      <c r="T1292" s="47"/>
    </row>
    <row r="1293" s="27" customFormat="1" ht="18" customHeight="1" spans="1:20">
      <c r="A1293" s="34"/>
      <c r="B1293" s="48">
        <v>16</v>
      </c>
      <c r="C1293" s="48"/>
      <c r="D1293" s="88"/>
      <c r="E1293" s="72"/>
      <c r="F1293" s="77"/>
      <c r="G1293" s="89"/>
      <c r="H1293" s="74"/>
      <c r="I1293" s="74"/>
      <c r="J1293" s="95"/>
      <c r="K1293" s="92"/>
      <c r="L1293" s="92"/>
      <c r="M1293" s="44"/>
      <c r="N1293" s="44"/>
      <c r="O1293" s="44"/>
      <c r="P1293" s="44"/>
      <c r="Q1293" s="44"/>
      <c r="R1293" s="84"/>
      <c r="S1293" s="47"/>
      <c r="T1293" s="47"/>
    </row>
    <row r="1294" s="27" customFormat="1" ht="18" customHeight="1" spans="1:20">
      <c r="A1294" s="34"/>
      <c r="B1294" s="48">
        <v>17</v>
      </c>
      <c r="C1294" s="48"/>
      <c r="D1294" s="121"/>
      <c r="E1294" s="72"/>
      <c r="F1294" s="77"/>
      <c r="G1294" s="89"/>
      <c r="H1294" s="74"/>
      <c r="I1294" s="74"/>
      <c r="J1294" s="95"/>
      <c r="K1294" s="92"/>
      <c r="L1294" s="92"/>
      <c r="M1294" s="44"/>
      <c r="N1294" s="44"/>
      <c r="O1294" s="44"/>
      <c r="P1294" s="44"/>
      <c r="Q1294" s="101"/>
      <c r="R1294" s="84"/>
      <c r="S1294" s="47"/>
      <c r="T1294" s="47"/>
    </row>
    <row r="1295" s="27" customFormat="1" ht="18" customHeight="1" spans="1:20">
      <c r="A1295" s="34"/>
      <c r="B1295" s="48">
        <v>18</v>
      </c>
      <c r="C1295" s="48"/>
      <c r="D1295" s="88"/>
      <c r="E1295" s="72"/>
      <c r="F1295" s="77"/>
      <c r="G1295" s="89"/>
      <c r="H1295" s="74"/>
      <c r="I1295" s="74"/>
      <c r="J1295" s="95"/>
      <c r="K1295" s="92"/>
      <c r="L1295" s="92"/>
      <c r="M1295" s="44"/>
      <c r="N1295" s="44"/>
      <c r="O1295" s="44"/>
      <c r="P1295" s="44"/>
      <c r="Q1295" s="44"/>
      <c r="R1295" s="84"/>
      <c r="S1295" s="47"/>
      <c r="T1295" s="47"/>
    </row>
    <row r="1296" s="27" customFormat="1" ht="18" customHeight="1" spans="1:20">
      <c r="A1296" s="34"/>
      <c r="B1296" s="48">
        <v>19</v>
      </c>
      <c r="C1296" s="48"/>
      <c r="D1296" s="27"/>
      <c r="E1296" s="72"/>
      <c r="F1296" s="77"/>
      <c r="G1296" s="89"/>
      <c r="H1296" s="74"/>
      <c r="I1296" s="74"/>
      <c r="J1296" s="95"/>
      <c r="K1296" s="92"/>
      <c r="L1296" s="92"/>
      <c r="M1296" s="44"/>
      <c r="N1296" s="44"/>
      <c r="O1296" s="44"/>
      <c r="P1296" s="44"/>
      <c r="Q1296" s="44"/>
      <c r="R1296" s="84"/>
      <c r="S1296" s="47"/>
      <c r="T1296" s="47"/>
    </row>
    <row r="1297" s="27" customFormat="1" ht="18" customHeight="1" spans="1:20">
      <c r="A1297" s="34"/>
      <c r="B1297" s="48">
        <v>20</v>
      </c>
      <c r="C1297" s="48"/>
      <c r="D1297" s="88"/>
      <c r="E1297" s="72"/>
      <c r="F1297" s="77"/>
      <c r="G1297" s="89"/>
      <c r="H1297" s="74"/>
      <c r="I1297" s="74"/>
      <c r="J1297" s="95"/>
      <c r="K1297" s="92"/>
      <c r="L1297" s="92"/>
      <c r="M1297" s="44"/>
      <c r="N1297" s="44"/>
      <c r="O1297" s="44"/>
      <c r="P1297" s="44"/>
      <c r="Q1297" s="44"/>
      <c r="R1297" s="84"/>
      <c r="S1297" s="47"/>
      <c r="T1297" s="47"/>
    </row>
    <row r="1298" s="27" customFormat="1" ht="18" customHeight="1" spans="1:20">
      <c r="A1298" s="34"/>
      <c r="B1298" s="48">
        <v>21</v>
      </c>
      <c r="C1298" s="48"/>
      <c r="D1298" s="88"/>
      <c r="E1298" s="72"/>
      <c r="F1298" s="77"/>
      <c r="G1298" s="89"/>
      <c r="H1298" s="74"/>
      <c r="I1298" s="74"/>
      <c r="J1298" s="95"/>
      <c r="K1298" s="92"/>
      <c r="L1298" s="92"/>
      <c r="M1298" s="44"/>
      <c r="N1298" s="44"/>
      <c r="O1298" s="44"/>
      <c r="P1298" s="44"/>
      <c r="Q1298" s="44"/>
      <c r="R1298" s="84"/>
      <c r="S1298" s="47"/>
      <c r="T1298" s="47"/>
    </row>
    <row r="1299" s="27" customFormat="1" ht="18" customHeight="1" spans="1:20">
      <c r="A1299" s="34"/>
      <c r="B1299" s="48">
        <v>22</v>
      </c>
      <c r="C1299" s="48"/>
      <c r="D1299" s="27"/>
      <c r="E1299" s="72"/>
      <c r="F1299" s="77"/>
      <c r="G1299" s="72"/>
      <c r="H1299" s="74"/>
      <c r="I1299" s="74"/>
      <c r="J1299" s="95"/>
      <c r="K1299" s="92"/>
      <c r="L1299" s="92"/>
      <c r="M1299" s="44"/>
      <c r="N1299" s="44"/>
      <c r="O1299" s="44"/>
      <c r="P1299" s="44"/>
      <c r="Q1299" s="44"/>
      <c r="R1299" s="62"/>
      <c r="S1299" s="47"/>
      <c r="T1299" s="47"/>
    </row>
    <row r="1300" s="27" customFormat="1" ht="18" customHeight="1" spans="1:20">
      <c r="A1300" s="34"/>
      <c r="B1300" s="48">
        <v>23</v>
      </c>
      <c r="C1300" s="48"/>
      <c r="D1300" s="88"/>
      <c r="E1300" s="72"/>
      <c r="F1300" s="77"/>
      <c r="G1300" s="89"/>
      <c r="H1300" s="74"/>
      <c r="I1300" s="74"/>
      <c r="J1300" s="95"/>
      <c r="K1300" s="92"/>
      <c r="L1300" s="92"/>
      <c r="M1300" s="44"/>
      <c r="N1300" s="44"/>
      <c r="O1300" s="44"/>
      <c r="P1300" s="44"/>
      <c r="Q1300" s="44"/>
      <c r="R1300" s="62"/>
      <c r="S1300" s="47"/>
      <c r="T1300" s="47"/>
    </row>
    <row r="1301" s="27" customFormat="1" ht="18" customHeight="1" spans="1:20">
      <c r="A1301" s="34"/>
      <c r="B1301" s="48">
        <v>24</v>
      </c>
      <c r="C1301" s="48"/>
      <c r="D1301" s="88" t="s">
        <v>478</v>
      </c>
      <c r="E1301" s="72" t="s">
        <v>43</v>
      </c>
      <c r="F1301" s="77"/>
      <c r="G1301" s="72">
        <v>1</v>
      </c>
      <c r="H1301" s="74">
        <v>1</v>
      </c>
      <c r="I1301" s="74">
        <f>+辅材及安装费!$E$3</f>
        <v>5</v>
      </c>
      <c r="J1301" s="95">
        <f>H1301*I1301</f>
        <v>5</v>
      </c>
      <c r="K1301" s="92"/>
      <c r="L1301" s="92"/>
      <c r="M1301" s="44"/>
      <c r="N1301" s="44"/>
      <c r="O1301" s="44"/>
      <c r="P1301" s="44"/>
      <c r="Q1301" s="44"/>
      <c r="R1301" s="62"/>
      <c r="S1301" s="47"/>
      <c r="T1301" s="47"/>
    </row>
    <row r="1302" s="27" customFormat="1" ht="18" customHeight="1" spans="1:20">
      <c r="A1302" s="34"/>
      <c r="B1302" s="48">
        <v>25</v>
      </c>
      <c r="C1302" s="48"/>
      <c r="D1302" s="93" t="s">
        <v>442</v>
      </c>
      <c r="E1302" s="72"/>
      <c r="F1302" s="77"/>
      <c r="G1302" s="72"/>
      <c r="H1302" s="74"/>
      <c r="I1302" s="74"/>
      <c r="J1302" s="95">
        <f>SUM(J1278:J1301)</f>
        <v>508.27357470569</v>
      </c>
      <c r="K1302" s="92"/>
      <c r="L1302" s="94"/>
      <c r="M1302" s="27"/>
      <c r="N1302" s="83"/>
      <c r="O1302" s="83"/>
      <c r="P1302" s="83"/>
      <c r="Q1302" s="83"/>
      <c r="R1302" s="87"/>
      <c r="S1302" s="47"/>
      <c r="T1302" s="47"/>
    </row>
    <row r="1303" s="27" customFormat="1" ht="18" customHeight="1" spans="1:20">
      <c r="A1303" s="34"/>
      <c r="B1303" s="48">
        <v>1</v>
      </c>
      <c r="C1303" s="48" t="s">
        <v>443</v>
      </c>
      <c r="D1303" s="48" t="s">
        <v>444</v>
      </c>
      <c r="E1303" s="72" t="s">
        <v>43</v>
      </c>
      <c r="F1303" s="50"/>
      <c r="G1303" s="48"/>
      <c r="H1303" s="51">
        <v>1</v>
      </c>
      <c r="I1303" s="74">
        <f>+辅材及安装费!$F$3</f>
        <v>5</v>
      </c>
      <c r="J1303" s="95">
        <f>H1303*I1303</f>
        <v>5</v>
      </c>
      <c r="K1303" s="118"/>
      <c r="L1303" s="96"/>
      <c r="M1303" s="97"/>
      <c r="N1303" s="98"/>
      <c r="O1303" s="98"/>
      <c r="P1303" s="98"/>
      <c r="Q1303" s="98"/>
      <c r="R1303" s="99"/>
      <c r="S1303" s="47"/>
      <c r="T1303" s="47"/>
    </row>
    <row r="1304" s="26" customFormat="1" ht="30" customHeight="1" spans="1:20">
      <c r="A1304" s="28"/>
      <c r="B1304" s="29" t="s">
        <v>386</v>
      </c>
      <c r="C1304" s="29"/>
      <c r="D1304" s="29"/>
      <c r="E1304" s="29"/>
      <c r="F1304" s="29"/>
      <c r="G1304" s="29"/>
      <c r="H1304" s="29"/>
      <c r="I1304" s="29"/>
      <c r="J1304" s="29"/>
      <c r="K1304" s="29"/>
      <c r="L1304" s="30"/>
      <c r="M1304" s="31"/>
      <c r="N1304" s="31"/>
      <c r="O1304" s="31"/>
      <c r="P1304" s="31"/>
      <c r="Q1304" s="31"/>
      <c r="R1304" s="32"/>
      <c r="S1304" s="33"/>
      <c r="T1304" s="33"/>
    </row>
    <row r="1305" s="27" customFormat="1" ht="33.75" customHeight="1" spans="1:20">
      <c r="A1305" s="34">
        <v>22</v>
      </c>
      <c r="B1305" s="35" t="s">
        <v>1</v>
      </c>
      <c r="C1305" s="35" t="s">
        <v>387</v>
      </c>
      <c r="D1305" s="36" t="str">
        <f>+A1313</f>
        <v>葡萄牙米黄仿石铝板（瓦楞板）弧形</v>
      </c>
      <c r="E1305" s="37"/>
      <c r="F1305" s="38" t="s">
        <v>119</v>
      </c>
      <c r="G1305" s="39"/>
      <c r="H1305" s="35" t="s">
        <v>388</v>
      </c>
      <c r="I1305" s="40" t="s">
        <v>389</v>
      </c>
      <c r="J1305" s="41" t="s">
        <v>37</v>
      </c>
      <c r="K1305" s="42">
        <f ca="1">VLOOKUP(A1305,排屋工程量清单!$A$59:$D$86,4,)</f>
        <v>12.425184</v>
      </c>
      <c r="L1305" s="43"/>
      <c r="M1305" s="44"/>
      <c r="N1305" s="44"/>
      <c r="O1305" s="44"/>
      <c r="P1305" s="45"/>
      <c r="Q1305" s="44"/>
      <c r="R1305" s="46"/>
      <c r="S1305" s="47"/>
      <c r="T1305" s="47"/>
    </row>
    <row r="1306" s="27" customFormat="1" ht="25" customHeight="1" spans="1:20">
      <c r="A1306" s="34"/>
      <c r="B1306" s="48">
        <v>1</v>
      </c>
      <c r="C1306" s="49" t="s">
        <v>390</v>
      </c>
      <c r="D1306" s="48" t="s">
        <v>391</v>
      </c>
      <c r="E1306" s="48"/>
      <c r="F1306" s="50"/>
      <c r="G1306" s="48"/>
      <c r="H1306" s="51"/>
      <c r="I1306" s="52">
        <f>J1318</f>
        <v>165</v>
      </c>
      <c r="J1306" s="53" t="s">
        <v>392</v>
      </c>
      <c r="K1306" s="54"/>
      <c r="L1306" s="55" t="s">
        <v>313</v>
      </c>
      <c r="M1306" s="56" t="s">
        <v>544</v>
      </c>
      <c r="N1306" s="57"/>
      <c r="O1306" s="57">
        <v>2.4</v>
      </c>
      <c r="P1306" s="57">
        <v>7.87</v>
      </c>
      <c r="Q1306" s="57">
        <v>1</v>
      </c>
      <c r="R1306" s="58">
        <f>+Q1306*P1306*O1306</f>
        <v>18.888</v>
      </c>
      <c r="S1306" s="47"/>
      <c r="T1306" s="47"/>
    </row>
    <row r="1307" s="27" customFormat="1" ht="18" customHeight="1" spans="1:20">
      <c r="A1307" s="34"/>
      <c r="B1307" s="48">
        <v>2</v>
      </c>
      <c r="C1307" s="59"/>
      <c r="D1307" s="48" t="s">
        <v>394</v>
      </c>
      <c r="E1307" s="48"/>
      <c r="F1307" s="50"/>
      <c r="G1307" s="48"/>
      <c r="H1307" s="51"/>
      <c r="I1307" s="52">
        <f>J1343</f>
        <v>592.972582925545</v>
      </c>
      <c r="J1307" s="53" t="s">
        <v>392</v>
      </c>
      <c r="K1307" s="60"/>
      <c r="L1307" s="61" t="s">
        <v>119</v>
      </c>
      <c r="M1307" s="44"/>
      <c r="N1307" s="44"/>
      <c r="O1307" s="44"/>
      <c r="P1307" s="44"/>
      <c r="Q1307" s="44"/>
      <c r="R1307" s="62"/>
      <c r="S1307" s="47"/>
      <c r="T1307" s="47"/>
    </row>
    <row r="1308" s="27" customFormat="1" ht="18" customHeight="1" spans="1:20">
      <c r="A1308" s="34"/>
      <c r="B1308" s="48">
        <v>3</v>
      </c>
      <c r="C1308" s="63"/>
      <c r="D1308" s="48" t="s">
        <v>395</v>
      </c>
      <c r="E1308" s="48"/>
      <c r="F1308" s="50"/>
      <c r="G1308" s="48"/>
      <c r="H1308" s="51"/>
      <c r="I1308" s="52">
        <f>J1344</f>
        <v>5</v>
      </c>
      <c r="J1308" s="53" t="s">
        <v>392</v>
      </c>
      <c r="K1308" s="60"/>
      <c r="L1308" s="60"/>
      <c r="M1308" s="65" t="s">
        <v>396</v>
      </c>
      <c r="N1308" s="65" t="s">
        <v>397</v>
      </c>
      <c r="O1308" s="65" t="s">
        <v>398</v>
      </c>
      <c r="P1308" s="65" t="s">
        <v>399</v>
      </c>
      <c r="Q1308" s="65" t="s">
        <v>400</v>
      </c>
      <c r="R1308" s="66" t="s">
        <v>401</v>
      </c>
      <c r="S1308" s="47"/>
      <c r="T1308" s="47"/>
    </row>
    <row r="1309" s="27" customFormat="1" ht="18" customHeight="1" spans="1:20">
      <c r="A1309" s="34"/>
      <c r="B1309" s="48">
        <v>4</v>
      </c>
      <c r="C1309" s="48" t="s">
        <v>402</v>
      </c>
      <c r="D1309" s="67" t="s">
        <v>403</v>
      </c>
      <c r="E1309" s="67"/>
      <c r="F1309" s="50"/>
      <c r="G1309" s="67"/>
      <c r="H1309" s="68"/>
      <c r="I1309" s="52">
        <f>SUM(I1306:I1308)</f>
        <v>762.972582925545</v>
      </c>
      <c r="J1309" s="53" t="s">
        <v>392</v>
      </c>
      <c r="K1309" s="60"/>
      <c r="L1309" s="69" t="s">
        <v>431</v>
      </c>
      <c r="M1309" s="34" t="s">
        <v>545</v>
      </c>
      <c r="N1309" s="34">
        <v>18.05</v>
      </c>
      <c r="O1309" s="34">
        <f>P1306</f>
        <v>7.87</v>
      </c>
      <c r="P1309" s="34">
        <v>2</v>
      </c>
      <c r="Q1309" s="44">
        <f t="shared" ref="Q1309:Q1316" si="155">+P1309*O1309*N1309</f>
        <v>284.107</v>
      </c>
      <c r="R1309" s="71">
        <f>+Q1309/R1306</f>
        <v>15.0416666666667</v>
      </c>
      <c r="S1309" s="47"/>
      <c r="T1309" s="47"/>
    </row>
    <row r="1310" s="27" customFormat="1" ht="28" customHeight="1" spans="1:20">
      <c r="A1310" s="34"/>
      <c r="B1310" s="48">
        <v>5</v>
      </c>
      <c r="C1310" s="72" t="s">
        <v>406</v>
      </c>
      <c r="D1310" s="48" t="s">
        <v>407</v>
      </c>
      <c r="E1310" s="48"/>
      <c r="F1310" s="50"/>
      <c r="G1310" s="48"/>
      <c r="H1310" s="73">
        <f>+'材料表 '!$E$178</f>
        <v>0</v>
      </c>
      <c r="I1310" s="52">
        <f>H1310*I1309</f>
        <v>0</v>
      </c>
      <c r="J1310" s="53" t="s">
        <v>392</v>
      </c>
      <c r="K1310" s="60"/>
      <c r="L1310" s="69" t="s">
        <v>431</v>
      </c>
      <c r="M1310" s="34" t="s">
        <v>523</v>
      </c>
      <c r="N1310" s="102">
        <v>4.52</v>
      </c>
      <c r="O1310" s="34">
        <f>O1306</f>
        <v>2.4</v>
      </c>
      <c r="P1310" s="34">
        <v>0</v>
      </c>
      <c r="Q1310" s="44">
        <f t="shared" si="155"/>
        <v>0</v>
      </c>
      <c r="R1310" s="71">
        <f>+Q1310/R1306</f>
        <v>0</v>
      </c>
      <c r="S1310" s="47"/>
      <c r="T1310" s="47"/>
    </row>
    <row r="1311" s="27" customFormat="1" ht="18" customHeight="1" spans="1:20">
      <c r="A1311" s="34"/>
      <c r="B1311" s="48">
        <v>6</v>
      </c>
      <c r="C1311" s="48" t="s">
        <v>409</v>
      </c>
      <c r="D1311" s="48" t="s">
        <v>410</v>
      </c>
      <c r="E1311" s="48"/>
      <c r="F1311" s="50"/>
      <c r="G1311" s="48"/>
      <c r="H1311" s="73">
        <f>+'材料表 '!$E$179</f>
        <v>0</v>
      </c>
      <c r="I1311" s="52">
        <f>H1311*I1309</f>
        <v>0</v>
      </c>
      <c r="J1311" s="53" t="s">
        <v>392</v>
      </c>
      <c r="K1311" s="60"/>
      <c r="L1311" s="69" t="s">
        <v>461</v>
      </c>
      <c r="M1311" s="34" t="s">
        <v>546</v>
      </c>
      <c r="N1311" s="34">
        <v>4.81</v>
      </c>
      <c r="O1311" s="34">
        <f>O1306</f>
        <v>2.4</v>
      </c>
      <c r="P1311" s="34">
        <v>7</v>
      </c>
      <c r="Q1311" s="44">
        <f t="shared" si="155"/>
        <v>80.808</v>
      </c>
      <c r="R1311" s="71">
        <f>+Q1311/R1306</f>
        <v>4.27827191867853</v>
      </c>
      <c r="S1311" s="47"/>
      <c r="T1311" s="47"/>
    </row>
    <row r="1312" s="27" customFormat="1" ht="18" customHeight="1" spans="1:20">
      <c r="A1312" s="34"/>
      <c r="B1312" s="48">
        <v>7</v>
      </c>
      <c r="C1312" s="48" t="s">
        <v>412</v>
      </c>
      <c r="D1312" s="72" t="s">
        <v>413</v>
      </c>
      <c r="E1312" s="72"/>
      <c r="F1312" s="77"/>
      <c r="G1312" s="72"/>
      <c r="H1312" s="73">
        <f>+'材料表 '!$E$180</f>
        <v>0.09</v>
      </c>
      <c r="I1312" s="52">
        <f>(I1309+I1310+I1311)*H1312</f>
        <v>68.667532463299</v>
      </c>
      <c r="J1312" s="53" t="s">
        <v>392</v>
      </c>
      <c r="K1312" s="60"/>
      <c r="L1312" s="69" t="s">
        <v>463</v>
      </c>
      <c r="M1312" s="34" t="s">
        <v>464</v>
      </c>
      <c r="N1312" s="34">
        <f>0.15*0.2*7.85*10</f>
        <v>2.355</v>
      </c>
      <c r="O1312" s="34">
        <v>5</v>
      </c>
      <c r="P1312" s="34">
        <f>P1309</f>
        <v>2</v>
      </c>
      <c r="Q1312" s="44">
        <f t="shared" si="155"/>
        <v>23.55</v>
      </c>
      <c r="R1312" s="71">
        <f>+Q1312/R1306</f>
        <v>1.24682337992376</v>
      </c>
      <c r="S1312" s="47"/>
      <c r="T1312" s="47"/>
    </row>
    <row r="1313" s="27" customFormat="1" ht="18" customHeight="1" spans="1:20">
      <c r="A1313" s="105" t="s">
        <v>161</v>
      </c>
      <c r="B1313" s="48">
        <v>8</v>
      </c>
      <c r="C1313" s="48" t="s">
        <v>363</v>
      </c>
      <c r="D1313" s="106" t="s">
        <v>415</v>
      </c>
      <c r="E1313" s="107"/>
      <c r="F1313" s="108"/>
      <c r="G1313" s="107"/>
      <c r="H1313" s="51"/>
      <c r="I1313" s="74">
        <f>SUM(I1309:I1312)</f>
        <v>831.640115388844</v>
      </c>
      <c r="J1313" s="53" t="s">
        <v>416</v>
      </c>
      <c r="K1313" s="60"/>
      <c r="L1313" s="69" t="s">
        <v>465</v>
      </c>
      <c r="M1313" s="34" t="s">
        <v>503</v>
      </c>
      <c r="N1313" s="126">
        <v>7.034</v>
      </c>
      <c r="O1313" s="34">
        <f>85/1000</f>
        <v>0.085</v>
      </c>
      <c r="P1313" s="44">
        <f>5*P1309</f>
        <v>10</v>
      </c>
      <c r="Q1313" s="44">
        <f t="shared" si="155"/>
        <v>5.9789</v>
      </c>
      <c r="R1313" s="84">
        <f>+Q1313/R1306</f>
        <v>0.316544896230411</v>
      </c>
      <c r="S1313" s="79"/>
      <c r="T1313" s="47"/>
    </row>
    <row r="1314" s="27" customFormat="1" ht="18" customHeight="1" spans="1:20">
      <c r="A1314" s="34"/>
      <c r="B1314" s="109" t="s">
        <v>418</v>
      </c>
      <c r="C1314" s="110"/>
      <c r="D1314" s="110"/>
      <c r="E1314" s="110"/>
      <c r="F1314" s="110"/>
      <c r="G1314" s="110"/>
      <c r="H1314" s="110"/>
      <c r="I1314" s="110"/>
      <c r="J1314" s="110"/>
      <c r="K1314" s="80"/>
      <c r="L1314" s="69" t="s">
        <v>433</v>
      </c>
      <c r="M1314" s="44" t="s">
        <v>505</v>
      </c>
      <c r="N1314" s="82">
        <f>0.056*3*2.71+0.0675*3*2.71</f>
        <v>1.004055</v>
      </c>
      <c r="O1314" s="44">
        <f>P1306</f>
        <v>7.87</v>
      </c>
      <c r="P1314" s="44">
        <f>P1309</f>
        <v>2</v>
      </c>
      <c r="Q1314" s="44">
        <f t="shared" si="155"/>
        <v>15.8038257</v>
      </c>
      <c r="R1314" s="84">
        <f>+Q1314/R1306</f>
        <v>0.8367125</v>
      </c>
      <c r="S1314" s="47"/>
      <c r="T1314" s="47"/>
    </row>
    <row r="1315" s="27" customFormat="1" ht="18" customHeight="1" spans="1:20">
      <c r="A1315" s="34"/>
      <c r="B1315" s="48">
        <v>1</v>
      </c>
      <c r="C1315" s="48" t="s">
        <v>391</v>
      </c>
      <c r="D1315" s="48" t="s">
        <v>396</v>
      </c>
      <c r="E1315" s="48" t="s">
        <v>37</v>
      </c>
      <c r="F1315" s="50"/>
      <c r="G1315" s="48"/>
      <c r="H1315" s="51" t="s">
        <v>399</v>
      </c>
      <c r="I1315" s="51" t="s">
        <v>420</v>
      </c>
      <c r="J1315" s="95" t="s">
        <v>421</v>
      </c>
      <c r="K1315" s="92"/>
      <c r="L1315" s="69" t="s">
        <v>433</v>
      </c>
      <c r="M1315" s="44" t="s">
        <v>504</v>
      </c>
      <c r="N1315" s="82">
        <f>0.056*3*2.71+0.0675*3*2.71</f>
        <v>1.004055</v>
      </c>
      <c r="O1315" s="44">
        <f>O1306</f>
        <v>2.4</v>
      </c>
      <c r="P1315" s="44">
        <v>7</v>
      </c>
      <c r="Q1315" s="44">
        <f t="shared" si="155"/>
        <v>16.868124</v>
      </c>
      <c r="R1315" s="84">
        <f>+Q1315/R1306</f>
        <v>0.893060355781449</v>
      </c>
      <c r="S1315" s="47"/>
      <c r="T1315" s="47"/>
    </row>
    <row r="1316" s="27" customFormat="1" ht="18" customHeight="1" spans="1:20">
      <c r="A1316" s="34"/>
      <c r="B1316" s="48">
        <v>2</v>
      </c>
      <c r="C1316" s="48"/>
      <c r="D1316" s="111" t="s">
        <v>491</v>
      </c>
      <c r="E1316" s="49" t="s">
        <v>423</v>
      </c>
      <c r="F1316" s="112"/>
      <c r="G1316" s="111"/>
      <c r="H1316" s="113">
        <v>1</v>
      </c>
      <c r="I1316" s="113">
        <f>+辅材及安装费!$G$3</f>
        <v>165</v>
      </c>
      <c r="J1316" s="114">
        <f t="shared" ref="J1316:J1330" si="156">H1316*I1316</f>
        <v>165</v>
      </c>
      <c r="K1316" s="92"/>
      <c r="L1316" s="69" t="s">
        <v>433</v>
      </c>
      <c r="M1316" s="44" t="s">
        <v>498</v>
      </c>
      <c r="N1316" s="82">
        <f>0.045*3*2.71</f>
        <v>0.36585</v>
      </c>
      <c r="O1316" s="44">
        <f>O1306</f>
        <v>2.4</v>
      </c>
      <c r="P1316" s="44">
        <v>0</v>
      </c>
      <c r="Q1316" s="44">
        <f t="shared" si="155"/>
        <v>0</v>
      </c>
      <c r="R1316" s="84">
        <f>Q1316/R1306</f>
        <v>0</v>
      </c>
      <c r="S1316" s="47"/>
      <c r="T1316" s="47"/>
    </row>
    <row r="1317" s="27" customFormat="1" ht="18" customHeight="1" spans="1:20">
      <c r="A1317" s="34"/>
      <c r="B1317" s="48">
        <v>3</v>
      </c>
      <c r="C1317" s="48"/>
      <c r="D1317" s="115"/>
      <c r="E1317" s="63"/>
      <c r="F1317" s="116"/>
      <c r="G1317" s="115"/>
      <c r="H1317" s="117"/>
      <c r="I1317" s="117"/>
      <c r="J1317" s="118"/>
      <c r="K1317" s="92"/>
      <c r="L1317" s="90" t="s">
        <v>472</v>
      </c>
      <c r="M1317" s="44"/>
      <c r="N1317" s="82"/>
      <c r="O1317" s="44"/>
      <c r="P1317" s="44">
        <f>O1312*P1312*0</f>
        <v>0</v>
      </c>
      <c r="Q1317" s="44">
        <f>+P1317</f>
        <v>0</v>
      </c>
      <c r="R1317" s="84">
        <f>+Q1317/R1306</f>
        <v>0</v>
      </c>
      <c r="S1317" s="47"/>
      <c r="T1317" s="47"/>
    </row>
    <row r="1318" s="27" customFormat="1" ht="18" customHeight="1" spans="1:20">
      <c r="A1318" s="34"/>
      <c r="B1318" s="48">
        <v>4</v>
      </c>
      <c r="C1318" s="48"/>
      <c r="D1318" s="85" t="s">
        <v>426</v>
      </c>
      <c r="E1318" s="48" t="s">
        <v>392</v>
      </c>
      <c r="F1318" s="50"/>
      <c r="G1318" s="48"/>
      <c r="H1318" s="86"/>
      <c r="I1318" s="86"/>
      <c r="J1318" s="95">
        <f>SUM(J1316:J1316)</f>
        <v>165</v>
      </c>
      <c r="K1318" s="92"/>
      <c r="L1318" s="90"/>
      <c r="M1318" s="44"/>
      <c r="N1318" s="82"/>
      <c r="O1318" s="44"/>
      <c r="P1318" s="44"/>
      <c r="Q1318" s="44"/>
      <c r="R1318" s="84"/>
      <c r="S1318" s="47"/>
      <c r="T1318" s="47"/>
    </row>
    <row r="1319" s="27" customFormat="1" ht="22" customHeight="1" spans="1:20">
      <c r="A1319" s="34"/>
      <c r="B1319" s="48">
        <v>1</v>
      </c>
      <c r="C1319" s="48" t="s">
        <v>394</v>
      </c>
      <c r="D1319" s="88" t="s">
        <v>431</v>
      </c>
      <c r="E1319" s="72" t="str">
        <f>+VLOOKUP(D1319,'材料表 '!C:F,2,0)</f>
        <v>kg</v>
      </c>
      <c r="F1319" s="77">
        <f>+SUMIF($L$1306:$L$1344,D1319,$R$1306:$R$1344)</f>
        <v>15.0416666666667</v>
      </c>
      <c r="G1319" s="89">
        <f>+VLOOKUP(D1319,'材料表 '!C:F,4,0)</f>
        <v>0.03</v>
      </c>
      <c r="H1319" s="74">
        <f t="shared" ref="H1319:H1330" si="157">F1319*(G1319+1)</f>
        <v>15.4929166666667</v>
      </c>
      <c r="I1319" s="74">
        <f>+VLOOKUP(D1319,'材料表 '!C:F,3,0)</f>
        <v>3.80530973451327</v>
      </c>
      <c r="J1319" s="95">
        <f t="shared" si="156"/>
        <v>58.9553466076697</v>
      </c>
      <c r="K1319" s="92">
        <f ca="1">H1319*K1305</f>
        <v>192.50234028</v>
      </c>
      <c r="L1319" s="90"/>
      <c r="M1319" s="44"/>
      <c r="N1319" s="82"/>
      <c r="O1319" s="44"/>
      <c r="P1319" s="44"/>
      <c r="Q1319" s="44"/>
      <c r="R1319" s="84"/>
      <c r="S1319" s="47"/>
      <c r="T1319" s="47"/>
    </row>
    <row r="1320" s="27" customFormat="1" ht="18" customHeight="1" spans="1:20">
      <c r="A1320" s="34"/>
      <c r="B1320" s="48">
        <v>2</v>
      </c>
      <c r="C1320" s="48"/>
      <c r="D1320" s="88" t="s">
        <v>461</v>
      </c>
      <c r="E1320" s="72" t="str">
        <f>+VLOOKUP(D1320,'材料表 '!C:F,2,0)</f>
        <v>kg</v>
      </c>
      <c r="F1320" s="77">
        <f t="shared" ref="F1320:F1329" si="158">+SUMIF($L$1306:$L$1344,D1320,$R$1306:$R$1344)</f>
        <v>4.27827191867853</v>
      </c>
      <c r="G1320" s="89">
        <f>+VLOOKUP(D1320,'材料表 '!C:F,4,0)</f>
        <v>0.03</v>
      </c>
      <c r="H1320" s="74">
        <f t="shared" si="157"/>
        <v>4.40662007623889</v>
      </c>
      <c r="I1320" s="74">
        <f>+VLOOKUP(D1320,'材料表 '!C:F,3,0)</f>
        <v>3.53982300884956</v>
      </c>
      <c r="J1320" s="95">
        <f t="shared" si="156"/>
        <v>15.5986551371288</v>
      </c>
      <c r="K1320" s="92">
        <f ca="1">H1320*K1305</f>
        <v>54.7530652653622</v>
      </c>
      <c r="L1320" s="90"/>
      <c r="M1320" s="44"/>
      <c r="N1320" s="82"/>
      <c r="O1320" s="44"/>
      <c r="P1320" s="44"/>
      <c r="Q1320" s="44"/>
      <c r="R1320" s="84"/>
      <c r="S1320" s="47"/>
      <c r="T1320" s="47"/>
    </row>
    <row r="1321" s="27" customFormat="1" ht="18" customHeight="1" spans="1:20">
      <c r="A1321" s="34"/>
      <c r="B1321" s="48">
        <v>3</v>
      </c>
      <c r="C1321" s="48"/>
      <c r="D1321" s="88" t="s">
        <v>465</v>
      </c>
      <c r="E1321" s="72" t="str">
        <f>+VLOOKUP(D1321,'材料表 '!C:F,2,0)</f>
        <v>kg</v>
      </c>
      <c r="F1321" s="77">
        <f t="shared" si="158"/>
        <v>0.316544896230411</v>
      </c>
      <c r="G1321" s="89">
        <f>+VLOOKUP(D1321,'材料表 '!C:F,4,0)</f>
        <v>0.03</v>
      </c>
      <c r="H1321" s="74">
        <f t="shared" si="157"/>
        <v>0.326041243117323</v>
      </c>
      <c r="I1321" s="74">
        <f>+VLOOKUP(D1321,'材料表 '!C:F,3,0)</f>
        <v>6.01769911504425</v>
      </c>
      <c r="J1321" s="95">
        <f t="shared" si="156"/>
        <v>1.96201810017504</v>
      </c>
      <c r="K1321" s="92">
        <f ca="1">H1321*K1305</f>
        <v>4.05112243732147</v>
      </c>
      <c r="L1321" s="90"/>
      <c r="M1321" s="44"/>
      <c r="N1321" s="82"/>
      <c r="O1321" s="44"/>
      <c r="P1321" s="44"/>
      <c r="Q1321" s="44">
        <f>+P1321*O1321</f>
        <v>0</v>
      </c>
      <c r="R1321" s="84">
        <f>+Q1321/R1306</f>
        <v>0</v>
      </c>
      <c r="S1321" s="47"/>
      <c r="T1321" s="47"/>
    </row>
    <row r="1322" s="27" customFormat="1" ht="18" customHeight="1" spans="1:20">
      <c r="A1322" s="34"/>
      <c r="B1322" s="48">
        <v>4</v>
      </c>
      <c r="C1322" s="48"/>
      <c r="D1322" s="88" t="s">
        <v>463</v>
      </c>
      <c r="E1322" s="72" t="str">
        <f>+VLOOKUP(D1322,'材料表 '!C:F,2,0)</f>
        <v>kg</v>
      </c>
      <c r="F1322" s="77">
        <f t="shared" si="158"/>
        <v>1.24682337992376</v>
      </c>
      <c r="G1322" s="89">
        <f>+VLOOKUP(D1322,'材料表 '!C:F,4,0)</f>
        <v>0.03</v>
      </c>
      <c r="H1322" s="74">
        <f t="shared" si="157"/>
        <v>1.28422808132147</v>
      </c>
      <c r="I1322" s="74">
        <f>+VLOOKUP(D1322,'材料表 '!C:F,3,0)</f>
        <v>6.01769911504425</v>
      </c>
      <c r="J1322" s="95">
        <f t="shared" si="156"/>
        <v>7.7280981884832</v>
      </c>
      <c r="K1322" s="92">
        <f ca="1">H1322*K1305</f>
        <v>15.9567702083862</v>
      </c>
      <c r="L1322" s="90" t="s">
        <v>474</v>
      </c>
      <c r="M1322" s="44"/>
      <c r="N1322" s="82"/>
      <c r="O1322" s="44"/>
      <c r="P1322" s="44"/>
      <c r="Q1322" s="44">
        <f>+O1312*P1312*4</f>
        <v>40</v>
      </c>
      <c r="R1322" s="84">
        <f>+Q1322/R1306</f>
        <v>2.11774671749259</v>
      </c>
      <c r="S1322" s="47"/>
      <c r="T1322" s="47"/>
    </row>
    <row r="1323" s="27" customFormat="1" ht="18" customHeight="1" spans="1:20">
      <c r="A1323" s="34"/>
      <c r="B1323" s="48">
        <v>5</v>
      </c>
      <c r="C1323" s="48"/>
      <c r="D1323" s="88" t="s">
        <v>433</v>
      </c>
      <c r="E1323" s="72" t="str">
        <f>+VLOOKUP(D1323,'材料表 '!C:F,2,0)</f>
        <v>kg</v>
      </c>
      <c r="F1323" s="77">
        <f t="shared" si="158"/>
        <v>1.72977285578145</v>
      </c>
      <c r="G1323" s="89">
        <f>+VLOOKUP(D1323,'材料表 '!C:F,4,0)</f>
        <v>0.03</v>
      </c>
      <c r="H1323" s="74">
        <f t="shared" si="157"/>
        <v>1.78166604145489</v>
      </c>
      <c r="I1323" s="74">
        <f>+VLOOKUP(D1323,'材料表 '!C:F,3,0)</f>
        <v>26.1150442477876</v>
      </c>
      <c r="J1323" s="95">
        <f t="shared" si="156"/>
        <v>46.5282875073751</v>
      </c>
      <c r="K1323" s="92">
        <f ca="1">H1323*K1305</f>
        <v>22.1375283916286</v>
      </c>
      <c r="L1323" s="92" t="s">
        <v>476</v>
      </c>
      <c r="M1323" s="44"/>
      <c r="N1323" s="82"/>
      <c r="O1323" s="44"/>
      <c r="P1323" s="44"/>
      <c r="Q1323" s="44">
        <f>8*8*(O1306*2+P1306*7)/500</f>
        <v>7.66592</v>
      </c>
      <c r="R1323" s="84">
        <f>+Q1323/R1306</f>
        <v>0.40586192291402</v>
      </c>
      <c r="S1323" s="47"/>
      <c r="T1323" s="47"/>
    </row>
    <row r="1324" s="27" customFormat="1" ht="18" customHeight="1" spans="1:20">
      <c r="A1324" s="34"/>
      <c r="B1324" s="48">
        <v>6</v>
      </c>
      <c r="C1324" s="48"/>
      <c r="D1324" s="88" t="s">
        <v>434</v>
      </c>
      <c r="E1324" s="72" t="str">
        <f>+VLOOKUP(D1324,'材料表 '!C:F,2,0)</f>
        <v>m2</v>
      </c>
      <c r="F1324" s="77">
        <f t="shared" si="158"/>
        <v>0</v>
      </c>
      <c r="G1324" s="89">
        <f>+VLOOKUP(D1324,'材料表 '!C:F,4,0)</f>
        <v>0</v>
      </c>
      <c r="H1324" s="74">
        <f t="shared" si="157"/>
        <v>0</v>
      </c>
      <c r="I1324" s="74">
        <f>+VLOOKUP(D1324,'材料表 '!C:F,3,0)</f>
        <v>49.5575221238938</v>
      </c>
      <c r="J1324" s="95">
        <f t="shared" si="156"/>
        <v>0</v>
      </c>
      <c r="K1324" s="92">
        <f ca="1">H1324*K1305</f>
        <v>0</v>
      </c>
      <c r="L1324" s="92" t="s">
        <v>499</v>
      </c>
      <c r="M1324" s="44"/>
      <c r="N1324" s="82"/>
      <c r="O1324" s="44"/>
      <c r="P1324" s="44"/>
      <c r="Q1324" s="44">
        <v>0</v>
      </c>
      <c r="R1324" s="84">
        <f>Q1324/R1306</f>
        <v>0</v>
      </c>
      <c r="S1324" s="47"/>
      <c r="T1324" s="47"/>
    </row>
    <row r="1325" s="27" customFormat="1" ht="18" customHeight="1" spans="1:20">
      <c r="A1325" s="34"/>
      <c r="B1325" s="48">
        <v>7</v>
      </c>
      <c r="C1325" s="48"/>
      <c r="D1325" s="88" t="s">
        <v>472</v>
      </c>
      <c r="E1325" s="72" t="str">
        <f>+VLOOKUP(D1325,'材料表 '!C:F,2,0)</f>
        <v>套</v>
      </c>
      <c r="F1325" s="77">
        <f t="shared" si="158"/>
        <v>0</v>
      </c>
      <c r="G1325" s="89">
        <f>+VLOOKUP(D1325,'材料表 '!C:F,4,0)</f>
        <v>0</v>
      </c>
      <c r="H1325" s="74">
        <f t="shared" si="157"/>
        <v>0</v>
      </c>
      <c r="I1325" s="74">
        <f>+VLOOKUP(D1325,'材料表 '!C:F,3,0)</f>
        <v>2.47787610619469</v>
      </c>
      <c r="J1325" s="95">
        <f t="shared" si="156"/>
        <v>0</v>
      </c>
      <c r="K1325" s="92">
        <f ca="1">H1325*K1305</f>
        <v>0</v>
      </c>
      <c r="L1325" s="92"/>
      <c r="M1325" s="44"/>
      <c r="N1325" s="82"/>
      <c r="O1325" s="44"/>
      <c r="P1325" s="44"/>
      <c r="Q1325" s="44"/>
      <c r="R1325" s="84"/>
      <c r="S1325" s="47"/>
      <c r="T1325" s="47"/>
    </row>
    <row r="1326" s="27" customFormat="1" ht="18" customHeight="1" spans="1:20">
      <c r="A1326" s="34"/>
      <c r="B1326" s="48">
        <v>8</v>
      </c>
      <c r="C1326" s="48"/>
      <c r="D1326" s="88" t="s">
        <v>474</v>
      </c>
      <c r="E1326" s="72" t="str">
        <f>+VLOOKUP(D1326,'材料表 '!C:F,2,0)</f>
        <v>套</v>
      </c>
      <c r="F1326" s="77">
        <f t="shared" si="158"/>
        <v>2.11774671749259</v>
      </c>
      <c r="G1326" s="89">
        <f>+VLOOKUP(D1326,'材料表 '!C:F,4,0)</f>
        <v>0</v>
      </c>
      <c r="H1326" s="74">
        <f t="shared" si="157"/>
        <v>2.11774671749259</v>
      </c>
      <c r="I1326" s="74">
        <f>+VLOOKUP(D1326,'材料表 '!C:F,3,0)</f>
        <v>2.21238938053097</v>
      </c>
      <c r="J1326" s="95">
        <f t="shared" si="156"/>
        <v>4.68528034843493</v>
      </c>
      <c r="K1326" s="92">
        <f ca="1">H1326*K1305</f>
        <v>26.3133926302415</v>
      </c>
      <c r="L1326" s="92"/>
      <c r="M1326" s="44"/>
      <c r="N1326" s="82"/>
      <c r="O1326" s="44"/>
      <c r="P1326" s="44"/>
      <c r="Q1326" s="44"/>
      <c r="R1326" s="84"/>
      <c r="S1326" s="47"/>
      <c r="T1326" s="47"/>
    </row>
    <row r="1327" s="27" customFormat="1" ht="18" customHeight="1" spans="1:20">
      <c r="A1327" s="34"/>
      <c r="B1327" s="48">
        <v>9</v>
      </c>
      <c r="C1327" s="48"/>
      <c r="D1327" s="88" t="s">
        <v>476</v>
      </c>
      <c r="E1327" s="72" t="str">
        <f>+VLOOKUP(D1327,'材料表 '!C:F,2,0)</f>
        <v>支</v>
      </c>
      <c r="F1327" s="77">
        <f t="shared" si="158"/>
        <v>0.40586192291402</v>
      </c>
      <c r="G1327" s="89">
        <f>+VLOOKUP(D1327,'材料表 '!C:F,4,0)</f>
        <v>0.15</v>
      </c>
      <c r="H1327" s="74">
        <f t="shared" si="157"/>
        <v>0.466741211351123</v>
      </c>
      <c r="I1327" s="74">
        <f>+VLOOKUP(D1327,'材料表 '!C:F,3,0)</f>
        <v>11.5044247787611</v>
      </c>
      <c r="J1327" s="95">
        <f t="shared" si="156"/>
        <v>5.36958915713683</v>
      </c>
      <c r="K1327" s="92">
        <f ca="1">H1327*K1305</f>
        <v>5.79934543142059</v>
      </c>
      <c r="L1327" s="90"/>
      <c r="M1327" s="44"/>
      <c r="N1327" s="82"/>
      <c r="O1327" s="34"/>
      <c r="P1327" s="44"/>
      <c r="Q1327" s="44"/>
      <c r="R1327" s="119"/>
      <c r="S1327" s="47"/>
      <c r="T1327" s="47"/>
    </row>
    <row r="1328" s="27" customFormat="1" ht="23" customHeight="1" spans="1:20">
      <c r="A1328" s="34"/>
      <c r="B1328" s="48">
        <v>10</v>
      </c>
      <c r="C1328" s="48"/>
      <c r="D1328" s="88" t="s">
        <v>499</v>
      </c>
      <c r="E1328" s="72" t="str">
        <f>+VLOOKUP(D1328,'材料表 '!C:F,2,0)</f>
        <v>套</v>
      </c>
      <c r="F1328" s="77">
        <f t="shared" si="158"/>
        <v>0</v>
      </c>
      <c r="G1328" s="89">
        <f>+VLOOKUP(D1328,'材料表 '!C:F,4,0)</f>
        <v>0</v>
      </c>
      <c r="H1328" s="74">
        <f t="shared" si="157"/>
        <v>0</v>
      </c>
      <c r="I1328" s="74">
        <f>+VLOOKUP(D1328,'材料表 '!C:F,3,0)</f>
        <v>1.32743362831858</v>
      </c>
      <c r="J1328" s="95">
        <f t="shared" si="156"/>
        <v>0</v>
      </c>
      <c r="K1328" s="92">
        <f ca="1">H1328*K1305</f>
        <v>0</v>
      </c>
      <c r="L1328" s="92"/>
      <c r="M1328" s="120"/>
      <c r="N1328" s="82"/>
      <c r="O1328" s="44"/>
      <c r="P1328" s="44"/>
      <c r="Q1328" s="44"/>
      <c r="R1328" s="84"/>
      <c r="S1328" s="47"/>
      <c r="T1328" s="47"/>
    </row>
    <row r="1329" s="27" customFormat="1" ht="20" customHeight="1" spans="1:20">
      <c r="A1329" s="34"/>
      <c r="B1329" s="48">
        <v>11</v>
      </c>
      <c r="C1329" s="48"/>
      <c r="D1329" s="88" t="s">
        <v>479</v>
      </c>
      <c r="E1329" s="72" t="str">
        <f>+VLOOKUP(D1329,'材料表 '!C:F,2,0)</f>
        <v>kg</v>
      </c>
      <c r="F1329" s="77">
        <f>F1320</f>
        <v>4.27827191867853</v>
      </c>
      <c r="G1329" s="89">
        <f>+VLOOKUP(D1329,'材料表 '!C:F,4,0)</f>
        <v>0.03</v>
      </c>
      <c r="H1329" s="74">
        <f t="shared" si="157"/>
        <v>4.40662007623889</v>
      </c>
      <c r="I1329" s="74">
        <f>+VLOOKUP(D1329,'材料表 '!C:F,3,0)</f>
        <v>14.1592920353982</v>
      </c>
      <c r="J1329" s="95">
        <f t="shared" si="156"/>
        <v>62.3946205485151</v>
      </c>
      <c r="K1329" s="92">
        <f ca="1">H1329*K1305</f>
        <v>54.7530652653622</v>
      </c>
      <c r="L1329" s="92"/>
      <c r="M1329" s="44"/>
      <c r="N1329" s="82"/>
      <c r="O1329" s="44"/>
      <c r="P1329" s="44"/>
      <c r="Q1329" s="44"/>
      <c r="R1329" s="84"/>
      <c r="S1329" s="47"/>
      <c r="T1329" s="47"/>
    </row>
    <row r="1330" s="27" customFormat="1" ht="24" customHeight="1" spans="1:20">
      <c r="A1330" s="34"/>
      <c r="B1330" s="48">
        <v>12</v>
      </c>
      <c r="C1330" s="48"/>
      <c r="D1330" s="127" t="s">
        <v>548</v>
      </c>
      <c r="E1330" s="72" t="str">
        <f>+VLOOKUP(D1330,'材料表 '!C:F,2,0)</f>
        <v>m2</v>
      </c>
      <c r="F1330" s="128">
        <f>(O1306+0.095*2)*(P1306+0.095*12)/R1306</f>
        <v>1.23548814061838</v>
      </c>
      <c r="G1330" s="89">
        <f>+VLOOKUP(D1330,'材料表 '!C:F,4,0)</f>
        <v>0.02</v>
      </c>
      <c r="H1330" s="74">
        <f t="shared" si="157"/>
        <v>1.26019790343075</v>
      </c>
      <c r="I1330" s="74">
        <f>+VLOOKUP(D1330,'材料表 '!C:F,3,0)</f>
        <v>305.309734513274</v>
      </c>
      <c r="J1330" s="95">
        <f t="shared" si="156"/>
        <v>384.750687330626</v>
      </c>
      <c r="K1330" s="92">
        <f ca="1">H1330*K1305</f>
        <v>15.6581908265413</v>
      </c>
      <c r="L1330" s="92"/>
      <c r="M1330" s="44"/>
      <c r="N1330" s="44"/>
      <c r="O1330" s="44"/>
      <c r="P1330" s="44"/>
      <c r="Q1330" s="44"/>
      <c r="R1330" s="84"/>
      <c r="S1330" s="47"/>
      <c r="T1330" s="47"/>
    </row>
    <row r="1331" s="27" customFormat="1" ht="18" customHeight="1" spans="1:20">
      <c r="A1331" s="34"/>
      <c r="B1331" s="48">
        <v>13</v>
      </c>
      <c r="C1331" s="48"/>
      <c r="D1331" s="88"/>
      <c r="E1331" s="72"/>
      <c r="F1331" s="77"/>
      <c r="G1331" s="89"/>
      <c r="H1331" s="74"/>
      <c r="I1331" s="74"/>
      <c r="J1331" s="95"/>
      <c r="K1331" s="92">
        <f ca="1">H1331*K1305</f>
        <v>0</v>
      </c>
      <c r="L1331" s="92"/>
      <c r="M1331" s="44"/>
      <c r="N1331" s="44"/>
      <c r="O1331" s="44"/>
      <c r="P1331" s="44"/>
      <c r="Q1331" s="44"/>
      <c r="R1331" s="84"/>
      <c r="S1331" s="47"/>
      <c r="T1331" s="47"/>
    </row>
    <row r="1332" s="27" customFormat="1" ht="24" customHeight="1" spans="1:20">
      <c r="A1332" s="34"/>
      <c r="B1332" s="48">
        <v>14</v>
      </c>
      <c r="C1332" s="48"/>
      <c r="D1332" s="88"/>
      <c r="E1332" s="72"/>
      <c r="F1332" s="77"/>
      <c r="G1332" s="89"/>
      <c r="H1332" s="74"/>
      <c r="I1332" s="74"/>
      <c r="J1332" s="95"/>
      <c r="K1332" s="92">
        <f ca="1">H1332*K1305</f>
        <v>0</v>
      </c>
      <c r="L1332" s="92"/>
      <c r="M1332" s="44"/>
      <c r="N1332" s="44"/>
      <c r="O1332" s="44"/>
      <c r="P1332" s="44"/>
      <c r="Q1332" s="44"/>
      <c r="R1332" s="84"/>
      <c r="S1332" s="47"/>
      <c r="T1332" s="47"/>
    </row>
    <row r="1333" s="27" customFormat="1" ht="18" customHeight="1" spans="1:20">
      <c r="A1333" s="34"/>
      <c r="B1333" s="48">
        <v>15</v>
      </c>
      <c r="C1333" s="48"/>
      <c r="D1333" s="88"/>
      <c r="E1333" s="72"/>
      <c r="F1333" s="77"/>
      <c r="G1333" s="89"/>
      <c r="H1333" s="74"/>
      <c r="I1333" s="74"/>
      <c r="J1333" s="95"/>
      <c r="K1333" s="92"/>
      <c r="L1333" s="92"/>
      <c r="M1333" s="44"/>
      <c r="N1333" s="44"/>
      <c r="O1333" s="44"/>
      <c r="P1333" s="44"/>
      <c r="Q1333" s="44"/>
      <c r="R1333" s="84"/>
      <c r="S1333" s="47"/>
      <c r="T1333" s="47"/>
    </row>
    <row r="1334" s="27" customFormat="1" ht="18" customHeight="1" spans="1:20">
      <c r="A1334" s="34"/>
      <c r="B1334" s="48">
        <v>16</v>
      </c>
      <c r="C1334" s="48"/>
      <c r="D1334" s="88"/>
      <c r="E1334" s="72"/>
      <c r="F1334" s="77"/>
      <c r="G1334" s="89"/>
      <c r="H1334" s="74"/>
      <c r="I1334" s="74"/>
      <c r="J1334" s="95"/>
      <c r="K1334" s="92"/>
      <c r="L1334" s="92"/>
      <c r="M1334" s="44"/>
      <c r="N1334" s="44"/>
      <c r="O1334" s="44"/>
      <c r="P1334" s="44"/>
      <c r="Q1334" s="44"/>
      <c r="R1334" s="84"/>
      <c r="S1334" s="47"/>
      <c r="T1334" s="47"/>
    </row>
    <row r="1335" s="27" customFormat="1" ht="18" customHeight="1" spans="1:20">
      <c r="A1335" s="34"/>
      <c r="B1335" s="48">
        <v>17</v>
      </c>
      <c r="C1335" s="48"/>
      <c r="D1335" s="121"/>
      <c r="E1335" s="72"/>
      <c r="F1335" s="77"/>
      <c r="G1335" s="89"/>
      <c r="H1335" s="74"/>
      <c r="I1335" s="74"/>
      <c r="J1335" s="95"/>
      <c r="K1335" s="92"/>
      <c r="L1335" s="92"/>
      <c r="M1335" s="44"/>
      <c r="N1335" s="44"/>
      <c r="O1335" s="44"/>
      <c r="P1335" s="44"/>
      <c r="Q1335" s="101"/>
      <c r="R1335" s="84"/>
      <c r="S1335" s="47"/>
      <c r="T1335" s="47"/>
    </row>
    <row r="1336" s="27" customFormat="1" ht="18" customHeight="1" spans="1:20">
      <c r="A1336" s="34"/>
      <c r="B1336" s="48">
        <v>18</v>
      </c>
      <c r="C1336" s="48"/>
      <c r="D1336" s="88"/>
      <c r="E1336" s="72"/>
      <c r="F1336" s="77"/>
      <c r="G1336" s="89"/>
      <c r="H1336" s="74"/>
      <c r="I1336" s="74"/>
      <c r="J1336" s="95"/>
      <c r="K1336" s="92"/>
      <c r="L1336" s="92"/>
      <c r="M1336" s="44"/>
      <c r="N1336" s="44"/>
      <c r="O1336" s="44"/>
      <c r="P1336" s="44"/>
      <c r="Q1336" s="44"/>
      <c r="R1336" s="84"/>
      <c r="S1336" s="47"/>
      <c r="T1336" s="47"/>
    </row>
    <row r="1337" s="27" customFormat="1" ht="18" customHeight="1" spans="1:20">
      <c r="A1337" s="34"/>
      <c r="B1337" s="48">
        <v>19</v>
      </c>
      <c r="C1337" s="48"/>
      <c r="D1337" s="27"/>
      <c r="E1337" s="72"/>
      <c r="F1337" s="77"/>
      <c r="G1337" s="89"/>
      <c r="H1337" s="74"/>
      <c r="I1337" s="74"/>
      <c r="J1337" s="95"/>
      <c r="K1337" s="92"/>
      <c r="L1337" s="92"/>
      <c r="M1337" s="44"/>
      <c r="N1337" s="44"/>
      <c r="O1337" s="44"/>
      <c r="P1337" s="44"/>
      <c r="Q1337" s="44"/>
      <c r="R1337" s="84"/>
      <c r="S1337" s="47"/>
      <c r="T1337" s="47"/>
    </row>
    <row r="1338" s="27" customFormat="1" ht="18" customHeight="1" spans="1:20">
      <c r="A1338" s="34"/>
      <c r="B1338" s="48">
        <v>20</v>
      </c>
      <c r="C1338" s="48"/>
      <c r="D1338" s="88"/>
      <c r="E1338" s="72"/>
      <c r="F1338" s="77"/>
      <c r="G1338" s="89"/>
      <c r="H1338" s="74"/>
      <c r="I1338" s="74"/>
      <c r="J1338" s="95"/>
      <c r="K1338" s="92"/>
      <c r="L1338" s="92"/>
      <c r="M1338" s="44"/>
      <c r="N1338" s="44"/>
      <c r="O1338" s="44"/>
      <c r="P1338" s="44"/>
      <c r="Q1338" s="44"/>
      <c r="R1338" s="84"/>
      <c r="S1338" s="47"/>
      <c r="T1338" s="47"/>
    </row>
    <row r="1339" s="27" customFormat="1" ht="18" customHeight="1" spans="1:20">
      <c r="A1339" s="34"/>
      <c r="B1339" s="48">
        <v>21</v>
      </c>
      <c r="C1339" s="48"/>
      <c r="D1339" s="88"/>
      <c r="E1339" s="72"/>
      <c r="F1339" s="77"/>
      <c r="G1339" s="89"/>
      <c r="H1339" s="74"/>
      <c r="I1339" s="74"/>
      <c r="J1339" s="95"/>
      <c r="K1339" s="92"/>
      <c r="L1339" s="92"/>
      <c r="M1339" s="44"/>
      <c r="N1339" s="44"/>
      <c r="O1339" s="44"/>
      <c r="P1339" s="44"/>
      <c r="Q1339" s="44"/>
      <c r="R1339" s="84"/>
      <c r="S1339" s="47"/>
      <c r="T1339" s="47"/>
    </row>
    <row r="1340" s="27" customFormat="1" ht="18" customHeight="1" spans="1:20">
      <c r="A1340" s="34"/>
      <c r="B1340" s="48">
        <v>22</v>
      </c>
      <c r="C1340" s="48"/>
      <c r="D1340" s="27"/>
      <c r="E1340" s="72"/>
      <c r="F1340" s="77"/>
      <c r="G1340" s="72"/>
      <c r="H1340" s="74"/>
      <c r="I1340" s="74"/>
      <c r="J1340" s="95"/>
      <c r="K1340" s="92"/>
      <c r="L1340" s="92"/>
      <c r="M1340" s="44"/>
      <c r="N1340" s="44"/>
      <c r="O1340" s="44"/>
      <c r="P1340" s="44"/>
      <c r="Q1340" s="44"/>
      <c r="R1340" s="62"/>
      <c r="S1340" s="47"/>
      <c r="T1340" s="47"/>
    </row>
    <row r="1341" s="27" customFormat="1" ht="18" customHeight="1" spans="1:20">
      <c r="A1341" s="34"/>
      <c r="B1341" s="48">
        <v>23</v>
      </c>
      <c r="C1341" s="48"/>
      <c r="D1341" s="88"/>
      <c r="E1341" s="72"/>
      <c r="F1341" s="77"/>
      <c r="G1341" s="89"/>
      <c r="H1341" s="74"/>
      <c r="I1341" s="74"/>
      <c r="J1341" s="95"/>
      <c r="K1341" s="92"/>
      <c r="L1341" s="92"/>
      <c r="M1341" s="44"/>
      <c r="N1341" s="44"/>
      <c r="O1341" s="44"/>
      <c r="P1341" s="44"/>
      <c r="Q1341" s="44"/>
      <c r="R1341" s="62"/>
      <c r="S1341" s="47"/>
      <c r="T1341" s="47"/>
    </row>
    <row r="1342" s="27" customFormat="1" ht="18" customHeight="1" spans="1:20">
      <c r="A1342" s="34"/>
      <c r="B1342" s="48">
        <v>24</v>
      </c>
      <c r="C1342" s="48"/>
      <c r="D1342" s="88" t="s">
        <v>478</v>
      </c>
      <c r="E1342" s="72" t="s">
        <v>43</v>
      </c>
      <c r="F1342" s="77"/>
      <c r="G1342" s="72">
        <v>1</v>
      </c>
      <c r="H1342" s="74">
        <v>1</v>
      </c>
      <c r="I1342" s="74">
        <f>+辅材及安装费!$E$3</f>
        <v>5</v>
      </c>
      <c r="J1342" s="95">
        <f>H1342*I1342</f>
        <v>5</v>
      </c>
      <c r="K1342" s="92"/>
      <c r="L1342" s="92"/>
      <c r="M1342" s="44"/>
      <c r="N1342" s="44"/>
      <c r="O1342" s="44"/>
      <c r="P1342" s="44"/>
      <c r="Q1342" s="44"/>
      <c r="R1342" s="62"/>
      <c r="S1342" s="47"/>
      <c r="T1342" s="47"/>
    </row>
    <row r="1343" s="27" customFormat="1" ht="18" customHeight="1" spans="1:20">
      <c r="A1343" s="34"/>
      <c r="B1343" s="48">
        <v>25</v>
      </c>
      <c r="C1343" s="48"/>
      <c r="D1343" s="93" t="s">
        <v>442</v>
      </c>
      <c r="E1343" s="72"/>
      <c r="F1343" s="77"/>
      <c r="G1343" s="72"/>
      <c r="H1343" s="74"/>
      <c r="I1343" s="74"/>
      <c r="J1343" s="95">
        <f>SUM(J1319:J1342)</f>
        <v>592.972582925545</v>
      </c>
      <c r="K1343" s="92"/>
      <c r="L1343" s="94"/>
      <c r="M1343" s="27"/>
      <c r="N1343" s="83"/>
      <c r="O1343" s="83"/>
      <c r="P1343" s="83"/>
      <c r="Q1343" s="83"/>
      <c r="R1343" s="87"/>
      <c r="S1343" s="47"/>
      <c r="T1343" s="47"/>
    </row>
    <row r="1344" s="27" customFormat="1" ht="18" customHeight="1" spans="1:20">
      <c r="A1344" s="34"/>
      <c r="B1344" s="48">
        <v>1</v>
      </c>
      <c r="C1344" s="48" t="s">
        <v>443</v>
      </c>
      <c r="D1344" s="48" t="s">
        <v>444</v>
      </c>
      <c r="E1344" s="72" t="s">
        <v>43</v>
      </c>
      <c r="F1344" s="50"/>
      <c r="G1344" s="48"/>
      <c r="H1344" s="51">
        <v>1</v>
      </c>
      <c r="I1344" s="74">
        <f>+辅材及安装费!$F$3</f>
        <v>5</v>
      </c>
      <c r="J1344" s="95">
        <f>H1344*I1344</f>
        <v>5</v>
      </c>
      <c r="K1344" s="118"/>
      <c r="L1344" s="96"/>
      <c r="M1344" s="97"/>
      <c r="N1344" s="98"/>
      <c r="O1344" s="98"/>
      <c r="P1344" s="98"/>
      <c r="Q1344" s="98"/>
      <c r="R1344" s="99"/>
      <c r="S1344" s="47"/>
      <c r="T1344" s="47"/>
    </row>
    <row r="1345" s="26" customFormat="1" ht="30" customHeight="1" spans="1:20">
      <c r="A1345" s="28"/>
      <c r="B1345" s="29" t="s">
        <v>386</v>
      </c>
      <c r="C1345" s="29"/>
      <c r="D1345" s="29"/>
      <c r="E1345" s="29"/>
      <c r="F1345" s="29"/>
      <c r="G1345" s="29"/>
      <c r="H1345" s="29"/>
      <c r="I1345" s="29"/>
      <c r="J1345" s="29"/>
      <c r="K1345" s="29"/>
      <c r="L1345" s="30"/>
      <c r="M1345" s="31"/>
      <c r="N1345" s="31"/>
      <c r="O1345" s="31"/>
      <c r="P1345" s="31"/>
      <c r="Q1345" s="31"/>
      <c r="R1345" s="32"/>
      <c r="S1345" s="33"/>
      <c r="T1345" s="33"/>
    </row>
    <row r="1346" s="27" customFormat="1" ht="33.75" customHeight="1" spans="1:20">
      <c r="A1346" s="34">
        <v>25</v>
      </c>
      <c r="B1346" s="35" t="s">
        <v>1</v>
      </c>
      <c r="C1346" s="35" t="s">
        <v>387</v>
      </c>
      <c r="D1346" s="36" t="str">
        <f>+A1354</f>
        <v>双色铝板造型线条(中灰色/香槟色)</v>
      </c>
      <c r="E1346" s="37"/>
      <c r="F1346" s="38" t="s">
        <v>119</v>
      </c>
      <c r="G1346" s="39"/>
      <c r="H1346" s="35" t="s">
        <v>388</v>
      </c>
      <c r="I1346" s="40" t="s">
        <v>389</v>
      </c>
      <c r="J1346" s="41" t="s">
        <v>37</v>
      </c>
      <c r="K1346" s="42">
        <f ca="1">VLOOKUP(A1346,排屋工程量清单!$A$59:$D$86,4,)</f>
        <v>34.021008</v>
      </c>
      <c r="L1346" s="43"/>
      <c r="M1346" s="44"/>
      <c r="N1346" s="44"/>
      <c r="O1346" s="44"/>
      <c r="P1346" s="45"/>
      <c r="Q1346" s="44"/>
      <c r="R1346" s="46"/>
      <c r="S1346" s="47"/>
      <c r="T1346" s="47"/>
    </row>
    <row r="1347" s="27" customFormat="1" ht="25" customHeight="1" spans="1:20">
      <c r="A1347" s="34"/>
      <c r="B1347" s="48">
        <v>1</v>
      </c>
      <c r="C1347" s="49" t="s">
        <v>390</v>
      </c>
      <c r="D1347" s="48" t="s">
        <v>391</v>
      </c>
      <c r="E1347" s="48"/>
      <c r="F1347" s="50"/>
      <c r="G1347" s="48"/>
      <c r="H1347" s="51"/>
      <c r="I1347" s="52">
        <f>J1359</f>
        <v>165</v>
      </c>
      <c r="J1347" s="53" t="s">
        <v>392</v>
      </c>
      <c r="K1347" s="54"/>
      <c r="L1347" s="55"/>
      <c r="M1347" s="56" t="s">
        <v>534</v>
      </c>
      <c r="N1347" s="57"/>
      <c r="O1347" s="57">
        <v>22.7</v>
      </c>
      <c r="P1347" s="57">
        <v>0.53</v>
      </c>
      <c r="Q1347" s="57">
        <v>1</v>
      </c>
      <c r="R1347" s="58">
        <f>+Q1347*P1347*O1347</f>
        <v>12.031</v>
      </c>
      <c r="S1347" s="47"/>
      <c r="T1347" s="47"/>
    </row>
    <row r="1348" s="27" customFormat="1" ht="18" customHeight="1" spans="1:20">
      <c r="A1348" s="34"/>
      <c r="B1348" s="48">
        <v>2</v>
      </c>
      <c r="C1348" s="59"/>
      <c r="D1348" s="48" t="s">
        <v>394</v>
      </c>
      <c r="E1348" s="48"/>
      <c r="F1348" s="50"/>
      <c r="G1348" s="48"/>
      <c r="H1348" s="51"/>
      <c r="I1348" s="52">
        <f>J1384</f>
        <v>475.454066739852</v>
      </c>
      <c r="J1348" s="53" t="s">
        <v>392</v>
      </c>
      <c r="K1348" s="60"/>
      <c r="L1348" s="61" t="s">
        <v>119</v>
      </c>
      <c r="M1348" s="44"/>
      <c r="N1348" s="44"/>
      <c r="O1348" s="44"/>
      <c r="P1348" s="44"/>
      <c r="Q1348" s="44"/>
      <c r="R1348" s="62"/>
      <c r="S1348" s="47"/>
      <c r="T1348" s="47"/>
    </row>
    <row r="1349" s="27" customFormat="1" ht="18" customHeight="1" spans="1:20">
      <c r="A1349" s="34"/>
      <c r="B1349" s="48">
        <v>3</v>
      </c>
      <c r="C1349" s="63"/>
      <c r="D1349" s="48" t="s">
        <v>395</v>
      </c>
      <c r="E1349" s="48"/>
      <c r="F1349" s="50"/>
      <c r="G1349" s="48"/>
      <c r="H1349" s="51"/>
      <c r="I1349" s="52">
        <f>J1385</f>
        <v>5</v>
      </c>
      <c r="J1349" s="53" t="s">
        <v>392</v>
      </c>
      <c r="K1349" s="60"/>
      <c r="L1349" s="60"/>
      <c r="M1349" s="65" t="s">
        <v>396</v>
      </c>
      <c r="N1349" s="65" t="s">
        <v>397</v>
      </c>
      <c r="O1349" s="65" t="s">
        <v>398</v>
      </c>
      <c r="P1349" s="65" t="s">
        <v>399</v>
      </c>
      <c r="Q1349" s="65" t="s">
        <v>400</v>
      </c>
      <c r="R1349" s="66" t="s">
        <v>401</v>
      </c>
      <c r="S1349" s="47"/>
      <c r="T1349" s="47"/>
    </row>
    <row r="1350" s="27" customFormat="1" ht="18" customHeight="1" spans="1:20">
      <c r="A1350" s="34"/>
      <c r="B1350" s="48">
        <v>4</v>
      </c>
      <c r="C1350" s="48" t="s">
        <v>402</v>
      </c>
      <c r="D1350" s="67" t="s">
        <v>403</v>
      </c>
      <c r="E1350" s="67"/>
      <c r="F1350" s="50"/>
      <c r="G1350" s="67"/>
      <c r="H1350" s="68"/>
      <c r="I1350" s="52">
        <f>SUM(I1347:I1349)</f>
        <v>645.454066739852</v>
      </c>
      <c r="J1350" s="53" t="s">
        <v>392</v>
      </c>
      <c r="K1350" s="60"/>
      <c r="L1350" s="69" t="s">
        <v>431</v>
      </c>
      <c r="M1350" s="34" t="s">
        <v>535</v>
      </c>
      <c r="N1350" s="102">
        <v>18.05</v>
      </c>
      <c r="O1350" s="34">
        <f>O1347</f>
        <v>22.7</v>
      </c>
      <c r="P1350" s="34">
        <v>0.5</v>
      </c>
      <c r="Q1350" s="44">
        <f t="shared" ref="Q1350:Q1357" si="159">+P1350*O1350*N1350</f>
        <v>204.8675</v>
      </c>
      <c r="R1350" s="71">
        <f>+Q1350/R1347</f>
        <v>17.0283018867925</v>
      </c>
      <c r="S1350" s="47"/>
      <c r="T1350" s="47"/>
    </row>
    <row r="1351" s="27" customFormat="1" ht="28" customHeight="1" spans="1:20">
      <c r="A1351" s="34"/>
      <c r="B1351" s="48">
        <v>5</v>
      </c>
      <c r="C1351" s="72" t="s">
        <v>406</v>
      </c>
      <c r="D1351" s="48" t="s">
        <v>407</v>
      </c>
      <c r="E1351" s="48"/>
      <c r="F1351" s="50"/>
      <c r="G1351" s="48"/>
      <c r="H1351" s="73">
        <f>+'材料表 '!$E$178</f>
        <v>0</v>
      </c>
      <c r="I1351" s="52">
        <f>H1351*I1350</f>
        <v>0</v>
      </c>
      <c r="J1351" s="53" t="s">
        <v>392</v>
      </c>
      <c r="K1351" s="60"/>
      <c r="L1351" s="69" t="s">
        <v>431</v>
      </c>
      <c r="M1351" s="34" t="s">
        <v>523</v>
      </c>
      <c r="N1351" s="102">
        <v>4.52</v>
      </c>
      <c r="O1351" s="34">
        <f>O1347</f>
        <v>22.7</v>
      </c>
      <c r="P1351" s="34">
        <v>0</v>
      </c>
      <c r="Q1351" s="44">
        <f t="shared" si="159"/>
        <v>0</v>
      </c>
      <c r="R1351" s="71">
        <f>+Q1351/R1347</f>
        <v>0</v>
      </c>
      <c r="S1351" s="47"/>
      <c r="T1351" s="47"/>
    </row>
    <row r="1352" s="27" customFormat="1" ht="18" customHeight="1" spans="1:20">
      <c r="A1352" s="34"/>
      <c r="B1352" s="48">
        <v>6</v>
      </c>
      <c r="C1352" s="48" t="s">
        <v>409</v>
      </c>
      <c r="D1352" s="48" t="s">
        <v>410</v>
      </c>
      <c r="E1352" s="48"/>
      <c r="F1352" s="50"/>
      <c r="G1352" s="48"/>
      <c r="H1352" s="73">
        <f>+'材料表 '!$E$179</f>
        <v>0</v>
      </c>
      <c r="I1352" s="52">
        <f>H1352*I1350</f>
        <v>0</v>
      </c>
      <c r="J1352" s="53" t="s">
        <v>392</v>
      </c>
      <c r="K1352" s="60"/>
      <c r="L1352" s="69" t="s">
        <v>461</v>
      </c>
      <c r="M1352" s="34" t="s">
        <v>462</v>
      </c>
      <c r="N1352" s="34">
        <v>3.77</v>
      </c>
      <c r="O1352" s="34">
        <f>O1347</f>
        <v>22.7</v>
      </c>
      <c r="P1352" s="34">
        <v>0</v>
      </c>
      <c r="Q1352" s="44">
        <f t="shared" si="159"/>
        <v>0</v>
      </c>
      <c r="R1352" s="71">
        <f>+Q1352/R1347</f>
        <v>0</v>
      </c>
      <c r="S1352" s="47"/>
      <c r="T1352" s="47"/>
    </row>
    <row r="1353" s="27" customFormat="1" ht="18" customHeight="1" spans="1:20">
      <c r="A1353" s="34"/>
      <c r="B1353" s="48">
        <v>7</v>
      </c>
      <c r="C1353" s="48" t="s">
        <v>412</v>
      </c>
      <c r="D1353" s="72" t="s">
        <v>413</v>
      </c>
      <c r="E1353" s="72"/>
      <c r="F1353" s="77"/>
      <c r="G1353" s="72"/>
      <c r="H1353" s="73">
        <f>+'材料表 '!$E$180</f>
        <v>0.09</v>
      </c>
      <c r="I1353" s="52">
        <f>(I1350+I1351+I1352)*H1353</f>
        <v>58.0908660065867</v>
      </c>
      <c r="J1353" s="53" t="s">
        <v>392</v>
      </c>
      <c r="K1353" s="60"/>
      <c r="L1353" s="69" t="s">
        <v>463</v>
      </c>
      <c r="M1353" s="34" t="s">
        <v>464</v>
      </c>
      <c r="N1353" s="34">
        <f>0.15*0.2*7.85*10</f>
        <v>2.355</v>
      </c>
      <c r="O1353" s="34">
        <v>1.5</v>
      </c>
      <c r="P1353" s="34">
        <v>0</v>
      </c>
      <c r="Q1353" s="44">
        <f t="shared" si="159"/>
        <v>0</v>
      </c>
      <c r="R1353" s="71">
        <f>+Q1353/R1347</f>
        <v>0</v>
      </c>
      <c r="S1353" s="47"/>
      <c r="T1353" s="47"/>
    </row>
    <row r="1354" s="27" customFormat="1" ht="18" customHeight="1" spans="1:20">
      <c r="A1354" s="105" t="s">
        <v>164</v>
      </c>
      <c r="B1354" s="48">
        <v>8</v>
      </c>
      <c r="C1354" s="48" t="s">
        <v>363</v>
      </c>
      <c r="D1354" s="106" t="s">
        <v>415</v>
      </c>
      <c r="E1354" s="107"/>
      <c r="F1354" s="108"/>
      <c r="G1354" s="107"/>
      <c r="H1354" s="51"/>
      <c r="I1354" s="74">
        <f>SUM(I1350:I1353)</f>
        <v>703.544932746439</v>
      </c>
      <c r="J1354" s="53" t="s">
        <v>416</v>
      </c>
      <c r="K1354" s="60"/>
      <c r="L1354" s="69" t="s">
        <v>465</v>
      </c>
      <c r="M1354" s="34" t="s">
        <v>503</v>
      </c>
      <c r="N1354" s="126">
        <v>7.034</v>
      </c>
      <c r="O1354" s="34">
        <f>85/1000</f>
        <v>0.085</v>
      </c>
      <c r="P1354" s="44">
        <v>0</v>
      </c>
      <c r="Q1354" s="44">
        <f t="shared" si="159"/>
        <v>0</v>
      </c>
      <c r="R1354" s="84">
        <f>+Q1354/R1347</f>
        <v>0</v>
      </c>
      <c r="S1354" s="79"/>
      <c r="T1354" s="47"/>
    </row>
    <row r="1355" s="27" customFormat="1" ht="18" customHeight="1" spans="1:20">
      <c r="A1355" s="34"/>
      <c r="B1355" s="109" t="s">
        <v>418</v>
      </c>
      <c r="C1355" s="110"/>
      <c r="D1355" s="110"/>
      <c r="E1355" s="110"/>
      <c r="F1355" s="110"/>
      <c r="G1355" s="110"/>
      <c r="H1355" s="110"/>
      <c r="I1355" s="110"/>
      <c r="J1355" s="110"/>
      <c r="K1355" s="80"/>
      <c r="L1355" s="69" t="s">
        <v>433</v>
      </c>
      <c r="M1355" s="44" t="s">
        <v>505</v>
      </c>
      <c r="N1355" s="82">
        <f>0.056*3*2.71+0.0675*3*2.71</f>
        <v>1.004055</v>
      </c>
      <c r="O1355" s="44">
        <f>O1347</f>
        <v>22.7</v>
      </c>
      <c r="P1355" s="44">
        <v>1</v>
      </c>
      <c r="Q1355" s="44">
        <f t="shared" si="159"/>
        <v>22.7920485</v>
      </c>
      <c r="R1355" s="84">
        <f>+Q1355/R1347</f>
        <v>1.89444339622642</v>
      </c>
      <c r="S1355" s="47">
        <f>0.16*P1355*O1355/R1347</f>
        <v>0.30188679245283</v>
      </c>
      <c r="T1355" s="47"/>
    </row>
    <row r="1356" s="27" customFormat="1" ht="18" customHeight="1" spans="1:20">
      <c r="A1356" s="34"/>
      <c r="B1356" s="48">
        <v>1</v>
      </c>
      <c r="C1356" s="48" t="s">
        <v>391</v>
      </c>
      <c r="D1356" s="48" t="s">
        <v>396</v>
      </c>
      <c r="E1356" s="48" t="s">
        <v>37</v>
      </c>
      <c r="F1356" s="50"/>
      <c r="G1356" s="48"/>
      <c r="H1356" s="51" t="s">
        <v>399</v>
      </c>
      <c r="I1356" s="51" t="s">
        <v>420</v>
      </c>
      <c r="J1356" s="95" t="s">
        <v>421</v>
      </c>
      <c r="K1356" s="92"/>
      <c r="L1356" s="69" t="s">
        <v>433</v>
      </c>
      <c r="M1356" s="44" t="s">
        <v>504</v>
      </c>
      <c r="N1356" s="82">
        <f>0.056*3*2.71+0.0675*3*2.71</f>
        <v>1.004055</v>
      </c>
      <c r="O1356" s="44">
        <f>0.574</f>
        <v>0.574</v>
      </c>
      <c r="P1356" s="44">
        <v>16</v>
      </c>
      <c r="Q1356" s="44">
        <f t="shared" si="159"/>
        <v>9.22124112</v>
      </c>
      <c r="R1356" s="84">
        <f>+Q1356/R1347</f>
        <v>0.766456746737595</v>
      </c>
      <c r="S1356" s="47"/>
      <c r="T1356" s="47"/>
    </row>
    <row r="1357" s="27" customFormat="1" ht="18" customHeight="1" spans="1:20">
      <c r="A1357" s="34"/>
      <c r="B1357" s="48">
        <v>2</v>
      </c>
      <c r="C1357" s="48"/>
      <c r="D1357" s="111" t="s">
        <v>491</v>
      </c>
      <c r="E1357" s="49" t="s">
        <v>423</v>
      </c>
      <c r="F1357" s="112"/>
      <c r="G1357" s="111"/>
      <c r="H1357" s="113">
        <v>1</v>
      </c>
      <c r="I1357" s="113">
        <f>+辅材及安装费!$G$3</f>
        <v>165</v>
      </c>
      <c r="J1357" s="114">
        <f t="shared" ref="J1357:J1369" si="160">H1357*I1357</f>
        <v>165</v>
      </c>
      <c r="K1357" s="92"/>
      <c r="L1357" s="69" t="s">
        <v>433</v>
      </c>
      <c r="M1357" s="44" t="s">
        <v>498</v>
      </c>
      <c r="N1357" s="82">
        <f>0.045*3*2.71</f>
        <v>0.36585</v>
      </c>
      <c r="O1357" s="44">
        <f>O1347</f>
        <v>22.7</v>
      </c>
      <c r="P1357" s="44">
        <v>1</v>
      </c>
      <c r="Q1357" s="44">
        <f t="shared" si="159"/>
        <v>8.304795</v>
      </c>
      <c r="R1357" s="84">
        <f>Q1357/R1347</f>
        <v>0.690283018867925</v>
      </c>
      <c r="S1357" s="47"/>
      <c r="T1357" s="47"/>
    </row>
    <row r="1358" s="27" customFormat="1" ht="18" customHeight="1" spans="1:20">
      <c r="A1358" s="34"/>
      <c r="B1358" s="48">
        <v>3</v>
      </c>
      <c r="C1358" s="48"/>
      <c r="D1358" s="115"/>
      <c r="E1358" s="63"/>
      <c r="F1358" s="116"/>
      <c r="G1358" s="115"/>
      <c r="H1358" s="117"/>
      <c r="I1358" s="117"/>
      <c r="J1358" s="118"/>
      <c r="K1358" s="92"/>
      <c r="L1358" s="90" t="s">
        <v>472</v>
      </c>
      <c r="M1358" s="44"/>
      <c r="N1358" s="82"/>
      <c r="O1358" s="44"/>
      <c r="P1358" s="44">
        <f>O1353*P1353*2</f>
        <v>0</v>
      </c>
      <c r="Q1358" s="44">
        <f>+P1358</f>
        <v>0</v>
      </c>
      <c r="R1358" s="84">
        <f>+Q1358/R1347</f>
        <v>0</v>
      </c>
      <c r="S1358" s="47"/>
      <c r="T1358" s="47"/>
    </row>
    <row r="1359" s="27" customFormat="1" ht="18" customHeight="1" spans="1:20">
      <c r="A1359" s="34"/>
      <c r="B1359" s="48">
        <v>4</v>
      </c>
      <c r="C1359" s="48"/>
      <c r="D1359" s="85" t="s">
        <v>426</v>
      </c>
      <c r="E1359" s="48" t="s">
        <v>392</v>
      </c>
      <c r="F1359" s="50"/>
      <c r="G1359" s="48"/>
      <c r="H1359" s="86"/>
      <c r="I1359" s="86"/>
      <c r="J1359" s="95">
        <f>SUM(J1357:J1357)</f>
        <v>165</v>
      </c>
      <c r="K1359" s="92"/>
      <c r="L1359" s="90"/>
      <c r="M1359" s="44"/>
      <c r="N1359" s="82"/>
      <c r="O1359" s="44"/>
      <c r="P1359" s="44"/>
      <c r="Q1359" s="44"/>
      <c r="R1359" s="84"/>
      <c r="S1359" s="47"/>
      <c r="T1359" s="47"/>
    </row>
    <row r="1360" s="27" customFormat="1" ht="22" customHeight="1" spans="1:20">
      <c r="A1360" s="34"/>
      <c r="B1360" s="48">
        <v>1</v>
      </c>
      <c r="C1360" s="48" t="s">
        <v>394</v>
      </c>
      <c r="D1360" s="88" t="s">
        <v>431</v>
      </c>
      <c r="E1360" s="72" t="str">
        <f>+VLOOKUP(D1360,'材料表 '!C:F,2,0)</f>
        <v>kg</v>
      </c>
      <c r="F1360" s="77">
        <f t="shared" ref="F1360:F1369" si="161">+SUMIF($L$1060:$L$1098,D1360,$R$1060:$R$1098)</f>
        <v>17.0283018867925</v>
      </c>
      <c r="G1360" s="89">
        <f>+VLOOKUP(D1360,'材料表 '!C:F,4,0)</f>
        <v>0.03</v>
      </c>
      <c r="H1360" s="74">
        <f t="shared" ref="H1360:H1369" si="162">F1360*(G1360+1)</f>
        <v>17.5391509433963</v>
      </c>
      <c r="I1360" s="74">
        <f>+VLOOKUP(D1360,'材料表 '!C:F,3,0)</f>
        <v>3.80530973451327</v>
      </c>
      <c r="J1360" s="95">
        <f t="shared" si="160"/>
        <v>66.7419018200034</v>
      </c>
      <c r="K1360" s="92">
        <f ca="1">H1360*K1346</f>
        <v>596.699594558493</v>
      </c>
      <c r="L1360" s="90"/>
      <c r="M1360" s="44"/>
      <c r="N1360" s="82"/>
      <c r="O1360" s="44"/>
      <c r="P1360" s="44"/>
      <c r="Q1360" s="44"/>
      <c r="R1360" s="84"/>
      <c r="S1360" s="47"/>
      <c r="T1360" s="47"/>
    </row>
    <row r="1361" s="27" customFormat="1" ht="18" customHeight="1" spans="1:20">
      <c r="A1361" s="34"/>
      <c r="B1361" s="48">
        <v>2</v>
      </c>
      <c r="C1361" s="48"/>
      <c r="D1361" s="88" t="s">
        <v>461</v>
      </c>
      <c r="E1361" s="72" t="str">
        <f>+VLOOKUP(D1361,'材料表 '!C:F,2,0)</f>
        <v>kg</v>
      </c>
      <c r="F1361" s="77">
        <f t="shared" si="161"/>
        <v>0</v>
      </c>
      <c r="G1361" s="89">
        <f>+VLOOKUP(D1361,'材料表 '!C:F,4,0)</f>
        <v>0.03</v>
      </c>
      <c r="H1361" s="74">
        <f t="shared" si="162"/>
        <v>0</v>
      </c>
      <c r="I1361" s="74">
        <f>+VLOOKUP(D1361,'材料表 '!C:F,3,0)</f>
        <v>3.53982300884956</v>
      </c>
      <c r="J1361" s="95">
        <f t="shared" si="160"/>
        <v>0</v>
      </c>
      <c r="K1361" s="92">
        <f ca="1">H1361*K1346</f>
        <v>0</v>
      </c>
      <c r="L1361" s="90"/>
      <c r="M1361" s="44"/>
      <c r="N1361" s="82"/>
      <c r="O1361" s="44"/>
      <c r="P1361" s="44"/>
      <c r="Q1361" s="44"/>
      <c r="R1361" s="84"/>
      <c r="S1361" s="47"/>
      <c r="T1361" s="47"/>
    </row>
    <row r="1362" s="27" customFormat="1" ht="18" customHeight="1" spans="1:20">
      <c r="A1362" s="34"/>
      <c r="B1362" s="48">
        <v>3</v>
      </c>
      <c r="C1362" s="48"/>
      <c r="D1362" s="88" t="s">
        <v>465</v>
      </c>
      <c r="E1362" s="72" t="str">
        <f>+VLOOKUP(D1362,'材料表 '!C:F,2,0)</f>
        <v>kg</v>
      </c>
      <c r="F1362" s="77">
        <f t="shared" si="161"/>
        <v>0</v>
      </c>
      <c r="G1362" s="89">
        <f>+VLOOKUP(D1362,'材料表 '!C:F,4,0)</f>
        <v>0.03</v>
      </c>
      <c r="H1362" s="74">
        <f t="shared" si="162"/>
        <v>0</v>
      </c>
      <c r="I1362" s="74">
        <f>+VLOOKUP(D1362,'材料表 '!C:F,3,0)</f>
        <v>6.01769911504425</v>
      </c>
      <c r="J1362" s="95">
        <f t="shared" si="160"/>
        <v>0</v>
      </c>
      <c r="K1362" s="92">
        <f ca="1">H1362*K1346</f>
        <v>0</v>
      </c>
      <c r="L1362" s="90"/>
      <c r="M1362" s="44"/>
      <c r="N1362" s="82"/>
      <c r="O1362" s="44"/>
      <c r="P1362" s="44"/>
      <c r="Q1362" s="44">
        <f>+P1362*O1362</f>
        <v>0</v>
      </c>
      <c r="R1362" s="84">
        <f>+Q1362/R1347</f>
        <v>0</v>
      </c>
      <c r="S1362" s="47"/>
      <c r="T1362" s="47"/>
    </row>
    <row r="1363" s="27" customFormat="1" ht="18" customHeight="1" spans="1:20">
      <c r="A1363" s="34"/>
      <c r="B1363" s="48">
        <v>4</v>
      </c>
      <c r="C1363" s="48"/>
      <c r="D1363" s="88" t="s">
        <v>463</v>
      </c>
      <c r="E1363" s="72" t="str">
        <f>+VLOOKUP(D1363,'材料表 '!C:F,2,0)</f>
        <v>kg</v>
      </c>
      <c r="F1363" s="77">
        <f t="shared" si="161"/>
        <v>0</v>
      </c>
      <c r="G1363" s="89">
        <f>+VLOOKUP(D1363,'材料表 '!C:F,4,0)</f>
        <v>0.03</v>
      </c>
      <c r="H1363" s="74">
        <f t="shared" si="162"/>
        <v>0</v>
      </c>
      <c r="I1363" s="74">
        <f>+VLOOKUP(D1363,'材料表 '!C:F,3,0)</f>
        <v>6.01769911504425</v>
      </c>
      <c r="J1363" s="95">
        <f t="shared" si="160"/>
        <v>0</v>
      </c>
      <c r="K1363" s="92">
        <f ca="1">H1363*K1346</f>
        <v>0</v>
      </c>
      <c r="L1363" s="90" t="s">
        <v>474</v>
      </c>
      <c r="M1363" s="44"/>
      <c r="N1363" s="82"/>
      <c r="O1363" s="44"/>
      <c r="P1363" s="44"/>
      <c r="Q1363" s="44">
        <f>+O1353*P1353*4</f>
        <v>0</v>
      </c>
      <c r="R1363" s="84">
        <f>+Q1363/R1347</f>
        <v>0</v>
      </c>
      <c r="S1363" s="47"/>
      <c r="T1363" s="47"/>
    </row>
    <row r="1364" s="27" customFormat="1" ht="18" customHeight="1" spans="1:20">
      <c r="A1364" s="34"/>
      <c r="B1364" s="48">
        <v>5</v>
      </c>
      <c r="C1364" s="48"/>
      <c r="D1364" s="88" t="s">
        <v>433</v>
      </c>
      <c r="E1364" s="72" t="str">
        <f>+VLOOKUP(D1364,'材料表 '!C:F,2,0)</f>
        <v>kg</v>
      </c>
      <c r="F1364" s="77">
        <f t="shared" si="161"/>
        <v>3.35118316183193</v>
      </c>
      <c r="G1364" s="89">
        <f>+VLOOKUP(D1364,'材料表 '!C:F,4,0)</f>
        <v>0.03</v>
      </c>
      <c r="H1364" s="74">
        <f t="shared" si="162"/>
        <v>3.45171865668689</v>
      </c>
      <c r="I1364" s="74">
        <f>+VLOOKUP(D1364,'材料表 '!C:F,3,0)</f>
        <v>26.1150442477876</v>
      </c>
      <c r="J1364" s="95">
        <f t="shared" si="160"/>
        <v>90.1417854502921</v>
      </c>
      <c r="K1364" s="92">
        <f ca="1">H1364*K1346</f>
        <v>117.430948032894</v>
      </c>
      <c r="L1364" s="92" t="s">
        <v>476</v>
      </c>
      <c r="M1364" s="44"/>
      <c r="N1364" s="82"/>
      <c r="O1364" s="44"/>
      <c r="P1364" s="44"/>
      <c r="Q1364" s="44">
        <f>8*8*(O1347*2+P1347*16)/500</f>
        <v>6.89664</v>
      </c>
      <c r="R1364" s="84">
        <f>+Q1364/R1347</f>
        <v>0.573239132241709</v>
      </c>
      <c r="S1364" s="47"/>
      <c r="T1364" s="47"/>
    </row>
    <row r="1365" s="27" customFormat="1" ht="18" customHeight="1" spans="1:20">
      <c r="A1365" s="34"/>
      <c r="B1365" s="48">
        <v>6</v>
      </c>
      <c r="C1365" s="48"/>
      <c r="D1365" s="88" t="s">
        <v>434</v>
      </c>
      <c r="E1365" s="72" t="str">
        <f>+VLOOKUP(D1365,'材料表 '!C:F,2,0)</f>
        <v>m2</v>
      </c>
      <c r="F1365" s="77">
        <f t="shared" si="161"/>
        <v>0</v>
      </c>
      <c r="G1365" s="89">
        <f>+VLOOKUP(D1365,'材料表 '!C:F,4,0)</f>
        <v>0</v>
      </c>
      <c r="H1365" s="74">
        <f t="shared" si="162"/>
        <v>0</v>
      </c>
      <c r="I1365" s="74">
        <f>+VLOOKUP(D1365,'材料表 '!C:F,3,0)</f>
        <v>49.5575221238938</v>
      </c>
      <c r="J1365" s="95">
        <f t="shared" si="160"/>
        <v>0</v>
      </c>
      <c r="K1365" s="92">
        <f ca="1">H1365*K1346</f>
        <v>0</v>
      </c>
      <c r="L1365" s="92" t="s">
        <v>499</v>
      </c>
      <c r="M1365" s="44"/>
      <c r="N1365" s="82"/>
      <c r="O1365" s="44"/>
      <c r="P1365" s="44"/>
      <c r="Q1365" s="44">
        <v>0</v>
      </c>
      <c r="R1365" s="84">
        <f>Q1365/R1347</f>
        <v>0</v>
      </c>
      <c r="S1365" s="47"/>
      <c r="T1365" s="47"/>
    </row>
    <row r="1366" s="27" customFormat="1" ht="18" customHeight="1" spans="1:20">
      <c r="A1366" s="34"/>
      <c r="B1366" s="48">
        <v>7</v>
      </c>
      <c r="C1366" s="48"/>
      <c r="D1366" s="88" t="s">
        <v>472</v>
      </c>
      <c r="E1366" s="72" t="str">
        <f>+VLOOKUP(D1366,'材料表 '!C:F,2,0)</f>
        <v>套</v>
      </c>
      <c r="F1366" s="77">
        <f t="shared" si="161"/>
        <v>0</v>
      </c>
      <c r="G1366" s="89">
        <f>+VLOOKUP(D1366,'材料表 '!C:F,4,0)</f>
        <v>0</v>
      </c>
      <c r="H1366" s="74">
        <f t="shared" si="162"/>
        <v>0</v>
      </c>
      <c r="I1366" s="74">
        <f>+VLOOKUP(D1366,'材料表 '!C:F,3,0)</f>
        <v>2.47787610619469</v>
      </c>
      <c r="J1366" s="95">
        <f t="shared" si="160"/>
        <v>0</v>
      </c>
      <c r="K1366" s="92">
        <f ca="1">H1366*K1346</f>
        <v>0</v>
      </c>
      <c r="L1366" s="92"/>
      <c r="M1366" s="44"/>
      <c r="N1366" s="82"/>
      <c r="O1366" s="44"/>
      <c r="P1366" s="44"/>
      <c r="Q1366" s="44"/>
      <c r="R1366" s="84"/>
      <c r="S1366" s="47"/>
      <c r="T1366" s="47"/>
    </row>
    <row r="1367" s="27" customFormat="1" ht="18" customHeight="1" spans="1:20">
      <c r="A1367" s="34"/>
      <c r="B1367" s="48">
        <v>8</v>
      </c>
      <c r="C1367" s="48"/>
      <c r="D1367" s="88" t="s">
        <v>474</v>
      </c>
      <c r="E1367" s="72" t="str">
        <f>+VLOOKUP(D1367,'材料表 '!C:F,2,0)</f>
        <v>套</v>
      </c>
      <c r="F1367" s="77">
        <f t="shared" si="161"/>
        <v>0</v>
      </c>
      <c r="G1367" s="89">
        <f>+VLOOKUP(D1367,'材料表 '!C:F,4,0)</f>
        <v>0</v>
      </c>
      <c r="H1367" s="74">
        <f t="shared" si="162"/>
        <v>0</v>
      </c>
      <c r="I1367" s="74">
        <f>+VLOOKUP(D1367,'材料表 '!C:F,3,0)</f>
        <v>2.21238938053097</v>
      </c>
      <c r="J1367" s="95">
        <f t="shared" si="160"/>
        <v>0</v>
      </c>
      <c r="K1367" s="92">
        <f ca="1">H1367*K1346</f>
        <v>0</v>
      </c>
      <c r="L1367" s="92"/>
      <c r="M1367" s="44"/>
      <c r="N1367" s="82"/>
      <c r="O1367" s="44"/>
      <c r="P1367" s="44"/>
      <c r="Q1367" s="44"/>
      <c r="R1367" s="84"/>
      <c r="S1367" s="47"/>
      <c r="T1367" s="47"/>
    </row>
    <row r="1368" s="27" customFormat="1" ht="18" customHeight="1" spans="1:20">
      <c r="A1368" s="34"/>
      <c r="B1368" s="48">
        <v>9</v>
      </c>
      <c r="C1368" s="48"/>
      <c r="D1368" s="88" t="s">
        <v>476</v>
      </c>
      <c r="E1368" s="72" t="str">
        <f>+VLOOKUP(D1368,'材料表 '!C:F,2,0)</f>
        <v>支</v>
      </c>
      <c r="F1368" s="77">
        <f t="shared" si="161"/>
        <v>0.573239132241709</v>
      </c>
      <c r="G1368" s="89">
        <f>+VLOOKUP(D1368,'材料表 '!C:F,4,0)</f>
        <v>0.15</v>
      </c>
      <c r="H1368" s="74">
        <f t="shared" si="162"/>
        <v>0.659225002077965</v>
      </c>
      <c r="I1368" s="74">
        <f>+VLOOKUP(D1368,'材料表 '!C:F,3,0)</f>
        <v>11.5044247787611</v>
      </c>
      <c r="J1368" s="95">
        <f t="shared" si="160"/>
        <v>7.58400444868458</v>
      </c>
      <c r="K1368" s="92">
        <f ca="1">H1368*K1346</f>
        <v>22.4274990694945</v>
      </c>
      <c r="L1368" s="90"/>
      <c r="M1368" s="44"/>
      <c r="N1368" s="82"/>
      <c r="O1368" s="34"/>
      <c r="P1368" s="44"/>
      <c r="Q1368" s="44"/>
      <c r="R1368" s="119"/>
      <c r="S1368" s="47"/>
      <c r="T1368" s="47"/>
    </row>
    <row r="1369" s="27" customFormat="1" ht="23" customHeight="1" spans="1:20">
      <c r="A1369" s="34"/>
      <c r="B1369" s="48">
        <v>10</v>
      </c>
      <c r="C1369" s="48"/>
      <c r="D1369" s="88" t="s">
        <v>499</v>
      </c>
      <c r="E1369" s="72" t="str">
        <f>+VLOOKUP(D1369,'材料表 '!C:F,2,0)</f>
        <v>套</v>
      </c>
      <c r="F1369" s="77">
        <f t="shared" si="161"/>
        <v>0</v>
      </c>
      <c r="G1369" s="89">
        <f>+VLOOKUP(D1369,'材料表 '!C:F,4,0)</f>
        <v>0</v>
      </c>
      <c r="H1369" s="74">
        <f t="shared" si="162"/>
        <v>0</v>
      </c>
      <c r="I1369" s="74">
        <f>+VLOOKUP(D1369,'材料表 '!C:F,3,0)</f>
        <v>1.32743362831858</v>
      </c>
      <c r="J1369" s="95">
        <f t="shared" si="160"/>
        <v>0</v>
      </c>
      <c r="K1369" s="92">
        <f ca="1">H1369*K1346</f>
        <v>0</v>
      </c>
      <c r="L1369" s="92"/>
      <c r="M1369" s="120"/>
      <c r="N1369" s="82"/>
      <c r="O1369" s="44"/>
      <c r="P1369" s="44"/>
      <c r="Q1369" s="44"/>
      <c r="R1369" s="84"/>
      <c r="S1369" s="47"/>
      <c r="T1369" s="47"/>
    </row>
    <row r="1370" s="27" customFormat="1" ht="20" customHeight="1" spans="1:20">
      <c r="A1370" s="34"/>
      <c r="B1370" s="48">
        <v>11</v>
      </c>
      <c r="C1370" s="48"/>
      <c r="D1370" s="88"/>
      <c r="E1370" s="72"/>
      <c r="F1370" s="77"/>
      <c r="G1370" s="89"/>
      <c r="H1370" s="74"/>
      <c r="I1370" s="74"/>
      <c r="J1370" s="95"/>
      <c r="K1370" s="92">
        <f ca="1">H1370*K1346</f>
        <v>0</v>
      </c>
      <c r="L1370" s="92"/>
      <c r="M1370" s="44"/>
      <c r="N1370" s="82"/>
      <c r="O1370" s="44"/>
      <c r="P1370" s="44"/>
      <c r="Q1370" s="44"/>
      <c r="R1370" s="84"/>
      <c r="S1370" s="47"/>
      <c r="T1370" s="47"/>
    </row>
    <row r="1371" s="27" customFormat="1" ht="24" customHeight="1" spans="1:20">
      <c r="A1371" s="34"/>
      <c r="B1371" s="48">
        <v>12</v>
      </c>
      <c r="C1371" s="48"/>
      <c r="D1371" s="127" t="s">
        <v>549</v>
      </c>
      <c r="E1371" s="72" t="str">
        <f>+VLOOKUP(D1371,'材料表 '!C:F,2,0)</f>
        <v>m2</v>
      </c>
      <c r="F1371" s="77">
        <f>0.574/0.53</f>
        <v>1.08301886792453</v>
      </c>
      <c r="G1371" s="89">
        <f>+VLOOKUP(D1371,'材料表 '!C:F,4,0)</f>
        <v>0.02</v>
      </c>
      <c r="H1371" s="74">
        <f>F1371*(G1371+1)</f>
        <v>1.10467924528302</v>
      </c>
      <c r="I1371" s="74">
        <f>+VLOOKUP(D1371,'材料表 '!C:F,3,0)</f>
        <v>276.991150442478</v>
      </c>
      <c r="J1371" s="95">
        <f>H1371*I1371</f>
        <v>305.986375020872</v>
      </c>
      <c r="K1371" s="92">
        <f ca="1">H1371*K1346</f>
        <v>37.5823014412076</v>
      </c>
      <c r="L1371" s="92"/>
      <c r="M1371" s="44"/>
      <c r="N1371" s="44"/>
      <c r="O1371" s="44"/>
      <c r="P1371" s="44"/>
      <c r="Q1371" s="44"/>
      <c r="R1371" s="84"/>
      <c r="S1371" s="47"/>
      <c r="T1371" s="47"/>
    </row>
    <row r="1372" s="27" customFormat="1" ht="18" customHeight="1" spans="1:20">
      <c r="A1372" s="34"/>
      <c r="B1372" s="48">
        <v>13</v>
      </c>
      <c r="C1372" s="48"/>
      <c r="D1372" s="88"/>
      <c r="E1372" s="72"/>
      <c r="F1372" s="77"/>
      <c r="G1372" s="89"/>
      <c r="H1372" s="74"/>
      <c r="I1372" s="74"/>
      <c r="J1372" s="95"/>
      <c r="K1372" s="92">
        <f ca="1">H1372*K1346</f>
        <v>0</v>
      </c>
      <c r="L1372" s="92"/>
      <c r="M1372" s="44"/>
      <c r="N1372" s="44"/>
      <c r="O1372" s="44"/>
      <c r="P1372" s="44"/>
      <c r="Q1372" s="44"/>
      <c r="R1372" s="84"/>
      <c r="S1372" s="47"/>
      <c r="T1372" s="47"/>
    </row>
    <row r="1373" s="27" customFormat="1" ht="24" customHeight="1" spans="1:20">
      <c r="A1373" s="34"/>
      <c r="B1373" s="48">
        <v>14</v>
      </c>
      <c r="C1373" s="48"/>
      <c r="D1373" s="88"/>
      <c r="E1373" s="72"/>
      <c r="F1373" s="77"/>
      <c r="G1373" s="89"/>
      <c r="H1373" s="74"/>
      <c r="I1373" s="74"/>
      <c r="J1373" s="95"/>
      <c r="K1373" s="92">
        <f ca="1">H1373*K1346</f>
        <v>0</v>
      </c>
      <c r="L1373" s="92"/>
      <c r="M1373" s="44"/>
      <c r="N1373" s="44"/>
      <c r="O1373" s="44"/>
      <c r="P1373" s="44"/>
      <c r="Q1373" s="44"/>
      <c r="R1373" s="84"/>
      <c r="S1373" s="47"/>
      <c r="T1373" s="47"/>
    </row>
    <row r="1374" s="27" customFormat="1" ht="18" customHeight="1" spans="1:20">
      <c r="A1374" s="34"/>
      <c r="B1374" s="48">
        <v>15</v>
      </c>
      <c r="C1374" s="48"/>
      <c r="D1374" s="88"/>
      <c r="E1374" s="72"/>
      <c r="F1374" s="77"/>
      <c r="G1374" s="89"/>
      <c r="H1374" s="74"/>
      <c r="I1374" s="74"/>
      <c r="J1374" s="95"/>
      <c r="K1374" s="92"/>
      <c r="L1374" s="92"/>
      <c r="M1374" s="44"/>
      <c r="N1374" s="44"/>
      <c r="O1374" s="44"/>
      <c r="P1374" s="44"/>
      <c r="Q1374" s="44"/>
      <c r="R1374" s="84"/>
      <c r="S1374" s="47"/>
      <c r="T1374" s="47"/>
    </row>
    <row r="1375" s="27" customFormat="1" ht="18" customHeight="1" spans="1:20">
      <c r="A1375" s="34"/>
      <c r="B1375" s="48">
        <v>16</v>
      </c>
      <c r="C1375" s="48"/>
      <c r="D1375" s="88"/>
      <c r="E1375" s="72"/>
      <c r="F1375" s="77"/>
      <c r="G1375" s="89"/>
      <c r="H1375" s="74"/>
      <c r="I1375" s="74"/>
      <c r="J1375" s="95"/>
      <c r="K1375" s="92"/>
      <c r="L1375" s="92"/>
      <c r="M1375" s="44"/>
      <c r="N1375" s="44"/>
      <c r="O1375" s="44"/>
      <c r="P1375" s="44"/>
      <c r="Q1375" s="44"/>
      <c r="R1375" s="84"/>
      <c r="S1375" s="47"/>
      <c r="T1375" s="47"/>
    </row>
    <row r="1376" s="27" customFormat="1" ht="18" customHeight="1" spans="1:20">
      <c r="A1376" s="34"/>
      <c r="B1376" s="48">
        <v>17</v>
      </c>
      <c r="C1376" s="48"/>
      <c r="D1376" s="121"/>
      <c r="E1376" s="72"/>
      <c r="F1376" s="77"/>
      <c r="G1376" s="89"/>
      <c r="H1376" s="74"/>
      <c r="I1376" s="74"/>
      <c r="J1376" s="95"/>
      <c r="K1376" s="92"/>
      <c r="L1376" s="92"/>
      <c r="M1376" s="44"/>
      <c r="N1376" s="44"/>
      <c r="O1376" s="44"/>
      <c r="P1376" s="44"/>
      <c r="Q1376" s="101"/>
      <c r="R1376" s="84"/>
      <c r="S1376" s="47"/>
      <c r="T1376" s="47"/>
    </row>
    <row r="1377" s="27" customFormat="1" ht="18" customHeight="1" spans="1:20">
      <c r="A1377" s="34"/>
      <c r="B1377" s="48">
        <v>18</v>
      </c>
      <c r="C1377" s="48"/>
      <c r="D1377" s="88"/>
      <c r="E1377" s="72"/>
      <c r="F1377" s="77"/>
      <c r="G1377" s="89"/>
      <c r="H1377" s="74"/>
      <c r="I1377" s="74"/>
      <c r="J1377" s="95"/>
      <c r="K1377" s="92"/>
      <c r="L1377" s="92"/>
      <c r="M1377" s="44"/>
      <c r="N1377" s="44"/>
      <c r="O1377" s="44"/>
      <c r="P1377" s="44"/>
      <c r="Q1377" s="44"/>
      <c r="R1377" s="84"/>
      <c r="S1377" s="47"/>
      <c r="T1377" s="47"/>
    </row>
    <row r="1378" s="27" customFormat="1" ht="18" customHeight="1" spans="1:20">
      <c r="A1378" s="34"/>
      <c r="B1378" s="48">
        <v>19</v>
      </c>
      <c r="C1378" s="48"/>
      <c r="D1378" s="27"/>
      <c r="E1378" s="72"/>
      <c r="F1378" s="77"/>
      <c r="G1378" s="89"/>
      <c r="H1378" s="74"/>
      <c r="I1378" s="74"/>
      <c r="J1378" s="95"/>
      <c r="K1378" s="92"/>
      <c r="L1378" s="92"/>
      <c r="M1378" s="44"/>
      <c r="N1378" s="44"/>
      <c r="O1378" s="44"/>
      <c r="P1378" s="44"/>
      <c r="Q1378" s="44"/>
      <c r="R1378" s="84"/>
      <c r="S1378" s="47"/>
      <c r="T1378" s="47"/>
    </row>
    <row r="1379" s="27" customFormat="1" ht="18" customHeight="1" spans="1:20">
      <c r="A1379" s="34"/>
      <c r="B1379" s="48">
        <v>20</v>
      </c>
      <c r="C1379" s="48"/>
      <c r="D1379" s="88"/>
      <c r="E1379" s="72"/>
      <c r="F1379" s="77"/>
      <c r="G1379" s="89"/>
      <c r="H1379" s="74"/>
      <c r="I1379" s="74"/>
      <c r="J1379" s="95"/>
      <c r="K1379" s="92"/>
      <c r="L1379" s="92"/>
      <c r="M1379" s="44"/>
      <c r="N1379" s="44"/>
      <c r="O1379" s="44"/>
      <c r="P1379" s="44"/>
      <c r="Q1379" s="44"/>
      <c r="R1379" s="84"/>
      <c r="S1379" s="47"/>
      <c r="T1379" s="47"/>
    </row>
    <row r="1380" s="27" customFormat="1" ht="18" customHeight="1" spans="1:20">
      <c r="A1380" s="34"/>
      <c r="B1380" s="48">
        <v>21</v>
      </c>
      <c r="C1380" s="48"/>
      <c r="D1380" s="88"/>
      <c r="E1380" s="72"/>
      <c r="F1380" s="77"/>
      <c r="G1380" s="89"/>
      <c r="H1380" s="74"/>
      <c r="I1380" s="74"/>
      <c r="J1380" s="95"/>
      <c r="K1380" s="92"/>
      <c r="L1380" s="92"/>
      <c r="M1380" s="44"/>
      <c r="N1380" s="44"/>
      <c r="O1380" s="44"/>
      <c r="P1380" s="44"/>
      <c r="Q1380" s="44"/>
      <c r="R1380" s="84"/>
      <c r="S1380" s="47"/>
      <c r="T1380" s="47"/>
    </row>
    <row r="1381" s="27" customFormat="1" ht="18" customHeight="1" spans="1:20">
      <c r="A1381" s="34"/>
      <c r="B1381" s="48">
        <v>22</v>
      </c>
      <c r="C1381" s="48"/>
      <c r="D1381" s="27"/>
      <c r="E1381" s="72"/>
      <c r="F1381" s="77"/>
      <c r="G1381" s="72"/>
      <c r="H1381" s="74"/>
      <c r="I1381" s="74"/>
      <c r="J1381" s="95"/>
      <c r="K1381" s="92"/>
      <c r="L1381" s="92"/>
      <c r="M1381" s="44"/>
      <c r="N1381" s="44"/>
      <c r="O1381" s="44"/>
      <c r="P1381" s="44"/>
      <c r="Q1381" s="44"/>
      <c r="R1381" s="62"/>
      <c r="S1381" s="47"/>
      <c r="T1381" s="47"/>
    </row>
    <row r="1382" s="27" customFormat="1" ht="18" customHeight="1" spans="1:20">
      <c r="A1382" s="34"/>
      <c r="B1382" s="48">
        <v>23</v>
      </c>
      <c r="C1382" s="48"/>
      <c r="D1382" s="88"/>
      <c r="E1382" s="72"/>
      <c r="F1382" s="77"/>
      <c r="G1382" s="89"/>
      <c r="H1382" s="74"/>
      <c r="I1382" s="74"/>
      <c r="J1382" s="95"/>
      <c r="K1382" s="92"/>
      <c r="L1382" s="92"/>
      <c r="M1382" s="44"/>
      <c r="N1382" s="44"/>
      <c r="O1382" s="44"/>
      <c r="P1382" s="44"/>
      <c r="Q1382" s="44"/>
      <c r="R1382" s="62"/>
      <c r="S1382" s="47"/>
      <c r="T1382" s="47"/>
    </row>
    <row r="1383" s="27" customFormat="1" ht="18" customHeight="1" spans="1:20">
      <c r="A1383" s="34"/>
      <c r="B1383" s="48">
        <v>24</v>
      </c>
      <c r="C1383" s="48"/>
      <c r="D1383" s="88" t="s">
        <v>478</v>
      </c>
      <c r="E1383" s="72" t="s">
        <v>43</v>
      </c>
      <c r="F1383" s="77"/>
      <c r="G1383" s="72">
        <v>1</v>
      </c>
      <c r="H1383" s="74">
        <v>1</v>
      </c>
      <c r="I1383" s="74">
        <f>+辅材及安装费!$E$3</f>
        <v>5</v>
      </c>
      <c r="J1383" s="95">
        <f>H1383*I1383</f>
        <v>5</v>
      </c>
      <c r="K1383" s="92"/>
      <c r="L1383" s="92"/>
      <c r="M1383" s="44"/>
      <c r="N1383" s="44"/>
      <c r="O1383" s="44"/>
      <c r="P1383" s="44"/>
      <c r="Q1383" s="44"/>
      <c r="R1383" s="62"/>
      <c r="S1383" s="47"/>
      <c r="T1383" s="47"/>
    </row>
    <row r="1384" s="27" customFormat="1" ht="18" customHeight="1" spans="1:20">
      <c r="A1384" s="34"/>
      <c r="B1384" s="48">
        <v>25</v>
      </c>
      <c r="C1384" s="48"/>
      <c r="D1384" s="93" t="s">
        <v>442</v>
      </c>
      <c r="E1384" s="72"/>
      <c r="F1384" s="77"/>
      <c r="G1384" s="72"/>
      <c r="H1384" s="74"/>
      <c r="I1384" s="74"/>
      <c r="J1384" s="95">
        <f>SUM(J1360:J1383)</f>
        <v>475.454066739852</v>
      </c>
      <c r="K1384" s="92"/>
      <c r="L1384" s="94"/>
      <c r="M1384" s="27"/>
      <c r="N1384" s="83"/>
      <c r="O1384" s="83"/>
      <c r="P1384" s="83"/>
      <c r="Q1384" s="83"/>
      <c r="R1384" s="87"/>
      <c r="S1384" s="47"/>
      <c r="T1384" s="47"/>
    </row>
    <row r="1385" s="27" customFormat="1" ht="18" customHeight="1" spans="1:20">
      <c r="A1385" s="34"/>
      <c r="B1385" s="48">
        <v>1</v>
      </c>
      <c r="C1385" s="48" t="s">
        <v>443</v>
      </c>
      <c r="D1385" s="48" t="s">
        <v>444</v>
      </c>
      <c r="E1385" s="72" t="s">
        <v>43</v>
      </c>
      <c r="F1385" s="50"/>
      <c r="G1385" s="48"/>
      <c r="H1385" s="51">
        <v>1</v>
      </c>
      <c r="I1385" s="74">
        <f>+辅材及安装费!$F$3</f>
        <v>5</v>
      </c>
      <c r="J1385" s="95">
        <f>H1385*I1385</f>
        <v>5</v>
      </c>
      <c r="K1385" s="118"/>
      <c r="L1385" s="96"/>
      <c r="M1385" s="97"/>
      <c r="N1385" s="98"/>
      <c r="O1385" s="98"/>
      <c r="P1385" s="98"/>
      <c r="Q1385" s="98"/>
      <c r="R1385" s="99"/>
      <c r="S1385" s="47"/>
      <c r="T1385" s="47"/>
    </row>
    <row r="1386" s="26" customFormat="1" ht="30" customHeight="1" spans="1:20">
      <c r="A1386" s="28"/>
      <c r="B1386" s="29" t="s">
        <v>386</v>
      </c>
      <c r="C1386" s="29"/>
      <c r="D1386" s="29"/>
      <c r="E1386" s="29"/>
      <c r="F1386" s="29"/>
      <c r="G1386" s="29"/>
      <c r="H1386" s="29"/>
      <c r="I1386" s="29"/>
      <c r="J1386" s="29"/>
      <c r="K1386" s="29"/>
      <c r="L1386" s="30"/>
      <c r="M1386" s="31"/>
      <c r="N1386" s="31"/>
      <c r="O1386" s="31"/>
      <c r="P1386" s="31"/>
      <c r="Q1386" s="31"/>
      <c r="R1386" s="32"/>
      <c r="S1386" s="33"/>
      <c r="T1386" s="33"/>
    </row>
    <row r="1387" s="27" customFormat="1" ht="33.75" customHeight="1" spans="1:20">
      <c r="A1387" s="34">
        <v>26</v>
      </c>
      <c r="B1387" s="35" t="s">
        <v>1</v>
      </c>
      <c r="C1387" s="35" t="s">
        <v>387</v>
      </c>
      <c r="D1387" s="36" t="str">
        <f>+A1395</f>
        <v>双色铝板造型线条(中灰色/香槟色)弧形</v>
      </c>
      <c r="E1387" s="37"/>
      <c r="F1387" s="38" t="s">
        <v>119</v>
      </c>
      <c r="G1387" s="39"/>
      <c r="H1387" s="35" t="s">
        <v>388</v>
      </c>
      <c r="I1387" s="40" t="s">
        <v>389</v>
      </c>
      <c r="J1387" s="41" t="s">
        <v>37</v>
      </c>
      <c r="K1387" s="42">
        <f ca="1">VLOOKUP(A1387,排屋工程量清单!$A$59:$D$86,4,)</f>
        <v>1.50192</v>
      </c>
      <c r="L1387" s="43"/>
      <c r="M1387" s="44"/>
      <c r="N1387" s="44"/>
      <c r="O1387" s="44"/>
      <c r="P1387" s="45"/>
      <c r="Q1387" s="44"/>
      <c r="R1387" s="46"/>
      <c r="S1387" s="47"/>
      <c r="T1387" s="47"/>
    </row>
    <row r="1388" s="27" customFormat="1" ht="25" customHeight="1" spans="1:20">
      <c r="A1388" s="34"/>
      <c r="B1388" s="48">
        <v>1</v>
      </c>
      <c r="C1388" s="49" t="s">
        <v>390</v>
      </c>
      <c r="D1388" s="48" t="s">
        <v>391</v>
      </c>
      <c r="E1388" s="48"/>
      <c r="F1388" s="50"/>
      <c r="G1388" s="48"/>
      <c r="H1388" s="51"/>
      <c r="I1388" s="52">
        <f>J1400</f>
        <v>165</v>
      </c>
      <c r="J1388" s="53" t="s">
        <v>392</v>
      </c>
      <c r="K1388" s="54"/>
      <c r="L1388" s="55"/>
      <c r="M1388" s="56" t="s">
        <v>534</v>
      </c>
      <c r="N1388" s="57"/>
      <c r="O1388" s="57">
        <v>22.7</v>
      </c>
      <c r="P1388" s="57">
        <v>0.53</v>
      </c>
      <c r="Q1388" s="57">
        <v>1</v>
      </c>
      <c r="R1388" s="58">
        <f>+Q1388*P1388*O1388</f>
        <v>12.031</v>
      </c>
      <c r="S1388" s="47"/>
      <c r="T1388" s="47"/>
    </row>
    <row r="1389" s="27" customFormat="1" ht="18" customHeight="1" spans="1:20">
      <c r="A1389" s="34"/>
      <c r="B1389" s="48">
        <v>2</v>
      </c>
      <c r="C1389" s="59"/>
      <c r="D1389" s="48" t="s">
        <v>394</v>
      </c>
      <c r="E1389" s="48"/>
      <c r="F1389" s="50"/>
      <c r="G1389" s="48"/>
      <c r="H1389" s="51"/>
      <c r="I1389" s="52">
        <f>J1425</f>
        <v>485.229989264481</v>
      </c>
      <c r="J1389" s="53" t="s">
        <v>392</v>
      </c>
      <c r="K1389" s="60"/>
      <c r="L1389" s="61" t="s">
        <v>119</v>
      </c>
      <c r="M1389" s="44"/>
      <c r="N1389" s="44"/>
      <c r="O1389" s="44"/>
      <c r="P1389" s="44"/>
      <c r="Q1389" s="44"/>
      <c r="R1389" s="62"/>
      <c r="S1389" s="47"/>
      <c r="T1389" s="47"/>
    </row>
    <row r="1390" s="27" customFormat="1" ht="18" customHeight="1" spans="1:20">
      <c r="A1390" s="34"/>
      <c r="B1390" s="48">
        <v>3</v>
      </c>
      <c r="C1390" s="63"/>
      <c r="D1390" s="48" t="s">
        <v>395</v>
      </c>
      <c r="E1390" s="48"/>
      <c r="F1390" s="50"/>
      <c r="G1390" s="48"/>
      <c r="H1390" s="51"/>
      <c r="I1390" s="52">
        <f>J1426</f>
        <v>5</v>
      </c>
      <c r="J1390" s="53" t="s">
        <v>392</v>
      </c>
      <c r="K1390" s="60"/>
      <c r="L1390" s="60"/>
      <c r="M1390" s="65" t="s">
        <v>396</v>
      </c>
      <c r="N1390" s="65" t="s">
        <v>397</v>
      </c>
      <c r="O1390" s="65" t="s">
        <v>398</v>
      </c>
      <c r="P1390" s="65" t="s">
        <v>399</v>
      </c>
      <c r="Q1390" s="65" t="s">
        <v>400</v>
      </c>
      <c r="R1390" s="66" t="s">
        <v>401</v>
      </c>
      <c r="S1390" s="47"/>
      <c r="T1390" s="47"/>
    </row>
    <row r="1391" s="27" customFormat="1" ht="18" customHeight="1" spans="1:20">
      <c r="A1391" s="34"/>
      <c r="B1391" s="48">
        <v>4</v>
      </c>
      <c r="C1391" s="48" t="s">
        <v>402</v>
      </c>
      <c r="D1391" s="67" t="s">
        <v>403</v>
      </c>
      <c r="E1391" s="67"/>
      <c r="F1391" s="50"/>
      <c r="G1391" s="67"/>
      <c r="H1391" s="68"/>
      <c r="I1391" s="52">
        <f>SUM(I1388:I1390)</f>
        <v>655.229989264481</v>
      </c>
      <c r="J1391" s="53" t="s">
        <v>392</v>
      </c>
      <c r="K1391" s="60"/>
      <c r="L1391" s="69" t="s">
        <v>431</v>
      </c>
      <c r="M1391" s="34" t="s">
        <v>535</v>
      </c>
      <c r="N1391" s="102">
        <v>18.05</v>
      </c>
      <c r="O1391" s="34">
        <f>O1388</f>
        <v>22.7</v>
      </c>
      <c r="P1391" s="34">
        <v>0.5</v>
      </c>
      <c r="Q1391" s="44">
        <f t="shared" ref="Q1391:Q1398" si="163">+P1391*O1391*N1391</f>
        <v>204.8675</v>
      </c>
      <c r="R1391" s="71">
        <f>+Q1391/R1388</f>
        <v>17.0283018867925</v>
      </c>
      <c r="S1391" s="47"/>
      <c r="T1391" s="47"/>
    </row>
    <row r="1392" s="27" customFormat="1" ht="28" customHeight="1" spans="1:20">
      <c r="A1392" s="34"/>
      <c r="B1392" s="48">
        <v>5</v>
      </c>
      <c r="C1392" s="72" t="s">
        <v>406</v>
      </c>
      <c r="D1392" s="48" t="s">
        <v>407</v>
      </c>
      <c r="E1392" s="48"/>
      <c r="F1392" s="50"/>
      <c r="G1392" s="48"/>
      <c r="H1392" s="73">
        <f>+'材料表 '!$E$178</f>
        <v>0</v>
      </c>
      <c r="I1392" s="52">
        <f>H1392*I1391</f>
        <v>0</v>
      </c>
      <c r="J1392" s="53" t="s">
        <v>392</v>
      </c>
      <c r="K1392" s="60"/>
      <c r="L1392" s="69" t="s">
        <v>431</v>
      </c>
      <c r="M1392" s="34" t="s">
        <v>523</v>
      </c>
      <c r="N1392" s="102">
        <v>4.52</v>
      </c>
      <c r="O1392" s="34">
        <f>O1388</f>
        <v>22.7</v>
      </c>
      <c r="P1392" s="34">
        <v>0</v>
      </c>
      <c r="Q1392" s="44">
        <f t="shared" si="163"/>
        <v>0</v>
      </c>
      <c r="R1392" s="71">
        <f>+Q1392/R1388</f>
        <v>0</v>
      </c>
      <c r="S1392" s="47"/>
      <c r="T1392" s="47"/>
    </row>
    <row r="1393" s="27" customFormat="1" ht="18" customHeight="1" spans="1:20">
      <c r="A1393" s="34"/>
      <c r="B1393" s="48">
        <v>6</v>
      </c>
      <c r="C1393" s="48" t="s">
        <v>409</v>
      </c>
      <c r="D1393" s="48" t="s">
        <v>410</v>
      </c>
      <c r="E1393" s="48"/>
      <c r="F1393" s="50"/>
      <c r="G1393" s="48"/>
      <c r="H1393" s="73">
        <f>+'材料表 '!$E$179</f>
        <v>0</v>
      </c>
      <c r="I1393" s="52">
        <f>H1393*I1391</f>
        <v>0</v>
      </c>
      <c r="J1393" s="53" t="s">
        <v>392</v>
      </c>
      <c r="K1393" s="60"/>
      <c r="L1393" s="69" t="s">
        <v>461</v>
      </c>
      <c r="M1393" s="34" t="s">
        <v>462</v>
      </c>
      <c r="N1393" s="34">
        <v>3.77</v>
      </c>
      <c r="O1393" s="34">
        <f>O1388</f>
        <v>22.7</v>
      </c>
      <c r="P1393" s="34">
        <v>0</v>
      </c>
      <c r="Q1393" s="44">
        <f t="shared" si="163"/>
        <v>0</v>
      </c>
      <c r="R1393" s="71">
        <f>+Q1393/R1388</f>
        <v>0</v>
      </c>
      <c r="S1393" s="47"/>
      <c r="T1393" s="47"/>
    </row>
    <row r="1394" s="27" customFormat="1" ht="18" customHeight="1" spans="1:20">
      <c r="A1394" s="34"/>
      <c r="B1394" s="48">
        <v>7</v>
      </c>
      <c r="C1394" s="48" t="s">
        <v>412</v>
      </c>
      <c r="D1394" s="72" t="s">
        <v>413</v>
      </c>
      <c r="E1394" s="72"/>
      <c r="F1394" s="77"/>
      <c r="G1394" s="72"/>
      <c r="H1394" s="73">
        <f>+'材料表 '!$E$180</f>
        <v>0.09</v>
      </c>
      <c r="I1394" s="52">
        <f>(I1391+I1392+I1393)*H1394</f>
        <v>58.9706990338033</v>
      </c>
      <c r="J1394" s="53" t="s">
        <v>392</v>
      </c>
      <c r="K1394" s="60"/>
      <c r="L1394" s="69" t="s">
        <v>463</v>
      </c>
      <c r="M1394" s="34" t="s">
        <v>464</v>
      </c>
      <c r="N1394" s="34">
        <f>0.15*0.2*7.85*10</f>
        <v>2.355</v>
      </c>
      <c r="O1394" s="34">
        <v>1.5</v>
      </c>
      <c r="P1394" s="34">
        <v>0</v>
      </c>
      <c r="Q1394" s="44">
        <f t="shared" si="163"/>
        <v>0</v>
      </c>
      <c r="R1394" s="71">
        <f>+Q1394/R1388</f>
        <v>0</v>
      </c>
      <c r="S1394" s="47"/>
      <c r="T1394" s="47"/>
    </row>
    <row r="1395" s="27" customFormat="1" ht="18" customHeight="1" spans="1:20">
      <c r="A1395" s="105" t="s">
        <v>165</v>
      </c>
      <c r="B1395" s="48">
        <v>8</v>
      </c>
      <c r="C1395" s="48" t="s">
        <v>363</v>
      </c>
      <c r="D1395" s="106" t="s">
        <v>415</v>
      </c>
      <c r="E1395" s="107"/>
      <c r="F1395" s="108"/>
      <c r="G1395" s="107"/>
      <c r="H1395" s="51"/>
      <c r="I1395" s="74">
        <f>SUM(I1391:I1394)</f>
        <v>714.200688298284</v>
      </c>
      <c r="J1395" s="53" t="s">
        <v>416</v>
      </c>
      <c r="K1395" s="60"/>
      <c r="L1395" s="69" t="s">
        <v>465</v>
      </c>
      <c r="M1395" s="34" t="s">
        <v>503</v>
      </c>
      <c r="N1395" s="126">
        <v>7.034</v>
      </c>
      <c r="O1395" s="34">
        <f>85/1000</f>
        <v>0.085</v>
      </c>
      <c r="P1395" s="44">
        <v>0</v>
      </c>
      <c r="Q1395" s="44">
        <f t="shared" si="163"/>
        <v>0</v>
      </c>
      <c r="R1395" s="84">
        <f>+Q1395/R1388</f>
        <v>0</v>
      </c>
      <c r="S1395" s="79"/>
      <c r="T1395" s="47"/>
    </row>
    <row r="1396" s="27" customFormat="1" ht="18" customHeight="1" spans="1:20">
      <c r="A1396" s="34"/>
      <c r="B1396" s="109" t="s">
        <v>418</v>
      </c>
      <c r="C1396" s="110"/>
      <c r="D1396" s="110"/>
      <c r="E1396" s="110"/>
      <c r="F1396" s="110"/>
      <c r="G1396" s="110"/>
      <c r="H1396" s="110"/>
      <c r="I1396" s="110"/>
      <c r="J1396" s="110"/>
      <c r="K1396" s="80"/>
      <c r="L1396" s="69" t="s">
        <v>433</v>
      </c>
      <c r="M1396" s="44" t="s">
        <v>505</v>
      </c>
      <c r="N1396" s="82">
        <f>0.056*3*2.71+0.0675*3*2.71</f>
        <v>1.004055</v>
      </c>
      <c r="O1396" s="44">
        <f>O1388</f>
        <v>22.7</v>
      </c>
      <c r="P1396" s="44">
        <v>1</v>
      </c>
      <c r="Q1396" s="44">
        <f t="shared" si="163"/>
        <v>22.7920485</v>
      </c>
      <c r="R1396" s="84">
        <f>+Q1396/R1388</f>
        <v>1.89444339622642</v>
      </c>
      <c r="S1396" s="47">
        <f>0.16*P1396*O1396/R1388</f>
        <v>0.30188679245283</v>
      </c>
      <c r="T1396" s="47"/>
    </row>
    <row r="1397" s="27" customFormat="1" ht="18" customHeight="1" spans="1:20">
      <c r="A1397" s="34"/>
      <c r="B1397" s="48">
        <v>1</v>
      </c>
      <c r="C1397" s="48" t="s">
        <v>391</v>
      </c>
      <c r="D1397" s="48" t="s">
        <v>396</v>
      </c>
      <c r="E1397" s="48" t="s">
        <v>37</v>
      </c>
      <c r="F1397" s="50"/>
      <c r="G1397" s="48"/>
      <c r="H1397" s="51" t="s">
        <v>399</v>
      </c>
      <c r="I1397" s="51" t="s">
        <v>420</v>
      </c>
      <c r="J1397" s="95" t="s">
        <v>421</v>
      </c>
      <c r="K1397" s="92"/>
      <c r="L1397" s="69" t="s">
        <v>433</v>
      </c>
      <c r="M1397" s="44" t="s">
        <v>504</v>
      </c>
      <c r="N1397" s="82">
        <f>0.056*3*2.71+0.0675*3*2.71</f>
        <v>1.004055</v>
      </c>
      <c r="O1397" s="44">
        <f>0.574</f>
        <v>0.574</v>
      </c>
      <c r="P1397" s="44">
        <v>16</v>
      </c>
      <c r="Q1397" s="44">
        <f t="shared" si="163"/>
        <v>9.22124112</v>
      </c>
      <c r="R1397" s="84">
        <f>+Q1397/R1388</f>
        <v>0.766456746737595</v>
      </c>
      <c r="S1397" s="47"/>
      <c r="T1397" s="47"/>
    </row>
    <row r="1398" s="27" customFormat="1" ht="18" customHeight="1" spans="1:20">
      <c r="A1398" s="34"/>
      <c r="B1398" s="48">
        <v>2</v>
      </c>
      <c r="C1398" s="48"/>
      <c r="D1398" s="111" t="s">
        <v>491</v>
      </c>
      <c r="E1398" s="49" t="s">
        <v>423</v>
      </c>
      <c r="F1398" s="112"/>
      <c r="G1398" s="111"/>
      <c r="H1398" s="113">
        <v>1</v>
      </c>
      <c r="I1398" s="113">
        <f>+辅材及安装费!$G$3</f>
        <v>165</v>
      </c>
      <c r="J1398" s="114">
        <f t="shared" ref="J1398:J1410" si="164">H1398*I1398</f>
        <v>165</v>
      </c>
      <c r="K1398" s="92"/>
      <c r="L1398" s="69" t="s">
        <v>433</v>
      </c>
      <c r="M1398" s="44" t="s">
        <v>498</v>
      </c>
      <c r="N1398" s="82">
        <f>0.045*3*2.71</f>
        <v>0.36585</v>
      </c>
      <c r="O1398" s="44">
        <f>O1388</f>
        <v>22.7</v>
      </c>
      <c r="P1398" s="44">
        <v>1</v>
      </c>
      <c r="Q1398" s="44">
        <f t="shared" si="163"/>
        <v>8.304795</v>
      </c>
      <c r="R1398" s="84">
        <f>Q1398/R1388</f>
        <v>0.690283018867925</v>
      </c>
      <c r="S1398" s="47"/>
      <c r="T1398" s="47"/>
    </row>
    <row r="1399" s="27" customFormat="1" ht="18" customHeight="1" spans="1:20">
      <c r="A1399" s="34"/>
      <c r="B1399" s="48">
        <v>3</v>
      </c>
      <c r="C1399" s="48"/>
      <c r="D1399" s="115"/>
      <c r="E1399" s="63"/>
      <c r="F1399" s="116"/>
      <c r="G1399" s="115"/>
      <c r="H1399" s="117"/>
      <c r="I1399" s="117"/>
      <c r="J1399" s="118"/>
      <c r="K1399" s="92"/>
      <c r="L1399" s="90" t="s">
        <v>472</v>
      </c>
      <c r="M1399" s="44"/>
      <c r="N1399" s="82"/>
      <c r="O1399" s="44"/>
      <c r="P1399" s="44">
        <f>O1394*P1394*2</f>
        <v>0</v>
      </c>
      <c r="Q1399" s="44">
        <f>+P1399</f>
        <v>0</v>
      </c>
      <c r="R1399" s="84">
        <f>+Q1399/R1388</f>
        <v>0</v>
      </c>
      <c r="S1399" s="47"/>
      <c r="T1399" s="47"/>
    </row>
    <row r="1400" s="27" customFormat="1" ht="18" customHeight="1" spans="1:20">
      <c r="A1400" s="34"/>
      <c r="B1400" s="48">
        <v>4</v>
      </c>
      <c r="C1400" s="48"/>
      <c r="D1400" s="85" t="s">
        <v>426</v>
      </c>
      <c r="E1400" s="48" t="s">
        <v>392</v>
      </c>
      <c r="F1400" s="50"/>
      <c r="G1400" s="48"/>
      <c r="H1400" s="86"/>
      <c r="I1400" s="86"/>
      <c r="J1400" s="95">
        <f>SUM(J1398:J1398)</f>
        <v>165</v>
      </c>
      <c r="K1400" s="92"/>
      <c r="L1400" s="90"/>
      <c r="M1400" s="44"/>
      <c r="N1400" s="82"/>
      <c r="O1400" s="44"/>
      <c r="P1400" s="44"/>
      <c r="Q1400" s="44"/>
      <c r="R1400" s="84"/>
      <c r="S1400" s="47"/>
      <c r="T1400" s="47"/>
    </row>
    <row r="1401" s="27" customFormat="1" ht="22" customHeight="1" spans="1:20">
      <c r="A1401" s="34"/>
      <c r="B1401" s="48">
        <v>1</v>
      </c>
      <c r="C1401" s="48" t="s">
        <v>394</v>
      </c>
      <c r="D1401" s="88" t="s">
        <v>431</v>
      </c>
      <c r="E1401" s="72" t="str">
        <f>+VLOOKUP(D1401,'材料表 '!C:F,2,0)</f>
        <v>kg</v>
      </c>
      <c r="F1401" s="77">
        <f t="shared" ref="F1401:F1410" si="165">+SUMIF($L$1101:$L$1139,D1401,$R$1101:$R$1139)</f>
        <v>17.0283018867925</v>
      </c>
      <c r="G1401" s="89">
        <f>+VLOOKUP(D1401,'材料表 '!C:F,4,0)</f>
        <v>0.03</v>
      </c>
      <c r="H1401" s="74">
        <f t="shared" ref="H1401:H1410" si="166">F1401*(G1401+1)</f>
        <v>17.5391509433963</v>
      </c>
      <c r="I1401" s="74">
        <f>+VLOOKUP(D1401,'材料表 '!C:F,3,0)</f>
        <v>3.80530973451327</v>
      </c>
      <c r="J1401" s="95">
        <f t="shared" si="164"/>
        <v>66.7419018200034</v>
      </c>
      <c r="K1401" s="92">
        <f ca="1">H1401*K1387</f>
        <v>26.3424015849058</v>
      </c>
      <c r="L1401" s="90"/>
      <c r="M1401" s="44"/>
      <c r="N1401" s="82"/>
      <c r="O1401" s="44"/>
      <c r="P1401" s="44"/>
      <c r="Q1401" s="44"/>
      <c r="R1401" s="84"/>
      <c r="S1401" s="47"/>
      <c r="T1401" s="47"/>
    </row>
    <row r="1402" s="27" customFormat="1" ht="18" customHeight="1" spans="1:20">
      <c r="A1402" s="34"/>
      <c r="B1402" s="48">
        <v>2</v>
      </c>
      <c r="C1402" s="48"/>
      <c r="D1402" s="88" t="s">
        <v>461</v>
      </c>
      <c r="E1402" s="72" t="str">
        <f>+VLOOKUP(D1402,'材料表 '!C:F,2,0)</f>
        <v>kg</v>
      </c>
      <c r="F1402" s="77">
        <f t="shared" si="165"/>
        <v>0</v>
      </c>
      <c r="G1402" s="89">
        <f>+VLOOKUP(D1402,'材料表 '!C:F,4,0)</f>
        <v>0.03</v>
      </c>
      <c r="H1402" s="74">
        <f t="shared" si="166"/>
        <v>0</v>
      </c>
      <c r="I1402" s="74">
        <f>+VLOOKUP(D1402,'材料表 '!C:F,3,0)</f>
        <v>3.53982300884956</v>
      </c>
      <c r="J1402" s="95">
        <f t="shared" si="164"/>
        <v>0</v>
      </c>
      <c r="K1402" s="92">
        <f ca="1">H1402*K1387</f>
        <v>0</v>
      </c>
      <c r="L1402" s="90"/>
      <c r="M1402" s="44"/>
      <c r="N1402" s="82"/>
      <c r="O1402" s="44"/>
      <c r="P1402" s="44"/>
      <c r="Q1402" s="44"/>
      <c r="R1402" s="84"/>
      <c r="S1402" s="47"/>
      <c r="T1402" s="47"/>
    </row>
    <row r="1403" s="27" customFormat="1" ht="18" customHeight="1" spans="1:20">
      <c r="A1403" s="34"/>
      <c r="B1403" s="48">
        <v>3</v>
      </c>
      <c r="C1403" s="48"/>
      <c r="D1403" s="88" t="s">
        <v>465</v>
      </c>
      <c r="E1403" s="72" t="str">
        <f>+VLOOKUP(D1403,'材料表 '!C:F,2,0)</f>
        <v>kg</v>
      </c>
      <c r="F1403" s="77">
        <f t="shared" si="165"/>
        <v>0</v>
      </c>
      <c r="G1403" s="89">
        <f>+VLOOKUP(D1403,'材料表 '!C:F,4,0)</f>
        <v>0.03</v>
      </c>
      <c r="H1403" s="74">
        <f t="shared" si="166"/>
        <v>0</v>
      </c>
      <c r="I1403" s="74">
        <f>+VLOOKUP(D1403,'材料表 '!C:F,3,0)</f>
        <v>6.01769911504425</v>
      </c>
      <c r="J1403" s="95">
        <f t="shared" si="164"/>
        <v>0</v>
      </c>
      <c r="K1403" s="92">
        <f ca="1">H1403*K1387</f>
        <v>0</v>
      </c>
      <c r="L1403" s="90"/>
      <c r="M1403" s="44"/>
      <c r="N1403" s="82"/>
      <c r="O1403" s="44"/>
      <c r="P1403" s="44"/>
      <c r="Q1403" s="44">
        <f>+P1403*O1403</f>
        <v>0</v>
      </c>
      <c r="R1403" s="84">
        <f>+Q1403/R1388</f>
        <v>0</v>
      </c>
      <c r="S1403" s="47"/>
      <c r="T1403" s="47"/>
    </row>
    <row r="1404" s="27" customFormat="1" ht="18" customHeight="1" spans="1:20">
      <c r="A1404" s="34"/>
      <c r="B1404" s="48">
        <v>4</v>
      </c>
      <c r="C1404" s="48"/>
      <c r="D1404" s="88" t="s">
        <v>463</v>
      </c>
      <c r="E1404" s="72" t="str">
        <f>+VLOOKUP(D1404,'材料表 '!C:F,2,0)</f>
        <v>kg</v>
      </c>
      <c r="F1404" s="77">
        <f t="shared" si="165"/>
        <v>0</v>
      </c>
      <c r="G1404" s="89">
        <f>+VLOOKUP(D1404,'材料表 '!C:F,4,0)</f>
        <v>0.03</v>
      </c>
      <c r="H1404" s="74">
        <f t="shared" si="166"/>
        <v>0</v>
      </c>
      <c r="I1404" s="74">
        <f>+VLOOKUP(D1404,'材料表 '!C:F,3,0)</f>
        <v>6.01769911504425</v>
      </c>
      <c r="J1404" s="95">
        <f t="shared" si="164"/>
        <v>0</v>
      </c>
      <c r="K1404" s="92">
        <f ca="1">H1404*K1387</f>
        <v>0</v>
      </c>
      <c r="L1404" s="90" t="s">
        <v>474</v>
      </c>
      <c r="M1404" s="44"/>
      <c r="N1404" s="82"/>
      <c r="O1404" s="44"/>
      <c r="P1404" s="44"/>
      <c r="Q1404" s="44">
        <f>+O1394*P1394*4</f>
        <v>0</v>
      </c>
      <c r="R1404" s="84">
        <f>+Q1404/R1388</f>
        <v>0</v>
      </c>
      <c r="S1404" s="47"/>
      <c r="T1404" s="47"/>
    </row>
    <row r="1405" s="27" customFormat="1" ht="18" customHeight="1" spans="1:20">
      <c r="A1405" s="34"/>
      <c r="B1405" s="48">
        <v>5</v>
      </c>
      <c r="C1405" s="48"/>
      <c r="D1405" s="88" t="s">
        <v>433</v>
      </c>
      <c r="E1405" s="72" t="str">
        <f>+VLOOKUP(D1405,'材料表 '!C:F,2,0)</f>
        <v>kg</v>
      </c>
      <c r="F1405" s="77">
        <f t="shared" si="165"/>
        <v>3.35118316183193</v>
      </c>
      <c r="G1405" s="89">
        <f>+VLOOKUP(D1405,'材料表 '!C:F,4,0)</f>
        <v>0.03</v>
      </c>
      <c r="H1405" s="74">
        <f t="shared" si="166"/>
        <v>3.45171865668689</v>
      </c>
      <c r="I1405" s="74">
        <f>+VLOOKUP(D1405,'材料表 '!C:F,3,0)</f>
        <v>26.1150442477876</v>
      </c>
      <c r="J1405" s="95">
        <f t="shared" si="164"/>
        <v>90.1417854502921</v>
      </c>
      <c r="K1405" s="92">
        <f ca="1">H1405*K1387</f>
        <v>5.18420528485117</v>
      </c>
      <c r="L1405" s="92" t="s">
        <v>476</v>
      </c>
      <c r="M1405" s="44"/>
      <c r="N1405" s="82"/>
      <c r="O1405" s="44"/>
      <c r="P1405" s="44"/>
      <c r="Q1405" s="44">
        <f>8*8*(O1388*2+P1388*16)/500</f>
        <v>6.89664</v>
      </c>
      <c r="R1405" s="84">
        <f>+Q1405/R1388</f>
        <v>0.573239132241709</v>
      </c>
      <c r="S1405" s="47"/>
      <c r="T1405" s="47"/>
    </row>
    <row r="1406" s="27" customFormat="1" ht="18" customHeight="1" spans="1:20">
      <c r="A1406" s="34"/>
      <c r="B1406" s="48">
        <v>6</v>
      </c>
      <c r="C1406" s="48"/>
      <c r="D1406" s="88" t="s">
        <v>434</v>
      </c>
      <c r="E1406" s="72" t="str">
        <f>+VLOOKUP(D1406,'材料表 '!C:F,2,0)</f>
        <v>m2</v>
      </c>
      <c r="F1406" s="77">
        <f t="shared" si="165"/>
        <v>0</v>
      </c>
      <c r="G1406" s="89">
        <f>+VLOOKUP(D1406,'材料表 '!C:F,4,0)</f>
        <v>0</v>
      </c>
      <c r="H1406" s="74">
        <f t="shared" si="166"/>
        <v>0</v>
      </c>
      <c r="I1406" s="74">
        <f>+VLOOKUP(D1406,'材料表 '!C:F,3,0)</f>
        <v>49.5575221238938</v>
      </c>
      <c r="J1406" s="95">
        <f t="shared" si="164"/>
        <v>0</v>
      </c>
      <c r="K1406" s="92">
        <f ca="1">H1406*K1387</f>
        <v>0</v>
      </c>
      <c r="L1406" s="92" t="s">
        <v>499</v>
      </c>
      <c r="M1406" s="44"/>
      <c r="N1406" s="82"/>
      <c r="O1406" s="44"/>
      <c r="P1406" s="44"/>
      <c r="Q1406" s="44">
        <v>0</v>
      </c>
      <c r="R1406" s="84">
        <f>Q1406/R1388</f>
        <v>0</v>
      </c>
      <c r="S1406" s="47"/>
      <c r="T1406" s="47"/>
    </row>
    <row r="1407" s="27" customFormat="1" ht="18" customHeight="1" spans="1:20">
      <c r="A1407" s="34"/>
      <c r="B1407" s="48">
        <v>7</v>
      </c>
      <c r="C1407" s="48"/>
      <c r="D1407" s="88" t="s">
        <v>472</v>
      </c>
      <c r="E1407" s="72" t="str">
        <f>+VLOOKUP(D1407,'材料表 '!C:F,2,0)</f>
        <v>套</v>
      </c>
      <c r="F1407" s="77">
        <f t="shared" si="165"/>
        <v>0</v>
      </c>
      <c r="G1407" s="89">
        <f>+VLOOKUP(D1407,'材料表 '!C:F,4,0)</f>
        <v>0</v>
      </c>
      <c r="H1407" s="74">
        <f t="shared" si="166"/>
        <v>0</v>
      </c>
      <c r="I1407" s="74">
        <f>+VLOOKUP(D1407,'材料表 '!C:F,3,0)</f>
        <v>2.47787610619469</v>
      </c>
      <c r="J1407" s="95">
        <f t="shared" si="164"/>
        <v>0</v>
      </c>
      <c r="K1407" s="92">
        <f ca="1">H1407*K1387</f>
        <v>0</v>
      </c>
      <c r="L1407" s="92"/>
      <c r="M1407" s="44"/>
      <c r="N1407" s="82"/>
      <c r="O1407" s="44"/>
      <c r="P1407" s="44"/>
      <c r="Q1407" s="44"/>
      <c r="R1407" s="84"/>
      <c r="S1407" s="47"/>
      <c r="T1407" s="47"/>
    </row>
    <row r="1408" s="27" customFormat="1" ht="18" customHeight="1" spans="1:20">
      <c r="A1408" s="34"/>
      <c r="B1408" s="48">
        <v>8</v>
      </c>
      <c r="C1408" s="48"/>
      <c r="D1408" s="88" t="s">
        <v>474</v>
      </c>
      <c r="E1408" s="72" t="str">
        <f>+VLOOKUP(D1408,'材料表 '!C:F,2,0)</f>
        <v>套</v>
      </c>
      <c r="F1408" s="77">
        <f t="shared" si="165"/>
        <v>0</v>
      </c>
      <c r="G1408" s="89">
        <f>+VLOOKUP(D1408,'材料表 '!C:F,4,0)</f>
        <v>0</v>
      </c>
      <c r="H1408" s="74">
        <f t="shared" si="166"/>
        <v>0</v>
      </c>
      <c r="I1408" s="74">
        <f>+VLOOKUP(D1408,'材料表 '!C:F,3,0)</f>
        <v>2.21238938053097</v>
      </c>
      <c r="J1408" s="95">
        <f t="shared" si="164"/>
        <v>0</v>
      </c>
      <c r="K1408" s="92">
        <f ca="1">H1408*K1387</f>
        <v>0</v>
      </c>
      <c r="L1408" s="92"/>
      <c r="M1408" s="44"/>
      <c r="N1408" s="82"/>
      <c r="O1408" s="44"/>
      <c r="P1408" s="44"/>
      <c r="Q1408" s="44"/>
      <c r="R1408" s="84"/>
      <c r="S1408" s="47"/>
      <c r="T1408" s="47"/>
    </row>
    <row r="1409" s="27" customFormat="1" ht="18" customHeight="1" spans="1:20">
      <c r="A1409" s="34"/>
      <c r="B1409" s="48">
        <v>9</v>
      </c>
      <c r="C1409" s="48"/>
      <c r="D1409" s="88" t="s">
        <v>476</v>
      </c>
      <c r="E1409" s="72" t="str">
        <f>+VLOOKUP(D1409,'材料表 '!C:F,2,0)</f>
        <v>支</v>
      </c>
      <c r="F1409" s="77">
        <f t="shared" si="165"/>
        <v>0.573239132241709</v>
      </c>
      <c r="G1409" s="89">
        <f>+VLOOKUP(D1409,'材料表 '!C:F,4,0)</f>
        <v>0.15</v>
      </c>
      <c r="H1409" s="74">
        <f t="shared" si="166"/>
        <v>0.659225002077965</v>
      </c>
      <c r="I1409" s="74">
        <f>+VLOOKUP(D1409,'材料表 '!C:F,3,0)</f>
        <v>11.5044247787611</v>
      </c>
      <c r="J1409" s="95">
        <f t="shared" si="164"/>
        <v>7.58400444868458</v>
      </c>
      <c r="K1409" s="92">
        <f ca="1">H1409*K1387</f>
        <v>0.990103215120937</v>
      </c>
      <c r="L1409" s="90"/>
      <c r="M1409" s="44"/>
      <c r="N1409" s="82"/>
      <c r="O1409" s="34"/>
      <c r="P1409" s="44"/>
      <c r="Q1409" s="44"/>
      <c r="R1409" s="119"/>
      <c r="S1409" s="47"/>
      <c r="T1409" s="47"/>
    </row>
    <row r="1410" s="27" customFormat="1" ht="23" customHeight="1" spans="1:20">
      <c r="A1410" s="34"/>
      <c r="B1410" s="48">
        <v>10</v>
      </c>
      <c r="C1410" s="48"/>
      <c r="D1410" s="88" t="s">
        <v>499</v>
      </c>
      <c r="E1410" s="72" t="str">
        <f>+VLOOKUP(D1410,'材料表 '!C:F,2,0)</f>
        <v>套</v>
      </c>
      <c r="F1410" s="77">
        <f t="shared" si="165"/>
        <v>0</v>
      </c>
      <c r="G1410" s="89">
        <f>+VLOOKUP(D1410,'材料表 '!C:F,4,0)</f>
        <v>0</v>
      </c>
      <c r="H1410" s="74">
        <f t="shared" si="166"/>
        <v>0</v>
      </c>
      <c r="I1410" s="74">
        <f>+VLOOKUP(D1410,'材料表 '!C:F,3,0)</f>
        <v>1.32743362831858</v>
      </c>
      <c r="J1410" s="95">
        <f t="shared" si="164"/>
        <v>0</v>
      </c>
      <c r="K1410" s="92">
        <f ca="1">H1410*K1387</f>
        <v>0</v>
      </c>
      <c r="L1410" s="92"/>
      <c r="M1410" s="120"/>
      <c r="N1410" s="82"/>
      <c r="O1410" s="44"/>
      <c r="P1410" s="44"/>
      <c r="Q1410" s="44"/>
      <c r="R1410" s="84"/>
      <c r="S1410" s="47"/>
      <c r="T1410" s="47"/>
    </row>
    <row r="1411" s="27" customFormat="1" ht="20" customHeight="1" spans="1:20">
      <c r="A1411" s="34"/>
      <c r="B1411" s="48">
        <v>11</v>
      </c>
      <c r="C1411" s="48"/>
      <c r="D1411" s="88"/>
      <c r="E1411" s="72"/>
      <c r="F1411" s="77"/>
      <c r="G1411" s="89"/>
      <c r="H1411" s="74"/>
      <c r="I1411" s="74"/>
      <c r="J1411" s="95"/>
      <c r="K1411" s="92">
        <f ca="1">H1411*K1387</f>
        <v>0</v>
      </c>
      <c r="L1411" s="92"/>
      <c r="M1411" s="44"/>
      <c r="N1411" s="82"/>
      <c r="O1411" s="44"/>
      <c r="P1411" s="44"/>
      <c r="Q1411" s="44"/>
      <c r="R1411" s="84"/>
      <c r="S1411" s="47"/>
      <c r="T1411" s="47"/>
    </row>
    <row r="1412" s="27" customFormat="1" ht="24" customHeight="1" spans="1:20">
      <c r="A1412" s="34"/>
      <c r="B1412" s="48">
        <v>12</v>
      </c>
      <c r="C1412" s="48"/>
      <c r="D1412" s="127" t="s">
        <v>550</v>
      </c>
      <c r="E1412" s="72" t="str">
        <f>+VLOOKUP(D1412,'材料表 '!C:F,2,0)</f>
        <v>m2</v>
      </c>
      <c r="F1412" s="77">
        <f>0.574/0.53</f>
        <v>1.08301886792453</v>
      </c>
      <c r="G1412" s="89">
        <f>+VLOOKUP(D1412,'材料表 '!C:F,4,0)</f>
        <v>0.02</v>
      </c>
      <c r="H1412" s="74">
        <f>F1412*(G1412+1)</f>
        <v>1.10467924528302</v>
      </c>
      <c r="I1412" s="74">
        <f>+VLOOKUP(D1412,'材料表 '!C:F,3,0)</f>
        <v>285.840707964602</v>
      </c>
      <c r="J1412" s="95">
        <f>H1412*I1412</f>
        <v>315.762297545501</v>
      </c>
      <c r="K1412" s="92">
        <f ca="1">H1412*K1387</f>
        <v>1.65913985207547</v>
      </c>
      <c r="L1412" s="92"/>
      <c r="M1412" s="44"/>
      <c r="N1412" s="44"/>
      <c r="O1412" s="44"/>
      <c r="P1412" s="44"/>
      <c r="Q1412" s="44"/>
      <c r="R1412" s="84"/>
      <c r="S1412" s="47"/>
      <c r="T1412" s="47"/>
    </row>
    <row r="1413" s="27" customFormat="1" ht="18" customHeight="1" spans="1:20">
      <c r="A1413" s="34"/>
      <c r="B1413" s="48">
        <v>13</v>
      </c>
      <c r="C1413" s="48"/>
      <c r="D1413" s="88"/>
      <c r="E1413" s="72"/>
      <c r="F1413" s="77"/>
      <c r="G1413" s="89"/>
      <c r="H1413" s="74"/>
      <c r="I1413" s="74"/>
      <c r="J1413" s="95"/>
      <c r="K1413" s="92">
        <f ca="1">H1413*K1387</f>
        <v>0</v>
      </c>
      <c r="L1413" s="92"/>
      <c r="M1413" s="44"/>
      <c r="N1413" s="44"/>
      <c r="O1413" s="44"/>
      <c r="P1413" s="44"/>
      <c r="Q1413" s="44"/>
      <c r="R1413" s="84"/>
      <c r="S1413" s="47"/>
      <c r="T1413" s="47"/>
    </row>
    <row r="1414" s="27" customFormat="1" ht="24" customHeight="1" spans="1:20">
      <c r="A1414" s="34"/>
      <c r="B1414" s="48">
        <v>14</v>
      </c>
      <c r="C1414" s="48"/>
      <c r="D1414" s="88"/>
      <c r="E1414" s="72"/>
      <c r="F1414" s="77"/>
      <c r="G1414" s="89"/>
      <c r="H1414" s="74"/>
      <c r="I1414" s="74"/>
      <c r="J1414" s="95"/>
      <c r="K1414" s="92">
        <f ca="1">H1414*K1387</f>
        <v>0</v>
      </c>
      <c r="L1414" s="92"/>
      <c r="M1414" s="44"/>
      <c r="N1414" s="44"/>
      <c r="O1414" s="44"/>
      <c r="P1414" s="44"/>
      <c r="Q1414" s="44"/>
      <c r="R1414" s="84"/>
      <c r="S1414" s="47"/>
      <c r="T1414" s="47"/>
    </row>
    <row r="1415" s="27" customFormat="1" ht="18" customHeight="1" spans="1:20">
      <c r="A1415" s="34"/>
      <c r="B1415" s="48">
        <v>15</v>
      </c>
      <c r="C1415" s="48"/>
      <c r="D1415" s="88"/>
      <c r="E1415" s="72"/>
      <c r="F1415" s="77"/>
      <c r="G1415" s="89"/>
      <c r="H1415" s="74"/>
      <c r="I1415" s="74"/>
      <c r="J1415" s="95"/>
      <c r="K1415" s="92"/>
      <c r="L1415" s="92"/>
      <c r="M1415" s="44"/>
      <c r="N1415" s="44"/>
      <c r="O1415" s="44"/>
      <c r="P1415" s="44"/>
      <c r="Q1415" s="44"/>
      <c r="R1415" s="84"/>
      <c r="S1415" s="47"/>
      <c r="T1415" s="47"/>
    </row>
    <row r="1416" s="27" customFormat="1" ht="18" customHeight="1" spans="1:20">
      <c r="A1416" s="34"/>
      <c r="B1416" s="48">
        <v>16</v>
      </c>
      <c r="C1416" s="48"/>
      <c r="D1416" s="88"/>
      <c r="E1416" s="72"/>
      <c r="F1416" s="77"/>
      <c r="G1416" s="89"/>
      <c r="H1416" s="74"/>
      <c r="I1416" s="74"/>
      <c r="J1416" s="95"/>
      <c r="K1416" s="92"/>
      <c r="L1416" s="92"/>
      <c r="M1416" s="44"/>
      <c r="N1416" s="44"/>
      <c r="O1416" s="44"/>
      <c r="P1416" s="44"/>
      <c r="Q1416" s="44"/>
      <c r="R1416" s="84"/>
      <c r="S1416" s="47"/>
      <c r="T1416" s="47"/>
    </row>
    <row r="1417" s="27" customFormat="1" ht="18" customHeight="1" spans="1:20">
      <c r="A1417" s="34"/>
      <c r="B1417" s="48">
        <v>17</v>
      </c>
      <c r="C1417" s="48"/>
      <c r="D1417" s="121"/>
      <c r="E1417" s="72"/>
      <c r="F1417" s="77"/>
      <c r="G1417" s="89"/>
      <c r="H1417" s="74"/>
      <c r="I1417" s="74"/>
      <c r="J1417" s="95"/>
      <c r="K1417" s="92"/>
      <c r="L1417" s="92"/>
      <c r="M1417" s="44"/>
      <c r="N1417" s="44"/>
      <c r="O1417" s="44"/>
      <c r="P1417" s="44"/>
      <c r="Q1417" s="101"/>
      <c r="R1417" s="84"/>
      <c r="S1417" s="47"/>
      <c r="T1417" s="47"/>
    </row>
    <row r="1418" s="27" customFormat="1" ht="18" customHeight="1" spans="1:20">
      <c r="A1418" s="34"/>
      <c r="B1418" s="48">
        <v>18</v>
      </c>
      <c r="C1418" s="48"/>
      <c r="D1418" s="88"/>
      <c r="E1418" s="72"/>
      <c r="F1418" s="77"/>
      <c r="G1418" s="89"/>
      <c r="H1418" s="74"/>
      <c r="I1418" s="74"/>
      <c r="J1418" s="95"/>
      <c r="K1418" s="92"/>
      <c r="L1418" s="92"/>
      <c r="M1418" s="44"/>
      <c r="N1418" s="44"/>
      <c r="O1418" s="44"/>
      <c r="P1418" s="44"/>
      <c r="Q1418" s="44"/>
      <c r="R1418" s="84"/>
      <c r="S1418" s="47"/>
      <c r="T1418" s="47"/>
    </row>
    <row r="1419" s="27" customFormat="1" ht="18" customHeight="1" spans="1:20">
      <c r="A1419" s="34"/>
      <c r="B1419" s="48">
        <v>19</v>
      </c>
      <c r="C1419" s="48"/>
      <c r="D1419" s="27"/>
      <c r="E1419" s="72"/>
      <c r="F1419" s="77"/>
      <c r="G1419" s="89"/>
      <c r="H1419" s="74"/>
      <c r="I1419" s="74"/>
      <c r="J1419" s="95"/>
      <c r="K1419" s="92"/>
      <c r="L1419" s="92"/>
      <c r="M1419" s="44"/>
      <c r="N1419" s="44"/>
      <c r="O1419" s="44"/>
      <c r="P1419" s="44"/>
      <c r="Q1419" s="44"/>
      <c r="R1419" s="84"/>
      <c r="S1419" s="47"/>
      <c r="T1419" s="47"/>
    </row>
    <row r="1420" s="27" customFormat="1" ht="18" customHeight="1" spans="1:20">
      <c r="A1420" s="34"/>
      <c r="B1420" s="48">
        <v>20</v>
      </c>
      <c r="C1420" s="48"/>
      <c r="D1420" s="88"/>
      <c r="E1420" s="72"/>
      <c r="F1420" s="77"/>
      <c r="G1420" s="89"/>
      <c r="H1420" s="74"/>
      <c r="I1420" s="74"/>
      <c r="J1420" s="95"/>
      <c r="K1420" s="92"/>
      <c r="L1420" s="92"/>
      <c r="M1420" s="44"/>
      <c r="N1420" s="44"/>
      <c r="O1420" s="44"/>
      <c r="P1420" s="44"/>
      <c r="Q1420" s="44"/>
      <c r="R1420" s="84"/>
      <c r="S1420" s="47"/>
      <c r="T1420" s="47"/>
    </row>
    <row r="1421" s="27" customFormat="1" ht="18" customHeight="1" spans="1:20">
      <c r="A1421" s="34"/>
      <c r="B1421" s="48">
        <v>21</v>
      </c>
      <c r="C1421" s="48"/>
      <c r="D1421" s="88"/>
      <c r="E1421" s="72"/>
      <c r="F1421" s="77"/>
      <c r="G1421" s="89"/>
      <c r="H1421" s="74"/>
      <c r="I1421" s="74"/>
      <c r="J1421" s="95"/>
      <c r="K1421" s="92"/>
      <c r="L1421" s="92"/>
      <c r="M1421" s="44"/>
      <c r="N1421" s="44"/>
      <c r="O1421" s="44"/>
      <c r="P1421" s="44"/>
      <c r="Q1421" s="44"/>
      <c r="R1421" s="84"/>
      <c r="S1421" s="47"/>
      <c r="T1421" s="47"/>
    </row>
    <row r="1422" s="27" customFormat="1" ht="18" customHeight="1" spans="1:20">
      <c r="A1422" s="34"/>
      <c r="B1422" s="48">
        <v>22</v>
      </c>
      <c r="C1422" s="48"/>
      <c r="D1422" s="27"/>
      <c r="E1422" s="72"/>
      <c r="F1422" s="77"/>
      <c r="G1422" s="72"/>
      <c r="H1422" s="74"/>
      <c r="I1422" s="74"/>
      <c r="J1422" s="95"/>
      <c r="K1422" s="92"/>
      <c r="L1422" s="92"/>
      <c r="M1422" s="44"/>
      <c r="N1422" s="44"/>
      <c r="O1422" s="44"/>
      <c r="P1422" s="44"/>
      <c r="Q1422" s="44"/>
      <c r="R1422" s="62"/>
      <c r="S1422" s="47"/>
      <c r="T1422" s="47"/>
    </row>
    <row r="1423" s="27" customFormat="1" ht="18" customHeight="1" spans="1:20">
      <c r="A1423" s="34"/>
      <c r="B1423" s="48">
        <v>23</v>
      </c>
      <c r="C1423" s="48"/>
      <c r="D1423" s="88"/>
      <c r="E1423" s="72"/>
      <c r="F1423" s="77"/>
      <c r="G1423" s="89"/>
      <c r="H1423" s="74"/>
      <c r="I1423" s="74"/>
      <c r="J1423" s="95"/>
      <c r="K1423" s="92"/>
      <c r="L1423" s="92"/>
      <c r="M1423" s="44"/>
      <c r="N1423" s="44"/>
      <c r="O1423" s="44"/>
      <c r="P1423" s="44"/>
      <c r="Q1423" s="44"/>
      <c r="R1423" s="62"/>
      <c r="S1423" s="47"/>
      <c r="T1423" s="47"/>
    </row>
    <row r="1424" s="27" customFormat="1" ht="18" customHeight="1" spans="1:20">
      <c r="A1424" s="34"/>
      <c r="B1424" s="48">
        <v>24</v>
      </c>
      <c r="C1424" s="48"/>
      <c r="D1424" s="88" t="s">
        <v>478</v>
      </c>
      <c r="E1424" s="72" t="s">
        <v>43</v>
      </c>
      <c r="F1424" s="77"/>
      <c r="G1424" s="72">
        <v>1</v>
      </c>
      <c r="H1424" s="74">
        <v>1</v>
      </c>
      <c r="I1424" s="74">
        <f>+辅材及安装费!$E$3</f>
        <v>5</v>
      </c>
      <c r="J1424" s="95">
        <f>H1424*I1424</f>
        <v>5</v>
      </c>
      <c r="K1424" s="92"/>
      <c r="L1424" s="92"/>
      <c r="M1424" s="44"/>
      <c r="N1424" s="44"/>
      <c r="O1424" s="44"/>
      <c r="P1424" s="44"/>
      <c r="Q1424" s="44"/>
      <c r="R1424" s="62"/>
      <c r="S1424" s="47"/>
      <c r="T1424" s="47"/>
    </row>
    <row r="1425" s="27" customFormat="1" ht="18" customHeight="1" spans="1:20">
      <c r="A1425" s="34"/>
      <c r="B1425" s="48">
        <v>25</v>
      </c>
      <c r="C1425" s="48"/>
      <c r="D1425" s="93" t="s">
        <v>442</v>
      </c>
      <c r="E1425" s="72"/>
      <c r="F1425" s="77"/>
      <c r="G1425" s="72"/>
      <c r="H1425" s="74"/>
      <c r="I1425" s="74"/>
      <c r="J1425" s="95">
        <f>SUM(J1401:J1424)</f>
        <v>485.229989264481</v>
      </c>
      <c r="K1425" s="92"/>
      <c r="L1425" s="94"/>
      <c r="M1425" s="27"/>
      <c r="N1425" s="83"/>
      <c r="O1425" s="83"/>
      <c r="P1425" s="83"/>
      <c r="Q1425" s="83"/>
      <c r="R1425" s="87"/>
      <c r="S1425" s="47"/>
      <c r="T1425" s="47"/>
    </row>
    <row r="1426" s="27" customFormat="1" ht="18" customHeight="1" spans="1:20">
      <c r="A1426" s="34"/>
      <c r="B1426" s="48">
        <v>1</v>
      </c>
      <c r="C1426" s="48" t="s">
        <v>443</v>
      </c>
      <c r="D1426" s="48" t="s">
        <v>444</v>
      </c>
      <c r="E1426" s="72" t="s">
        <v>43</v>
      </c>
      <c r="F1426" s="50"/>
      <c r="G1426" s="48"/>
      <c r="H1426" s="51">
        <v>1</v>
      </c>
      <c r="I1426" s="74">
        <f>+辅材及安装费!$F$3</f>
        <v>5</v>
      </c>
      <c r="J1426" s="95">
        <f>H1426*I1426</f>
        <v>5</v>
      </c>
      <c r="K1426" s="118"/>
      <c r="L1426" s="96"/>
      <c r="M1426" s="97"/>
      <c r="N1426" s="98"/>
      <c r="O1426" s="98"/>
      <c r="P1426" s="98"/>
      <c r="Q1426" s="98"/>
      <c r="R1426" s="99"/>
      <c r="S1426" s="47"/>
      <c r="T1426" s="47"/>
    </row>
    <row r="1427" s="26" customFormat="1" ht="30" customHeight="1" spans="1:20">
      <c r="A1427" s="28"/>
      <c r="B1427" s="29" t="s">
        <v>386</v>
      </c>
      <c r="C1427" s="29"/>
      <c r="D1427" s="29"/>
      <c r="E1427" s="29"/>
      <c r="F1427" s="29"/>
      <c r="G1427" s="29"/>
      <c r="H1427" s="29"/>
      <c r="I1427" s="29"/>
      <c r="J1427" s="29"/>
      <c r="K1427" s="29"/>
      <c r="L1427" s="30"/>
      <c r="M1427" s="31"/>
      <c r="N1427" s="31"/>
      <c r="O1427" s="31"/>
      <c r="P1427" s="31"/>
      <c r="Q1427" s="31"/>
      <c r="R1427" s="32"/>
      <c r="S1427" s="33"/>
      <c r="T1427" s="33"/>
    </row>
    <row r="1428" s="27" customFormat="1" ht="33.75" customHeight="1" spans="1:20">
      <c r="A1428" s="34">
        <v>27</v>
      </c>
      <c r="B1428" s="35" t="s">
        <v>1</v>
      </c>
      <c r="C1428" s="35" t="s">
        <v>387</v>
      </c>
      <c r="D1428" s="36" t="str">
        <f>+A1436</f>
        <v>2.5㎜中灰色瓦楞板</v>
      </c>
      <c r="E1428" s="37"/>
      <c r="F1428" s="38" t="s">
        <v>119</v>
      </c>
      <c r="G1428" s="39"/>
      <c r="H1428" s="35" t="s">
        <v>388</v>
      </c>
      <c r="I1428" s="40" t="s">
        <v>389</v>
      </c>
      <c r="J1428" s="41" t="s">
        <v>37</v>
      </c>
      <c r="K1428" s="42">
        <f ca="1">VLOOKUP(A1428,排屋工程量清单!$A$59:$D$86,4,)</f>
        <v>14.064</v>
      </c>
      <c r="L1428" s="43"/>
      <c r="M1428" s="44"/>
      <c r="N1428" s="44"/>
      <c r="O1428" s="44"/>
      <c r="P1428" s="45"/>
      <c r="Q1428" s="44"/>
      <c r="R1428" s="46"/>
      <c r="S1428" s="47"/>
      <c r="T1428" s="47"/>
    </row>
    <row r="1429" s="27" customFormat="1" ht="25" customHeight="1" spans="1:20">
      <c r="A1429" s="34"/>
      <c r="B1429" s="48">
        <v>1</v>
      </c>
      <c r="C1429" s="49" t="s">
        <v>390</v>
      </c>
      <c r="D1429" s="48" t="s">
        <v>391</v>
      </c>
      <c r="E1429" s="48"/>
      <c r="F1429" s="50"/>
      <c r="G1429" s="48"/>
      <c r="H1429" s="51"/>
      <c r="I1429" s="52">
        <f>J1441</f>
        <v>165</v>
      </c>
      <c r="J1429" s="53" t="s">
        <v>392</v>
      </c>
      <c r="K1429" s="54"/>
      <c r="L1429" s="55"/>
      <c r="M1429" s="56" t="s">
        <v>534</v>
      </c>
      <c r="N1429" s="57"/>
      <c r="O1429" s="57">
        <v>4.84</v>
      </c>
      <c r="P1429" s="57">
        <v>2.8</v>
      </c>
      <c r="Q1429" s="57">
        <v>1</v>
      </c>
      <c r="R1429" s="58">
        <f>+Q1429*P1429*O1429</f>
        <v>13.552</v>
      </c>
      <c r="S1429" s="47"/>
      <c r="T1429" s="47"/>
    </row>
    <row r="1430" s="27" customFormat="1" ht="18" customHeight="1" spans="1:20">
      <c r="A1430" s="34"/>
      <c r="B1430" s="48">
        <v>2</v>
      </c>
      <c r="C1430" s="59"/>
      <c r="D1430" s="48" t="s">
        <v>394</v>
      </c>
      <c r="E1430" s="48"/>
      <c r="F1430" s="50"/>
      <c r="G1430" s="48"/>
      <c r="H1430" s="51"/>
      <c r="I1430" s="52">
        <f>J1466</f>
        <v>450.434265259554</v>
      </c>
      <c r="J1430" s="53" t="s">
        <v>392</v>
      </c>
      <c r="K1430" s="60"/>
      <c r="L1430" s="61" t="s">
        <v>119</v>
      </c>
      <c r="M1430" s="44"/>
      <c r="N1430" s="44"/>
      <c r="O1430" s="44"/>
      <c r="P1430" s="44"/>
      <c r="Q1430" s="44"/>
      <c r="R1430" s="62"/>
      <c r="S1430" s="47"/>
      <c r="T1430" s="47"/>
    </row>
    <row r="1431" s="27" customFormat="1" ht="18" customHeight="1" spans="1:20">
      <c r="A1431" s="34"/>
      <c r="B1431" s="48">
        <v>3</v>
      </c>
      <c r="C1431" s="63"/>
      <c r="D1431" s="48" t="s">
        <v>395</v>
      </c>
      <c r="E1431" s="48"/>
      <c r="F1431" s="50"/>
      <c r="G1431" s="48"/>
      <c r="H1431" s="51"/>
      <c r="I1431" s="52">
        <f>J1467</f>
        <v>5</v>
      </c>
      <c r="J1431" s="53" t="s">
        <v>392</v>
      </c>
      <c r="K1431" s="60"/>
      <c r="L1431" s="60"/>
      <c r="M1431" s="65" t="s">
        <v>396</v>
      </c>
      <c r="N1431" s="65" t="s">
        <v>397</v>
      </c>
      <c r="O1431" s="65" t="s">
        <v>398</v>
      </c>
      <c r="P1431" s="65" t="s">
        <v>399</v>
      </c>
      <c r="Q1431" s="65" t="s">
        <v>400</v>
      </c>
      <c r="R1431" s="66" t="s">
        <v>401</v>
      </c>
      <c r="S1431" s="47"/>
      <c r="T1431" s="47"/>
    </row>
    <row r="1432" s="27" customFormat="1" ht="18" customHeight="1" spans="1:20">
      <c r="A1432" s="34"/>
      <c r="B1432" s="48">
        <v>4</v>
      </c>
      <c r="C1432" s="48" t="s">
        <v>402</v>
      </c>
      <c r="D1432" s="67" t="s">
        <v>403</v>
      </c>
      <c r="E1432" s="67"/>
      <c r="F1432" s="50"/>
      <c r="G1432" s="67"/>
      <c r="H1432" s="68"/>
      <c r="I1432" s="52">
        <f>SUM(I1429:I1431)</f>
        <v>620.434265259554</v>
      </c>
      <c r="J1432" s="53" t="s">
        <v>392</v>
      </c>
      <c r="K1432" s="60"/>
      <c r="L1432" s="69" t="s">
        <v>431</v>
      </c>
      <c r="M1432" s="34" t="s">
        <v>551</v>
      </c>
      <c r="N1432" s="102">
        <v>10.8</v>
      </c>
      <c r="O1432" s="34">
        <f>O1429</f>
        <v>4.84</v>
      </c>
      <c r="P1432" s="34">
        <v>2</v>
      </c>
      <c r="Q1432" s="44">
        <f t="shared" ref="Q1432:Q1439" si="167">+P1432*O1432*N1432</f>
        <v>104.544</v>
      </c>
      <c r="R1432" s="71">
        <f>+Q1432/R1429</f>
        <v>7.71428571428571</v>
      </c>
      <c r="S1432" s="47"/>
      <c r="T1432" s="47"/>
    </row>
    <row r="1433" s="27" customFormat="1" ht="28" customHeight="1" spans="1:20">
      <c r="A1433" s="34"/>
      <c r="B1433" s="48">
        <v>5</v>
      </c>
      <c r="C1433" s="72" t="s">
        <v>406</v>
      </c>
      <c r="D1433" s="48" t="s">
        <v>407</v>
      </c>
      <c r="E1433" s="48"/>
      <c r="F1433" s="50"/>
      <c r="G1433" s="48"/>
      <c r="H1433" s="73">
        <f>+'材料表 '!$E$178</f>
        <v>0</v>
      </c>
      <c r="I1433" s="52">
        <f>H1433*I1432</f>
        <v>0</v>
      </c>
      <c r="J1433" s="53" t="s">
        <v>392</v>
      </c>
      <c r="K1433" s="60"/>
      <c r="L1433" s="69" t="s">
        <v>431</v>
      </c>
      <c r="M1433" s="34" t="s">
        <v>551</v>
      </c>
      <c r="N1433" s="102">
        <v>10.8</v>
      </c>
      <c r="O1433" s="34">
        <v>1.29</v>
      </c>
      <c r="P1433" s="34">
        <v>5</v>
      </c>
      <c r="Q1433" s="44">
        <f t="shared" si="167"/>
        <v>69.66</v>
      </c>
      <c r="R1433" s="71">
        <f>+Q1433/R1429</f>
        <v>5.14020070838253</v>
      </c>
      <c r="S1433" s="47"/>
      <c r="T1433" s="47"/>
    </row>
    <row r="1434" s="27" customFormat="1" ht="18" customHeight="1" spans="1:20">
      <c r="A1434" s="34"/>
      <c r="B1434" s="48">
        <v>6</v>
      </c>
      <c r="C1434" s="48" t="s">
        <v>409</v>
      </c>
      <c r="D1434" s="48" t="s">
        <v>410</v>
      </c>
      <c r="E1434" s="48"/>
      <c r="F1434" s="50"/>
      <c r="G1434" s="48"/>
      <c r="H1434" s="73">
        <f>+'材料表 '!$E$179</f>
        <v>0</v>
      </c>
      <c r="I1434" s="52">
        <f>H1434*I1432</f>
        <v>0</v>
      </c>
      <c r="J1434" s="53" t="s">
        <v>392</v>
      </c>
      <c r="K1434" s="60"/>
      <c r="L1434" s="69" t="s">
        <v>461</v>
      </c>
      <c r="M1434" s="34" t="s">
        <v>462</v>
      </c>
      <c r="N1434" s="34">
        <v>3.77</v>
      </c>
      <c r="O1434" s="34">
        <f>O1429</f>
        <v>4.84</v>
      </c>
      <c r="P1434" s="34">
        <v>0</v>
      </c>
      <c r="Q1434" s="44">
        <f t="shared" si="167"/>
        <v>0</v>
      </c>
      <c r="R1434" s="71">
        <f>+Q1434/R1429</f>
        <v>0</v>
      </c>
      <c r="S1434" s="47"/>
      <c r="T1434" s="47"/>
    </row>
    <row r="1435" s="27" customFormat="1" ht="18" customHeight="1" spans="1:20">
      <c r="A1435" s="34"/>
      <c r="B1435" s="48">
        <v>7</v>
      </c>
      <c r="C1435" s="48" t="s">
        <v>412</v>
      </c>
      <c r="D1435" s="72" t="s">
        <v>413</v>
      </c>
      <c r="E1435" s="72"/>
      <c r="F1435" s="77"/>
      <c r="G1435" s="72"/>
      <c r="H1435" s="73">
        <f>+'材料表 '!$E$180</f>
        <v>0.09</v>
      </c>
      <c r="I1435" s="52">
        <f>(I1432+I1433+I1434)*H1435</f>
        <v>55.8390838733599</v>
      </c>
      <c r="J1435" s="53" t="s">
        <v>392</v>
      </c>
      <c r="K1435" s="60"/>
      <c r="L1435" s="69" t="s">
        <v>463</v>
      </c>
      <c r="M1435" s="34" t="s">
        <v>464</v>
      </c>
      <c r="N1435" s="34">
        <f>0.15*0.2*7.85*10</f>
        <v>2.355</v>
      </c>
      <c r="O1435" s="34">
        <v>1.5</v>
      </c>
      <c r="P1435" s="34">
        <v>5</v>
      </c>
      <c r="Q1435" s="44">
        <f t="shared" si="167"/>
        <v>17.6625</v>
      </c>
      <c r="R1435" s="71">
        <f>+Q1435/R1429</f>
        <v>1.30331316410862</v>
      </c>
      <c r="S1435" s="47"/>
      <c r="T1435" s="47"/>
    </row>
    <row r="1436" s="27" customFormat="1" ht="18" customHeight="1" spans="1:20">
      <c r="A1436" s="105" t="s">
        <v>166</v>
      </c>
      <c r="B1436" s="48">
        <v>8</v>
      </c>
      <c r="C1436" s="48" t="s">
        <v>363</v>
      </c>
      <c r="D1436" s="106" t="s">
        <v>415</v>
      </c>
      <c r="E1436" s="107"/>
      <c r="F1436" s="108"/>
      <c r="G1436" s="107"/>
      <c r="H1436" s="51"/>
      <c r="I1436" s="74">
        <f>SUM(I1432:I1435)</f>
        <v>676.273349132914</v>
      </c>
      <c r="J1436" s="53" t="s">
        <v>416</v>
      </c>
      <c r="K1436" s="60"/>
      <c r="L1436" s="69" t="s">
        <v>465</v>
      </c>
      <c r="M1436" s="34" t="s">
        <v>503</v>
      </c>
      <c r="N1436" s="126">
        <v>7.034</v>
      </c>
      <c r="O1436" s="34">
        <f>85/1000</f>
        <v>0.085</v>
      </c>
      <c r="P1436" s="44">
        <v>0</v>
      </c>
      <c r="Q1436" s="44">
        <f t="shared" si="167"/>
        <v>0</v>
      </c>
      <c r="R1436" s="84">
        <f>+Q1436/R1429</f>
        <v>0</v>
      </c>
      <c r="S1436" s="79"/>
      <c r="T1436" s="47"/>
    </row>
    <row r="1437" s="27" customFormat="1" ht="18" customHeight="1" spans="1:20">
      <c r="A1437" s="34"/>
      <c r="B1437" s="109" t="s">
        <v>418</v>
      </c>
      <c r="C1437" s="110"/>
      <c r="D1437" s="110"/>
      <c r="E1437" s="110"/>
      <c r="F1437" s="110"/>
      <c r="G1437" s="110"/>
      <c r="H1437" s="110"/>
      <c r="I1437" s="110"/>
      <c r="J1437" s="110"/>
      <c r="K1437" s="80"/>
      <c r="L1437" s="69" t="s">
        <v>433</v>
      </c>
      <c r="M1437" s="44" t="s">
        <v>505</v>
      </c>
      <c r="N1437" s="82">
        <f>0.056*3*2.71+0.0675*3*2.71</f>
        <v>1.004055</v>
      </c>
      <c r="O1437" s="44">
        <f>O1429</f>
        <v>4.84</v>
      </c>
      <c r="P1437" s="44">
        <v>5</v>
      </c>
      <c r="Q1437" s="44">
        <f t="shared" si="167"/>
        <v>24.298131</v>
      </c>
      <c r="R1437" s="84">
        <f>+Q1437/R1429</f>
        <v>1.79295535714286</v>
      </c>
      <c r="S1437" s="47">
        <f>0.16*P1437*O1437/R1429</f>
        <v>0.285714285714286</v>
      </c>
      <c r="T1437" s="47"/>
    </row>
    <row r="1438" s="27" customFormat="1" ht="18" customHeight="1" spans="1:20">
      <c r="A1438" s="34"/>
      <c r="B1438" s="48">
        <v>1</v>
      </c>
      <c r="C1438" s="48" t="s">
        <v>391</v>
      </c>
      <c r="D1438" s="48" t="s">
        <v>396</v>
      </c>
      <c r="E1438" s="48" t="s">
        <v>37</v>
      </c>
      <c r="F1438" s="50"/>
      <c r="G1438" s="48"/>
      <c r="H1438" s="51" t="s">
        <v>399</v>
      </c>
      <c r="I1438" s="51" t="s">
        <v>420</v>
      </c>
      <c r="J1438" s="95" t="s">
        <v>421</v>
      </c>
      <c r="K1438" s="92"/>
      <c r="L1438" s="69" t="s">
        <v>433</v>
      </c>
      <c r="M1438" s="44" t="s">
        <v>504</v>
      </c>
      <c r="N1438" s="82">
        <f>0.056*3*2.71+0.0675*3*2.71</f>
        <v>1.004055</v>
      </c>
      <c r="O1438" s="44">
        <f>0.574</f>
        <v>0.574</v>
      </c>
      <c r="P1438" s="44">
        <v>2</v>
      </c>
      <c r="Q1438" s="44">
        <f t="shared" si="167"/>
        <v>1.15265514</v>
      </c>
      <c r="R1438" s="84">
        <f>+Q1438/R1429</f>
        <v>0.0850542458677686</v>
      </c>
      <c r="S1438" s="47"/>
      <c r="T1438" s="47"/>
    </row>
    <row r="1439" s="27" customFormat="1" ht="18" customHeight="1" spans="1:20">
      <c r="A1439" s="34"/>
      <c r="B1439" s="48">
        <v>2</v>
      </c>
      <c r="C1439" s="48"/>
      <c r="D1439" s="111" t="s">
        <v>491</v>
      </c>
      <c r="E1439" s="49" t="s">
        <v>423</v>
      </c>
      <c r="F1439" s="112"/>
      <c r="G1439" s="111"/>
      <c r="H1439" s="113">
        <v>1</v>
      </c>
      <c r="I1439" s="113">
        <f>+辅材及安装费!$G$3</f>
        <v>165</v>
      </c>
      <c r="J1439" s="114">
        <f t="shared" ref="J1439:J1451" si="168">H1439*I1439</f>
        <v>165</v>
      </c>
      <c r="K1439" s="92"/>
      <c r="L1439" s="69" t="s">
        <v>433</v>
      </c>
      <c r="M1439" s="44" t="s">
        <v>498</v>
      </c>
      <c r="N1439" s="82">
        <f>0.045*3*2.71</f>
        <v>0.36585</v>
      </c>
      <c r="O1439" s="44">
        <f>O1429</f>
        <v>4.84</v>
      </c>
      <c r="P1439" s="44">
        <v>0</v>
      </c>
      <c r="Q1439" s="44">
        <f t="shared" si="167"/>
        <v>0</v>
      </c>
      <c r="R1439" s="84">
        <f>Q1439/R1429</f>
        <v>0</v>
      </c>
      <c r="S1439" s="47"/>
      <c r="T1439" s="47"/>
    </row>
    <row r="1440" s="27" customFormat="1" ht="18" customHeight="1" spans="1:20">
      <c r="A1440" s="34"/>
      <c r="B1440" s="48">
        <v>3</v>
      </c>
      <c r="C1440" s="48"/>
      <c r="D1440" s="115"/>
      <c r="E1440" s="63"/>
      <c r="F1440" s="116"/>
      <c r="G1440" s="115"/>
      <c r="H1440" s="117"/>
      <c r="I1440" s="117"/>
      <c r="J1440" s="118"/>
      <c r="K1440" s="92"/>
      <c r="L1440" s="90" t="s">
        <v>472</v>
      </c>
      <c r="M1440" s="44"/>
      <c r="N1440" s="82"/>
      <c r="O1440" s="44"/>
      <c r="P1440" s="44">
        <f>O1435*P1435*2</f>
        <v>15</v>
      </c>
      <c r="Q1440" s="44">
        <f>+P1440</f>
        <v>15</v>
      </c>
      <c r="R1440" s="84">
        <f>+Q1440/R1429</f>
        <v>1.10684769775679</v>
      </c>
      <c r="S1440" s="47"/>
      <c r="T1440" s="47"/>
    </row>
    <row r="1441" s="27" customFormat="1" ht="18" customHeight="1" spans="1:20">
      <c r="A1441" s="34"/>
      <c r="B1441" s="48">
        <v>4</v>
      </c>
      <c r="C1441" s="48"/>
      <c r="D1441" s="85" t="s">
        <v>426</v>
      </c>
      <c r="E1441" s="48" t="s">
        <v>392</v>
      </c>
      <c r="F1441" s="50"/>
      <c r="G1441" s="48"/>
      <c r="H1441" s="86"/>
      <c r="I1441" s="86"/>
      <c r="J1441" s="95">
        <f>SUM(J1439:J1439)</f>
        <v>165</v>
      </c>
      <c r="K1441" s="92"/>
      <c r="L1441" s="90"/>
      <c r="M1441" s="44"/>
      <c r="N1441" s="82"/>
      <c r="O1441" s="44"/>
      <c r="P1441" s="44"/>
      <c r="Q1441" s="44"/>
      <c r="R1441" s="84"/>
      <c r="S1441" s="47"/>
      <c r="T1441" s="47"/>
    </row>
    <row r="1442" s="27" customFormat="1" ht="22" customHeight="1" spans="1:20">
      <c r="A1442" s="34"/>
      <c r="B1442" s="48">
        <v>1</v>
      </c>
      <c r="C1442" s="48" t="s">
        <v>394</v>
      </c>
      <c r="D1442" s="88" t="s">
        <v>431</v>
      </c>
      <c r="E1442" s="72" t="str">
        <f>+VLOOKUP(D1442,'材料表 '!C:F,2,0)</f>
        <v>kg</v>
      </c>
      <c r="F1442" s="77">
        <f>+SUMIF($L$1429:$L$1467,D1442,$R$1429:$R$1467)</f>
        <v>12.8544864226682</v>
      </c>
      <c r="G1442" s="89">
        <f>+VLOOKUP(D1442,'材料表 '!C:F,4,0)</f>
        <v>0.03</v>
      </c>
      <c r="H1442" s="74">
        <f t="shared" ref="H1442:H1451" si="169">F1442*(G1442+1)</f>
        <v>13.2401210153482</v>
      </c>
      <c r="I1442" s="74">
        <f>+VLOOKUP(D1442,'材料表 '!C:F,3,0)</f>
        <v>3.80530973451327</v>
      </c>
      <c r="J1442" s="95">
        <f t="shared" si="168"/>
        <v>50.3827613858384</v>
      </c>
      <c r="K1442" s="92">
        <f ca="1">H1442*K1428</f>
        <v>186.209061959857</v>
      </c>
      <c r="L1442" s="90"/>
      <c r="M1442" s="44"/>
      <c r="N1442" s="82"/>
      <c r="O1442" s="44"/>
      <c r="P1442" s="44"/>
      <c r="Q1442" s="44"/>
      <c r="R1442" s="84"/>
      <c r="S1442" s="47"/>
      <c r="T1442" s="47"/>
    </row>
    <row r="1443" s="27" customFormat="1" ht="18" customHeight="1" spans="1:20">
      <c r="A1443" s="34"/>
      <c r="B1443" s="48">
        <v>2</v>
      </c>
      <c r="C1443" s="48"/>
      <c r="D1443" s="88" t="s">
        <v>461</v>
      </c>
      <c r="E1443" s="72" t="str">
        <f>+VLOOKUP(D1443,'材料表 '!C:F,2,0)</f>
        <v>kg</v>
      </c>
      <c r="F1443" s="77">
        <f t="shared" ref="F1443:F1451" si="170">+SUMIF($L$1429:$L$1467,D1443,$R$1429:$R$1467)</f>
        <v>0</v>
      </c>
      <c r="G1443" s="89">
        <f>+VLOOKUP(D1443,'材料表 '!C:F,4,0)</f>
        <v>0.03</v>
      </c>
      <c r="H1443" s="74">
        <f t="shared" si="169"/>
        <v>0</v>
      </c>
      <c r="I1443" s="74">
        <f>+VLOOKUP(D1443,'材料表 '!C:F,3,0)</f>
        <v>3.53982300884956</v>
      </c>
      <c r="J1443" s="95">
        <f t="shared" si="168"/>
        <v>0</v>
      </c>
      <c r="K1443" s="92">
        <f ca="1">H1443*K1428</f>
        <v>0</v>
      </c>
      <c r="L1443" s="90"/>
      <c r="M1443" s="44"/>
      <c r="N1443" s="82"/>
      <c r="O1443" s="44"/>
      <c r="P1443" s="44"/>
      <c r="Q1443" s="44"/>
      <c r="R1443" s="84"/>
      <c r="S1443" s="47"/>
      <c r="T1443" s="47"/>
    </row>
    <row r="1444" s="27" customFormat="1" ht="18" customHeight="1" spans="1:20">
      <c r="A1444" s="34"/>
      <c r="B1444" s="48">
        <v>3</v>
      </c>
      <c r="C1444" s="48"/>
      <c r="D1444" s="88" t="s">
        <v>465</v>
      </c>
      <c r="E1444" s="72" t="str">
        <f>+VLOOKUP(D1444,'材料表 '!C:F,2,0)</f>
        <v>kg</v>
      </c>
      <c r="F1444" s="77">
        <f t="shared" si="170"/>
        <v>0</v>
      </c>
      <c r="G1444" s="89">
        <f>+VLOOKUP(D1444,'材料表 '!C:F,4,0)</f>
        <v>0.03</v>
      </c>
      <c r="H1444" s="74">
        <f t="shared" si="169"/>
        <v>0</v>
      </c>
      <c r="I1444" s="74">
        <f>+VLOOKUP(D1444,'材料表 '!C:F,3,0)</f>
        <v>6.01769911504425</v>
      </c>
      <c r="J1444" s="95">
        <f t="shared" si="168"/>
        <v>0</v>
      </c>
      <c r="K1444" s="92">
        <f ca="1">H1444*K1428</f>
        <v>0</v>
      </c>
      <c r="L1444" s="90"/>
      <c r="M1444" s="44"/>
      <c r="N1444" s="82"/>
      <c r="O1444" s="44"/>
      <c r="P1444" s="44"/>
      <c r="Q1444" s="44">
        <f>+P1444*O1444</f>
        <v>0</v>
      </c>
      <c r="R1444" s="84">
        <f>+Q1444/R1429</f>
        <v>0</v>
      </c>
      <c r="S1444" s="47"/>
      <c r="T1444" s="47"/>
    </row>
    <row r="1445" s="27" customFormat="1" ht="18" customHeight="1" spans="1:20">
      <c r="A1445" s="34"/>
      <c r="B1445" s="48">
        <v>4</v>
      </c>
      <c r="C1445" s="48"/>
      <c r="D1445" s="88" t="s">
        <v>463</v>
      </c>
      <c r="E1445" s="72" t="str">
        <f>+VLOOKUP(D1445,'材料表 '!C:F,2,0)</f>
        <v>kg</v>
      </c>
      <c r="F1445" s="77">
        <f t="shared" si="170"/>
        <v>1.30331316410862</v>
      </c>
      <c r="G1445" s="89">
        <f>+VLOOKUP(D1445,'材料表 '!C:F,4,0)</f>
        <v>0.03</v>
      </c>
      <c r="H1445" s="74">
        <f t="shared" si="169"/>
        <v>1.34241255903188</v>
      </c>
      <c r="I1445" s="74">
        <f>+VLOOKUP(D1445,'材料表 '!C:F,3,0)</f>
        <v>6.01769911504425</v>
      </c>
      <c r="J1445" s="95">
        <f t="shared" si="168"/>
        <v>8.07823486851042</v>
      </c>
      <c r="K1445" s="92">
        <f ca="1">H1445*K1428</f>
        <v>18.8796902302244</v>
      </c>
      <c r="L1445" s="90" t="s">
        <v>474</v>
      </c>
      <c r="M1445" s="44"/>
      <c r="N1445" s="82"/>
      <c r="O1445" s="44"/>
      <c r="P1445" s="44"/>
      <c r="Q1445" s="44">
        <f>+O1435*P1435*4</f>
        <v>30</v>
      </c>
      <c r="R1445" s="84">
        <f>+Q1445/R1429</f>
        <v>2.21369539551358</v>
      </c>
      <c r="S1445" s="47"/>
      <c r="T1445" s="47"/>
    </row>
    <row r="1446" s="27" customFormat="1" ht="18" customHeight="1" spans="1:20">
      <c r="A1446" s="34"/>
      <c r="B1446" s="48">
        <v>5</v>
      </c>
      <c r="C1446" s="48"/>
      <c r="D1446" s="88" t="s">
        <v>433</v>
      </c>
      <c r="E1446" s="72" t="str">
        <f>+VLOOKUP(D1446,'材料表 '!C:F,2,0)</f>
        <v>kg</v>
      </c>
      <c r="F1446" s="77">
        <f t="shared" si="170"/>
        <v>1.87800960301063</v>
      </c>
      <c r="G1446" s="89">
        <f>+VLOOKUP(D1446,'材料表 '!C:F,4,0)</f>
        <v>0.03</v>
      </c>
      <c r="H1446" s="74">
        <f t="shared" si="169"/>
        <v>1.93434989110095</v>
      </c>
      <c r="I1446" s="74">
        <f>+VLOOKUP(D1446,'材料表 '!C:F,3,0)</f>
        <v>26.1150442477876</v>
      </c>
      <c r="J1446" s="95">
        <f t="shared" si="168"/>
        <v>50.5156329968044</v>
      </c>
      <c r="K1446" s="92">
        <f ca="1">H1446*K1428</f>
        <v>27.2046968684438</v>
      </c>
      <c r="L1446" s="92" t="s">
        <v>476</v>
      </c>
      <c r="M1446" s="44"/>
      <c r="N1446" s="82"/>
      <c r="O1446" s="44"/>
      <c r="P1446" s="44"/>
      <c r="Q1446" s="44">
        <f>8*8*(O1429*2+P1429*5)/500</f>
        <v>3.03104</v>
      </c>
      <c r="R1446" s="84">
        <f>+Q1446/R1429</f>
        <v>0.223659976387249</v>
      </c>
      <c r="S1446" s="47"/>
      <c r="T1446" s="47"/>
    </row>
    <row r="1447" s="27" customFormat="1" ht="18" customHeight="1" spans="1:20">
      <c r="A1447" s="34"/>
      <c r="B1447" s="48">
        <v>6</v>
      </c>
      <c r="C1447" s="48"/>
      <c r="D1447" s="88" t="s">
        <v>434</v>
      </c>
      <c r="E1447" s="72" t="str">
        <f>+VLOOKUP(D1447,'材料表 '!C:F,2,0)</f>
        <v>m2</v>
      </c>
      <c r="F1447" s="77">
        <f t="shared" si="170"/>
        <v>0</v>
      </c>
      <c r="G1447" s="89">
        <f>+VLOOKUP(D1447,'材料表 '!C:F,4,0)</f>
        <v>0</v>
      </c>
      <c r="H1447" s="74">
        <f t="shared" si="169"/>
        <v>0</v>
      </c>
      <c r="I1447" s="74">
        <f>+VLOOKUP(D1447,'材料表 '!C:F,3,0)</f>
        <v>49.5575221238938</v>
      </c>
      <c r="J1447" s="95">
        <f t="shared" si="168"/>
        <v>0</v>
      </c>
      <c r="K1447" s="92">
        <f ca="1">H1447*K1428</f>
        <v>0</v>
      </c>
      <c r="L1447" s="92" t="s">
        <v>499</v>
      </c>
      <c r="M1447" s="44"/>
      <c r="N1447" s="82"/>
      <c r="O1447" s="44"/>
      <c r="P1447" s="44"/>
      <c r="Q1447" s="44">
        <v>0</v>
      </c>
      <c r="R1447" s="84">
        <f>Q1447/R1429</f>
        <v>0</v>
      </c>
      <c r="S1447" s="47"/>
      <c r="T1447" s="47"/>
    </row>
    <row r="1448" s="27" customFormat="1" ht="18" customHeight="1" spans="1:20">
      <c r="A1448" s="34"/>
      <c r="B1448" s="48">
        <v>7</v>
      </c>
      <c r="C1448" s="48"/>
      <c r="D1448" s="88" t="s">
        <v>472</v>
      </c>
      <c r="E1448" s="72" t="str">
        <f>+VLOOKUP(D1448,'材料表 '!C:F,2,0)</f>
        <v>套</v>
      </c>
      <c r="F1448" s="77">
        <f t="shared" si="170"/>
        <v>1.10684769775679</v>
      </c>
      <c r="G1448" s="89">
        <f>+VLOOKUP(D1448,'材料表 '!C:F,4,0)</f>
        <v>0</v>
      </c>
      <c r="H1448" s="74">
        <f t="shared" si="169"/>
        <v>1.10684769775679</v>
      </c>
      <c r="I1448" s="74">
        <f>+VLOOKUP(D1448,'材料表 '!C:F,3,0)</f>
        <v>2.47787610619469</v>
      </c>
      <c r="J1448" s="95">
        <f t="shared" si="168"/>
        <v>2.74263146346815</v>
      </c>
      <c r="K1448" s="92">
        <f ca="1">H1448*K1428</f>
        <v>15.5667060212515</v>
      </c>
      <c r="L1448" s="92"/>
      <c r="M1448" s="44"/>
      <c r="N1448" s="82"/>
      <c r="O1448" s="44"/>
      <c r="P1448" s="44"/>
      <c r="Q1448" s="44"/>
      <c r="R1448" s="84"/>
      <c r="S1448" s="47"/>
      <c r="T1448" s="47"/>
    </row>
    <row r="1449" s="27" customFormat="1" ht="18" customHeight="1" spans="1:20">
      <c r="A1449" s="34"/>
      <c r="B1449" s="48">
        <v>8</v>
      </c>
      <c r="C1449" s="48"/>
      <c r="D1449" s="88" t="s">
        <v>474</v>
      </c>
      <c r="E1449" s="72" t="str">
        <f>+VLOOKUP(D1449,'材料表 '!C:F,2,0)</f>
        <v>套</v>
      </c>
      <c r="F1449" s="77">
        <f t="shared" si="170"/>
        <v>2.21369539551358</v>
      </c>
      <c r="G1449" s="89">
        <f>+VLOOKUP(D1449,'材料表 '!C:F,4,0)</f>
        <v>0</v>
      </c>
      <c r="H1449" s="74">
        <f t="shared" si="169"/>
        <v>2.21369539551358</v>
      </c>
      <c r="I1449" s="74">
        <f>+VLOOKUP(D1449,'材料表 '!C:F,3,0)</f>
        <v>2.21238938053097</v>
      </c>
      <c r="J1449" s="95">
        <f t="shared" si="168"/>
        <v>4.89755618476455</v>
      </c>
      <c r="K1449" s="92">
        <f ca="1">H1449*K1428</f>
        <v>31.133412042503</v>
      </c>
      <c r="L1449" s="92"/>
      <c r="M1449" s="44"/>
      <c r="N1449" s="82"/>
      <c r="O1449" s="44"/>
      <c r="P1449" s="44"/>
      <c r="Q1449" s="44"/>
      <c r="R1449" s="84"/>
      <c r="S1449" s="47"/>
      <c r="T1449" s="47"/>
    </row>
    <row r="1450" s="27" customFormat="1" ht="18" customHeight="1" spans="1:20">
      <c r="A1450" s="34"/>
      <c r="B1450" s="48">
        <v>9</v>
      </c>
      <c r="C1450" s="48"/>
      <c r="D1450" s="88" t="s">
        <v>476</v>
      </c>
      <c r="E1450" s="72" t="str">
        <f>+VLOOKUP(D1450,'材料表 '!C:F,2,0)</f>
        <v>支</v>
      </c>
      <c r="F1450" s="77">
        <f t="shared" si="170"/>
        <v>0.223659976387249</v>
      </c>
      <c r="G1450" s="89">
        <f>+VLOOKUP(D1450,'材料表 '!C:F,4,0)</f>
        <v>0.15</v>
      </c>
      <c r="H1450" s="74">
        <f t="shared" si="169"/>
        <v>0.257208972845336</v>
      </c>
      <c r="I1450" s="74">
        <f>+VLOOKUP(D1450,'材料表 '!C:F,3,0)</f>
        <v>11.5044247787611</v>
      </c>
      <c r="J1450" s="95">
        <f t="shared" si="168"/>
        <v>2.95904128052158</v>
      </c>
      <c r="K1450" s="92">
        <f ca="1">H1450*K1428</f>
        <v>3.61738699409681</v>
      </c>
      <c r="L1450" s="90"/>
      <c r="M1450" s="44"/>
      <c r="N1450" s="82"/>
      <c r="O1450" s="34"/>
      <c r="P1450" s="44"/>
      <c r="Q1450" s="44"/>
      <c r="R1450" s="119"/>
      <c r="S1450" s="47"/>
      <c r="T1450" s="47"/>
    </row>
    <row r="1451" s="27" customFormat="1" ht="23" customHeight="1" spans="1:20">
      <c r="A1451" s="34"/>
      <c r="B1451" s="48">
        <v>10</v>
      </c>
      <c r="C1451" s="48"/>
      <c r="D1451" s="88" t="s">
        <v>499</v>
      </c>
      <c r="E1451" s="72" t="str">
        <f>+VLOOKUP(D1451,'材料表 '!C:F,2,0)</f>
        <v>套</v>
      </c>
      <c r="F1451" s="77">
        <f t="shared" si="170"/>
        <v>0</v>
      </c>
      <c r="G1451" s="89">
        <f>+VLOOKUP(D1451,'材料表 '!C:F,4,0)</f>
        <v>0</v>
      </c>
      <c r="H1451" s="74">
        <f t="shared" si="169"/>
        <v>0</v>
      </c>
      <c r="I1451" s="74">
        <f>+VLOOKUP(D1451,'材料表 '!C:F,3,0)</f>
        <v>1.32743362831858</v>
      </c>
      <c r="J1451" s="95">
        <f t="shared" si="168"/>
        <v>0</v>
      </c>
      <c r="K1451" s="92">
        <f ca="1">H1451*K1428</f>
        <v>0</v>
      </c>
      <c r="L1451" s="92"/>
      <c r="M1451" s="120"/>
      <c r="N1451" s="82"/>
      <c r="O1451" s="44"/>
      <c r="P1451" s="44"/>
      <c r="Q1451" s="44"/>
      <c r="R1451" s="84"/>
      <c r="S1451" s="47"/>
      <c r="T1451" s="47"/>
    </row>
    <row r="1452" s="27" customFormat="1" ht="20" customHeight="1" spans="1:20">
      <c r="A1452" s="34"/>
      <c r="B1452" s="48">
        <v>11</v>
      </c>
      <c r="C1452" s="48"/>
      <c r="D1452" s="88"/>
      <c r="E1452" s="72"/>
      <c r="F1452" s="77"/>
      <c r="G1452" s="89"/>
      <c r="H1452" s="74"/>
      <c r="I1452" s="74"/>
      <c r="J1452" s="95"/>
      <c r="K1452" s="92">
        <f ca="1">H1452*K1428</f>
        <v>0</v>
      </c>
      <c r="L1452" s="92"/>
      <c r="M1452" s="44"/>
      <c r="N1452" s="82"/>
      <c r="O1452" s="44"/>
      <c r="P1452" s="44"/>
      <c r="Q1452" s="44"/>
      <c r="R1452" s="84"/>
      <c r="S1452" s="47"/>
      <c r="T1452" s="47"/>
    </row>
    <row r="1453" s="27" customFormat="1" ht="24" customHeight="1" spans="1:20">
      <c r="A1453" s="34"/>
      <c r="B1453" s="48">
        <v>12</v>
      </c>
      <c r="C1453" s="48"/>
      <c r="D1453" s="127" t="s">
        <v>166</v>
      </c>
      <c r="E1453" s="72" t="str">
        <f>+VLOOKUP(D1453,'材料表 '!C:F,2,0)</f>
        <v>m2</v>
      </c>
      <c r="F1453" s="77">
        <v>1</v>
      </c>
      <c r="G1453" s="89">
        <f>+VLOOKUP(D1453,'材料表 '!C:F,4,0)</f>
        <v>0.02</v>
      </c>
      <c r="H1453" s="74">
        <f>F1453*(G1453+1)</f>
        <v>1.02</v>
      </c>
      <c r="I1453" s="74">
        <f>+VLOOKUP(D1453,'材料表 '!C:F,3,0)</f>
        <v>319.469026548673</v>
      </c>
      <c r="J1453" s="95">
        <f>H1453*I1453</f>
        <v>325.858407079646</v>
      </c>
      <c r="K1453" s="92">
        <f ca="1">H1453*K1428</f>
        <v>14.34528</v>
      </c>
      <c r="L1453" s="92"/>
      <c r="M1453" s="44"/>
      <c r="N1453" s="44"/>
      <c r="O1453" s="44"/>
      <c r="P1453" s="44"/>
      <c r="Q1453" s="44"/>
      <c r="R1453" s="84"/>
      <c r="S1453" s="47"/>
      <c r="T1453" s="47"/>
    </row>
    <row r="1454" s="27" customFormat="1" ht="18" customHeight="1" spans="1:20">
      <c r="A1454" s="34"/>
      <c r="B1454" s="48">
        <v>13</v>
      </c>
      <c r="C1454" s="48"/>
      <c r="D1454" s="88"/>
      <c r="E1454" s="72"/>
      <c r="F1454" s="77"/>
      <c r="G1454" s="89"/>
      <c r="H1454" s="74"/>
      <c r="I1454" s="74"/>
      <c r="J1454" s="95"/>
      <c r="K1454" s="92">
        <f ca="1">H1454*K1428</f>
        <v>0</v>
      </c>
      <c r="L1454" s="92"/>
      <c r="M1454" s="44"/>
      <c r="N1454" s="44"/>
      <c r="O1454" s="44"/>
      <c r="P1454" s="44"/>
      <c r="Q1454" s="44"/>
      <c r="R1454" s="84"/>
      <c r="S1454" s="47"/>
      <c r="T1454" s="47"/>
    </row>
    <row r="1455" s="27" customFormat="1" ht="24" customHeight="1" spans="1:20">
      <c r="A1455" s="34"/>
      <c r="B1455" s="48">
        <v>14</v>
      </c>
      <c r="C1455" s="48"/>
      <c r="D1455" s="88"/>
      <c r="E1455" s="72"/>
      <c r="F1455" s="77"/>
      <c r="G1455" s="89"/>
      <c r="H1455" s="74"/>
      <c r="I1455" s="74"/>
      <c r="J1455" s="95"/>
      <c r="K1455" s="92">
        <f ca="1">H1455*K1428</f>
        <v>0</v>
      </c>
      <c r="L1455" s="92"/>
      <c r="M1455" s="44"/>
      <c r="N1455" s="44"/>
      <c r="O1455" s="44"/>
      <c r="P1455" s="44"/>
      <c r="Q1455" s="44"/>
      <c r="R1455" s="84"/>
      <c r="S1455" s="47"/>
      <c r="T1455" s="47"/>
    </row>
    <row r="1456" s="27" customFormat="1" ht="18" customHeight="1" spans="1:20">
      <c r="A1456" s="34"/>
      <c r="B1456" s="48">
        <v>15</v>
      </c>
      <c r="C1456" s="48"/>
      <c r="D1456" s="88"/>
      <c r="E1456" s="72"/>
      <c r="F1456" s="77"/>
      <c r="G1456" s="89"/>
      <c r="H1456" s="74"/>
      <c r="I1456" s="74"/>
      <c r="J1456" s="95"/>
      <c r="K1456" s="92"/>
      <c r="L1456" s="92"/>
      <c r="M1456" s="44"/>
      <c r="N1456" s="44"/>
      <c r="O1456" s="44"/>
      <c r="P1456" s="44"/>
      <c r="Q1456" s="44"/>
      <c r="R1456" s="84"/>
      <c r="S1456" s="47"/>
      <c r="T1456" s="47"/>
    </row>
    <row r="1457" s="27" customFormat="1" ht="18" customHeight="1" spans="1:20">
      <c r="A1457" s="34"/>
      <c r="B1457" s="48">
        <v>16</v>
      </c>
      <c r="C1457" s="48"/>
      <c r="D1457" s="88"/>
      <c r="E1457" s="72"/>
      <c r="F1457" s="77"/>
      <c r="G1457" s="89"/>
      <c r="H1457" s="74"/>
      <c r="I1457" s="74"/>
      <c r="J1457" s="95"/>
      <c r="K1457" s="92"/>
      <c r="L1457" s="92"/>
      <c r="M1457" s="44"/>
      <c r="N1457" s="44"/>
      <c r="O1457" s="44"/>
      <c r="P1457" s="44"/>
      <c r="Q1457" s="44"/>
      <c r="R1457" s="84"/>
      <c r="S1457" s="47"/>
      <c r="T1457" s="47"/>
    </row>
    <row r="1458" s="27" customFormat="1" ht="18" customHeight="1" spans="1:20">
      <c r="A1458" s="34"/>
      <c r="B1458" s="48">
        <v>17</v>
      </c>
      <c r="C1458" s="48"/>
      <c r="D1458" s="121"/>
      <c r="E1458" s="72"/>
      <c r="F1458" s="77"/>
      <c r="G1458" s="89"/>
      <c r="H1458" s="74"/>
      <c r="I1458" s="74"/>
      <c r="J1458" s="95"/>
      <c r="K1458" s="92"/>
      <c r="L1458" s="92"/>
      <c r="M1458" s="44"/>
      <c r="N1458" s="44"/>
      <c r="O1458" s="44"/>
      <c r="P1458" s="44"/>
      <c r="Q1458" s="101"/>
      <c r="R1458" s="84"/>
      <c r="S1458" s="47"/>
      <c r="T1458" s="47"/>
    </row>
    <row r="1459" s="27" customFormat="1" ht="18" customHeight="1" spans="1:20">
      <c r="A1459" s="34"/>
      <c r="B1459" s="48">
        <v>18</v>
      </c>
      <c r="C1459" s="48"/>
      <c r="D1459" s="88"/>
      <c r="E1459" s="72"/>
      <c r="F1459" s="77"/>
      <c r="G1459" s="89"/>
      <c r="H1459" s="74"/>
      <c r="I1459" s="74"/>
      <c r="J1459" s="95"/>
      <c r="K1459" s="92"/>
      <c r="L1459" s="92"/>
      <c r="M1459" s="44"/>
      <c r="N1459" s="44"/>
      <c r="O1459" s="44"/>
      <c r="P1459" s="44"/>
      <c r="Q1459" s="44"/>
      <c r="R1459" s="84"/>
      <c r="S1459" s="47"/>
      <c r="T1459" s="47"/>
    </row>
    <row r="1460" s="27" customFormat="1" ht="18" customHeight="1" spans="1:20">
      <c r="A1460" s="34"/>
      <c r="B1460" s="48">
        <v>19</v>
      </c>
      <c r="C1460" s="48"/>
      <c r="D1460" s="27"/>
      <c r="E1460" s="72"/>
      <c r="F1460" s="77"/>
      <c r="G1460" s="89"/>
      <c r="H1460" s="74"/>
      <c r="I1460" s="74"/>
      <c r="J1460" s="95"/>
      <c r="K1460" s="92"/>
      <c r="L1460" s="92"/>
      <c r="M1460" s="44"/>
      <c r="N1460" s="44"/>
      <c r="O1460" s="44"/>
      <c r="P1460" s="44"/>
      <c r="Q1460" s="44"/>
      <c r="R1460" s="84"/>
      <c r="S1460" s="47"/>
      <c r="T1460" s="47"/>
    </row>
    <row r="1461" s="27" customFormat="1" ht="18" customHeight="1" spans="1:20">
      <c r="A1461" s="34"/>
      <c r="B1461" s="48">
        <v>20</v>
      </c>
      <c r="C1461" s="48"/>
      <c r="D1461" s="88"/>
      <c r="E1461" s="72"/>
      <c r="F1461" s="77"/>
      <c r="G1461" s="89"/>
      <c r="H1461" s="74"/>
      <c r="I1461" s="74"/>
      <c r="J1461" s="95"/>
      <c r="K1461" s="92"/>
      <c r="L1461" s="92"/>
      <c r="M1461" s="44"/>
      <c r="N1461" s="44"/>
      <c r="O1461" s="44"/>
      <c r="P1461" s="44"/>
      <c r="Q1461" s="44"/>
      <c r="R1461" s="84"/>
      <c r="S1461" s="47"/>
      <c r="T1461" s="47"/>
    </row>
    <row r="1462" s="27" customFormat="1" ht="18" customHeight="1" spans="1:20">
      <c r="A1462" s="34"/>
      <c r="B1462" s="48">
        <v>21</v>
      </c>
      <c r="C1462" s="48"/>
      <c r="D1462" s="88"/>
      <c r="E1462" s="72"/>
      <c r="F1462" s="77"/>
      <c r="G1462" s="89"/>
      <c r="H1462" s="74"/>
      <c r="I1462" s="74"/>
      <c r="J1462" s="95"/>
      <c r="K1462" s="92"/>
      <c r="L1462" s="92"/>
      <c r="M1462" s="44"/>
      <c r="N1462" s="44"/>
      <c r="O1462" s="44"/>
      <c r="P1462" s="44"/>
      <c r="Q1462" s="44"/>
      <c r="R1462" s="84"/>
      <c r="S1462" s="47"/>
      <c r="T1462" s="47"/>
    </row>
    <row r="1463" s="27" customFormat="1" ht="18" customHeight="1" spans="1:20">
      <c r="A1463" s="34"/>
      <c r="B1463" s="48">
        <v>22</v>
      </c>
      <c r="C1463" s="48"/>
      <c r="D1463" s="27"/>
      <c r="E1463" s="72"/>
      <c r="F1463" s="77"/>
      <c r="G1463" s="72"/>
      <c r="H1463" s="74"/>
      <c r="I1463" s="74"/>
      <c r="J1463" s="95"/>
      <c r="K1463" s="92"/>
      <c r="L1463" s="92"/>
      <c r="M1463" s="44"/>
      <c r="N1463" s="44"/>
      <c r="O1463" s="44"/>
      <c r="P1463" s="44"/>
      <c r="Q1463" s="44"/>
      <c r="R1463" s="62"/>
      <c r="S1463" s="47"/>
      <c r="T1463" s="47"/>
    </row>
    <row r="1464" s="27" customFormat="1" ht="18" customHeight="1" spans="1:20">
      <c r="A1464" s="34"/>
      <c r="B1464" s="48">
        <v>23</v>
      </c>
      <c r="C1464" s="48"/>
      <c r="D1464" s="88"/>
      <c r="E1464" s="72"/>
      <c r="F1464" s="77"/>
      <c r="G1464" s="89"/>
      <c r="H1464" s="74"/>
      <c r="I1464" s="74"/>
      <c r="J1464" s="95"/>
      <c r="K1464" s="92"/>
      <c r="L1464" s="92"/>
      <c r="M1464" s="44"/>
      <c r="N1464" s="44"/>
      <c r="O1464" s="44"/>
      <c r="P1464" s="44"/>
      <c r="Q1464" s="44"/>
      <c r="R1464" s="62"/>
      <c r="S1464" s="47"/>
      <c r="T1464" s="47"/>
    </row>
    <row r="1465" s="27" customFormat="1" ht="18" customHeight="1" spans="1:20">
      <c r="A1465" s="34"/>
      <c r="B1465" s="48">
        <v>24</v>
      </c>
      <c r="C1465" s="48"/>
      <c r="D1465" s="88" t="s">
        <v>478</v>
      </c>
      <c r="E1465" s="72" t="s">
        <v>43</v>
      </c>
      <c r="F1465" s="77"/>
      <c r="G1465" s="72">
        <v>1</v>
      </c>
      <c r="H1465" s="74">
        <v>1</v>
      </c>
      <c r="I1465" s="74">
        <f>+辅材及安装费!$E$3</f>
        <v>5</v>
      </c>
      <c r="J1465" s="95">
        <f>H1465*I1465</f>
        <v>5</v>
      </c>
      <c r="K1465" s="92"/>
      <c r="L1465" s="92"/>
      <c r="M1465" s="44"/>
      <c r="N1465" s="44"/>
      <c r="O1465" s="44"/>
      <c r="P1465" s="44"/>
      <c r="Q1465" s="44"/>
      <c r="R1465" s="62"/>
      <c r="S1465" s="47"/>
      <c r="T1465" s="47"/>
    </row>
    <row r="1466" s="27" customFormat="1" ht="18" customHeight="1" spans="1:20">
      <c r="A1466" s="34"/>
      <c r="B1466" s="48">
        <v>25</v>
      </c>
      <c r="C1466" s="48"/>
      <c r="D1466" s="93" t="s">
        <v>442</v>
      </c>
      <c r="E1466" s="72"/>
      <c r="F1466" s="77"/>
      <c r="G1466" s="72"/>
      <c r="H1466" s="74"/>
      <c r="I1466" s="74"/>
      <c r="J1466" s="95">
        <f>SUM(J1442:J1465)</f>
        <v>450.434265259554</v>
      </c>
      <c r="K1466" s="92"/>
      <c r="L1466" s="94"/>
      <c r="M1466" s="27"/>
      <c r="N1466" s="83"/>
      <c r="O1466" s="83"/>
      <c r="P1466" s="83"/>
      <c r="Q1466" s="83"/>
      <c r="R1466" s="87"/>
      <c r="S1466" s="47"/>
      <c r="T1466" s="47"/>
    </row>
    <row r="1467" s="27" customFormat="1" ht="18" customHeight="1" spans="1:20">
      <c r="A1467" s="34"/>
      <c r="B1467" s="48">
        <v>1</v>
      </c>
      <c r="C1467" s="48" t="s">
        <v>443</v>
      </c>
      <c r="D1467" s="48" t="s">
        <v>444</v>
      </c>
      <c r="E1467" s="72" t="s">
        <v>43</v>
      </c>
      <c r="F1467" s="50"/>
      <c r="G1467" s="48"/>
      <c r="H1467" s="51">
        <v>1</v>
      </c>
      <c r="I1467" s="74">
        <f>+辅材及安装费!$F$3</f>
        <v>5</v>
      </c>
      <c r="J1467" s="95">
        <f>H1467*I1467</f>
        <v>5</v>
      </c>
      <c r="K1467" s="118"/>
      <c r="L1467" s="96"/>
      <c r="M1467" s="97"/>
      <c r="N1467" s="98"/>
      <c r="O1467" s="98"/>
      <c r="P1467" s="98"/>
      <c r="Q1467" s="98"/>
      <c r="R1467" s="99"/>
      <c r="S1467" s="47"/>
      <c r="T1467" s="47"/>
    </row>
    <row r="1468" s="26" customFormat="1" ht="30" customHeight="1" spans="1:20">
      <c r="A1468" s="28"/>
      <c r="B1468" s="29" t="s">
        <v>386</v>
      </c>
      <c r="C1468" s="29"/>
      <c r="D1468" s="29"/>
      <c r="E1468" s="29"/>
      <c r="F1468" s="29"/>
      <c r="G1468" s="29"/>
      <c r="H1468" s="29"/>
      <c r="I1468" s="29"/>
      <c r="J1468" s="29"/>
      <c r="K1468" s="29"/>
      <c r="L1468" s="30"/>
      <c r="M1468" s="31"/>
      <c r="N1468" s="31"/>
      <c r="O1468" s="31"/>
      <c r="P1468" s="31"/>
      <c r="Q1468" s="31"/>
      <c r="R1468" s="32"/>
      <c r="S1468" s="33"/>
      <c r="T1468" s="33"/>
    </row>
    <row r="1469" s="27" customFormat="1" ht="33.75" customHeight="1" spans="1:20">
      <c r="A1469" s="34">
        <v>1</v>
      </c>
      <c r="B1469" s="35" t="s">
        <v>1</v>
      </c>
      <c r="C1469" s="35" t="s">
        <v>387</v>
      </c>
      <c r="D1469" s="36" t="str">
        <f>+A1477</f>
        <v>铝合金格栅</v>
      </c>
      <c r="E1469" s="37"/>
      <c r="F1469" s="38"/>
      <c r="G1469" s="39"/>
      <c r="H1469" s="35" t="s">
        <v>388</v>
      </c>
      <c r="I1469" s="40" t="s">
        <v>389</v>
      </c>
      <c r="J1469" s="41" t="s">
        <v>37</v>
      </c>
      <c r="K1469" s="42">
        <f ca="1">VLOOKUP(A1469,排屋工程量清单!$A$87:$D$91,4,)+排屋工程量清单!D89</f>
        <v>43.818</v>
      </c>
      <c r="L1469" s="43"/>
      <c r="M1469" s="44"/>
      <c r="N1469" s="44"/>
      <c r="O1469" s="44"/>
      <c r="P1469" s="45"/>
      <c r="Q1469" s="44"/>
      <c r="R1469" s="46"/>
      <c r="S1469" s="47"/>
      <c r="T1469" s="47"/>
    </row>
    <row r="1470" s="27" customFormat="1" ht="25" customHeight="1" spans="1:20">
      <c r="A1470" s="34"/>
      <c r="B1470" s="48">
        <v>1</v>
      </c>
      <c r="C1470" s="49" t="s">
        <v>390</v>
      </c>
      <c r="D1470" s="48" t="s">
        <v>391</v>
      </c>
      <c r="E1470" s="48"/>
      <c r="F1470" s="50"/>
      <c r="G1470" s="48"/>
      <c r="H1470" s="51"/>
      <c r="I1470" s="52">
        <f>J1482</f>
        <v>155</v>
      </c>
      <c r="J1470" s="53" t="s">
        <v>392</v>
      </c>
      <c r="K1470" s="54"/>
      <c r="L1470" s="55" t="s">
        <v>313</v>
      </c>
      <c r="M1470" s="56" t="s">
        <v>552</v>
      </c>
      <c r="N1470" s="57"/>
      <c r="O1470" s="57">
        <v>1.94</v>
      </c>
      <c r="P1470" s="57">
        <v>5.49</v>
      </c>
      <c r="Q1470" s="57">
        <v>1</v>
      </c>
      <c r="R1470" s="58">
        <f>+Q1470*P1470*O1470</f>
        <v>10.6506</v>
      </c>
      <c r="S1470" s="47"/>
      <c r="T1470" s="47"/>
    </row>
    <row r="1471" s="27" customFormat="1" ht="18" customHeight="1" spans="1:20">
      <c r="A1471" s="34"/>
      <c r="B1471" s="48">
        <v>2</v>
      </c>
      <c r="C1471" s="59"/>
      <c r="D1471" s="48" t="s">
        <v>394</v>
      </c>
      <c r="E1471" s="48"/>
      <c r="F1471" s="50"/>
      <c r="G1471" s="48"/>
      <c r="H1471" s="51"/>
      <c r="I1471" s="52">
        <f>J1507</f>
        <v>459.711750356015</v>
      </c>
      <c r="J1471" s="53" t="s">
        <v>392</v>
      </c>
      <c r="K1471" s="60"/>
      <c r="L1471" s="61"/>
      <c r="M1471" s="44"/>
      <c r="N1471" s="44"/>
      <c r="O1471" s="44"/>
      <c r="P1471" s="44"/>
      <c r="Q1471" s="44"/>
      <c r="R1471" s="62"/>
      <c r="S1471" s="47"/>
      <c r="T1471" s="47"/>
    </row>
    <row r="1472" s="27" customFormat="1" ht="18" customHeight="1" spans="1:20">
      <c r="A1472" s="34"/>
      <c r="B1472" s="48">
        <v>3</v>
      </c>
      <c r="C1472" s="63"/>
      <c r="D1472" s="48" t="s">
        <v>395</v>
      </c>
      <c r="E1472" s="48"/>
      <c r="F1472" s="50"/>
      <c r="G1472" s="48"/>
      <c r="H1472" s="51"/>
      <c r="I1472" s="52">
        <f>J1508</f>
        <v>5</v>
      </c>
      <c r="J1472" s="53" t="s">
        <v>392</v>
      </c>
      <c r="K1472" s="60"/>
      <c r="L1472" s="60"/>
      <c r="M1472" s="65" t="s">
        <v>396</v>
      </c>
      <c r="N1472" s="65" t="s">
        <v>397</v>
      </c>
      <c r="O1472" s="65" t="s">
        <v>398</v>
      </c>
      <c r="P1472" s="65" t="s">
        <v>399</v>
      </c>
      <c r="Q1472" s="65" t="s">
        <v>400</v>
      </c>
      <c r="R1472" s="66" t="s">
        <v>401</v>
      </c>
      <c r="S1472" s="47"/>
      <c r="T1472" s="47"/>
    </row>
    <row r="1473" s="27" customFormat="1" ht="18" customHeight="1" spans="1:20">
      <c r="A1473" s="34"/>
      <c r="B1473" s="48">
        <v>4</v>
      </c>
      <c r="C1473" s="48" t="s">
        <v>402</v>
      </c>
      <c r="D1473" s="67" t="s">
        <v>403</v>
      </c>
      <c r="E1473" s="67"/>
      <c r="F1473" s="50"/>
      <c r="G1473" s="67"/>
      <c r="H1473" s="68"/>
      <c r="I1473" s="52">
        <f>SUM(I1470:I1472)</f>
        <v>619.711750356015</v>
      </c>
      <c r="J1473" s="53" t="s">
        <v>392</v>
      </c>
      <c r="K1473" s="60"/>
      <c r="L1473" s="69" t="s">
        <v>431</v>
      </c>
      <c r="M1473" s="34" t="s">
        <v>553</v>
      </c>
      <c r="N1473" s="34">
        <v>13.35</v>
      </c>
      <c r="O1473" s="34">
        <f>O1470</f>
        <v>1.94</v>
      </c>
      <c r="P1473" s="34">
        <v>3</v>
      </c>
      <c r="Q1473" s="44">
        <f t="shared" ref="Q1473:Q1480" si="171">+P1473*O1473*N1473</f>
        <v>77.697</v>
      </c>
      <c r="R1473" s="71">
        <f>+Q1473/R1470</f>
        <v>7.29508196721311</v>
      </c>
      <c r="S1473" s="47"/>
      <c r="T1473" s="47"/>
    </row>
    <row r="1474" s="27" customFormat="1" ht="28" customHeight="1" spans="1:20">
      <c r="A1474" s="34"/>
      <c r="B1474" s="48">
        <v>5</v>
      </c>
      <c r="C1474" s="72" t="s">
        <v>406</v>
      </c>
      <c r="D1474" s="48" t="s">
        <v>407</v>
      </c>
      <c r="E1474" s="48"/>
      <c r="F1474" s="50"/>
      <c r="G1474" s="48"/>
      <c r="H1474" s="73">
        <f>+'材料表 '!$E$178</f>
        <v>0</v>
      </c>
      <c r="I1474" s="52">
        <f>H1474*I1473</f>
        <v>0</v>
      </c>
      <c r="J1474" s="53" t="s">
        <v>392</v>
      </c>
      <c r="K1474" s="60"/>
      <c r="L1474" s="69" t="s">
        <v>431</v>
      </c>
      <c r="M1474" s="34" t="s">
        <v>523</v>
      </c>
      <c r="N1474" s="102">
        <v>4.52</v>
      </c>
      <c r="O1474" s="34"/>
      <c r="P1474" s="34">
        <v>0</v>
      </c>
      <c r="Q1474" s="44">
        <f t="shared" si="171"/>
        <v>0</v>
      </c>
      <c r="R1474" s="71">
        <f>+Q1474/R1470</f>
        <v>0</v>
      </c>
      <c r="S1474" s="47"/>
      <c r="T1474" s="47"/>
    </row>
    <row r="1475" s="27" customFormat="1" ht="18" customHeight="1" spans="1:20">
      <c r="A1475" s="34"/>
      <c r="B1475" s="48">
        <v>6</v>
      </c>
      <c r="C1475" s="48" t="s">
        <v>409</v>
      </c>
      <c r="D1475" s="48" t="s">
        <v>410</v>
      </c>
      <c r="E1475" s="48"/>
      <c r="F1475" s="50"/>
      <c r="G1475" s="48"/>
      <c r="H1475" s="73">
        <f>+'材料表 '!$E$179</f>
        <v>0</v>
      </c>
      <c r="I1475" s="52">
        <f>H1475*I1473</f>
        <v>0</v>
      </c>
      <c r="J1475" s="53" t="s">
        <v>392</v>
      </c>
      <c r="K1475" s="60"/>
      <c r="L1475" s="69" t="s">
        <v>461</v>
      </c>
      <c r="M1475" s="34" t="s">
        <v>546</v>
      </c>
      <c r="N1475" s="34">
        <v>4.81</v>
      </c>
      <c r="O1475" s="34">
        <f>O1470</f>
        <v>1.94</v>
      </c>
      <c r="P1475" s="34">
        <v>0</v>
      </c>
      <c r="Q1475" s="44">
        <f t="shared" si="171"/>
        <v>0</v>
      </c>
      <c r="R1475" s="71">
        <f>+Q1475/R1470</f>
        <v>0</v>
      </c>
      <c r="S1475" s="47"/>
      <c r="T1475" s="47"/>
    </row>
    <row r="1476" s="27" customFormat="1" ht="18" customHeight="1" spans="1:20">
      <c r="A1476" s="34"/>
      <c r="B1476" s="48">
        <v>7</v>
      </c>
      <c r="C1476" s="48" t="s">
        <v>412</v>
      </c>
      <c r="D1476" s="72" t="s">
        <v>413</v>
      </c>
      <c r="E1476" s="72"/>
      <c r="F1476" s="77"/>
      <c r="G1476" s="72"/>
      <c r="H1476" s="73">
        <f>+'材料表 '!$E$180</f>
        <v>0.09</v>
      </c>
      <c r="I1476" s="52">
        <f>(I1473+I1474+I1475)*H1476</f>
        <v>55.7740575320414</v>
      </c>
      <c r="J1476" s="53" t="s">
        <v>392</v>
      </c>
      <c r="K1476" s="60"/>
      <c r="L1476" s="69" t="s">
        <v>463</v>
      </c>
      <c r="M1476" s="34" t="s">
        <v>464</v>
      </c>
      <c r="N1476" s="34">
        <f>0.15*0.2*7.85*10</f>
        <v>2.355</v>
      </c>
      <c r="O1476" s="34">
        <v>5</v>
      </c>
      <c r="P1476" s="34">
        <v>0</v>
      </c>
      <c r="Q1476" s="44">
        <f t="shared" si="171"/>
        <v>0</v>
      </c>
      <c r="R1476" s="71">
        <f>+Q1476/R1470</f>
        <v>0</v>
      </c>
      <c r="S1476" s="47"/>
      <c r="T1476" s="47"/>
    </row>
    <row r="1477" s="27" customFormat="1" ht="18" customHeight="1" spans="1:20">
      <c r="A1477" s="105" t="s">
        <v>168</v>
      </c>
      <c r="B1477" s="48">
        <v>8</v>
      </c>
      <c r="C1477" s="48" t="s">
        <v>363</v>
      </c>
      <c r="D1477" s="106" t="s">
        <v>415</v>
      </c>
      <c r="E1477" s="107"/>
      <c r="F1477" s="108"/>
      <c r="G1477" s="107"/>
      <c r="H1477" s="51"/>
      <c r="I1477" s="74">
        <f>SUM(I1473:I1476)</f>
        <v>675.485807888056</v>
      </c>
      <c r="J1477" s="53" t="s">
        <v>416</v>
      </c>
      <c r="K1477" s="60"/>
      <c r="L1477" s="69" t="s">
        <v>465</v>
      </c>
      <c r="M1477" s="34" t="s">
        <v>503</v>
      </c>
      <c r="N1477" s="126">
        <v>7.034</v>
      </c>
      <c r="O1477" s="34">
        <f>85/1000</f>
        <v>0.085</v>
      </c>
      <c r="P1477" s="44">
        <f>2*P1473</f>
        <v>6</v>
      </c>
      <c r="Q1477" s="44">
        <f t="shared" si="171"/>
        <v>3.58734</v>
      </c>
      <c r="R1477" s="84">
        <f>+Q1477/R1470</f>
        <v>0.336820460819109</v>
      </c>
      <c r="S1477" s="79"/>
      <c r="T1477" s="47"/>
    </row>
    <row r="1478" s="27" customFormat="1" ht="18" customHeight="1" spans="1:20">
      <c r="A1478" s="34"/>
      <c r="B1478" s="109" t="s">
        <v>418</v>
      </c>
      <c r="C1478" s="110"/>
      <c r="D1478" s="110"/>
      <c r="E1478" s="110"/>
      <c r="F1478" s="110"/>
      <c r="G1478" s="110"/>
      <c r="H1478" s="110"/>
      <c r="I1478" s="110"/>
      <c r="J1478" s="110"/>
      <c r="K1478" s="80"/>
      <c r="L1478" s="69" t="s">
        <v>433</v>
      </c>
      <c r="M1478" s="44" t="s">
        <v>505</v>
      </c>
      <c r="N1478" s="82">
        <f>0.056*3*2.71+0.0675*3*2.71</f>
        <v>1.004055</v>
      </c>
      <c r="O1478" s="44">
        <f>P1470</f>
        <v>5.49</v>
      </c>
      <c r="P1478" s="44">
        <v>0</v>
      </c>
      <c r="Q1478" s="44">
        <f t="shared" si="171"/>
        <v>0</v>
      </c>
      <c r="R1478" s="84">
        <f>+Q1478/R1470</f>
        <v>0</v>
      </c>
      <c r="S1478" s="47"/>
      <c r="T1478" s="47"/>
    </row>
    <row r="1479" s="27" customFormat="1" ht="18" customHeight="1" spans="1:20">
      <c r="A1479" s="34"/>
      <c r="B1479" s="48">
        <v>1</v>
      </c>
      <c r="C1479" s="48" t="s">
        <v>391</v>
      </c>
      <c r="D1479" s="48" t="s">
        <v>396</v>
      </c>
      <c r="E1479" s="48" t="s">
        <v>37</v>
      </c>
      <c r="F1479" s="50"/>
      <c r="G1479" s="48"/>
      <c r="H1479" s="51" t="s">
        <v>399</v>
      </c>
      <c r="I1479" s="51" t="s">
        <v>420</v>
      </c>
      <c r="J1479" s="95" t="s">
        <v>421</v>
      </c>
      <c r="K1479" s="92"/>
      <c r="L1479" s="69" t="s">
        <v>433</v>
      </c>
      <c r="M1479" s="44" t="s">
        <v>504</v>
      </c>
      <c r="N1479" s="82">
        <f>0.056*3*2.71+0.0675*3*2.71</f>
        <v>1.004055</v>
      </c>
      <c r="O1479" s="44">
        <f>O1470</f>
        <v>1.94</v>
      </c>
      <c r="P1479" s="44">
        <v>0</v>
      </c>
      <c r="Q1479" s="44">
        <f t="shared" si="171"/>
        <v>0</v>
      </c>
      <c r="R1479" s="84">
        <f>+Q1479/R1470</f>
        <v>0</v>
      </c>
      <c r="S1479" s="47"/>
      <c r="T1479" s="47"/>
    </row>
    <row r="1480" s="27" customFormat="1" ht="18" customHeight="1" spans="1:20">
      <c r="A1480" s="34"/>
      <c r="B1480" s="48">
        <v>2</v>
      </c>
      <c r="C1480" s="48"/>
      <c r="D1480" s="111" t="s">
        <v>554</v>
      </c>
      <c r="E1480" s="49" t="s">
        <v>423</v>
      </c>
      <c r="F1480" s="112"/>
      <c r="G1480" s="111"/>
      <c r="H1480" s="113">
        <v>1</v>
      </c>
      <c r="I1480" s="113">
        <f>+辅材及安装费!$G$7</f>
        <v>155</v>
      </c>
      <c r="J1480" s="114">
        <f t="shared" ref="J1480:J1492" si="172">H1480*I1480</f>
        <v>155</v>
      </c>
      <c r="K1480" s="92"/>
      <c r="L1480" s="69" t="s">
        <v>433</v>
      </c>
      <c r="M1480" s="44" t="s">
        <v>498</v>
      </c>
      <c r="N1480" s="82">
        <f>0.045*3*2.71</f>
        <v>0.36585</v>
      </c>
      <c r="O1480" s="44">
        <f>O1470</f>
        <v>1.94</v>
      </c>
      <c r="P1480" s="44">
        <v>0</v>
      </c>
      <c r="Q1480" s="44">
        <f t="shared" si="171"/>
        <v>0</v>
      </c>
      <c r="R1480" s="84">
        <f>Q1480/R1470</f>
        <v>0</v>
      </c>
      <c r="S1480" s="47"/>
      <c r="T1480" s="47"/>
    </row>
    <row r="1481" s="27" customFormat="1" ht="18" customHeight="1" spans="1:20">
      <c r="A1481" s="34"/>
      <c r="B1481" s="48">
        <v>3</v>
      </c>
      <c r="C1481" s="48"/>
      <c r="D1481" s="115"/>
      <c r="E1481" s="63"/>
      <c r="F1481" s="116"/>
      <c r="G1481" s="115"/>
      <c r="H1481" s="117"/>
      <c r="I1481" s="117"/>
      <c r="J1481" s="118"/>
      <c r="K1481" s="92"/>
      <c r="L1481" s="90" t="s">
        <v>447</v>
      </c>
      <c r="M1481" s="44" t="s">
        <v>555</v>
      </c>
      <c r="N1481" s="82">
        <f>0.4*3*2.71</f>
        <v>3.252</v>
      </c>
      <c r="O1481" s="44">
        <f>O1473</f>
        <v>1.94</v>
      </c>
      <c r="P1481" s="44">
        <f>P1473</f>
        <v>3</v>
      </c>
      <c r="Q1481" s="44">
        <f t="shared" ref="Q1481:Q1483" si="173">+P1481*O1481*N1481</f>
        <v>18.92664</v>
      </c>
      <c r="R1481" s="84">
        <f>Q1481/R1470</f>
        <v>1.77704918032787</v>
      </c>
      <c r="S1481" s="47">
        <f>0.4</f>
        <v>0.4</v>
      </c>
      <c r="T1481" s="47">
        <f t="shared" ref="T1481:T1483" si="174">S1481*O1481*P1481</f>
        <v>2.328</v>
      </c>
    </row>
    <row r="1482" s="27" customFormat="1" ht="18" customHeight="1" spans="1:20">
      <c r="A1482" s="34"/>
      <c r="B1482" s="48">
        <v>4</v>
      </c>
      <c r="C1482" s="48"/>
      <c r="D1482" s="85" t="s">
        <v>426</v>
      </c>
      <c r="E1482" s="48" t="s">
        <v>392</v>
      </c>
      <c r="F1482" s="50"/>
      <c r="G1482" s="48"/>
      <c r="H1482" s="86"/>
      <c r="I1482" s="86"/>
      <c r="J1482" s="95">
        <f>SUM(J1480:J1480)</f>
        <v>155</v>
      </c>
      <c r="K1482" s="92"/>
      <c r="L1482" s="90" t="s">
        <v>447</v>
      </c>
      <c r="M1482" s="44" t="s">
        <v>556</v>
      </c>
      <c r="N1482" s="82">
        <f>0.24*2*2.71</f>
        <v>1.3008</v>
      </c>
      <c r="O1482" s="44">
        <f>P1470</f>
        <v>5.49</v>
      </c>
      <c r="P1482" s="44">
        <v>2</v>
      </c>
      <c r="Q1482" s="44">
        <f t="shared" si="173"/>
        <v>14.282784</v>
      </c>
      <c r="R1482" s="84">
        <f>Q1482/R1470</f>
        <v>1.34103092783505</v>
      </c>
      <c r="S1482" s="47">
        <f>0.24</f>
        <v>0.24</v>
      </c>
      <c r="T1482" s="47">
        <f t="shared" si="174"/>
        <v>2.6352</v>
      </c>
    </row>
    <row r="1483" s="27" customFormat="1" ht="22" customHeight="1" spans="1:20">
      <c r="A1483" s="34"/>
      <c r="B1483" s="48">
        <v>1</v>
      </c>
      <c r="C1483" s="48" t="s">
        <v>394</v>
      </c>
      <c r="D1483" s="88" t="s">
        <v>431</v>
      </c>
      <c r="E1483" s="72" t="str">
        <f>+VLOOKUP(D1483,'材料表 '!C:F,2,0)</f>
        <v>kg</v>
      </c>
      <c r="F1483" s="77">
        <f>+SUMIF($L$1470:$L$1508,D1483,$R$1470:$R$1508)</f>
        <v>7.29508196721311</v>
      </c>
      <c r="G1483" s="89">
        <f>+VLOOKUP(D1483,'材料表 '!C:F,4,0)</f>
        <v>0.03</v>
      </c>
      <c r="H1483" s="74">
        <f t="shared" ref="H1483:H1492" si="175">F1483*(G1483+1)</f>
        <v>7.5139344262295</v>
      </c>
      <c r="I1483" s="74">
        <f>+VLOOKUP(D1483,'材料表 '!C:F,3,0)</f>
        <v>3.80530973451327</v>
      </c>
      <c r="J1483" s="95">
        <f t="shared" si="172"/>
        <v>28.5928478166255</v>
      </c>
      <c r="K1483" s="92">
        <f ca="1">H1483*K1469</f>
        <v>329.245578688524</v>
      </c>
      <c r="L1483" s="90" t="s">
        <v>447</v>
      </c>
      <c r="M1483" s="44" t="s">
        <v>557</v>
      </c>
      <c r="N1483" s="82">
        <v>0.799</v>
      </c>
      <c r="O1483" s="44">
        <f>P1470</f>
        <v>5.49</v>
      </c>
      <c r="P1483" s="44">
        <v>19</v>
      </c>
      <c r="Q1483" s="44">
        <f t="shared" si="173"/>
        <v>83.34369</v>
      </c>
      <c r="R1483" s="84">
        <f>Q1483/R1470</f>
        <v>7.82525773195876</v>
      </c>
      <c r="S1483" s="47">
        <f>0.24</f>
        <v>0.24</v>
      </c>
      <c r="T1483" s="47">
        <f t="shared" si="174"/>
        <v>25.0344</v>
      </c>
    </row>
    <row r="1484" s="27" customFormat="1" ht="18" customHeight="1" spans="1:20">
      <c r="A1484" s="34"/>
      <c r="B1484" s="48">
        <v>2</v>
      </c>
      <c r="C1484" s="48"/>
      <c r="D1484" s="88" t="s">
        <v>461</v>
      </c>
      <c r="E1484" s="72" t="str">
        <f>+VLOOKUP(D1484,'材料表 '!C:F,2,0)</f>
        <v>kg</v>
      </c>
      <c r="F1484" s="77">
        <f t="shared" ref="F1484:F1492" si="176">+SUMIF($L$1470:$L$1508,D1484,$R$1470:$R$1508)</f>
        <v>0</v>
      </c>
      <c r="G1484" s="89">
        <f>+VLOOKUP(D1484,'材料表 '!C:F,4,0)</f>
        <v>0.03</v>
      </c>
      <c r="H1484" s="74">
        <f t="shared" si="175"/>
        <v>0</v>
      </c>
      <c r="I1484" s="74">
        <f>+VLOOKUP(D1484,'材料表 '!C:F,3,0)</f>
        <v>3.53982300884956</v>
      </c>
      <c r="J1484" s="95">
        <f t="shared" si="172"/>
        <v>0</v>
      </c>
      <c r="K1484" s="92">
        <f ca="1">H1484*K1469</f>
        <v>0</v>
      </c>
      <c r="L1484" s="90"/>
      <c r="M1484" s="44"/>
      <c r="N1484" s="82"/>
      <c r="O1484" s="44"/>
      <c r="P1484" s="44"/>
      <c r="Q1484" s="44"/>
      <c r="R1484" s="84"/>
      <c r="S1484" s="47"/>
      <c r="T1484" s="47">
        <f>SUM(T1481:T1483)</f>
        <v>29.9976</v>
      </c>
    </row>
    <row r="1485" s="27" customFormat="1" ht="18" customHeight="1" spans="1:20">
      <c r="A1485" s="34"/>
      <c r="B1485" s="48">
        <v>3</v>
      </c>
      <c r="C1485" s="48"/>
      <c r="D1485" s="88" t="s">
        <v>465</v>
      </c>
      <c r="E1485" s="72" t="str">
        <f>+VLOOKUP(D1485,'材料表 '!C:F,2,0)</f>
        <v>kg</v>
      </c>
      <c r="F1485" s="77">
        <f t="shared" si="176"/>
        <v>0.336820460819109</v>
      </c>
      <c r="G1485" s="89">
        <f>+VLOOKUP(D1485,'材料表 '!C:F,4,0)</f>
        <v>0.03</v>
      </c>
      <c r="H1485" s="74">
        <f t="shared" si="175"/>
        <v>0.346925074643682</v>
      </c>
      <c r="I1485" s="74">
        <f>+VLOOKUP(D1485,'材料表 '!C:F,3,0)</f>
        <v>6.01769911504425</v>
      </c>
      <c r="J1485" s="95">
        <f t="shared" si="172"/>
        <v>2.08769071466995</v>
      </c>
      <c r="K1485" s="92">
        <f ca="1">H1485*K1469</f>
        <v>15.2015629207369</v>
      </c>
      <c r="L1485" s="90"/>
      <c r="M1485" s="44"/>
      <c r="N1485" s="82"/>
      <c r="O1485" s="44"/>
      <c r="P1485" s="44"/>
      <c r="Q1485" s="44">
        <f>+P1485*O1485</f>
        <v>0</v>
      </c>
      <c r="R1485" s="84">
        <f>+Q1485/R1470</f>
        <v>0</v>
      </c>
      <c r="S1485" s="47"/>
      <c r="T1485" s="47"/>
    </row>
    <row r="1486" s="27" customFormat="1" ht="18" customHeight="1" spans="1:20">
      <c r="A1486" s="34"/>
      <c r="B1486" s="48">
        <v>4</v>
      </c>
      <c r="C1486" s="48"/>
      <c r="D1486" s="88" t="s">
        <v>463</v>
      </c>
      <c r="E1486" s="72" t="str">
        <f>+VLOOKUP(D1486,'材料表 '!C:F,2,0)</f>
        <v>kg</v>
      </c>
      <c r="F1486" s="77">
        <f t="shared" si="176"/>
        <v>0</v>
      </c>
      <c r="G1486" s="89">
        <f>+VLOOKUP(D1486,'材料表 '!C:F,4,0)</f>
        <v>0.03</v>
      </c>
      <c r="H1486" s="74">
        <f t="shared" si="175"/>
        <v>0</v>
      </c>
      <c r="I1486" s="74">
        <f>+VLOOKUP(D1486,'材料表 '!C:F,3,0)</f>
        <v>6.01769911504425</v>
      </c>
      <c r="J1486" s="95">
        <f t="shared" si="172"/>
        <v>0</v>
      </c>
      <c r="K1486" s="92">
        <f ca="1">H1486*K1469</f>
        <v>0</v>
      </c>
      <c r="L1486" s="90" t="s">
        <v>474</v>
      </c>
      <c r="M1486" s="44"/>
      <c r="N1486" s="82"/>
      <c r="O1486" s="44"/>
      <c r="P1486" s="44"/>
      <c r="Q1486" s="44">
        <f>+O1476*P1476*4</f>
        <v>0</v>
      </c>
      <c r="R1486" s="84">
        <f>+Q1486/R1470</f>
        <v>0</v>
      </c>
      <c r="S1486" s="47"/>
      <c r="T1486" s="47"/>
    </row>
    <row r="1487" s="27" customFormat="1" ht="18" customHeight="1" spans="1:20">
      <c r="A1487" s="34"/>
      <c r="B1487" s="48">
        <v>5</v>
      </c>
      <c r="C1487" s="48"/>
      <c r="D1487" s="88" t="s">
        <v>447</v>
      </c>
      <c r="E1487" s="72" t="str">
        <f>+VLOOKUP(D1487,'材料表 '!C:F,2,0)</f>
        <v>kg</v>
      </c>
      <c r="F1487" s="77">
        <f t="shared" si="176"/>
        <v>10.9433378401217</v>
      </c>
      <c r="G1487" s="89">
        <f>+VLOOKUP(D1487,'材料表 '!C:F,4,0)</f>
        <v>0.03</v>
      </c>
      <c r="H1487" s="74">
        <f t="shared" si="175"/>
        <v>11.2716379753254</v>
      </c>
      <c r="I1487" s="74">
        <f>+VLOOKUP(D1487,'材料表 '!C:F,3,0)</f>
        <v>24.4336283185841</v>
      </c>
      <c r="J1487" s="95">
        <f t="shared" si="172"/>
        <v>275.407012830737</v>
      </c>
      <c r="K1487" s="92">
        <f ca="1">H1487*K1469</f>
        <v>493.900632802808</v>
      </c>
      <c r="L1487" s="92" t="s">
        <v>476</v>
      </c>
      <c r="M1487" s="44"/>
      <c r="N1487" s="82"/>
      <c r="O1487" s="44"/>
      <c r="P1487" s="44"/>
      <c r="Q1487" s="44">
        <f>10*8*(O1470*2+P1470*3)/500</f>
        <v>3.256</v>
      </c>
      <c r="R1487" s="84">
        <f>+Q1487/R1470</f>
        <v>0.305710476405085</v>
      </c>
      <c r="S1487" s="47"/>
      <c r="T1487" s="47"/>
    </row>
    <row r="1488" s="27" customFormat="1" ht="18" customHeight="1" spans="1:20">
      <c r="A1488" s="34"/>
      <c r="B1488" s="48">
        <v>6</v>
      </c>
      <c r="C1488" s="48"/>
      <c r="D1488" s="88" t="s">
        <v>434</v>
      </c>
      <c r="E1488" s="72" t="str">
        <f>+VLOOKUP(D1488,'材料表 '!C:F,2,0)</f>
        <v>m2</v>
      </c>
      <c r="F1488" s="77">
        <f>T1484/R1470</f>
        <v>2.81651737930257</v>
      </c>
      <c r="G1488" s="89">
        <f>+VLOOKUP(D1488,'材料表 '!C:F,4,0)</f>
        <v>0</v>
      </c>
      <c r="H1488" s="74">
        <f t="shared" si="175"/>
        <v>2.81651737930257</v>
      </c>
      <c r="I1488" s="74">
        <f>+VLOOKUP(D1488,'材料表 '!C:F,3,0)</f>
        <v>49.5575221238938</v>
      </c>
      <c r="J1488" s="95">
        <f t="shared" si="172"/>
        <v>139.579622337118</v>
      </c>
      <c r="K1488" s="92">
        <f ca="1">H1488*K1469</f>
        <v>123.41415852628</v>
      </c>
      <c r="L1488" s="92" t="s">
        <v>499</v>
      </c>
      <c r="M1488" s="44"/>
      <c r="N1488" s="82"/>
      <c r="O1488" s="44"/>
      <c r="P1488" s="44"/>
      <c r="Q1488" s="44">
        <v>0</v>
      </c>
      <c r="R1488" s="84">
        <f>Q1488/R1470</f>
        <v>0</v>
      </c>
      <c r="S1488" s="47"/>
      <c r="T1488" s="47"/>
    </row>
    <row r="1489" s="27" customFormat="1" ht="18" customHeight="1" spans="1:20">
      <c r="A1489" s="34"/>
      <c r="B1489" s="48">
        <v>7</v>
      </c>
      <c r="C1489" s="48"/>
      <c r="D1489" s="88" t="s">
        <v>472</v>
      </c>
      <c r="E1489" s="72" t="str">
        <f>+VLOOKUP(D1489,'材料表 '!C:F,2,0)</f>
        <v>套</v>
      </c>
      <c r="F1489" s="77">
        <f t="shared" si="176"/>
        <v>0</v>
      </c>
      <c r="G1489" s="89">
        <f>+VLOOKUP(D1489,'材料表 '!C:F,4,0)</f>
        <v>0</v>
      </c>
      <c r="H1489" s="74">
        <f t="shared" si="175"/>
        <v>0</v>
      </c>
      <c r="I1489" s="74">
        <f>+VLOOKUP(D1489,'材料表 '!C:F,3,0)</f>
        <v>2.47787610619469</v>
      </c>
      <c r="J1489" s="95">
        <f t="shared" si="172"/>
        <v>0</v>
      </c>
      <c r="K1489" s="92">
        <f ca="1">H1489*K1469</f>
        <v>0</v>
      </c>
      <c r="L1489" s="92"/>
      <c r="M1489" s="44"/>
      <c r="N1489" s="82"/>
      <c r="O1489" s="44"/>
      <c r="P1489" s="44"/>
      <c r="Q1489" s="44"/>
      <c r="R1489" s="84"/>
      <c r="S1489" s="47"/>
      <c r="T1489" s="47"/>
    </row>
    <row r="1490" s="27" customFormat="1" ht="18" customHeight="1" spans="1:20">
      <c r="A1490" s="34"/>
      <c r="B1490" s="48">
        <v>8</v>
      </c>
      <c r="C1490" s="48"/>
      <c r="D1490" s="88" t="s">
        <v>474</v>
      </c>
      <c r="E1490" s="72" t="str">
        <f>+VLOOKUP(D1490,'材料表 '!C:F,2,0)</f>
        <v>套</v>
      </c>
      <c r="F1490" s="77">
        <f t="shared" si="176"/>
        <v>0</v>
      </c>
      <c r="G1490" s="89">
        <f>+VLOOKUP(D1490,'材料表 '!C:F,4,0)</f>
        <v>0</v>
      </c>
      <c r="H1490" s="74">
        <f t="shared" si="175"/>
        <v>0</v>
      </c>
      <c r="I1490" s="74">
        <f>+VLOOKUP(D1490,'材料表 '!C:F,3,0)</f>
        <v>2.21238938053097</v>
      </c>
      <c r="J1490" s="95">
        <f t="shared" si="172"/>
        <v>0</v>
      </c>
      <c r="K1490" s="92">
        <f ca="1">H1490*K1469</f>
        <v>0</v>
      </c>
      <c r="L1490" s="92"/>
      <c r="M1490" s="44"/>
      <c r="N1490" s="82"/>
      <c r="O1490" s="44"/>
      <c r="P1490" s="44"/>
      <c r="Q1490" s="44"/>
      <c r="R1490" s="84"/>
      <c r="S1490" s="47"/>
      <c r="T1490" s="47"/>
    </row>
    <row r="1491" s="27" customFormat="1" ht="18" customHeight="1" spans="1:20">
      <c r="A1491" s="34"/>
      <c r="B1491" s="48">
        <v>9</v>
      </c>
      <c r="C1491" s="48"/>
      <c r="D1491" s="88" t="s">
        <v>476</v>
      </c>
      <c r="E1491" s="72" t="str">
        <f>+VLOOKUP(D1491,'材料表 '!C:F,2,0)</f>
        <v>支</v>
      </c>
      <c r="F1491" s="77">
        <f t="shared" si="176"/>
        <v>0.305710476405085</v>
      </c>
      <c r="G1491" s="89">
        <f>+VLOOKUP(D1491,'材料表 '!C:F,4,0)</f>
        <v>0.15</v>
      </c>
      <c r="H1491" s="74">
        <f t="shared" si="175"/>
        <v>0.351567047865848</v>
      </c>
      <c r="I1491" s="74">
        <f>+VLOOKUP(D1491,'材料表 '!C:F,3,0)</f>
        <v>11.5044247787611</v>
      </c>
      <c r="J1491" s="95">
        <f t="shared" si="172"/>
        <v>4.04457665686375</v>
      </c>
      <c r="K1491" s="92">
        <f ca="1">H1491*K1469</f>
        <v>15.4049649033857</v>
      </c>
      <c r="L1491" s="90"/>
      <c r="M1491" s="44"/>
      <c r="N1491" s="82"/>
      <c r="O1491" s="34"/>
      <c r="P1491" s="44"/>
      <c r="Q1491" s="44"/>
      <c r="R1491" s="119"/>
      <c r="S1491" s="47"/>
      <c r="T1491" s="47"/>
    </row>
    <row r="1492" s="27" customFormat="1" ht="23" customHeight="1" spans="1:20">
      <c r="A1492" s="34"/>
      <c r="B1492" s="48">
        <v>10</v>
      </c>
      <c r="C1492" s="48"/>
      <c r="D1492" s="88" t="s">
        <v>499</v>
      </c>
      <c r="E1492" s="72" t="str">
        <f>+VLOOKUP(D1492,'材料表 '!C:F,2,0)</f>
        <v>套</v>
      </c>
      <c r="F1492" s="77">
        <f t="shared" si="176"/>
        <v>0</v>
      </c>
      <c r="G1492" s="89">
        <f>+VLOOKUP(D1492,'材料表 '!C:F,4,0)</f>
        <v>0</v>
      </c>
      <c r="H1492" s="74">
        <f t="shared" si="175"/>
        <v>0</v>
      </c>
      <c r="I1492" s="74">
        <f>+VLOOKUP(D1492,'材料表 '!C:F,3,0)</f>
        <v>1.32743362831858</v>
      </c>
      <c r="J1492" s="95">
        <f t="shared" si="172"/>
        <v>0</v>
      </c>
      <c r="K1492" s="92">
        <f ca="1">H1492*K1469</f>
        <v>0</v>
      </c>
      <c r="L1492" s="92"/>
      <c r="M1492" s="120"/>
      <c r="N1492" s="82"/>
      <c r="O1492" s="44"/>
      <c r="P1492" s="44"/>
      <c r="Q1492" s="44"/>
      <c r="R1492" s="84"/>
      <c r="S1492" s="47"/>
      <c r="T1492" s="47"/>
    </row>
    <row r="1493" s="27" customFormat="1" ht="20" customHeight="1" spans="1:20">
      <c r="A1493" s="34"/>
      <c r="B1493" s="48">
        <v>11</v>
      </c>
      <c r="C1493" s="48"/>
      <c r="D1493" s="88"/>
      <c r="E1493" s="72"/>
      <c r="F1493" s="77"/>
      <c r="G1493" s="89"/>
      <c r="H1493" s="74"/>
      <c r="I1493" s="74"/>
      <c r="J1493" s="95"/>
      <c r="K1493" s="92">
        <f ca="1">H1493*K1469</f>
        <v>0</v>
      </c>
      <c r="L1493" s="92"/>
      <c r="M1493" s="44"/>
      <c r="N1493" s="82"/>
      <c r="O1493" s="44"/>
      <c r="P1493" s="44"/>
      <c r="Q1493" s="44"/>
      <c r="R1493" s="84"/>
      <c r="S1493" s="47"/>
      <c r="T1493" s="47"/>
    </row>
    <row r="1494" s="27" customFormat="1" ht="24" customHeight="1" spans="1:20">
      <c r="A1494" s="34"/>
      <c r="B1494" s="48">
        <v>12</v>
      </c>
      <c r="C1494" s="48"/>
      <c r="D1494" s="127"/>
      <c r="E1494" s="72"/>
      <c r="F1494" s="128"/>
      <c r="G1494" s="89"/>
      <c r="H1494" s="74"/>
      <c r="I1494" s="74"/>
      <c r="J1494" s="95"/>
      <c r="K1494" s="92">
        <f ca="1">H1494*K1469</f>
        <v>0</v>
      </c>
      <c r="L1494" s="92"/>
      <c r="M1494" s="44"/>
      <c r="N1494" s="44"/>
      <c r="O1494" s="44"/>
      <c r="P1494" s="44"/>
      <c r="Q1494" s="44"/>
      <c r="R1494" s="84"/>
      <c r="S1494" s="47"/>
      <c r="T1494" s="47"/>
    </row>
    <row r="1495" s="27" customFormat="1" ht="18" customHeight="1" spans="1:20">
      <c r="A1495" s="34"/>
      <c r="B1495" s="48">
        <v>13</v>
      </c>
      <c r="C1495" s="48"/>
      <c r="D1495" s="88"/>
      <c r="E1495" s="72"/>
      <c r="F1495" s="77"/>
      <c r="G1495" s="89"/>
      <c r="H1495" s="74"/>
      <c r="I1495" s="74"/>
      <c r="J1495" s="95"/>
      <c r="K1495" s="92">
        <f ca="1">H1495*K1469</f>
        <v>0</v>
      </c>
      <c r="L1495" s="92"/>
      <c r="M1495" s="44"/>
      <c r="N1495" s="44"/>
      <c r="O1495" s="44"/>
      <c r="P1495" s="44"/>
      <c r="Q1495" s="44"/>
      <c r="R1495" s="84"/>
      <c r="S1495" s="47"/>
      <c r="T1495" s="47"/>
    </row>
    <row r="1496" s="27" customFormat="1" ht="24" customHeight="1" spans="1:20">
      <c r="A1496" s="34"/>
      <c r="B1496" s="48">
        <v>14</v>
      </c>
      <c r="C1496" s="48"/>
      <c r="D1496" s="88"/>
      <c r="E1496" s="72"/>
      <c r="F1496" s="77"/>
      <c r="G1496" s="89"/>
      <c r="H1496" s="74"/>
      <c r="I1496" s="74"/>
      <c r="J1496" s="95"/>
      <c r="K1496" s="92">
        <f ca="1">H1496*K1469</f>
        <v>0</v>
      </c>
      <c r="L1496" s="92"/>
      <c r="M1496" s="44"/>
      <c r="N1496" s="44"/>
      <c r="O1496" s="44"/>
      <c r="P1496" s="44"/>
      <c r="Q1496" s="44"/>
      <c r="R1496" s="84"/>
      <c r="S1496" s="47"/>
      <c r="T1496" s="47"/>
    </row>
    <row r="1497" s="27" customFormat="1" ht="18" customHeight="1" spans="1:20">
      <c r="A1497" s="34"/>
      <c r="B1497" s="48">
        <v>15</v>
      </c>
      <c r="C1497" s="48"/>
      <c r="D1497" s="88"/>
      <c r="E1497" s="72"/>
      <c r="F1497" s="77"/>
      <c r="G1497" s="89"/>
      <c r="H1497" s="74"/>
      <c r="I1497" s="74"/>
      <c r="J1497" s="95"/>
      <c r="K1497" s="92"/>
      <c r="L1497" s="92"/>
      <c r="M1497" s="44"/>
      <c r="N1497" s="44"/>
      <c r="O1497" s="44"/>
      <c r="P1497" s="44"/>
      <c r="Q1497" s="44"/>
      <c r="R1497" s="84"/>
      <c r="S1497" s="47"/>
      <c r="T1497" s="47"/>
    </row>
    <row r="1498" s="27" customFormat="1" ht="18" customHeight="1" spans="1:20">
      <c r="A1498" s="34"/>
      <c r="B1498" s="48">
        <v>16</v>
      </c>
      <c r="C1498" s="48"/>
      <c r="D1498" s="88"/>
      <c r="E1498" s="72"/>
      <c r="F1498" s="77"/>
      <c r="G1498" s="89"/>
      <c r="H1498" s="74"/>
      <c r="I1498" s="74"/>
      <c r="J1498" s="95"/>
      <c r="K1498" s="92"/>
      <c r="L1498" s="92"/>
      <c r="M1498" s="44"/>
      <c r="N1498" s="44"/>
      <c r="O1498" s="44"/>
      <c r="P1498" s="44"/>
      <c r="Q1498" s="44"/>
      <c r="R1498" s="84"/>
      <c r="S1498" s="47"/>
      <c r="T1498" s="47"/>
    </row>
    <row r="1499" s="27" customFormat="1" ht="18" customHeight="1" spans="1:20">
      <c r="A1499" s="34"/>
      <c r="B1499" s="48">
        <v>17</v>
      </c>
      <c r="C1499" s="48"/>
      <c r="D1499" s="121"/>
      <c r="E1499" s="72"/>
      <c r="F1499" s="77"/>
      <c r="G1499" s="89"/>
      <c r="H1499" s="74"/>
      <c r="I1499" s="74"/>
      <c r="J1499" s="95"/>
      <c r="K1499" s="92"/>
      <c r="L1499" s="92"/>
      <c r="M1499" s="44"/>
      <c r="N1499" s="44"/>
      <c r="O1499" s="44"/>
      <c r="P1499" s="44"/>
      <c r="Q1499" s="101"/>
      <c r="R1499" s="84"/>
      <c r="S1499" s="47"/>
      <c r="T1499" s="47"/>
    </row>
    <row r="1500" s="27" customFormat="1" ht="18" customHeight="1" spans="1:20">
      <c r="A1500" s="34"/>
      <c r="B1500" s="48">
        <v>18</v>
      </c>
      <c r="C1500" s="48"/>
      <c r="D1500" s="88"/>
      <c r="E1500" s="72"/>
      <c r="F1500" s="77"/>
      <c r="G1500" s="89"/>
      <c r="H1500" s="74"/>
      <c r="I1500" s="74"/>
      <c r="J1500" s="95"/>
      <c r="K1500" s="92"/>
      <c r="L1500" s="92"/>
      <c r="M1500" s="44"/>
      <c r="N1500" s="44"/>
      <c r="O1500" s="44"/>
      <c r="P1500" s="44"/>
      <c r="Q1500" s="44"/>
      <c r="R1500" s="84"/>
      <c r="S1500" s="47"/>
      <c r="T1500" s="47"/>
    </row>
    <row r="1501" s="27" customFormat="1" ht="18" customHeight="1" spans="1:20">
      <c r="A1501" s="34"/>
      <c r="B1501" s="48">
        <v>19</v>
      </c>
      <c r="C1501" s="48"/>
      <c r="D1501" s="27"/>
      <c r="E1501" s="72"/>
      <c r="F1501" s="77"/>
      <c r="G1501" s="89"/>
      <c r="H1501" s="74"/>
      <c r="I1501" s="74"/>
      <c r="J1501" s="95"/>
      <c r="K1501" s="92"/>
      <c r="L1501" s="92"/>
      <c r="M1501" s="44"/>
      <c r="N1501" s="44"/>
      <c r="O1501" s="44"/>
      <c r="P1501" s="44"/>
      <c r="Q1501" s="44"/>
      <c r="R1501" s="84"/>
      <c r="S1501" s="47"/>
      <c r="T1501" s="47"/>
    </row>
    <row r="1502" s="27" customFormat="1" ht="18" customHeight="1" spans="1:20">
      <c r="A1502" s="34"/>
      <c r="B1502" s="48">
        <v>20</v>
      </c>
      <c r="C1502" s="48"/>
      <c r="D1502" s="88"/>
      <c r="E1502" s="72"/>
      <c r="F1502" s="77"/>
      <c r="G1502" s="89"/>
      <c r="H1502" s="74"/>
      <c r="I1502" s="74"/>
      <c r="J1502" s="95"/>
      <c r="K1502" s="92"/>
      <c r="L1502" s="92"/>
      <c r="M1502" s="44"/>
      <c r="N1502" s="44"/>
      <c r="O1502" s="44"/>
      <c r="P1502" s="44"/>
      <c r="Q1502" s="44"/>
      <c r="R1502" s="84"/>
      <c r="S1502" s="47"/>
      <c r="T1502" s="47"/>
    </row>
    <row r="1503" s="27" customFormat="1" ht="18" customHeight="1" spans="1:20">
      <c r="A1503" s="34"/>
      <c r="B1503" s="48">
        <v>21</v>
      </c>
      <c r="C1503" s="48"/>
      <c r="D1503" s="88"/>
      <c r="E1503" s="72"/>
      <c r="F1503" s="77"/>
      <c r="G1503" s="89"/>
      <c r="H1503" s="74"/>
      <c r="I1503" s="74"/>
      <c r="J1503" s="95"/>
      <c r="K1503" s="92"/>
      <c r="L1503" s="92"/>
      <c r="M1503" s="44"/>
      <c r="N1503" s="44"/>
      <c r="O1503" s="44"/>
      <c r="P1503" s="44"/>
      <c r="Q1503" s="44"/>
      <c r="R1503" s="84"/>
      <c r="S1503" s="47"/>
      <c r="T1503" s="47"/>
    </row>
    <row r="1504" s="27" customFormat="1" ht="18" customHeight="1" spans="1:20">
      <c r="A1504" s="34"/>
      <c r="B1504" s="48">
        <v>22</v>
      </c>
      <c r="C1504" s="48"/>
      <c r="D1504" s="27"/>
      <c r="E1504" s="72"/>
      <c r="F1504" s="77"/>
      <c r="G1504" s="72"/>
      <c r="H1504" s="74"/>
      <c r="I1504" s="74"/>
      <c r="J1504" s="95"/>
      <c r="K1504" s="92"/>
      <c r="L1504" s="92"/>
      <c r="M1504" s="44"/>
      <c r="N1504" s="44"/>
      <c r="O1504" s="44"/>
      <c r="P1504" s="44"/>
      <c r="Q1504" s="44"/>
      <c r="R1504" s="62"/>
      <c r="S1504" s="47"/>
      <c r="T1504" s="47"/>
    </row>
    <row r="1505" s="27" customFormat="1" ht="18" customHeight="1" spans="1:20">
      <c r="A1505" s="34"/>
      <c r="B1505" s="48">
        <v>23</v>
      </c>
      <c r="C1505" s="48"/>
      <c r="D1505" s="88"/>
      <c r="E1505" s="72"/>
      <c r="F1505" s="77"/>
      <c r="G1505" s="89"/>
      <c r="H1505" s="74"/>
      <c r="I1505" s="74"/>
      <c r="J1505" s="95"/>
      <c r="K1505" s="92"/>
      <c r="L1505" s="92"/>
      <c r="M1505" s="44"/>
      <c r="N1505" s="44"/>
      <c r="O1505" s="44"/>
      <c r="P1505" s="44"/>
      <c r="Q1505" s="44"/>
      <c r="R1505" s="62"/>
      <c r="S1505" s="47"/>
      <c r="T1505" s="47"/>
    </row>
    <row r="1506" s="27" customFormat="1" ht="18" customHeight="1" spans="1:20">
      <c r="A1506" s="34"/>
      <c r="B1506" s="48">
        <v>24</v>
      </c>
      <c r="C1506" s="48"/>
      <c r="D1506" s="88" t="s">
        <v>478</v>
      </c>
      <c r="E1506" s="72" t="s">
        <v>43</v>
      </c>
      <c r="F1506" s="77"/>
      <c r="G1506" s="72">
        <v>1</v>
      </c>
      <c r="H1506" s="74">
        <v>1</v>
      </c>
      <c r="I1506" s="74">
        <f>+辅材及安装费!$E$7</f>
        <v>10</v>
      </c>
      <c r="J1506" s="95">
        <f>H1506*I1506</f>
        <v>10</v>
      </c>
      <c r="K1506" s="92"/>
      <c r="L1506" s="92"/>
      <c r="M1506" s="44"/>
      <c r="N1506" s="44"/>
      <c r="O1506" s="44"/>
      <c r="P1506" s="44"/>
      <c r="Q1506" s="44"/>
      <c r="R1506" s="62"/>
      <c r="S1506" s="47"/>
      <c r="T1506" s="47"/>
    </row>
    <row r="1507" s="27" customFormat="1" ht="18" customHeight="1" spans="1:20">
      <c r="A1507" s="34"/>
      <c r="B1507" s="48">
        <v>25</v>
      </c>
      <c r="C1507" s="48"/>
      <c r="D1507" s="93" t="s">
        <v>442</v>
      </c>
      <c r="E1507" s="72"/>
      <c r="F1507" s="77"/>
      <c r="G1507" s="72"/>
      <c r="H1507" s="74"/>
      <c r="I1507" s="74"/>
      <c r="J1507" s="95">
        <f>SUM(J1483:J1506)</f>
        <v>459.711750356015</v>
      </c>
      <c r="K1507" s="92"/>
      <c r="L1507" s="94"/>
      <c r="M1507" s="27"/>
      <c r="N1507" s="83"/>
      <c r="O1507" s="83"/>
      <c r="P1507" s="83"/>
      <c r="Q1507" s="83"/>
      <c r="R1507" s="87"/>
      <c r="S1507" s="47"/>
      <c r="T1507" s="47"/>
    </row>
    <row r="1508" s="27" customFormat="1" ht="18" customHeight="1" spans="1:20">
      <c r="A1508" s="34"/>
      <c r="B1508" s="48">
        <v>1</v>
      </c>
      <c r="C1508" s="48" t="s">
        <v>443</v>
      </c>
      <c r="D1508" s="48" t="s">
        <v>444</v>
      </c>
      <c r="E1508" s="72" t="s">
        <v>43</v>
      </c>
      <c r="F1508" s="50"/>
      <c r="G1508" s="48"/>
      <c r="H1508" s="51">
        <v>1</v>
      </c>
      <c r="I1508" s="74">
        <f>+辅材及安装费!$F$7</f>
        <v>5</v>
      </c>
      <c r="J1508" s="95">
        <f>H1508*I1508</f>
        <v>5</v>
      </c>
      <c r="K1508" s="118"/>
      <c r="L1508" s="96"/>
      <c r="M1508" s="97"/>
      <c r="N1508" s="98"/>
      <c r="O1508" s="98"/>
      <c r="P1508" s="98"/>
      <c r="Q1508" s="98"/>
      <c r="R1508" s="99"/>
      <c r="S1508" s="47"/>
      <c r="T1508" s="47"/>
    </row>
    <row r="1509" s="26" customFormat="1" ht="30" customHeight="1" spans="1:20">
      <c r="A1509" s="28"/>
      <c r="B1509" s="29" t="s">
        <v>386</v>
      </c>
      <c r="C1509" s="29"/>
      <c r="D1509" s="29"/>
      <c r="E1509" s="29"/>
      <c r="F1509" s="29"/>
      <c r="G1509" s="29"/>
      <c r="H1509" s="29"/>
      <c r="I1509" s="29"/>
      <c r="J1509" s="29"/>
      <c r="K1509" s="29"/>
      <c r="L1509" s="30"/>
      <c r="M1509" s="31"/>
      <c r="N1509" s="31"/>
      <c r="O1509" s="31"/>
      <c r="P1509" s="31"/>
      <c r="Q1509" s="31"/>
      <c r="R1509" s="32"/>
      <c r="S1509" s="33"/>
      <c r="T1509" s="33"/>
    </row>
    <row r="1510" s="27" customFormat="1" ht="33.75" customHeight="1" spans="1:20">
      <c r="A1510" s="34">
        <v>2</v>
      </c>
      <c r="B1510" s="35" t="s">
        <v>1</v>
      </c>
      <c r="C1510" s="35" t="s">
        <v>387</v>
      </c>
      <c r="D1510" s="36" t="str">
        <f>+A1518</f>
        <v>设备平台铝合金格栅</v>
      </c>
      <c r="E1510" s="37"/>
      <c r="F1510" s="38"/>
      <c r="G1510" s="39"/>
      <c r="H1510" s="35" t="s">
        <v>388</v>
      </c>
      <c r="I1510" s="40" t="s">
        <v>389</v>
      </c>
      <c r="J1510" s="41" t="s">
        <v>37</v>
      </c>
      <c r="K1510" s="42">
        <f ca="1">VLOOKUP(A1510,排屋工程量清单!$A$87:$D$91,4,)</f>
        <v>25.6221</v>
      </c>
      <c r="L1510" s="43"/>
      <c r="M1510" s="44"/>
      <c r="N1510" s="44"/>
      <c r="O1510" s="44"/>
      <c r="P1510" s="45"/>
      <c r="Q1510" s="44"/>
      <c r="R1510" s="46"/>
      <c r="S1510" s="47"/>
      <c r="T1510" s="47"/>
    </row>
    <row r="1511" s="27" customFormat="1" ht="25" customHeight="1" spans="1:20">
      <c r="A1511" s="34"/>
      <c r="B1511" s="48">
        <v>1</v>
      </c>
      <c r="C1511" s="49" t="s">
        <v>390</v>
      </c>
      <c r="D1511" s="48" t="s">
        <v>391</v>
      </c>
      <c r="E1511" s="48"/>
      <c r="F1511" s="50"/>
      <c r="G1511" s="48"/>
      <c r="H1511" s="51"/>
      <c r="I1511" s="52">
        <f>J1523</f>
        <v>155</v>
      </c>
      <c r="J1511" s="53" t="s">
        <v>392</v>
      </c>
      <c r="K1511" s="54"/>
      <c r="L1511" s="55" t="s">
        <v>114</v>
      </c>
      <c r="M1511" s="56" t="s">
        <v>558</v>
      </c>
      <c r="N1511" s="57"/>
      <c r="O1511" s="57">
        <v>1.52</v>
      </c>
      <c r="P1511" s="57">
        <v>5.81</v>
      </c>
      <c r="Q1511" s="57">
        <v>1</v>
      </c>
      <c r="R1511" s="58">
        <f>+Q1511*P1511*O1511</f>
        <v>8.8312</v>
      </c>
      <c r="S1511" s="47"/>
      <c r="T1511" s="47"/>
    </row>
    <row r="1512" s="27" customFormat="1" ht="18" customHeight="1" spans="1:20">
      <c r="A1512" s="34"/>
      <c r="B1512" s="48">
        <v>2</v>
      </c>
      <c r="C1512" s="59"/>
      <c r="D1512" s="48" t="s">
        <v>394</v>
      </c>
      <c r="E1512" s="48"/>
      <c r="F1512" s="50"/>
      <c r="G1512" s="48"/>
      <c r="H1512" s="51"/>
      <c r="I1512" s="52">
        <f>J1548</f>
        <v>466.626246377074</v>
      </c>
      <c r="J1512" s="53" t="s">
        <v>392</v>
      </c>
      <c r="K1512" s="60"/>
      <c r="L1512" s="61"/>
      <c r="M1512" s="44"/>
      <c r="N1512" s="44"/>
      <c r="O1512" s="44"/>
      <c r="P1512" s="44"/>
      <c r="Q1512" s="44"/>
      <c r="R1512" s="62"/>
      <c r="S1512" s="47"/>
      <c r="T1512" s="47"/>
    </row>
    <row r="1513" s="27" customFormat="1" ht="18" customHeight="1" spans="1:20">
      <c r="A1513" s="34"/>
      <c r="B1513" s="48">
        <v>3</v>
      </c>
      <c r="C1513" s="63"/>
      <c r="D1513" s="48" t="s">
        <v>395</v>
      </c>
      <c r="E1513" s="48"/>
      <c r="F1513" s="50"/>
      <c r="G1513" s="48"/>
      <c r="H1513" s="51"/>
      <c r="I1513" s="52">
        <f>J1549</f>
        <v>5</v>
      </c>
      <c r="J1513" s="53" t="s">
        <v>392</v>
      </c>
      <c r="K1513" s="60"/>
      <c r="L1513" s="60"/>
      <c r="M1513" s="65" t="s">
        <v>396</v>
      </c>
      <c r="N1513" s="65" t="s">
        <v>397</v>
      </c>
      <c r="O1513" s="65" t="s">
        <v>398</v>
      </c>
      <c r="P1513" s="65" t="s">
        <v>399</v>
      </c>
      <c r="Q1513" s="65" t="s">
        <v>400</v>
      </c>
      <c r="R1513" s="66" t="s">
        <v>401</v>
      </c>
      <c r="S1513" s="47"/>
      <c r="T1513" s="47"/>
    </row>
    <row r="1514" s="27" customFormat="1" ht="18" customHeight="1" spans="1:20">
      <c r="A1514" s="34"/>
      <c r="B1514" s="48">
        <v>4</v>
      </c>
      <c r="C1514" s="48" t="s">
        <v>402</v>
      </c>
      <c r="D1514" s="67" t="s">
        <v>403</v>
      </c>
      <c r="E1514" s="67"/>
      <c r="F1514" s="50"/>
      <c r="G1514" s="67"/>
      <c r="H1514" s="68"/>
      <c r="I1514" s="52">
        <f>SUM(I1511:I1513)</f>
        <v>626.626246377074</v>
      </c>
      <c r="J1514" s="53" t="s">
        <v>392</v>
      </c>
      <c r="K1514" s="60"/>
      <c r="L1514" s="69" t="s">
        <v>431</v>
      </c>
      <c r="M1514" s="34" t="s">
        <v>553</v>
      </c>
      <c r="N1514" s="34">
        <v>13.35</v>
      </c>
      <c r="O1514" s="34">
        <f>O1511</f>
        <v>1.52</v>
      </c>
      <c r="P1514" s="34">
        <v>0</v>
      </c>
      <c r="Q1514" s="44">
        <f t="shared" ref="Q1514:Q1525" si="177">+P1514*O1514*N1514</f>
        <v>0</v>
      </c>
      <c r="R1514" s="71">
        <f>+Q1514/R1511</f>
        <v>0</v>
      </c>
      <c r="S1514" s="47"/>
      <c r="T1514" s="47"/>
    </row>
    <row r="1515" s="27" customFormat="1" ht="28" customHeight="1" spans="1:20">
      <c r="A1515" s="34"/>
      <c r="B1515" s="48">
        <v>5</v>
      </c>
      <c r="C1515" s="72" t="s">
        <v>406</v>
      </c>
      <c r="D1515" s="48" t="s">
        <v>407</v>
      </c>
      <c r="E1515" s="48"/>
      <c r="F1515" s="50"/>
      <c r="G1515" s="48"/>
      <c r="H1515" s="73">
        <f>+'材料表 '!$E$178</f>
        <v>0</v>
      </c>
      <c r="I1515" s="52">
        <f>H1515*I1514</f>
        <v>0</v>
      </c>
      <c r="J1515" s="53" t="s">
        <v>392</v>
      </c>
      <c r="K1515" s="60"/>
      <c r="L1515" s="69" t="s">
        <v>431</v>
      </c>
      <c r="M1515" s="34" t="s">
        <v>523</v>
      </c>
      <c r="N1515" s="102">
        <v>4.52</v>
      </c>
      <c r="O1515" s="34"/>
      <c r="P1515" s="34">
        <v>0</v>
      </c>
      <c r="Q1515" s="44">
        <f t="shared" si="177"/>
        <v>0</v>
      </c>
      <c r="R1515" s="71">
        <f>+Q1515/R1511</f>
        <v>0</v>
      </c>
      <c r="S1515" s="47"/>
      <c r="T1515" s="47"/>
    </row>
    <row r="1516" s="27" customFormat="1" ht="18" customHeight="1" spans="1:20">
      <c r="A1516" s="34"/>
      <c r="B1516" s="48">
        <v>6</v>
      </c>
      <c r="C1516" s="48" t="s">
        <v>409</v>
      </c>
      <c r="D1516" s="48" t="s">
        <v>410</v>
      </c>
      <c r="E1516" s="48"/>
      <c r="F1516" s="50"/>
      <c r="G1516" s="48"/>
      <c r="H1516" s="73">
        <f>+'材料表 '!$E$179</f>
        <v>0</v>
      </c>
      <c r="I1516" s="52">
        <f>H1516*I1514</f>
        <v>0</v>
      </c>
      <c r="J1516" s="53" t="s">
        <v>392</v>
      </c>
      <c r="K1516" s="60"/>
      <c r="L1516" s="69" t="s">
        <v>461</v>
      </c>
      <c r="M1516" s="34" t="s">
        <v>546</v>
      </c>
      <c r="N1516" s="34">
        <v>4.81</v>
      </c>
      <c r="O1516" s="34">
        <f>O1511</f>
        <v>1.52</v>
      </c>
      <c r="P1516" s="34">
        <v>0</v>
      </c>
      <c r="Q1516" s="44">
        <f t="shared" si="177"/>
        <v>0</v>
      </c>
      <c r="R1516" s="71">
        <f>+Q1516/R1511</f>
        <v>0</v>
      </c>
      <c r="S1516" s="47"/>
      <c r="T1516" s="47"/>
    </row>
    <row r="1517" s="27" customFormat="1" ht="18" customHeight="1" spans="1:20">
      <c r="A1517" s="34"/>
      <c r="B1517" s="48">
        <v>7</v>
      </c>
      <c r="C1517" s="48" t="s">
        <v>412</v>
      </c>
      <c r="D1517" s="72" t="s">
        <v>413</v>
      </c>
      <c r="E1517" s="72"/>
      <c r="F1517" s="77"/>
      <c r="G1517" s="72"/>
      <c r="H1517" s="73">
        <f>+'材料表 '!$E$180</f>
        <v>0.09</v>
      </c>
      <c r="I1517" s="52">
        <f>(I1514+I1515+I1516)*H1517</f>
        <v>56.3963621739366</v>
      </c>
      <c r="J1517" s="53" t="s">
        <v>392</v>
      </c>
      <c r="K1517" s="60"/>
      <c r="L1517" s="69" t="s">
        <v>463</v>
      </c>
      <c r="M1517" s="34" t="s">
        <v>464</v>
      </c>
      <c r="N1517" s="34">
        <f>0.15*0.2*7.85*10</f>
        <v>2.355</v>
      </c>
      <c r="O1517" s="34">
        <v>5</v>
      </c>
      <c r="P1517" s="34">
        <v>0</v>
      </c>
      <c r="Q1517" s="44">
        <f t="shared" si="177"/>
        <v>0</v>
      </c>
      <c r="R1517" s="71">
        <f>+Q1517/R1511</f>
        <v>0</v>
      </c>
      <c r="S1517" s="47"/>
      <c r="T1517" s="47"/>
    </row>
    <row r="1518" s="27" customFormat="1" ht="18" customHeight="1" spans="1:20">
      <c r="A1518" s="105" t="s">
        <v>170</v>
      </c>
      <c r="B1518" s="48">
        <v>8</v>
      </c>
      <c r="C1518" s="48" t="s">
        <v>363</v>
      </c>
      <c r="D1518" s="106" t="s">
        <v>415</v>
      </c>
      <c r="E1518" s="107"/>
      <c r="F1518" s="108"/>
      <c r="G1518" s="107"/>
      <c r="H1518" s="51"/>
      <c r="I1518" s="74">
        <f>SUM(I1514:I1517)</f>
        <v>683.02260855101</v>
      </c>
      <c r="J1518" s="53" t="s">
        <v>416</v>
      </c>
      <c r="K1518" s="60"/>
      <c r="L1518" s="69" t="s">
        <v>465</v>
      </c>
      <c r="M1518" s="34" t="s">
        <v>559</v>
      </c>
      <c r="N1518" s="126">
        <v>7.034</v>
      </c>
      <c r="O1518" s="34">
        <f>120/1000</f>
        <v>0.12</v>
      </c>
      <c r="P1518" s="44">
        <f>2*3</f>
        <v>6</v>
      </c>
      <c r="Q1518" s="44">
        <f t="shared" si="177"/>
        <v>5.06448</v>
      </c>
      <c r="R1518" s="84">
        <f>+Q1518/R1511</f>
        <v>0.5734758583205</v>
      </c>
      <c r="S1518" s="79"/>
      <c r="T1518" s="47"/>
    </row>
    <row r="1519" s="27" customFormat="1" ht="18" customHeight="1" spans="1:20">
      <c r="A1519" s="34"/>
      <c r="B1519" s="109" t="s">
        <v>418</v>
      </c>
      <c r="C1519" s="110"/>
      <c r="D1519" s="110"/>
      <c r="E1519" s="110"/>
      <c r="F1519" s="110"/>
      <c r="G1519" s="110"/>
      <c r="H1519" s="110"/>
      <c r="I1519" s="110"/>
      <c r="J1519" s="110"/>
      <c r="K1519" s="80"/>
      <c r="L1519" s="69" t="s">
        <v>404</v>
      </c>
      <c r="M1519" s="70" t="s">
        <v>445</v>
      </c>
      <c r="N1519" s="34">
        <v>2.513</v>
      </c>
      <c r="O1519" s="34">
        <f>P1511*2+O1511</f>
        <v>13.14</v>
      </c>
      <c r="P1519" s="34">
        <v>1</v>
      </c>
      <c r="Q1519" s="44">
        <f t="shared" si="177"/>
        <v>33.02082</v>
      </c>
      <c r="R1519" s="71">
        <f>+Q1519/R1511</f>
        <v>3.73910906785035</v>
      </c>
      <c r="S1519" s="47"/>
      <c r="T1519" s="47"/>
    </row>
    <row r="1520" s="27" customFormat="1" ht="18" customHeight="1" spans="1:20">
      <c r="A1520" s="34"/>
      <c r="B1520" s="48">
        <v>1</v>
      </c>
      <c r="C1520" s="48" t="s">
        <v>391</v>
      </c>
      <c r="D1520" s="48" t="s">
        <v>396</v>
      </c>
      <c r="E1520" s="48" t="s">
        <v>37</v>
      </c>
      <c r="F1520" s="50"/>
      <c r="G1520" s="48"/>
      <c r="H1520" s="51" t="s">
        <v>399</v>
      </c>
      <c r="I1520" s="51" t="s">
        <v>420</v>
      </c>
      <c r="J1520" s="95" t="s">
        <v>421</v>
      </c>
      <c r="K1520" s="92"/>
      <c r="L1520" s="69" t="s">
        <v>429</v>
      </c>
      <c r="M1520" s="70" t="s">
        <v>446</v>
      </c>
      <c r="N1520" s="34">
        <v>0.424</v>
      </c>
      <c r="O1520" s="34">
        <f>O1519</f>
        <v>13.14</v>
      </c>
      <c r="P1520" s="34">
        <v>1</v>
      </c>
      <c r="Q1520" s="44">
        <f t="shared" si="177"/>
        <v>5.57136</v>
      </c>
      <c r="R1520" s="71">
        <f>+Q1520/R1511</f>
        <v>0.630872361626959</v>
      </c>
      <c r="S1520" s="47"/>
      <c r="T1520" s="47"/>
    </row>
    <row r="1521" s="27" customFormat="1" ht="18" customHeight="1" spans="1:20">
      <c r="A1521" s="34"/>
      <c r="B1521" s="48">
        <v>2</v>
      </c>
      <c r="C1521" s="48"/>
      <c r="D1521" s="111" t="s">
        <v>554</v>
      </c>
      <c r="E1521" s="49" t="s">
        <v>423</v>
      </c>
      <c r="F1521" s="112"/>
      <c r="G1521" s="111"/>
      <c r="H1521" s="113">
        <v>1</v>
      </c>
      <c r="I1521" s="113">
        <f>+辅材及安装费!$G$7</f>
        <v>155</v>
      </c>
      <c r="J1521" s="114">
        <f t="shared" ref="J1521:J1533" si="178">H1521*I1521</f>
        <v>155</v>
      </c>
      <c r="K1521" s="92"/>
      <c r="L1521" s="34" t="s">
        <v>447</v>
      </c>
      <c r="M1521" s="70" t="s">
        <v>448</v>
      </c>
      <c r="N1521" s="34">
        <v>0.484</v>
      </c>
      <c r="O1521" s="34">
        <f>O1519</f>
        <v>13.14</v>
      </c>
      <c r="P1521" s="34">
        <v>1</v>
      </c>
      <c r="Q1521" s="44">
        <f t="shared" si="177"/>
        <v>6.35976</v>
      </c>
      <c r="R1521" s="71">
        <f>+Q1521/R1511</f>
        <v>0.720146752423227</v>
      </c>
      <c r="S1521" s="47">
        <f>0.05+0.046+0.015</f>
        <v>0.111</v>
      </c>
      <c r="T1521" s="47">
        <f>O1521*S1521</f>
        <v>1.45854</v>
      </c>
    </row>
    <row r="1522" s="27" customFormat="1" ht="18" customHeight="1" spans="1:20">
      <c r="A1522" s="34"/>
      <c r="B1522" s="48">
        <v>3</v>
      </c>
      <c r="C1522" s="48"/>
      <c r="D1522" s="115"/>
      <c r="E1522" s="63"/>
      <c r="F1522" s="116"/>
      <c r="G1522" s="115"/>
      <c r="H1522" s="117"/>
      <c r="I1522" s="117"/>
      <c r="J1522" s="118"/>
      <c r="K1522" s="92"/>
      <c r="L1522" s="90" t="s">
        <v>447</v>
      </c>
      <c r="M1522" s="70" t="s">
        <v>560</v>
      </c>
      <c r="N1522" s="82">
        <f>0.265*2.71</f>
        <v>0.71815</v>
      </c>
      <c r="O1522" s="44">
        <f>O1519</f>
        <v>13.14</v>
      </c>
      <c r="P1522" s="44">
        <v>1</v>
      </c>
      <c r="Q1522" s="44">
        <f t="shared" si="177"/>
        <v>9.436491</v>
      </c>
      <c r="R1522" s="84">
        <f>Q1522/R1511</f>
        <v>1.06854006250566</v>
      </c>
      <c r="S1522" s="47">
        <f>0.13</f>
        <v>0.13</v>
      </c>
      <c r="T1522" s="47">
        <f t="shared" ref="T1522:T1525" si="179">S1522*O1522*P1522</f>
        <v>1.7082</v>
      </c>
    </row>
    <row r="1523" s="27" customFormat="1" ht="18" customHeight="1" spans="1:20">
      <c r="A1523" s="34"/>
      <c r="B1523" s="48">
        <v>4</v>
      </c>
      <c r="C1523" s="48"/>
      <c r="D1523" s="85" t="s">
        <v>426</v>
      </c>
      <c r="E1523" s="48" t="s">
        <v>392</v>
      </c>
      <c r="F1523" s="50"/>
      <c r="G1523" s="48"/>
      <c r="H1523" s="86"/>
      <c r="I1523" s="86"/>
      <c r="J1523" s="95">
        <f>SUM(J1521:J1521)</f>
        <v>155</v>
      </c>
      <c r="K1523" s="92"/>
      <c r="L1523" s="90" t="s">
        <v>447</v>
      </c>
      <c r="M1523" s="44" t="s">
        <v>561</v>
      </c>
      <c r="N1523" s="82">
        <f>0.28*3*2.71</f>
        <v>2.2764</v>
      </c>
      <c r="O1523" s="44">
        <f>O1511</f>
        <v>1.52</v>
      </c>
      <c r="P1523" s="44">
        <v>3</v>
      </c>
      <c r="Q1523" s="44">
        <f t="shared" si="177"/>
        <v>10.380384</v>
      </c>
      <c r="R1523" s="84">
        <f>Q1523/R1511</f>
        <v>1.17542168674699</v>
      </c>
      <c r="S1523" s="47">
        <v>0.28</v>
      </c>
      <c r="T1523" s="47">
        <f t="shared" si="179"/>
        <v>1.2768</v>
      </c>
    </row>
    <row r="1524" s="27" customFormat="1" ht="22" customHeight="1" spans="1:20">
      <c r="A1524" s="34"/>
      <c r="B1524" s="48">
        <v>1</v>
      </c>
      <c r="C1524" s="48" t="s">
        <v>394</v>
      </c>
      <c r="D1524" s="88" t="s">
        <v>431</v>
      </c>
      <c r="E1524" s="72" t="str">
        <f>+VLOOKUP(D1524,'材料表 '!C:F,2,0)</f>
        <v>kg</v>
      </c>
      <c r="F1524" s="77">
        <f>+SUMIF($L$1511:$L$1549,D1524,$R$1511:$R$1549)</f>
        <v>0</v>
      </c>
      <c r="G1524" s="89">
        <f>+VLOOKUP(D1524,'材料表 '!C:F,4,0)</f>
        <v>0.03</v>
      </c>
      <c r="H1524" s="74">
        <f t="shared" ref="H1524:H1533" si="180">F1524*(G1524+1)</f>
        <v>0</v>
      </c>
      <c r="I1524" s="74">
        <f>+VLOOKUP(D1524,'材料表 '!C:F,3,0)</f>
        <v>3.80530973451327</v>
      </c>
      <c r="J1524" s="95">
        <f t="shared" si="178"/>
        <v>0</v>
      </c>
      <c r="K1524" s="92">
        <f ca="1">H1524*K1510</f>
        <v>0</v>
      </c>
      <c r="L1524" s="90" t="s">
        <v>447</v>
      </c>
      <c r="M1524" s="44" t="s">
        <v>557</v>
      </c>
      <c r="N1524" s="82">
        <v>0.799</v>
      </c>
      <c r="O1524" s="44">
        <f>P1511</f>
        <v>5.81</v>
      </c>
      <c r="P1524" s="44">
        <v>15</v>
      </c>
      <c r="Q1524" s="44">
        <f t="shared" si="177"/>
        <v>69.63285</v>
      </c>
      <c r="R1524" s="84">
        <f>Q1524/R1511</f>
        <v>7.88486842105263</v>
      </c>
      <c r="S1524" s="47">
        <f>0.24</f>
        <v>0.24</v>
      </c>
      <c r="T1524" s="47">
        <f t="shared" si="179"/>
        <v>20.916</v>
      </c>
    </row>
    <row r="1525" s="27" customFormat="1" ht="18" customHeight="1" spans="1:20">
      <c r="A1525" s="34"/>
      <c r="B1525" s="48">
        <v>2</v>
      </c>
      <c r="C1525" s="48"/>
      <c r="D1525" s="88" t="s">
        <v>461</v>
      </c>
      <c r="E1525" s="72" t="str">
        <f>+VLOOKUP(D1525,'材料表 '!C:F,2,0)</f>
        <v>kg</v>
      </c>
      <c r="F1525" s="77">
        <f t="shared" ref="F1525:F1533" si="181">+SUMIF($L$1511:$L$1549,D1525,$R$1511:$R$1549)</f>
        <v>0</v>
      </c>
      <c r="G1525" s="89">
        <f>+VLOOKUP(D1525,'材料表 '!C:F,4,0)</f>
        <v>0.03</v>
      </c>
      <c r="H1525" s="74">
        <f t="shared" si="180"/>
        <v>0</v>
      </c>
      <c r="I1525" s="74">
        <f>+VLOOKUP(D1525,'材料表 '!C:F,3,0)</f>
        <v>3.53982300884956</v>
      </c>
      <c r="J1525" s="95">
        <f t="shared" si="178"/>
        <v>0</v>
      </c>
      <c r="K1525" s="92">
        <f ca="1">H1525*K1510</f>
        <v>0</v>
      </c>
      <c r="L1525" s="90" t="s">
        <v>447</v>
      </c>
      <c r="M1525" s="44" t="s">
        <v>562</v>
      </c>
      <c r="N1525" s="82">
        <f>0.303*2.71</f>
        <v>0.82113</v>
      </c>
      <c r="O1525" s="44">
        <f>O1511</f>
        <v>1.52</v>
      </c>
      <c r="P1525" s="44">
        <v>5</v>
      </c>
      <c r="Q1525" s="44">
        <f t="shared" si="177"/>
        <v>6.240588</v>
      </c>
      <c r="R1525" s="84">
        <f>Q1525/R1511</f>
        <v>0.706652323580034</v>
      </c>
      <c r="S1525" s="47">
        <v>0.32</v>
      </c>
      <c r="T1525" s="47">
        <f t="shared" si="179"/>
        <v>2.432</v>
      </c>
    </row>
    <row r="1526" s="27" customFormat="1" ht="18" customHeight="1" spans="1:20">
      <c r="A1526" s="34"/>
      <c r="B1526" s="48">
        <v>3</v>
      </c>
      <c r="C1526" s="48"/>
      <c r="D1526" s="88" t="s">
        <v>465</v>
      </c>
      <c r="E1526" s="72" t="str">
        <f>+VLOOKUP(D1526,'材料表 '!C:F,2,0)</f>
        <v>kg</v>
      </c>
      <c r="F1526" s="77">
        <f t="shared" si="181"/>
        <v>0.5734758583205</v>
      </c>
      <c r="G1526" s="89">
        <f>+VLOOKUP(D1526,'材料表 '!C:F,4,0)</f>
        <v>0.03</v>
      </c>
      <c r="H1526" s="74">
        <f t="shared" si="180"/>
        <v>0.590680134070115</v>
      </c>
      <c r="I1526" s="74">
        <f>+VLOOKUP(D1526,'材料表 '!C:F,3,0)</f>
        <v>6.01769911504425</v>
      </c>
      <c r="J1526" s="95">
        <f t="shared" si="178"/>
        <v>3.55453532006795</v>
      </c>
      <c r="K1526" s="92">
        <f ca="1">H1526*K1510</f>
        <v>15.1344654631579</v>
      </c>
      <c r="L1526" s="90"/>
      <c r="M1526" s="44"/>
      <c r="N1526" s="82"/>
      <c r="O1526" s="44"/>
      <c r="P1526" s="44"/>
      <c r="Q1526" s="44">
        <f>+P1526*O1526</f>
        <v>0</v>
      </c>
      <c r="R1526" s="84">
        <f>+Q1526/R1511</f>
        <v>0</v>
      </c>
      <c r="S1526" s="47"/>
      <c r="T1526" s="47"/>
    </row>
    <row r="1527" s="27" customFormat="1" ht="18" customHeight="1" spans="1:20">
      <c r="A1527" s="34"/>
      <c r="B1527" s="48">
        <v>4</v>
      </c>
      <c r="C1527" s="48"/>
      <c r="D1527" s="88" t="s">
        <v>463</v>
      </c>
      <c r="E1527" s="72" t="str">
        <f>+VLOOKUP(D1527,'材料表 '!C:F,2,0)</f>
        <v>kg</v>
      </c>
      <c r="F1527" s="77">
        <f t="shared" si="181"/>
        <v>0</v>
      </c>
      <c r="G1527" s="89">
        <f>+VLOOKUP(D1527,'材料表 '!C:F,4,0)</f>
        <v>0.03</v>
      </c>
      <c r="H1527" s="74">
        <f t="shared" si="180"/>
        <v>0</v>
      </c>
      <c r="I1527" s="74">
        <f>+VLOOKUP(D1527,'材料表 '!C:F,3,0)</f>
        <v>6.01769911504425</v>
      </c>
      <c r="J1527" s="95">
        <f t="shared" si="178"/>
        <v>0</v>
      </c>
      <c r="K1527" s="92">
        <f ca="1">H1527*K1510</f>
        <v>0</v>
      </c>
      <c r="L1527" s="90" t="s">
        <v>474</v>
      </c>
      <c r="M1527" s="44"/>
      <c r="N1527" s="82"/>
      <c r="O1527" s="44"/>
      <c r="P1527" s="44"/>
      <c r="Q1527" s="44">
        <f>+O1517*P1517*4</f>
        <v>0</v>
      </c>
      <c r="R1527" s="84">
        <f>+Q1527/R1511</f>
        <v>0</v>
      </c>
      <c r="S1527" s="47"/>
      <c r="T1527" s="47">
        <f>SUM(T1521:T1526)</f>
        <v>27.79154</v>
      </c>
    </row>
    <row r="1528" s="27" customFormat="1" ht="18" customHeight="1" spans="1:20">
      <c r="A1528" s="34"/>
      <c r="B1528" s="48">
        <v>5</v>
      </c>
      <c r="C1528" s="48"/>
      <c r="D1528" s="88" t="s">
        <v>447</v>
      </c>
      <c r="E1528" s="72" t="str">
        <f>+VLOOKUP(D1528,'材料表 '!C:F,2,0)</f>
        <v>kg</v>
      </c>
      <c r="F1528" s="77">
        <f t="shared" si="181"/>
        <v>11.5556292463085</v>
      </c>
      <c r="G1528" s="89">
        <f>+VLOOKUP(D1528,'材料表 '!C:F,4,0)</f>
        <v>0.03</v>
      </c>
      <c r="H1528" s="74">
        <f t="shared" si="180"/>
        <v>11.9022981236978</v>
      </c>
      <c r="I1528" s="74">
        <f>+VLOOKUP(D1528,'材料表 '!C:F,3,0)</f>
        <v>24.4336283185841</v>
      </c>
      <c r="J1528" s="95">
        <f t="shared" si="178"/>
        <v>290.816328491412</v>
      </c>
      <c r="K1528" s="92">
        <f ca="1">H1528*K1510</f>
        <v>304.961872755197</v>
      </c>
      <c r="L1528" s="92" t="s">
        <v>476</v>
      </c>
      <c r="M1528" s="44"/>
      <c r="N1528" s="82"/>
      <c r="O1528" s="44"/>
      <c r="P1528" s="44"/>
      <c r="Q1528" s="44">
        <f>10*8*(O1511*2+P1511*4)/500</f>
        <v>4.2048</v>
      </c>
      <c r="R1528" s="84">
        <f>+Q1528/R1511</f>
        <v>0.476130084246762</v>
      </c>
      <c r="S1528" s="47"/>
      <c r="T1528" s="47"/>
    </row>
    <row r="1529" s="27" customFormat="1" ht="18" customHeight="1" spans="1:20">
      <c r="A1529" s="34"/>
      <c r="B1529" s="48">
        <v>6</v>
      </c>
      <c r="C1529" s="48"/>
      <c r="D1529" s="88" t="s">
        <v>434</v>
      </c>
      <c r="E1529" s="72" t="str">
        <f>+VLOOKUP(D1529,'材料表 '!C:F,2,0)</f>
        <v>m2</v>
      </c>
      <c r="F1529" s="77">
        <f>T1527/R1511</f>
        <v>3.146972098922</v>
      </c>
      <c r="G1529" s="89">
        <f>+VLOOKUP(D1529,'材料表 '!C:F,4,0)</f>
        <v>0</v>
      </c>
      <c r="H1529" s="74">
        <f t="shared" si="180"/>
        <v>3.146972098922</v>
      </c>
      <c r="I1529" s="74">
        <f>+VLOOKUP(D1529,'材料表 '!C:F,3,0)</f>
        <v>49.5575221238938</v>
      </c>
      <c r="J1529" s="95">
        <f t="shared" si="178"/>
        <v>155.956139415604</v>
      </c>
      <c r="K1529" s="92">
        <f ca="1">H1529*K1510</f>
        <v>80.6320338157894</v>
      </c>
      <c r="L1529" s="92" t="s">
        <v>499</v>
      </c>
      <c r="M1529" s="44"/>
      <c r="N1529" s="82"/>
      <c r="O1529" s="44"/>
      <c r="P1529" s="44"/>
      <c r="Q1529" s="44">
        <v>0</v>
      </c>
      <c r="R1529" s="84">
        <f>Q1529/R1511</f>
        <v>0</v>
      </c>
      <c r="S1529" s="47"/>
      <c r="T1529" s="47"/>
    </row>
    <row r="1530" s="27" customFormat="1" ht="18" customHeight="1" spans="1:20">
      <c r="A1530" s="34"/>
      <c r="B1530" s="48">
        <v>7</v>
      </c>
      <c r="C1530" s="48"/>
      <c r="D1530" s="88" t="s">
        <v>472</v>
      </c>
      <c r="E1530" s="72" t="str">
        <f>+VLOOKUP(D1530,'材料表 '!C:F,2,0)</f>
        <v>套</v>
      </c>
      <c r="F1530" s="77">
        <f t="shared" si="181"/>
        <v>0</v>
      </c>
      <c r="G1530" s="89">
        <f>+VLOOKUP(D1530,'材料表 '!C:F,4,0)</f>
        <v>0</v>
      </c>
      <c r="H1530" s="74">
        <f t="shared" si="180"/>
        <v>0</v>
      </c>
      <c r="I1530" s="74">
        <f>+VLOOKUP(D1530,'材料表 '!C:F,3,0)</f>
        <v>2.47787610619469</v>
      </c>
      <c r="J1530" s="95">
        <f t="shared" si="178"/>
        <v>0</v>
      </c>
      <c r="K1530" s="92">
        <f ca="1">H1530*K1510</f>
        <v>0</v>
      </c>
      <c r="L1530" s="92"/>
      <c r="M1530" s="44"/>
      <c r="N1530" s="82"/>
      <c r="O1530" s="44"/>
      <c r="P1530" s="44"/>
      <c r="Q1530" s="44"/>
      <c r="R1530" s="84"/>
      <c r="S1530" s="47"/>
      <c r="T1530" s="47"/>
    </row>
    <row r="1531" s="27" customFormat="1" ht="18" customHeight="1" spans="1:20">
      <c r="A1531" s="34"/>
      <c r="B1531" s="48">
        <v>8</v>
      </c>
      <c r="C1531" s="48"/>
      <c r="D1531" s="88" t="s">
        <v>474</v>
      </c>
      <c r="E1531" s="72" t="str">
        <f>+VLOOKUP(D1531,'材料表 '!C:F,2,0)</f>
        <v>套</v>
      </c>
      <c r="F1531" s="77">
        <f t="shared" si="181"/>
        <v>0</v>
      </c>
      <c r="G1531" s="89">
        <f>+VLOOKUP(D1531,'材料表 '!C:F,4,0)</f>
        <v>0</v>
      </c>
      <c r="H1531" s="74">
        <f t="shared" si="180"/>
        <v>0</v>
      </c>
      <c r="I1531" s="74">
        <f>+VLOOKUP(D1531,'材料表 '!C:F,3,0)</f>
        <v>2.21238938053097</v>
      </c>
      <c r="J1531" s="95">
        <f t="shared" si="178"/>
        <v>0</v>
      </c>
      <c r="K1531" s="92">
        <f ca="1">H1531*K1510</f>
        <v>0</v>
      </c>
      <c r="L1531" s="92"/>
      <c r="M1531" s="44"/>
      <c r="N1531" s="82"/>
      <c r="O1531" s="44"/>
      <c r="P1531" s="44"/>
      <c r="Q1531" s="44"/>
      <c r="R1531" s="84"/>
      <c r="S1531" s="47"/>
      <c r="T1531" s="47"/>
    </row>
    <row r="1532" s="27" customFormat="1" ht="18" customHeight="1" spans="1:20">
      <c r="A1532" s="34"/>
      <c r="B1532" s="48">
        <v>9</v>
      </c>
      <c r="C1532" s="48"/>
      <c r="D1532" s="88" t="s">
        <v>476</v>
      </c>
      <c r="E1532" s="72" t="str">
        <f>+VLOOKUP(D1532,'材料表 '!C:F,2,0)</f>
        <v>支</v>
      </c>
      <c r="F1532" s="77">
        <f t="shared" si="181"/>
        <v>0.476130084246762</v>
      </c>
      <c r="G1532" s="89">
        <f>+VLOOKUP(D1532,'材料表 '!C:F,4,0)</f>
        <v>0.15</v>
      </c>
      <c r="H1532" s="74">
        <f t="shared" si="180"/>
        <v>0.547549596883776</v>
      </c>
      <c r="I1532" s="74">
        <f>+VLOOKUP(D1532,'材料表 '!C:F,3,0)</f>
        <v>11.5044247787611</v>
      </c>
      <c r="J1532" s="95">
        <f t="shared" si="178"/>
        <v>6.29924314999037</v>
      </c>
      <c r="K1532" s="92">
        <f ca="1">H1532*K1510</f>
        <v>14.0293705263158</v>
      </c>
      <c r="L1532" s="90"/>
      <c r="M1532" s="44"/>
      <c r="N1532" s="82"/>
      <c r="O1532" s="34"/>
      <c r="P1532" s="44"/>
      <c r="Q1532" s="44"/>
      <c r="R1532" s="119"/>
      <c r="S1532" s="47"/>
      <c r="T1532" s="47"/>
    </row>
    <row r="1533" s="27" customFormat="1" ht="23" customHeight="1" spans="1:20">
      <c r="A1533" s="34"/>
      <c r="B1533" s="48">
        <v>10</v>
      </c>
      <c r="C1533" s="48"/>
      <c r="D1533" s="88" t="s">
        <v>499</v>
      </c>
      <c r="E1533" s="72" t="str">
        <f>+VLOOKUP(D1533,'材料表 '!C:F,2,0)</f>
        <v>套</v>
      </c>
      <c r="F1533" s="77">
        <f t="shared" si="181"/>
        <v>0</v>
      </c>
      <c r="G1533" s="89">
        <f>+VLOOKUP(D1533,'材料表 '!C:F,4,0)</f>
        <v>0</v>
      </c>
      <c r="H1533" s="74">
        <f t="shared" si="180"/>
        <v>0</v>
      </c>
      <c r="I1533" s="74">
        <f>+VLOOKUP(D1533,'材料表 '!C:F,3,0)</f>
        <v>1.32743362831858</v>
      </c>
      <c r="J1533" s="95">
        <f t="shared" si="178"/>
        <v>0</v>
      </c>
      <c r="K1533" s="92">
        <f ca="1">H1533*K1510</f>
        <v>0</v>
      </c>
      <c r="L1533" s="92"/>
      <c r="M1533" s="120"/>
      <c r="N1533" s="82"/>
      <c r="O1533" s="44"/>
      <c r="P1533" s="44"/>
      <c r="Q1533" s="44"/>
      <c r="R1533" s="84"/>
      <c r="S1533" s="47"/>
      <c r="T1533" s="47"/>
    </row>
    <row r="1534" s="27" customFormat="1" ht="20" customHeight="1" spans="1:20">
      <c r="A1534" s="34"/>
      <c r="B1534" s="48">
        <v>11</v>
      </c>
      <c r="C1534" s="48"/>
      <c r="D1534" s="88"/>
      <c r="E1534" s="72"/>
      <c r="F1534" s="77"/>
      <c r="G1534" s="89"/>
      <c r="H1534" s="74"/>
      <c r="I1534" s="74"/>
      <c r="J1534" s="95"/>
      <c r="K1534" s="92">
        <f ca="1">H1534*K1510</f>
        <v>0</v>
      </c>
      <c r="L1534" s="92"/>
      <c r="M1534" s="44"/>
      <c r="N1534" s="82"/>
      <c r="O1534" s="44"/>
      <c r="P1534" s="44"/>
      <c r="Q1534" s="44"/>
      <c r="R1534" s="84"/>
      <c r="S1534" s="47"/>
      <c r="T1534" s="47"/>
    </row>
    <row r="1535" s="27" customFormat="1" ht="24" customHeight="1" spans="1:20">
      <c r="A1535" s="34"/>
      <c r="B1535" s="48">
        <v>12</v>
      </c>
      <c r="C1535" s="48"/>
      <c r="D1535" s="127"/>
      <c r="E1535" s="72"/>
      <c r="F1535" s="128"/>
      <c r="G1535" s="89"/>
      <c r="H1535" s="74"/>
      <c r="I1535" s="74"/>
      <c r="J1535" s="95"/>
      <c r="K1535" s="92">
        <f ca="1">H1535*K1510</f>
        <v>0</v>
      </c>
      <c r="L1535" s="92"/>
      <c r="M1535" s="44"/>
      <c r="N1535" s="44"/>
      <c r="O1535" s="44"/>
      <c r="P1535" s="44"/>
      <c r="Q1535" s="44"/>
      <c r="R1535" s="84"/>
      <c r="S1535" s="47"/>
      <c r="T1535" s="47"/>
    </row>
    <row r="1536" s="27" customFormat="1" ht="18" customHeight="1" spans="1:20">
      <c r="A1536" s="34"/>
      <c r="B1536" s="48">
        <v>13</v>
      </c>
      <c r="C1536" s="48"/>
      <c r="D1536" s="88"/>
      <c r="E1536" s="72"/>
      <c r="F1536" s="77"/>
      <c r="G1536" s="89"/>
      <c r="H1536" s="74"/>
      <c r="I1536" s="74"/>
      <c r="J1536" s="95"/>
      <c r="K1536" s="92">
        <f ca="1">H1536*K1510</f>
        <v>0</v>
      </c>
      <c r="L1536" s="92"/>
      <c r="M1536" s="44"/>
      <c r="N1536" s="44"/>
      <c r="O1536" s="44"/>
      <c r="P1536" s="44"/>
      <c r="Q1536" s="44"/>
      <c r="R1536" s="84"/>
      <c r="S1536" s="47"/>
      <c r="T1536" s="47"/>
    </row>
    <row r="1537" s="27" customFormat="1" ht="24" customHeight="1" spans="1:20">
      <c r="A1537" s="34"/>
      <c r="B1537" s="48">
        <v>14</v>
      </c>
      <c r="C1537" s="48"/>
      <c r="D1537" s="88"/>
      <c r="E1537" s="72"/>
      <c r="F1537" s="77"/>
      <c r="G1537" s="89"/>
      <c r="H1537" s="74"/>
      <c r="I1537" s="74"/>
      <c r="J1537" s="95"/>
      <c r="K1537" s="92">
        <f ca="1">H1537*K1510</f>
        <v>0</v>
      </c>
      <c r="L1537" s="92"/>
      <c r="M1537" s="44"/>
      <c r="N1537" s="44"/>
      <c r="O1537" s="44"/>
      <c r="P1537" s="44"/>
      <c r="Q1537" s="44"/>
      <c r="R1537" s="84"/>
      <c r="S1537" s="47"/>
      <c r="T1537" s="47"/>
    </row>
    <row r="1538" s="27" customFormat="1" ht="18" customHeight="1" spans="1:20">
      <c r="A1538" s="34"/>
      <c r="B1538" s="48">
        <v>15</v>
      </c>
      <c r="C1538" s="48"/>
      <c r="D1538" s="88"/>
      <c r="E1538" s="72"/>
      <c r="F1538" s="77"/>
      <c r="G1538" s="89"/>
      <c r="H1538" s="74"/>
      <c r="I1538" s="74"/>
      <c r="J1538" s="95"/>
      <c r="K1538" s="92"/>
      <c r="L1538" s="92"/>
      <c r="M1538" s="44"/>
      <c r="N1538" s="44"/>
      <c r="O1538" s="44"/>
      <c r="P1538" s="44"/>
      <c r="Q1538" s="44"/>
      <c r="R1538" s="84"/>
      <c r="S1538" s="47"/>
      <c r="T1538" s="47"/>
    </row>
    <row r="1539" s="27" customFormat="1" ht="18" customHeight="1" spans="1:20">
      <c r="A1539" s="34"/>
      <c r="B1539" s="48">
        <v>16</v>
      </c>
      <c r="C1539" s="48"/>
      <c r="D1539" s="88"/>
      <c r="E1539" s="72"/>
      <c r="F1539" s="77"/>
      <c r="G1539" s="89"/>
      <c r="H1539" s="74"/>
      <c r="I1539" s="74"/>
      <c r="J1539" s="95"/>
      <c r="K1539" s="92"/>
      <c r="L1539" s="92"/>
      <c r="M1539" s="44"/>
      <c r="N1539" s="44"/>
      <c r="O1539" s="44"/>
      <c r="P1539" s="44"/>
      <c r="Q1539" s="44"/>
      <c r="R1539" s="84"/>
      <c r="S1539" s="47"/>
      <c r="T1539" s="47"/>
    </row>
    <row r="1540" s="27" customFormat="1" ht="18" customHeight="1" spans="1:20">
      <c r="A1540" s="34"/>
      <c r="B1540" s="48">
        <v>17</v>
      </c>
      <c r="C1540" s="48"/>
      <c r="D1540" s="121"/>
      <c r="E1540" s="72"/>
      <c r="F1540" s="77"/>
      <c r="G1540" s="89"/>
      <c r="H1540" s="74"/>
      <c r="I1540" s="74"/>
      <c r="J1540" s="95"/>
      <c r="K1540" s="92"/>
      <c r="L1540" s="92"/>
      <c r="M1540" s="44"/>
      <c r="N1540" s="44"/>
      <c r="O1540" s="44"/>
      <c r="P1540" s="44"/>
      <c r="Q1540" s="101"/>
      <c r="R1540" s="84"/>
      <c r="S1540" s="47"/>
      <c r="T1540" s="47"/>
    </row>
    <row r="1541" s="27" customFormat="1" ht="18" customHeight="1" spans="1:20">
      <c r="A1541" s="34"/>
      <c r="B1541" s="48">
        <v>18</v>
      </c>
      <c r="C1541" s="48"/>
      <c r="D1541" s="88"/>
      <c r="E1541" s="72"/>
      <c r="F1541" s="77"/>
      <c r="G1541" s="89"/>
      <c r="H1541" s="74"/>
      <c r="I1541" s="74"/>
      <c r="J1541" s="95"/>
      <c r="K1541" s="92"/>
      <c r="L1541" s="92"/>
      <c r="M1541" s="44"/>
      <c r="N1541" s="44"/>
      <c r="O1541" s="44"/>
      <c r="P1541" s="44"/>
      <c r="Q1541" s="44"/>
      <c r="R1541" s="84"/>
      <c r="S1541" s="47"/>
      <c r="T1541" s="47"/>
    </row>
    <row r="1542" s="27" customFormat="1" ht="18" customHeight="1" spans="1:20">
      <c r="A1542" s="34"/>
      <c r="B1542" s="48">
        <v>19</v>
      </c>
      <c r="C1542" s="48"/>
      <c r="D1542" s="27"/>
      <c r="E1542" s="72"/>
      <c r="F1542" s="77"/>
      <c r="G1542" s="89"/>
      <c r="H1542" s="74"/>
      <c r="I1542" s="74"/>
      <c r="J1542" s="95"/>
      <c r="K1542" s="92"/>
      <c r="L1542" s="92"/>
      <c r="M1542" s="44"/>
      <c r="N1542" s="44"/>
      <c r="O1542" s="44"/>
      <c r="P1542" s="44"/>
      <c r="Q1542" s="44"/>
      <c r="R1542" s="84"/>
      <c r="S1542" s="47"/>
      <c r="T1542" s="47"/>
    </row>
    <row r="1543" s="27" customFormat="1" ht="18" customHeight="1" spans="1:20">
      <c r="A1543" s="34"/>
      <c r="B1543" s="48">
        <v>20</v>
      </c>
      <c r="C1543" s="48"/>
      <c r="D1543" s="88"/>
      <c r="E1543" s="72"/>
      <c r="F1543" s="77"/>
      <c r="G1543" s="89"/>
      <c r="H1543" s="74"/>
      <c r="I1543" s="74"/>
      <c r="J1543" s="95"/>
      <c r="K1543" s="92"/>
      <c r="L1543" s="92"/>
      <c r="M1543" s="44"/>
      <c r="N1543" s="44"/>
      <c r="O1543" s="44"/>
      <c r="P1543" s="44"/>
      <c r="Q1543" s="44"/>
      <c r="R1543" s="84"/>
      <c r="S1543" s="47"/>
      <c r="T1543" s="47"/>
    </row>
    <row r="1544" s="27" customFormat="1" ht="18" customHeight="1" spans="1:20">
      <c r="A1544" s="34"/>
      <c r="B1544" s="48">
        <v>21</v>
      </c>
      <c r="C1544" s="48"/>
      <c r="D1544" s="88"/>
      <c r="E1544" s="72"/>
      <c r="F1544" s="77"/>
      <c r="G1544" s="89"/>
      <c r="H1544" s="74"/>
      <c r="I1544" s="74"/>
      <c r="J1544" s="95"/>
      <c r="K1544" s="92"/>
      <c r="L1544" s="92"/>
      <c r="M1544" s="44"/>
      <c r="N1544" s="44"/>
      <c r="O1544" s="44"/>
      <c r="P1544" s="44"/>
      <c r="Q1544" s="44"/>
      <c r="R1544" s="84"/>
      <c r="S1544" s="47"/>
      <c r="T1544" s="47"/>
    </row>
    <row r="1545" s="27" customFormat="1" ht="18" customHeight="1" spans="1:20">
      <c r="A1545" s="34"/>
      <c r="B1545" s="48">
        <v>22</v>
      </c>
      <c r="C1545" s="48"/>
      <c r="D1545" s="27"/>
      <c r="E1545" s="72"/>
      <c r="F1545" s="77"/>
      <c r="G1545" s="72"/>
      <c r="H1545" s="74"/>
      <c r="I1545" s="74"/>
      <c r="J1545" s="95"/>
      <c r="K1545" s="92"/>
      <c r="L1545" s="92"/>
      <c r="M1545" s="44"/>
      <c r="N1545" s="44"/>
      <c r="O1545" s="44"/>
      <c r="P1545" s="44"/>
      <c r="Q1545" s="44"/>
      <c r="R1545" s="62"/>
      <c r="S1545" s="47"/>
      <c r="T1545" s="47"/>
    </row>
    <row r="1546" s="27" customFormat="1" ht="18" customHeight="1" spans="1:20">
      <c r="A1546" s="34"/>
      <c r="B1546" s="48">
        <v>23</v>
      </c>
      <c r="C1546" s="48"/>
      <c r="D1546" s="88"/>
      <c r="E1546" s="72"/>
      <c r="F1546" s="77"/>
      <c r="G1546" s="89"/>
      <c r="H1546" s="74"/>
      <c r="I1546" s="74"/>
      <c r="J1546" s="95"/>
      <c r="K1546" s="92"/>
      <c r="L1546" s="92"/>
      <c r="M1546" s="44"/>
      <c r="N1546" s="44"/>
      <c r="O1546" s="44"/>
      <c r="P1546" s="44"/>
      <c r="Q1546" s="44"/>
      <c r="R1546" s="62"/>
      <c r="S1546" s="47"/>
      <c r="T1546" s="47"/>
    </row>
    <row r="1547" s="27" customFormat="1" ht="18" customHeight="1" spans="1:20">
      <c r="A1547" s="34"/>
      <c r="B1547" s="48">
        <v>24</v>
      </c>
      <c r="C1547" s="48"/>
      <c r="D1547" s="88" t="s">
        <v>478</v>
      </c>
      <c r="E1547" s="72" t="s">
        <v>43</v>
      </c>
      <c r="F1547" s="77"/>
      <c r="G1547" s="72">
        <v>1</v>
      </c>
      <c r="H1547" s="74">
        <v>1</v>
      </c>
      <c r="I1547" s="74">
        <f>+辅材及安装费!$E$7</f>
        <v>10</v>
      </c>
      <c r="J1547" s="95">
        <f>H1547*I1547</f>
        <v>10</v>
      </c>
      <c r="K1547" s="92"/>
      <c r="L1547" s="92"/>
      <c r="M1547" s="44"/>
      <c r="N1547" s="44"/>
      <c r="O1547" s="44"/>
      <c r="P1547" s="44"/>
      <c r="Q1547" s="44"/>
      <c r="R1547" s="62"/>
      <c r="S1547" s="47"/>
      <c r="T1547" s="47"/>
    </row>
    <row r="1548" s="27" customFormat="1" ht="18" customHeight="1" spans="1:20">
      <c r="A1548" s="34"/>
      <c r="B1548" s="48">
        <v>25</v>
      </c>
      <c r="C1548" s="48"/>
      <c r="D1548" s="93" t="s">
        <v>442</v>
      </c>
      <c r="E1548" s="72"/>
      <c r="F1548" s="77"/>
      <c r="G1548" s="72"/>
      <c r="H1548" s="74"/>
      <c r="I1548" s="74"/>
      <c r="J1548" s="95">
        <f>SUM(J1524:J1547)</f>
        <v>466.626246377074</v>
      </c>
      <c r="K1548" s="92"/>
      <c r="L1548" s="94"/>
      <c r="M1548" s="27"/>
      <c r="N1548" s="83"/>
      <c r="O1548" s="83"/>
      <c r="P1548" s="83"/>
      <c r="Q1548" s="83"/>
      <c r="R1548" s="87"/>
      <c r="S1548" s="47"/>
      <c r="T1548" s="47"/>
    </row>
    <row r="1549" s="27" customFormat="1" ht="18" customHeight="1" spans="1:20">
      <c r="A1549" s="34"/>
      <c r="B1549" s="48">
        <v>1</v>
      </c>
      <c r="C1549" s="48" t="s">
        <v>443</v>
      </c>
      <c r="D1549" s="48" t="s">
        <v>444</v>
      </c>
      <c r="E1549" s="72" t="s">
        <v>43</v>
      </c>
      <c r="F1549" s="50"/>
      <c r="G1549" s="48"/>
      <c r="H1549" s="51">
        <v>1</v>
      </c>
      <c r="I1549" s="74">
        <f>+辅材及安装费!$F$7</f>
        <v>5</v>
      </c>
      <c r="J1549" s="95">
        <f>H1549*I1549</f>
        <v>5</v>
      </c>
      <c r="K1549" s="118"/>
      <c r="L1549" s="96"/>
      <c r="M1549" s="97"/>
      <c r="N1549" s="98"/>
      <c r="O1549" s="98"/>
      <c r="P1549" s="98"/>
      <c r="Q1549" s="98"/>
      <c r="R1549" s="99"/>
      <c r="S1549" s="47"/>
      <c r="T1549" s="47"/>
    </row>
    <row r="1550" s="26" customFormat="1" ht="30" customHeight="1" spans="1:20">
      <c r="A1550" s="28"/>
      <c r="B1550" s="29" t="s">
        <v>386</v>
      </c>
      <c r="C1550" s="29"/>
      <c r="D1550" s="29"/>
      <c r="E1550" s="29"/>
      <c r="F1550" s="29"/>
      <c r="G1550" s="29"/>
      <c r="H1550" s="29"/>
      <c r="I1550" s="29"/>
      <c r="J1550" s="29"/>
      <c r="K1550" s="29"/>
      <c r="L1550" s="30"/>
      <c r="M1550" s="31"/>
      <c r="N1550" s="31"/>
      <c r="O1550" s="31"/>
      <c r="P1550" s="31"/>
      <c r="Q1550" s="31"/>
      <c r="R1550" s="32"/>
      <c r="S1550" s="33"/>
      <c r="T1550" s="33"/>
    </row>
    <row r="1551" s="27" customFormat="1" ht="33.75" customHeight="1" spans="1:20">
      <c r="A1551" s="34">
        <v>4</v>
      </c>
      <c r="B1551" s="35" t="s">
        <v>1</v>
      </c>
      <c r="C1551" s="35" t="s">
        <v>387</v>
      </c>
      <c r="D1551" s="36" t="str">
        <f>+A1559</f>
        <v>铝合金百叶</v>
      </c>
      <c r="E1551" s="37"/>
      <c r="F1551" s="38"/>
      <c r="G1551" s="39"/>
      <c r="H1551" s="35" t="s">
        <v>388</v>
      </c>
      <c r="I1551" s="40" t="s">
        <v>389</v>
      </c>
      <c r="J1551" s="41" t="s">
        <v>37</v>
      </c>
      <c r="K1551" s="42">
        <f ca="1">VLOOKUP(A1551,排屋工程量清单!$A$87:$D$91,4,)</f>
        <v>4.108</v>
      </c>
      <c r="L1551" s="43"/>
      <c r="M1551" s="44"/>
      <c r="N1551" s="44"/>
      <c r="O1551" s="44"/>
      <c r="P1551" s="45"/>
      <c r="Q1551" s="44"/>
      <c r="R1551" s="46"/>
      <c r="S1551" s="47"/>
      <c r="T1551" s="47"/>
    </row>
    <row r="1552" s="27" customFormat="1" ht="25" customHeight="1" spans="1:20">
      <c r="A1552" s="34"/>
      <c r="B1552" s="48">
        <v>1</v>
      </c>
      <c r="C1552" s="49" t="s">
        <v>390</v>
      </c>
      <c r="D1552" s="48" t="s">
        <v>391</v>
      </c>
      <c r="E1552" s="48"/>
      <c r="F1552" s="50"/>
      <c r="G1552" s="48"/>
      <c r="H1552" s="51"/>
      <c r="I1552" s="52">
        <f>J1564</f>
        <v>65</v>
      </c>
      <c r="J1552" s="53" t="s">
        <v>392</v>
      </c>
      <c r="K1552" s="54"/>
      <c r="L1552" s="55" t="s">
        <v>174</v>
      </c>
      <c r="M1552" s="56" t="s">
        <v>217</v>
      </c>
      <c r="N1552" s="57"/>
      <c r="O1552" s="57">
        <v>2.6</v>
      </c>
      <c r="P1552" s="57">
        <v>1.58</v>
      </c>
      <c r="Q1552" s="57">
        <v>1</v>
      </c>
      <c r="R1552" s="58">
        <f>+Q1552*P1552*O1552</f>
        <v>4.108</v>
      </c>
      <c r="S1552" s="47"/>
      <c r="T1552" s="47"/>
    </row>
    <row r="1553" s="27" customFormat="1" ht="18" customHeight="1" spans="1:20">
      <c r="A1553" s="34"/>
      <c r="B1553" s="48">
        <v>2</v>
      </c>
      <c r="C1553" s="59"/>
      <c r="D1553" s="48" t="s">
        <v>394</v>
      </c>
      <c r="E1553" s="48"/>
      <c r="F1553" s="50"/>
      <c r="G1553" s="48"/>
      <c r="H1553" s="51"/>
      <c r="I1553" s="52">
        <f>J1589</f>
        <v>518.672092590032</v>
      </c>
      <c r="J1553" s="53" t="s">
        <v>392</v>
      </c>
      <c r="K1553" s="60"/>
      <c r="L1553" s="61"/>
      <c r="M1553" s="44"/>
      <c r="N1553" s="44"/>
      <c r="O1553" s="44"/>
      <c r="P1553" s="44"/>
      <c r="Q1553" s="44"/>
      <c r="R1553" s="62"/>
      <c r="S1553" s="47"/>
      <c r="T1553" s="47"/>
    </row>
    <row r="1554" s="27" customFormat="1" ht="18" customHeight="1" spans="1:20">
      <c r="A1554" s="34"/>
      <c r="B1554" s="48">
        <v>3</v>
      </c>
      <c r="C1554" s="63"/>
      <c r="D1554" s="48" t="s">
        <v>395</v>
      </c>
      <c r="E1554" s="48"/>
      <c r="F1554" s="50"/>
      <c r="G1554" s="48"/>
      <c r="H1554" s="51"/>
      <c r="I1554" s="52">
        <f>J1590</f>
        <v>5</v>
      </c>
      <c r="J1554" s="53" t="s">
        <v>392</v>
      </c>
      <c r="K1554" s="60"/>
      <c r="L1554" s="60"/>
      <c r="M1554" s="65" t="s">
        <v>396</v>
      </c>
      <c r="N1554" s="65" t="s">
        <v>397</v>
      </c>
      <c r="O1554" s="65" t="s">
        <v>398</v>
      </c>
      <c r="P1554" s="65" t="s">
        <v>399</v>
      </c>
      <c r="Q1554" s="65" t="s">
        <v>400</v>
      </c>
      <c r="R1554" s="66" t="s">
        <v>401</v>
      </c>
      <c r="S1554" s="47"/>
      <c r="T1554" s="47"/>
    </row>
    <row r="1555" s="27" customFormat="1" ht="18" customHeight="1" spans="1:20">
      <c r="A1555" s="34"/>
      <c r="B1555" s="48">
        <v>4</v>
      </c>
      <c r="C1555" s="48" t="s">
        <v>402</v>
      </c>
      <c r="D1555" s="67" t="s">
        <v>403</v>
      </c>
      <c r="E1555" s="67"/>
      <c r="F1555" s="50"/>
      <c r="G1555" s="67"/>
      <c r="H1555" s="68"/>
      <c r="I1555" s="52">
        <f>SUM(I1552:I1554)</f>
        <v>588.672092590032</v>
      </c>
      <c r="J1555" s="53" t="s">
        <v>392</v>
      </c>
      <c r="K1555" s="60"/>
      <c r="L1555" s="69" t="s">
        <v>431</v>
      </c>
      <c r="M1555" s="34" t="s">
        <v>553</v>
      </c>
      <c r="N1555" s="34">
        <v>13.35</v>
      </c>
      <c r="O1555" s="34">
        <f>O1552</f>
        <v>2.6</v>
      </c>
      <c r="P1555" s="34">
        <v>0</v>
      </c>
      <c r="Q1555" s="44">
        <f t="shared" ref="Q1555:Q1566" si="182">+P1555*O1555*N1555</f>
        <v>0</v>
      </c>
      <c r="R1555" s="71">
        <f>+Q1555/R1552</f>
        <v>0</v>
      </c>
      <c r="S1555" s="47"/>
      <c r="T1555" s="47"/>
    </row>
    <row r="1556" s="27" customFormat="1" ht="28" customHeight="1" spans="1:20">
      <c r="A1556" s="34"/>
      <c r="B1556" s="48">
        <v>5</v>
      </c>
      <c r="C1556" s="72" t="s">
        <v>406</v>
      </c>
      <c r="D1556" s="48" t="s">
        <v>407</v>
      </c>
      <c r="E1556" s="48"/>
      <c r="F1556" s="50"/>
      <c r="G1556" s="48"/>
      <c r="H1556" s="73">
        <f>+'材料表 '!$E$178</f>
        <v>0</v>
      </c>
      <c r="I1556" s="52">
        <f>H1556*I1555</f>
        <v>0</v>
      </c>
      <c r="J1556" s="53" t="s">
        <v>392</v>
      </c>
      <c r="K1556" s="60"/>
      <c r="L1556" s="69" t="s">
        <v>431</v>
      </c>
      <c r="M1556" s="34" t="s">
        <v>523</v>
      </c>
      <c r="N1556" s="102">
        <v>4.52</v>
      </c>
      <c r="O1556" s="34"/>
      <c r="P1556" s="34">
        <v>0</v>
      </c>
      <c r="Q1556" s="44">
        <f t="shared" si="182"/>
        <v>0</v>
      </c>
      <c r="R1556" s="71">
        <f>+Q1556/R1552</f>
        <v>0</v>
      </c>
      <c r="S1556" s="47"/>
      <c r="T1556" s="47"/>
    </row>
    <row r="1557" s="27" customFormat="1" ht="18" customHeight="1" spans="1:20">
      <c r="A1557" s="34"/>
      <c r="B1557" s="48">
        <v>6</v>
      </c>
      <c r="C1557" s="48" t="s">
        <v>409</v>
      </c>
      <c r="D1557" s="48" t="s">
        <v>410</v>
      </c>
      <c r="E1557" s="48"/>
      <c r="F1557" s="50"/>
      <c r="G1557" s="48"/>
      <c r="H1557" s="73">
        <f>+'材料表 '!$E$179</f>
        <v>0</v>
      </c>
      <c r="I1557" s="52">
        <f>H1557*I1555</f>
        <v>0</v>
      </c>
      <c r="J1557" s="53" t="s">
        <v>392</v>
      </c>
      <c r="K1557" s="60"/>
      <c r="L1557" s="69" t="s">
        <v>461</v>
      </c>
      <c r="M1557" s="34" t="s">
        <v>546</v>
      </c>
      <c r="N1557" s="34">
        <v>4.81</v>
      </c>
      <c r="O1557" s="34">
        <f>O1552</f>
        <v>2.6</v>
      </c>
      <c r="P1557" s="34">
        <v>0</v>
      </c>
      <c r="Q1557" s="44">
        <f t="shared" si="182"/>
        <v>0</v>
      </c>
      <c r="R1557" s="71">
        <f>+Q1557/R1552</f>
        <v>0</v>
      </c>
      <c r="S1557" s="47"/>
      <c r="T1557" s="47"/>
    </row>
    <row r="1558" s="27" customFormat="1" ht="18" customHeight="1" spans="1:20">
      <c r="A1558" s="34"/>
      <c r="B1558" s="48">
        <v>7</v>
      </c>
      <c r="C1558" s="48" t="s">
        <v>412</v>
      </c>
      <c r="D1558" s="72" t="s">
        <v>413</v>
      </c>
      <c r="E1558" s="72"/>
      <c r="F1558" s="77"/>
      <c r="G1558" s="72"/>
      <c r="H1558" s="73">
        <f>+'材料表 '!$E$180</f>
        <v>0.09</v>
      </c>
      <c r="I1558" s="52">
        <f>(I1555+I1556+I1557)*H1558</f>
        <v>52.9804883331028</v>
      </c>
      <c r="J1558" s="53" t="s">
        <v>392</v>
      </c>
      <c r="K1558" s="60"/>
      <c r="L1558" s="69" t="s">
        <v>463</v>
      </c>
      <c r="M1558" s="34" t="s">
        <v>464</v>
      </c>
      <c r="N1558" s="34">
        <f>0.15*0.2*7.85*10</f>
        <v>2.355</v>
      </c>
      <c r="O1558" s="34">
        <v>5</v>
      </c>
      <c r="P1558" s="34">
        <v>0</v>
      </c>
      <c r="Q1558" s="44">
        <f t="shared" si="182"/>
        <v>0</v>
      </c>
      <c r="R1558" s="71">
        <f>+Q1558/R1552</f>
        <v>0</v>
      </c>
      <c r="S1558" s="47"/>
      <c r="T1558" s="47"/>
    </row>
    <row r="1559" s="27" customFormat="1" ht="18" customHeight="1" spans="1:20">
      <c r="A1559" s="105" t="s">
        <v>173</v>
      </c>
      <c r="B1559" s="48">
        <v>8</v>
      </c>
      <c r="C1559" s="48" t="s">
        <v>363</v>
      </c>
      <c r="D1559" s="106" t="s">
        <v>415</v>
      </c>
      <c r="E1559" s="107"/>
      <c r="F1559" s="108"/>
      <c r="G1559" s="107"/>
      <c r="H1559" s="51"/>
      <c r="I1559" s="74">
        <f>SUM(I1555:I1558)</f>
        <v>641.652580923134</v>
      </c>
      <c r="J1559" s="53" t="s">
        <v>416</v>
      </c>
      <c r="K1559" s="60"/>
      <c r="L1559" s="69" t="s">
        <v>465</v>
      </c>
      <c r="M1559" s="34" t="s">
        <v>559</v>
      </c>
      <c r="N1559" s="126">
        <v>7.034</v>
      </c>
      <c r="O1559" s="34">
        <f>120/1000</f>
        <v>0.12</v>
      </c>
      <c r="P1559" s="44">
        <f>2*3</f>
        <v>6</v>
      </c>
      <c r="Q1559" s="44">
        <f t="shared" si="182"/>
        <v>5.06448</v>
      </c>
      <c r="R1559" s="84">
        <f>+Q1559/R1552</f>
        <v>1.23283349561831</v>
      </c>
      <c r="S1559" s="79"/>
      <c r="T1559" s="47"/>
    </row>
    <row r="1560" s="27" customFormat="1" ht="18" customHeight="1" spans="1:20">
      <c r="A1560" s="34"/>
      <c r="B1560" s="109" t="s">
        <v>418</v>
      </c>
      <c r="C1560" s="110"/>
      <c r="D1560" s="110"/>
      <c r="E1560" s="110"/>
      <c r="F1560" s="110"/>
      <c r="G1560" s="110"/>
      <c r="H1560" s="110"/>
      <c r="I1560" s="110"/>
      <c r="J1560" s="110"/>
      <c r="K1560" s="80"/>
      <c r="L1560" s="69" t="s">
        <v>404</v>
      </c>
      <c r="M1560" s="70" t="s">
        <v>445</v>
      </c>
      <c r="N1560" s="34">
        <v>2.513</v>
      </c>
      <c r="O1560" s="34">
        <f>P1552*2+O1552</f>
        <v>5.76</v>
      </c>
      <c r="P1560" s="34">
        <v>0</v>
      </c>
      <c r="Q1560" s="44">
        <f t="shared" si="182"/>
        <v>0</v>
      </c>
      <c r="R1560" s="71">
        <f>+Q1560/R1552</f>
        <v>0</v>
      </c>
      <c r="S1560" s="47"/>
      <c r="T1560" s="47"/>
    </row>
    <row r="1561" s="27" customFormat="1" ht="18" customHeight="1" spans="1:20">
      <c r="A1561" s="34"/>
      <c r="B1561" s="48">
        <v>1</v>
      </c>
      <c r="C1561" s="48" t="s">
        <v>391</v>
      </c>
      <c r="D1561" s="48" t="s">
        <v>396</v>
      </c>
      <c r="E1561" s="48" t="s">
        <v>37</v>
      </c>
      <c r="F1561" s="50"/>
      <c r="G1561" s="48"/>
      <c r="H1561" s="51" t="s">
        <v>399</v>
      </c>
      <c r="I1561" s="51" t="s">
        <v>420</v>
      </c>
      <c r="J1561" s="95" t="s">
        <v>421</v>
      </c>
      <c r="K1561" s="92"/>
      <c r="L1561" s="69" t="s">
        <v>429</v>
      </c>
      <c r="M1561" s="70" t="s">
        <v>446</v>
      </c>
      <c r="N1561" s="34">
        <v>0.424</v>
      </c>
      <c r="O1561" s="34">
        <f>O1560</f>
        <v>5.76</v>
      </c>
      <c r="P1561" s="34">
        <v>0</v>
      </c>
      <c r="Q1561" s="44">
        <f t="shared" si="182"/>
        <v>0</v>
      </c>
      <c r="R1561" s="71">
        <f>+Q1561/R1552</f>
        <v>0</v>
      </c>
      <c r="S1561" s="47"/>
      <c r="T1561" s="47"/>
    </row>
    <row r="1562" s="27" customFormat="1" ht="18" customHeight="1" spans="1:20">
      <c r="A1562" s="34"/>
      <c r="B1562" s="48">
        <v>2</v>
      </c>
      <c r="C1562" s="48"/>
      <c r="D1562" s="111" t="s">
        <v>563</v>
      </c>
      <c r="E1562" s="49" t="s">
        <v>423</v>
      </c>
      <c r="F1562" s="112"/>
      <c r="G1562" s="111"/>
      <c r="H1562" s="113">
        <v>1</v>
      </c>
      <c r="I1562" s="113">
        <f>+辅材及安装费!$G$11</f>
        <v>65</v>
      </c>
      <c r="J1562" s="114">
        <f t="shared" ref="J1562:J1574" si="183">H1562*I1562</f>
        <v>65</v>
      </c>
      <c r="K1562" s="92"/>
      <c r="L1562" s="34" t="s">
        <v>447</v>
      </c>
      <c r="M1562" s="70" t="s">
        <v>448</v>
      </c>
      <c r="N1562" s="34">
        <v>0.484</v>
      </c>
      <c r="O1562" s="34">
        <f>O1560</f>
        <v>5.76</v>
      </c>
      <c r="P1562" s="34">
        <v>0</v>
      </c>
      <c r="Q1562" s="44">
        <f t="shared" si="182"/>
        <v>0</v>
      </c>
      <c r="R1562" s="71">
        <f>+Q1562/R1552</f>
        <v>0</v>
      </c>
      <c r="S1562" s="47">
        <f>0.05+0.046+0.015</f>
        <v>0.111</v>
      </c>
      <c r="T1562" s="47">
        <f>O1562*S1562*P1562</f>
        <v>0</v>
      </c>
    </row>
    <row r="1563" s="27" customFormat="1" ht="18" customHeight="1" spans="1:20">
      <c r="A1563" s="34"/>
      <c r="B1563" s="48">
        <v>3</v>
      </c>
      <c r="C1563" s="48"/>
      <c r="D1563" s="115"/>
      <c r="E1563" s="63"/>
      <c r="F1563" s="116"/>
      <c r="G1563" s="115"/>
      <c r="H1563" s="117"/>
      <c r="I1563" s="117"/>
      <c r="J1563" s="118"/>
      <c r="K1563" s="92"/>
      <c r="L1563" s="90" t="s">
        <v>447</v>
      </c>
      <c r="M1563" s="70" t="s">
        <v>564</v>
      </c>
      <c r="N1563" s="82">
        <f>0.165*2.71</f>
        <v>0.44715</v>
      </c>
      <c r="O1563" s="44">
        <f>O1552*2+P1552*8</f>
        <v>17.84</v>
      </c>
      <c r="P1563" s="44">
        <v>1</v>
      </c>
      <c r="Q1563" s="44">
        <f t="shared" si="182"/>
        <v>7.977156</v>
      </c>
      <c r="R1563" s="84">
        <f>Q1563/R1552</f>
        <v>1.941858812074</v>
      </c>
      <c r="S1563" s="47">
        <v>0.201</v>
      </c>
      <c r="T1563" s="47">
        <f t="shared" ref="T1563:T1566" si="184">S1563*O1563*P1563</f>
        <v>3.58584</v>
      </c>
    </row>
    <row r="1564" s="27" customFormat="1" ht="18" customHeight="1" spans="1:20">
      <c r="A1564" s="34"/>
      <c r="B1564" s="48">
        <v>4</v>
      </c>
      <c r="C1564" s="48"/>
      <c r="D1564" s="85" t="s">
        <v>426</v>
      </c>
      <c r="E1564" s="48" t="s">
        <v>392</v>
      </c>
      <c r="F1564" s="50"/>
      <c r="G1564" s="48"/>
      <c r="H1564" s="86"/>
      <c r="I1564" s="86"/>
      <c r="J1564" s="95">
        <f>SUM(J1562:J1562)</f>
        <v>65</v>
      </c>
      <c r="K1564" s="92"/>
      <c r="L1564" s="90"/>
      <c r="M1564" s="44"/>
      <c r="N1564" s="82"/>
      <c r="O1564" s="44"/>
      <c r="P1564" s="44"/>
      <c r="Q1564" s="44"/>
      <c r="R1564" s="84"/>
      <c r="S1564" s="47"/>
      <c r="T1564" s="47"/>
    </row>
    <row r="1565" s="27" customFormat="1" ht="22" customHeight="1" spans="1:20">
      <c r="A1565" s="34"/>
      <c r="B1565" s="48">
        <v>1</v>
      </c>
      <c r="C1565" s="48" t="s">
        <v>394</v>
      </c>
      <c r="D1565" s="88" t="s">
        <v>431</v>
      </c>
      <c r="E1565" s="72" t="str">
        <f>+VLOOKUP(D1565,'材料表 '!C:F,2,0)</f>
        <v>kg</v>
      </c>
      <c r="F1565" s="77">
        <f>+SUMIF($L$1552:$L$1590,D1565,$R$1552:$R$1590)</f>
        <v>0</v>
      </c>
      <c r="G1565" s="89">
        <f>+VLOOKUP(D1565,'材料表 '!C:F,4,0)</f>
        <v>0.03</v>
      </c>
      <c r="H1565" s="74">
        <f t="shared" ref="H1565:H1574" si="185">F1565*(G1565+1)</f>
        <v>0</v>
      </c>
      <c r="I1565" s="74">
        <f>+VLOOKUP(D1565,'材料表 '!C:F,3,0)</f>
        <v>3.80530973451327</v>
      </c>
      <c r="J1565" s="95">
        <f t="shared" si="183"/>
        <v>0</v>
      </c>
      <c r="K1565" s="92">
        <f ca="1">H1565*K1551</f>
        <v>0</v>
      </c>
      <c r="L1565" s="90" t="s">
        <v>447</v>
      </c>
      <c r="M1565" s="44" t="s">
        <v>557</v>
      </c>
      <c r="N1565" s="82">
        <v>0.799</v>
      </c>
      <c r="O1565" s="44">
        <f>P1552</f>
        <v>1.58</v>
      </c>
      <c r="P1565" s="44">
        <v>5</v>
      </c>
      <c r="Q1565" s="44">
        <f t="shared" si="182"/>
        <v>6.3121</v>
      </c>
      <c r="R1565" s="84">
        <f>Q1565/R1552</f>
        <v>1.53653846153846</v>
      </c>
      <c r="S1565" s="47">
        <f>0.24</f>
        <v>0.24</v>
      </c>
      <c r="T1565" s="47">
        <f t="shared" si="184"/>
        <v>1.896</v>
      </c>
    </row>
    <row r="1566" s="27" customFormat="1" ht="18" customHeight="1" spans="1:20">
      <c r="A1566" s="34"/>
      <c r="B1566" s="48">
        <v>2</v>
      </c>
      <c r="C1566" s="48"/>
      <c r="D1566" s="88" t="s">
        <v>461</v>
      </c>
      <c r="E1566" s="72" t="str">
        <f>+VLOOKUP(D1566,'材料表 '!C:F,2,0)</f>
        <v>kg</v>
      </c>
      <c r="F1566" s="77">
        <f t="shared" ref="F1566:F1574" si="186">+SUMIF($L$1552:$L$1590,D1566,$R$1552:$R$1590)</f>
        <v>0</v>
      </c>
      <c r="G1566" s="89">
        <f>+VLOOKUP(D1566,'材料表 '!C:F,4,0)</f>
        <v>0.03</v>
      </c>
      <c r="H1566" s="74">
        <f t="shared" si="185"/>
        <v>0</v>
      </c>
      <c r="I1566" s="74">
        <f>+VLOOKUP(D1566,'材料表 '!C:F,3,0)</f>
        <v>3.53982300884956</v>
      </c>
      <c r="J1566" s="95">
        <f t="shared" si="183"/>
        <v>0</v>
      </c>
      <c r="K1566" s="92">
        <f ca="1">H1566*K1551</f>
        <v>0</v>
      </c>
      <c r="L1566" s="90" t="s">
        <v>447</v>
      </c>
      <c r="M1566" s="44" t="s">
        <v>565</v>
      </c>
      <c r="N1566" s="82">
        <f>0.162*2.71</f>
        <v>0.43902</v>
      </c>
      <c r="O1566" s="44">
        <f>O1552</f>
        <v>2.6</v>
      </c>
      <c r="P1566" s="44">
        <f>P1552/0.07</f>
        <v>22.5714285714286</v>
      </c>
      <c r="Q1566" s="44">
        <f t="shared" si="182"/>
        <v>25.7642022857143</v>
      </c>
      <c r="R1566" s="84">
        <f>Q1566/R1552</f>
        <v>6.27171428571429</v>
      </c>
      <c r="S1566" s="47">
        <v>0.197</v>
      </c>
      <c r="T1566" s="47">
        <f t="shared" si="184"/>
        <v>11.5610857142857</v>
      </c>
    </row>
    <row r="1567" s="27" customFormat="1" ht="18" customHeight="1" spans="1:20">
      <c r="A1567" s="34"/>
      <c r="B1567" s="48">
        <v>3</v>
      </c>
      <c r="C1567" s="48"/>
      <c r="D1567" s="88" t="s">
        <v>465</v>
      </c>
      <c r="E1567" s="72" t="str">
        <f>+VLOOKUP(D1567,'材料表 '!C:F,2,0)</f>
        <v>kg</v>
      </c>
      <c r="F1567" s="77">
        <f t="shared" si="186"/>
        <v>1.23283349561831</v>
      </c>
      <c r="G1567" s="89">
        <f>+VLOOKUP(D1567,'材料表 '!C:F,4,0)</f>
        <v>0.03</v>
      </c>
      <c r="H1567" s="74">
        <f t="shared" si="185"/>
        <v>1.26981850048686</v>
      </c>
      <c r="I1567" s="74">
        <f>+VLOOKUP(D1567,'材料表 '!C:F,3,0)</f>
        <v>6.01769911504425</v>
      </c>
      <c r="J1567" s="95">
        <f t="shared" si="183"/>
        <v>7.64138566664659</v>
      </c>
      <c r="K1567" s="92">
        <f ca="1">H1567*K1551</f>
        <v>5.21641440000002</v>
      </c>
      <c r="L1567" s="90"/>
      <c r="M1567" s="44"/>
      <c r="N1567" s="82"/>
      <c r="O1567" s="44"/>
      <c r="P1567" s="44"/>
      <c r="Q1567" s="44">
        <f>+P1567*O1567</f>
        <v>0</v>
      </c>
      <c r="R1567" s="84">
        <f>+Q1567/R1552</f>
        <v>0</v>
      </c>
      <c r="S1567" s="47"/>
      <c r="T1567" s="47"/>
    </row>
    <row r="1568" s="27" customFormat="1" ht="18" customHeight="1" spans="1:20">
      <c r="A1568" s="34"/>
      <c r="B1568" s="48">
        <v>4</v>
      </c>
      <c r="C1568" s="48"/>
      <c r="D1568" s="88" t="s">
        <v>463</v>
      </c>
      <c r="E1568" s="72" t="str">
        <f>+VLOOKUP(D1568,'材料表 '!C:F,2,0)</f>
        <v>kg</v>
      </c>
      <c r="F1568" s="77">
        <f t="shared" si="186"/>
        <v>0</v>
      </c>
      <c r="G1568" s="89">
        <f>+VLOOKUP(D1568,'材料表 '!C:F,4,0)</f>
        <v>0.03</v>
      </c>
      <c r="H1568" s="74">
        <f t="shared" si="185"/>
        <v>0</v>
      </c>
      <c r="I1568" s="74">
        <f>+VLOOKUP(D1568,'材料表 '!C:F,3,0)</f>
        <v>6.01769911504425</v>
      </c>
      <c r="J1568" s="95">
        <f t="shared" si="183"/>
        <v>0</v>
      </c>
      <c r="K1568" s="92">
        <f ca="1">H1568*K1551</f>
        <v>0</v>
      </c>
      <c r="L1568" s="90" t="s">
        <v>474</v>
      </c>
      <c r="M1568" s="44"/>
      <c r="N1568" s="82"/>
      <c r="O1568" s="44"/>
      <c r="P1568" s="44"/>
      <c r="Q1568" s="44">
        <f>+O1558*P1558*4</f>
        <v>0</v>
      </c>
      <c r="R1568" s="84">
        <f>+Q1568/R1552</f>
        <v>0</v>
      </c>
      <c r="S1568" s="47"/>
      <c r="T1568" s="47">
        <f>SUM(T1562:T1567)</f>
        <v>17.0429257142857</v>
      </c>
    </row>
    <row r="1569" s="27" customFormat="1" ht="18" customHeight="1" spans="1:20">
      <c r="A1569" s="34"/>
      <c r="B1569" s="48">
        <v>5</v>
      </c>
      <c r="C1569" s="48"/>
      <c r="D1569" s="88" t="s">
        <v>447</v>
      </c>
      <c r="E1569" s="72" t="str">
        <f>+VLOOKUP(D1569,'材料表 '!C:F,2,0)</f>
        <v>kg</v>
      </c>
      <c r="F1569" s="77">
        <f t="shared" si="186"/>
        <v>9.75011155932675</v>
      </c>
      <c r="G1569" s="89">
        <f>+VLOOKUP(D1569,'材料表 '!C:F,4,0)</f>
        <v>0.03</v>
      </c>
      <c r="H1569" s="74">
        <f t="shared" si="185"/>
        <v>10.0426149061066</v>
      </c>
      <c r="I1569" s="74">
        <f>+VLOOKUP(D1569,'材料表 '!C:F,3,0)</f>
        <v>24.4336283185841</v>
      </c>
      <c r="J1569" s="95">
        <f t="shared" si="183"/>
        <v>245.37751996248</v>
      </c>
      <c r="K1569" s="92">
        <f ca="1">H1569*K1551</f>
        <v>41.2550620342859</v>
      </c>
      <c r="L1569" s="92" t="s">
        <v>476</v>
      </c>
      <c r="M1569" s="44"/>
      <c r="N1569" s="82"/>
      <c r="O1569" s="44"/>
      <c r="P1569" s="44"/>
      <c r="Q1569" s="44">
        <f>10*8*(O1552*0+P1552*0)/500</f>
        <v>0</v>
      </c>
      <c r="R1569" s="84">
        <f>+Q1569/R1552</f>
        <v>0</v>
      </c>
      <c r="S1569" s="47"/>
      <c r="T1569" s="47"/>
    </row>
    <row r="1570" s="27" customFormat="1" ht="18" customHeight="1" spans="1:20">
      <c r="A1570" s="34"/>
      <c r="B1570" s="48">
        <v>6</v>
      </c>
      <c r="C1570" s="48"/>
      <c r="D1570" s="88" t="s">
        <v>434</v>
      </c>
      <c r="E1570" s="72" t="str">
        <f>+VLOOKUP(D1570,'材料表 '!C:F,2,0)</f>
        <v>m2</v>
      </c>
      <c r="F1570" s="77">
        <f>T1568/R1552</f>
        <v>4.14871609403255</v>
      </c>
      <c r="G1570" s="89">
        <f>+VLOOKUP(D1570,'材料表 '!C:F,4,0)</f>
        <v>0</v>
      </c>
      <c r="H1570" s="74">
        <f t="shared" si="185"/>
        <v>4.14871609403255</v>
      </c>
      <c r="I1570" s="74">
        <f>+VLOOKUP(D1570,'材料表 '!C:F,3,0)</f>
        <v>49.5575221238938</v>
      </c>
      <c r="J1570" s="95">
        <f t="shared" si="183"/>
        <v>205.600089615772</v>
      </c>
      <c r="K1570" s="92">
        <f ca="1">H1570*K1551</f>
        <v>17.0429257142857</v>
      </c>
      <c r="L1570" s="92" t="s">
        <v>499</v>
      </c>
      <c r="M1570" s="44"/>
      <c r="N1570" s="82"/>
      <c r="O1570" s="44"/>
      <c r="P1570" s="44"/>
      <c r="Q1570" s="44">
        <v>0</v>
      </c>
      <c r="R1570" s="84">
        <f>Q1570/R1552</f>
        <v>0</v>
      </c>
      <c r="S1570" s="47"/>
      <c r="T1570" s="47"/>
    </row>
    <row r="1571" s="27" customFormat="1" ht="18" customHeight="1" spans="1:20">
      <c r="A1571" s="34"/>
      <c r="B1571" s="48">
        <v>7</v>
      </c>
      <c r="C1571" s="48"/>
      <c r="D1571" s="88"/>
      <c r="E1571" s="72"/>
      <c r="F1571" s="77"/>
      <c r="G1571" s="89"/>
      <c r="H1571" s="74"/>
      <c r="I1571" s="74"/>
      <c r="J1571" s="95"/>
      <c r="K1571" s="92">
        <f ca="1">H1571*K1551</f>
        <v>0</v>
      </c>
      <c r="L1571" s="92"/>
      <c r="M1571" s="44"/>
      <c r="N1571" s="82"/>
      <c r="O1571" s="44"/>
      <c r="P1571" s="44"/>
      <c r="Q1571" s="44"/>
      <c r="R1571" s="84"/>
      <c r="S1571" s="47"/>
      <c r="T1571" s="47"/>
    </row>
    <row r="1572" s="27" customFormat="1" ht="18" customHeight="1" spans="1:20">
      <c r="A1572" s="34"/>
      <c r="B1572" s="48">
        <v>8</v>
      </c>
      <c r="C1572" s="48"/>
      <c r="D1572" s="88" t="s">
        <v>566</v>
      </c>
      <c r="E1572" s="72" t="str">
        <f>+VLOOKUP(D1572,'材料表 '!C:F,2,0)</f>
        <v>m2</v>
      </c>
      <c r="F1572" s="77">
        <v>1</v>
      </c>
      <c r="G1572" s="89">
        <f>+VLOOKUP(D1572,'材料表 '!C:F,4,0)</f>
        <v>0.01</v>
      </c>
      <c r="H1572" s="74">
        <f>F1572*(G1572+1)</f>
        <v>1.01</v>
      </c>
      <c r="I1572" s="74">
        <f>+VLOOKUP(D1572,'材料表 '!C:F,3,0)</f>
        <v>49.5575221238938</v>
      </c>
      <c r="J1572" s="95">
        <f>H1572*I1572</f>
        <v>50.0530973451327</v>
      </c>
      <c r="K1572" s="92">
        <f ca="1">H1572*K1551</f>
        <v>4.14908</v>
      </c>
      <c r="L1572" s="92"/>
      <c r="M1572" s="44"/>
      <c r="N1572" s="82"/>
      <c r="O1572" s="44"/>
      <c r="P1572" s="44"/>
      <c r="Q1572" s="44"/>
      <c r="R1572" s="84"/>
      <c r="S1572" s="47"/>
      <c r="T1572" s="47"/>
    </row>
    <row r="1573" s="27" customFormat="1" ht="18" customHeight="1" spans="1:20">
      <c r="A1573" s="34"/>
      <c r="B1573" s="48">
        <v>9</v>
      </c>
      <c r="C1573" s="48"/>
      <c r="D1573" s="88"/>
      <c r="E1573" s="72"/>
      <c r="F1573" s="77"/>
      <c r="G1573" s="89"/>
      <c r="H1573" s="74"/>
      <c r="I1573" s="74"/>
      <c r="J1573" s="95"/>
      <c r="K1573" s="92">
        <f ca="1">H1573*K1551</f>
        <v>0</v>
      </c>
      <c r="L1573" s="90"/>
      <c r="M1573" s="44"/>
      <c r="N1573" s="82"/>
      <c r="O1573" s="34"/>
      <c r="P1573" s="44"/>
      <c r="Q1573" s="44"/>
      <c r="R1573" s="119"/>
      <c r="S1573" s="47"/>
      <c r="T1573" s="47"/>
    </row>
    <row r="1574" s="27" customFormat="1" ht="23" customHeight="1" spans="1:20">
      <c r="A1574" s="34"/>
      <c r="B1574" s="48">
        <v>10</v>
      </c>
      <c r="C1574" s="48"/>
      <c r="D1574" s="88"/>
      <c r="E1574" s="72"/>
      <c r="F1574" s="77"/>
      <c r="G1574" s="89"/>
      <c r="H1574" s="74"/>
      <c r="I1574" s="74"/>
      <c r="J1574" s="95"/>
      <c r="K1574" s="92">
        <f ca="1">H1574*K1551</f>
        <v>0</v>
      </c>
      <c r="L1574" s="92"/>
      <c r="M1574" s="120"/>
      <c r="N1574" s="82"/>
      <c r="O1574" s="44"/>
      <c r="P1574" s="44"/>
      <c r="Q1574" s="44"/>
      <c r="R1574" s="84"/>
      <c r="S1574" s="47"/>
      <c r="T1574" s="47"/>
    </row>
    <row r="1575" s="27" customFormat="1" ht="20" customHeight="1" spans="1:20">
      <c r="A1575" s="34"/>
      <c r="B1575" s="48">
        <v>11</v>
      </c>
      <c r="C1575" s="48"/>
      <c r="D1575" s="88"/>
      <c r="E1575" s="72"/>
      <c r="F1575" s="77"/>
      <c r="G1575" s="89"/>
      <c r="H1575" s="74"/>
      <c r="I1575" s="74"/>
      <c r="J1575" s="95"/>
      <c r="K1575" s="92">
        <f ca="1">H1575*K1551</f>
        <v>0</v>
      </c>
      <c r="L1575" s="92"/>
      <c r="M1575" s="44"/>
      <c r="N1575" s="82"/>
      <c r="O1575" s="44"/>
      <c r="P1575" s="44"/>
      <c r="Q1575" s="44"/>
      <c r="R1575" s="84"/>
      <c r="S1575" s="47"/>
      <c r="T1575" s="47"/>
    </row>
    <row r="1576" s="27" customFormat="1" ht="24" customHeight="1" spans="1:20">
      <c r="A1576" s="34"/>
      <c r="B1576" s="48">
        <v>12</v>
      </c>
      <c r="C1576" s="48"/>
      <c r="D1576" s="127"/>
      <c r="E1576" s="72"/>
      <c r="F1576" s="128"/>
      <c r="G1576" s="89"/>
      <c r="H1576" s="74"/>
      <c r="I1576" s="74"/>
      <c r="J1576" s="95"/>
      <c r="K1576" s="92">
        <f ca="1">H1576*K1551</f>
        <v>0</v>
      </c>
      <c r="L1576" s="92"/>
      <c r="M1576" s="44"/>
      <c r="N1576" s="44"/>
      <c r="O1576" s="44"/>
      <c r="P1576" s="44"/>
      <c r="Q1576" s="44"/>
      <c r="R1576" s="84"/>
      <c r="S1576" s="47"/>
      <c r="T1576" s="47"/>
    </row>
    <row r="1577" s="27" customFormat="1" ht="18" customHeight="1" spans="1:20">
      <c r="A1577" s="34"/>
      <c r="B1577" s="48">
        <v>13</v>
      </c>
      <c r="C1577" s="48"/>
      <c r="D1577" s="88"/>
      <c r="E1577" s="72"/>
      <c r="F1577" s="77"/>
      <c r="G1577" s="89"/>
      <c r="H1577" s="74"/>
      <c r="I1577" s="74"/>
      <c r="J1577" s="95"/>
      <c r="K1577" s="92">
        <f ca="1">H1577*K1551</f>
        <v>0</v>
      </c>
      <c r="L1577" s="92"/>
      <c r="M1577" s="44"/>
      <c r="N1577" s="44"/>
      <c r="O1577" s="44"/>
      <c r="P1577" s="44"/>
      <c r="Q1577" s="44"/>
      <c r="R1577" s="84"/>
      <c r="S1577" s="47"/>
      <c r="T1577" s="47"/>
    </row>
    <row r="1578" s="27" customFormat="1" ht="24" customHeight="1" spans="1:20">
      <c r="A1578" s="34"/>
      <c r="B1578" s="48">
        <v>14</v>
      </c>
      <c r="C1578" s="48"/>
      <c r="D1578" s="88"/>
      <c r="E1578" s="72"/>
      <c r="F1578" s="77"/>
      <c r="G1578" s="89"/>
      <c r="H1578" s="74"/>
      <c r="I1578" s="74"/>
      <c r="J1578" s="95"/>
      <c r="K1578" s="92">
        <f ca="1">H1578*K1551</f>
        <v>0</v>
      </c>
      <c r="L1578" s="92"/>
      <c r="M1578" s="44"/>
      <c r="N1578" s="44"/>
      <c r="O1578" s="44"/>
      <c r="P1578" s="44"/>
      <c r="Q1578" s="44"/>
      <c r="R1578" s="84"/>
      <c r="S1578" s="47"/>
      <c r="T1578" s="47"/>
    </row>
    <row r="1579" s="27" customFormat="1" ht="18" customHeight="1" spans="1:20">
      <c r="A1579" s="34"/>
      <c r="B1579" s="48">
        <v>15</v>
      </c>
      <c r="C1579" s="48"/>
      <c r="D1579" s="88"/>
      <c r="E1579" s="72"/>
      <c r="F1579" s="77"/>
      <c r="G1579" s="89"/>
      <c r="H1579" s="74"/>
      <c r="I1579" s="74"/>
      <c r="J1579" s="95"/>
      <c r="K1579" s="92"/>
      <c r="L1579" s="92"/>
      <c r="M1579" s="44"/>
      <c r="N1579" s="44"/>
      <c r="O1579" s="44"/>
      <c r="P1579" s="44"/>
      <c r="Q1579" s="44"/>
      <c r="R1579" s="84"/>
      <c r="S1579" s="47"/>
      <c r="T1579" s="47"/>
    </row>
    <row r="1580" s="27" customFormat="1" ht="18" customHeight="1" spans="1:20">
      <c r="A1580" s="34"/>
      <c r="B1580" s="48">
        <v>16</v>
      </c>
      <c r="C1580" s="48"/>
      <c r="D1580" s="88"/>
      <c r="E1580" s="72"/>
      <c r="F1580" s="77"/>
      <c r="G1580" s="89"/>
      <c r="H1580" s="74"/>
      <c r="I1580" s="74"/>
      <c r="J1580" s="95"/>
      <c r="K1580" s="92"/>
      <c r="L1580" s="92"/>
      <c r="M1580" s="44"/>
      <c r="N1580" s="44"/>
      <c r="O1580" s="44"/>
      <c r="P1580" s="44"/>
      <c r="Q1580" s="44"/>
      <c r="R1580" s="84"/>
      <c r="S1580" s="47"/>
      <c r="T1580" s="47"/>
    </row>
    <row r="1581" s="27" customFormat="1" ht="18" customHeight="1" spans="1:20">
      <c r="A1581" s="34"/>
      <c r="B1581" s="48">
        <v>17</v>
      </c>
      <c r="C1581" s="48"/>
      <c r="D1581" s="121"/>
      <c r="E1581" s="72"/>
      <c r="F1581" s="77"/>
      <c r="G1581" s="89"/>
      <c r="H1581" s="74"/>
      <c r="I1581" s="74"/>
      <c r="J1581" s="95"/>
      <c r="K1581" s="92"/>
      <c r="L1581" s="92"/>
      <c r="M1581" s="44"/>
      <c r="N1581" s="44"/>
      <c r="O1581" s="44"/>
      <c r="P1581" s="44"/>
      <c r="Q1581" s="101"/>
      <c r="R1581" s="84"/>
      <c r="S1581" s="47"/>
      <c r="T1581" s="47"/>
    </row>
    <row r="1582" s="27" customFormat="1" ht="18" customHeight="1" spans="1:20">
      <c r="A1582" s="34"/>
      <c r="B1582" s="48">
        <v>18</v>
      </c>
      <c r="C1582" s="48"/>
      <c r="D1582" s="88"/>
      <c r="E1582" s="72"/>
      <c r="F1582" s="77"/>
      <c r="G1582" s="89"/>
      <c r="H1582" s="74"/>
      <c r="I1582" s="74"/>
      <c r="J1582" s="95"/>
      <c r="K1582" s="92"/>
      <c r="L1582" s="92"/>
      <c r="M1582" s="44"/>
      <c r="N1582" s="44"/>
      <c r="O1582" s="44"/>
      <c r="P1582" s="44"/>
      <c r="Q1582" s="44"/>
      <c r="R1582" s="84"/>
      <c r="S1582" s="47"/>
      <c r="T1582" s="47"/>
    </row>
    <row r="1583" s="27" customFormat="1" ht="18" customHeight="1" spans="1:20">
      <c r="A1583" s="34"/>
      <c r="B1583" s="48">
        <v>19</v>
      </c>
      <c r="C1583" s="48"/>
      <c r="D1583" s="27"/>
      <c r="E1583" s="72"/>
      <c r="F1583" s="77"/>
      <c r="G1583" s="89"/>
      <c r="H1583" s="74"/>
      <c r="I1583" s="74"/>
      <c r="J1583" s="95"/>
      <c r="K1583" s="92"/>
      <c r="L1583" s="92"/>
      <c r="M1583" s="44"/>
      <c r="N1583" s="44"/>
      <c r="O1583" s="44"/>
      <c r="P1583" s="44"/>
      <c r="Q1583" s="44"/>
      <c r="R1583" s="84"/>
      <c r="S1583" s="47"/>
      <c r="T1583" s="47"/>
    </row>
    <row r="1584" s="27" customFormat="1" ht="18" customHeight="1" spans="1:20">
      <c r="A1584" s="34"/>
      <c r="B1584" s="48">
        <v>20</v>
      </c>
      <c r="C1584" s="48"/>
      <c r="D1584" s="88"/>
      <c r="E1584" s="72"/>
      <c r="F1584" s="77"/>
      <c r="G1584" s="89"/>
      <c r="H1584" s="74"/>
      <c r="I1584" s="74"/>
      <c r="J1584" s="95"/>
      <c r="K1584" s="92"/>
      <c r="L1584" s="92"/>
      <c r="M1584" s="44"/>
      <c r="N1584" s="44"/>
      <c r="O1584" s="44"/>
      <c r="P1584" s="44"/>
      <c r="Q1584" s="44"/>
      <c r="R1584" s="84"/>
      <c r="S1584" s="47"/>
      <c r="T1584" s="47"/>
    </row>
    <row r="1585" s="27" customFormat="1" ht="18" customHeight="1" spans="1:20">
      <c r="A1585" s="34"/>
      <c r="B1585" s="48">
        <v>21</v>
      </c>
      <c r="C1585" s="48"/>
      <c r="D1585" s="88"/>
      <c r="E1585" s="72"/>
      <c r="F1585" s="77"/>
      <c r="G1585" s="89"/>
      <c r="H1585" s="74"/>
      <c r="I1585" s="74"/>
      <c r="J1585" s="95"/>
      <c r="K1585" s="92"/>
      <c r="L1585" s="92"/>
      <c r="M1585" s="44"/>
      <c r="N1585" s="44"/>
      <c r="O1585" s="44"/>
      <c r="P1585" s="44"/>
      <c r="Q1585" s="44"/>
      <c r="R1585" s="84"/>
      <c r="S1585" s="47"/>
      <c r="T1585" s="47"/>
    </row>
    <row r="1586" s="27" customFormat="1" ht="18" customHeight="1" spans="1:20">
      <c r="A1586" s="34"/>
      <c r="B1586" s="48">
        <v>22</v>
      </c>
      <c r="C1586" s="48"/>
      <c r="D1586" s="27"/>
      <c r="E1586" s="72"/>
      <c r="F1586" s="77"/>
      <c r="G1586" s="72"/>
      <c r="H1586" s="74"/>
      <c r="I1586" s="74"/>
      <c r="J1586" s="95"/>
      <c r="K1586" s="92"/>
      <c r="L1586" s="92"/>
      <c r="M1586" s="44"/>
      <c r="N1586" s="44"/>
      <c r="O1586" s="44"/>
      <c r="P1586" s="44"/>
      <c r="Q1586" s="44"/>
      <c r="R1586" s="62"/>
      <c r="S1586" s="47"/>
      <c r="T1586" s="47"/>
    </row>
    <row r="1587" s="27" customFormat="1" ht="18" customHeight="1" spans="1:20">
      <c r="A1587" s="34"/>
      <c r="B1587" s="48">
        <v>23</v>
      </c>
      <c r="C1587" s="48"/>
      <c r="D1587" s="88"/>
      <c r="E1587" s="72"/>
      <c r="F1587" s="77"/>
      <c r="G1587" s="89"/>
      <c r="H1587" s="74"/>
      <c r="I1587" s="74"/>
      <c r="J1587" s="95"/>
      <c r="K1587" s="92"/>
      <c r="L1587" s="92"/>
      <c r="M1587" s="44"/>
      <c r="N1587" s="44"/>
      <c r="O1587" s="44"/>
      <c r="P1587" s="44"/>
      <c r="Q1587" s="44"/>
      <c r="R1587" s="62"/>
      <c r="S1587" s="47"/>
      <c r="T1587" s="47"/>
    </row>
    <row r="1588" s="27" customFormat="1" ht="18" customHeight="1" spans="1:20">
      <c r="A1588" s="34"/>
      <c r="B1588" s="48">
        <v>24</v>
      </c>
      <c r="C1588" s="48"/>
      <c r="D1588" s="88" t="s">
        <v>478</v>
      </c>
      <c r="E1588" s="72" t="s">
        <v>43</v>
      </c>
      <c r="F1588" s="77"/>
      <c r="G1588" s="72">
        <v>1</v>
      </c>
      <c r="H1588" s="74">
        <v>1</v>
      </c>
      <c r="I1588" s="74">
        <f>+辅材及安装费!$E$11</f>
        <v>10</v>
      </c>
      <c r="J1588" s="95">
        <f>H1588*I1588</f>
        <v>10</v>
      </c>
      <c r="K1588" s="92"/>
      <c r="L1588" s="92"/>
      <c r="M1588" s="44"/>
      <c r="N1588" s="44"/>
      <c r="O1588" s="44"/>
      <c r="P1588" s="44"/>
      <c r="Q1588" s="44"/>
      <c r="R1588" s="62"/>
      <c r="S1588" s="47"/>
      <c r="T1588" s="47"/>
    </row>
    <row r="1589" s="27" customFormat="1" ht="18" customHeight="1" spans="1:20">
      <c r="A1589" s="34"/>
      <c r="B1589" s="48">
        <v>25</v>
      </c>
      <c r="C1589" s="48"/>
      <c r="D1589" s="93" t="s">
        <v>442</v>
      </c>
      <c r="E1589" s="72"/>
      <c r="F1589" s="77"/>
      <c r="G1589" s="72"/>
      <c r="H1589" s="74"/>
      <c r="I1589" s="74"/>
      <c r="J1589" s="95">
        <f>SUM(J1565:J1588)</f>
        <v>518.672092590032</v>
      </c>
      <c r="K1589" s="92"/>
      <c r="L1589" s="94"/>
      <c r="M1589" s="27"/>
      <c r="N1589" s="83"/>
      <c r="O1589" s="83"/>
      <c r="P1589" s="83"/>
      <c r="Q1589" s="83"/>
      <c r="R1589" s="87"/>
      <c r="S1589" s="47"/>
      <c r="T1589" s="47"/>
    </row>
    <row r="1590" s="27" customFormat="1" ht="18" customHeight="1" spans="1:20">
      <c r="A1590" s="34"/>
      <c r="B1590" s="48">
        <v>1</v>
      </c>
      <c r="C1590" s="48" t="s">
        <v>443</v>
      </c>
      <c r="D1590" s="48" t="s">
        <v>444</v>
      </c>
      <c r="E1590" s="72" t="s">
        <v>43</v>
      </c>
      <c r="F1590" s="50"/>
      <c r="G1590" s="48"/>
      <c r="H1590" s="51">
        <v>1</v>
      </c>
      <c r="I1590" s="74">
        <f>+辅材及安装费!$F$11</f>
        <v>5</v>
      </c>
      <c r="J1590" s="95">
        <f>H1590*I1590</f>
        <v>5</v>
      </c>
      <c r="K1590" s="118"/>
      <c r="L1590" s="96"/>
      <c r="M1590" s="97"/>
      <c r="N1590" s="98"/>
      <c r="O1590" s="98"/>
      <c r="P1590" s="98"/>
      <c r="Q1590" s="98"/>
      <c r="R1590" s="99"/>
      <c r="S1590" s="47"/>
      <c r="T1590" s="47"/>
    </row>
    <row r="1591" s="26" customFormat="1" ht="30" customHeight="1" spans="1:20">
      <c r="A1591" s="28"/>
      <c r="B1591" s="29" t="s">
        <v>386</v>
      </c>
      <c r="C1591" s="29"/>
      <c r="D1591" s="29"/>
      <c r="E1591" s="29"/>
      <c r="F1591" s="29"/>
      <c r="G1591" s="29"/>
      <c r="H1591" s="29"/>
      <c r="I1591" s="29"/>
      <c r="J1591" s="29"/>
      <c r="K1591" s="29"/>
      <c r="L1591" s="30"/>
      <c r="M1591" s="31"/>
      <c r="N1591" s="31"/>
      <c r="O1591" s="31"/>
      <c r="P1591" s="31"/>
      <c r="Q1591" s="31"/>
      <c r="R1591" s="32"/>
      <c r="S1591" s="33"/>
      <c r="T1591" s="33"/>
    </row>
    <row r="1592" s="27" customFormat="1" ht="33.75" customHeight="1" spans="1:20">
      <c r="A1592" s="34">
        <v>1</v>
      </c>
      <c r="B1592" s="35" t="s">
        <v>1</v>
      </c>
      <c r="C1592" s="35" t="s">
        <v>387</v>
      </c>
      <c r="D1592" s="36" t="str">
        <f>+A1600</f>
        <v>铝合金线条1（60*20）</v>
      </c>
      <c r="E1592" s="37"/>
      <c r="F1592" s="38"/>
      <c r="G1592" s="39"/>
      <c r="H1592" s="35" t="s">
        <v>388</v>
      </c>
      <c r="I1592" s="40" t="s">
        <v>389</v>
      </c>
      <c r="J1592" s="41" t="s">
        <v>37</v>
      </c>
      <c r="K1592" s="42">
        <f ca="1">VLOOKUP(A1592,排屋工程量清单!A:D,4,)</f>
        <v>14.175</v>
      </c>
      <c r="L1592" s="43"/>
      <c r="M1592" s="44"/>
      <c r="N1592" s="44"/>
      <c r="O1592" s="44"/>
      <c r="P1592" s="45"/>
      <c r="Q1592" s="44"/>
      <c r="R1592" s="46"/>
      <c r="S1592" s="47"/>
      <c r="T1592" s="47"/>
    </row>
    <row r="1593" s="27" customFormat="1" ht="25" customHeight="1" spans="1:20">
      <c r="A1593" s="34"/>
      <c r="B1593" s="48">
        <v>1</v>
      </c>
      <c r="C1593" s="49" t="s">
        <v>390</v>
      </c>
      <c r="D1593" s="48" t="s">
        <v>391</v>
      </c>
      <c r="E1593" s="48"/>
      <c r="F1593" s="50"/>
      <c r="G1593" s="48"/>
      <c r="H1593" s="51"/>
      <c r="I1593" s="52">
        <f>J1605</f>
        <v>15</v>
      </c>
      <c r="J1593" s="53" t="s">
        <v>392</v>
      </c>
      <c r="K1593" s="54"/>
      <c r="L1593" s="55"/>
      <c r="M1593" s="56"/>
      <c r="N1593" s="57"/>
      <c r="O1593" s="57">
        <v>1</v>
      </c>
      <c r="P1593" s="57">
        <v>1</v>
      </c>
      <c r="Q1593" s="57">
        <v>1</v>
      </c>
      <c r="R1593" s="58">
        <f>+Q1593*P1593*O1593</f>
        <v>1</v>
      </c>
      <c r="S1593" s="47"/>
      <c r="T1593" s="47"/>
    </row>
    <row r="1594" s="27" customFormat="1" ht="18" customHeight="1" spans="1:20">
      <c r="A1594" s="34"/>
      <c r="B1594" s="48">
        <v>2</v>
      </c>
      <c r="C1594" s="59"/>
      <c r="D1594" s="48" t="s">
        <v>394</v>
      </c>
      <c r="E1594" s="48"/>
      <c r="F1594" s="50"/>
      <c r="G1594" s="48"/>
      <c r="H1594" s="51"/>
      <c r="I1594" s="52">
        <f>J1630</f>
        <v>26.4018304424779</v>
      </c>
      <c r="J1594" s="53" t="s">
        <v>392</v>
      </c>
      <c r="K1594" s="60"/>
      <c r="L1594" s="61"/>
      <c r="M1594" s="44"/>
      <c r="N1594" s="44"/>
      <c r="O1594" s="44"/>
      <c r="P1594" s="44"/>
      <c r="Q1594" s="44"/>
      <c r="R1594" s="62"/>
      <c r="S1594" s="47"/>
      <c r="T1594" s="47"/>
    </row>
    <row r="1595" s="27" customFormat="1" ht="18" customHeight="1" spans="1:20">
      <c r="A1595" s="34"/>
      <c r="B1595" s="48">
        <v>3</v>
      </c>
      <c r="C1595" s="63"/>
      <c r="D1595" s="48" t="s">
        <v>395</v>
      </c>
      <c r="E1595" s="48"/>
      <c r="F1595" s="50"/>
      <c r="G1595" s="48"/>
      <c r="H1595" s="51"/>
      <c r="I1595" s="52">
        <f>J1631</f>
        <v>1</v>
      </c>
      <c r="J1595" s="53" t="s">
        <v>392</v>
      </c>
      <c r="K1595" s="60"/>
      <c r="L1595" s="60"/>
      <c r="M1595" s="65" t="s">
        <v>396</v>
      </c>
      <c r="N1595" s="65" t="s">
        <v>397</v>
      </c>
      <c r="O1595" s="65" t="s">
        <v>398</v>
      </c>
      <c r="P1595" s="65" t="s">
        <v>399</v>
      </c>
      <c r="Q1595" s="65" t="s">
        <v>400</v>
      </c>
      <c r="R1595" s="66" t="s">
        <v>401</v>
      </c>
      <c r="S1595" s="47"/>
      <c r="T1595" s="47"/>
    </row>
    <row r="1596" s="27" customFormat="1" ht="18" customHeight="1" spans="1:20">
      <c r="A1596" s="34"/>
      <c r="B1596" s="48">
        <v>4</v>
      </c>
      <c r="C1596" s="48" t="s">
        <v>402</v>
      </c>
      <c r="D1596" s="67" t="s">
        <v>403</v>
      </c>
      <c r="E1596" s="67"/>
      <c r="F1596" s="50"/>
      <c r="G1596" s="67"/>
      <c r="H1596" s="68"/>
      <c r="I1596" s="52">
        <f>SUM(I1593:I1595)</f>
        <v>42.4018304424779</v>
      </c>
      <c r="J1596" s="53" t="s">
        <v>392</v>
      </c>
      <c r="K1596" s="60"/>
      <c r="L1596" s="69"/>
      <c r="M1596" s="34"/>
      <c r="N1596" s="34"/>
      <c r="O1596" s="34"/>
      <c r="P1596" s="34"/>
      <c r="Q1596" s="44"/>
      <c r="R1596" s="71"/>
      <c r="S1596" s="47"/>
      <c r="T1596" s="47"/>
    </row>
    <row r="1597" s="27" customFormat="1" ht="28" customHeight="1" spans="1:20">
      <c r="A1597" s="34"/>
      <c r="B1597" s="48">
        <v>5</v>
      </c>
      <c r="C1597" s="72" t="s">
        <v>406</v>
      </c>
      <c r="D1597" s="48" t="s">
        <v>407</v>
      </c>
      <c r="E1597" s="48"/>
      <c r="F1597" s="50"/>
      <c r="G1597" s="48"/>
      <c r="H1597" s="73">
        <f>+'材料表 '!$E$178</f>
        <v>0</v>
      </c>
      <c r="I1597" s="52">
        <f>H1597*I1596</f>
        <v>0</v>
      </c>
      <c r="J1597" s="53" t="s">
        <v>392</v>
      </c>
      <c r="K1597" s="60"/>
      <c r="L1597" s="69"/>
      <c r="M1597" s="34"/>
      <c r="N1597" s="102"/>
      <c r="O1597" s="34"/>
      <c r="P1597" s="34"/>
      <c r="Q1597" s="44"/>
      <c r="R1597" s="71"/>
      <c r="S1597" s="47"/>
      <c r="T1597" s="47"/>
    </row>
    <row r="1598" s="27" customFormat="1" ht="18" customHeight="1" spans="1:20">
      <c r="A1598" s="34"/>
      <c r="B1598" s="48">
        <v>6</v>
      </c>
      <c r="C1598" s="48" t="s">
        <v>409</v>
      </c>
      <c r="D1598" s="48" t="s">
        <v>410</v>
      </c>
      <c r="E1598" s="48"/>
      <c r="F1598" s="50"/>
      <c r="G1598" s="48"/>
      <c r="H1598" s="73">
        <f>+'材料表 '!$E$179</f>
        <v>0</v>
      </c>
      <c r="I1598" s="52">
        <f>H1598*I1596</f>
        <v>0</v>
      </c>
      <c r="J1598" s="53" t="s">
        <v>392</v>
      </c>
      <c r="K1598" s="60"/>
      <c r="L1598" s="69"/>
      <c r="M1598" s="34"/>
      <c r="N1598" s="34"/>
      <c r="O1598" s="34"/>
      <c r="P1598" s="34"/>
      <c r="Q1598" s="44"/>
      <c r="R1598" s="71"/>
      <c r="S1598" s="47"/>
      <c r="T1598" s="47"/>
    </row>
    <row r="1599" s="27" customFormat="1" ht="18" customHeight="1" spans="1:20">
      <c r="A1599" s="34"/>
      <c r="B1599" s="48">
        <v>7</v>
      </c>
      <c r="C1599" s="48" t="s">
        <v>412</v>
      </c>
      <c r="D1599" s="72" t="s">
        <v>413</v>
      </c>
      <c r="E1599" s="72"/>
      <c r="F1599" s="77"/>
      <c r="G1599" s="72"/>
      <c r="H1599" s="73">
        <f>+'材料表 '!$E$180</f>
        <v>0.09</v>
      </c>
      <c r="I1599" s="52">
        <f>(I1596+I1597+I1598)*H1599</f>
        <v>3.81616473982301</v>
      </c>
      <c r="J1599" s="53" t="s">
        <v>392</v>
      </c>
      <c r="K1599" s="60"/>
      <c r="L1599" s="69"/>
      <c r="M1599" s="34"/>
      <c r="N1599" s="34"/>
      <c r="O1599" s="34"/>
      <c r="P1599" s="34"/>
      <c r="Q1599" s="44"/>
      <c r="R1599" s="71"/>
      <c r="S1599" s="47"/>
      <c r="T1599" s="47"/>
    </row>
    <row r="1600" s="27" customFormat="1" ht="18" customHeight="1" spans="1:20">
      <c r="A1600" s="105" t="s">
        <v>178</v>
      </c>
      <c r="B1600" s="48">
        <v>8</v>
      </c>
      <c r="C1600" s="48" t="s">
        <v>363</v>
      </c>
      <c r="D1600" s="106" t="s">
        <v>415</v>
      </c>
      <c r="E1600" s="107"/>
      <c r="F1600" s="108"/>
      <c r="G1600" s="107"/>
      <c r="H1600" s="51"/>
      <c r="I1600" s="74">
        <f>SUM(I1596:I1599)</f>
        <v>46.2179951823009</v>
      </c>
      <c r="J1600" s="53" t="s">
        <v>484</v>
      </c>
      <c r="K1600" s="60"/>
      <c r="L1600" s="69"/>
      <c r="M1600" s="34"/>
      <c r="N1600" s="126"/>
      <c r="O1600" s="34"/>
      <c r="P1600" s="44"/>
      <c r="Q1600" s="44"/>
      <c r="R1600" s="84"/>
      <c r="S1600" s="79"/>
      <c r="T1600" s="47"/>
    </row>
    <row r="1601" s="27" customFormat="1" ht="18" customHeight="1" spans="1:20">
      <c r="A1601" s="34"/>
      <c r="B1601" s="109" t="s">
        <v>418</v>
      </c>
      <c r="C1601" s="110"/>
      <c r="D1601" s="110"/>
      <c r="E1601" s="110"/>
      <c r="F1601" s="110"/>
      <c r="G1601" s="110"/>
      <c r="H1601" s="110"/>
      <c r="I1601" s="110"/>
      <c r="J1601" s="110"/>
      <c r="K1601" s="80"/>
      <c r="L1601" s="69"/>
      <c r="M1601" s="70"/>
      <c r="N1601" s="34"/>
      <c r="O1601" s="34"/>
      <c r="P1601" s="34"/>
      <c r="Q1601" s="44"/>
      <c r="R1601" s="71"/>
      <c r="S1601" s="47"/>
      <c r="T1601" s="47"/>
    </row>
    <row r="1602" s="27" customFormat="1" ht="18" customHeight="1" spans="1:20">
      <c r="A1602" s="34"/>
      <c r="B1602" s="48">
        <v>1</v>
      </c>
      <c r="C1602" s="48" t="s">
        <v>391</v>
      </c>
      <c r="D1602" s="48" t="s">
        <v>396</v>
      </c>
      <c r="E1602" s="48" t="s">
        <v>37</v>
      </c>
      <c r="F1602" s="50"/>
      <c r="G1602" s="48"/>
      <c r="H1602" s="51" t="s">
        <v>399</v>
      </c>
      <c r="I1602" s="51" t="s">
        <v>420</v>
      </c>
      <c r="J1602" s="95" t="s">
        <v>421</v>
      </c>
      <c r="K1602" s="92"/>
      <c r="L1602" s="69" t="s">
        <v>433</v>
      </c>
      <c r="M1602" s="70" t="s">
        <v>567</v>
      </c>
      <c r="N1602" s="34">
        <v>0.269</v>
      </c>
      <c r="O1602" s="34">
        <v>1</v>
      </c>
      <c r="P1602" s="34">
        <v>1</v>
      </c>
      <c r="Q1602" s="44">
        <f>+P1602*O1602*N1602</f>
        <v>0.269</v>
      </c>
      <c r="R1602" s="71">
        <f>+Q1602/R1593</f>
        <v>0.269</v>
      </c>
      <c r="S1602" s="47"/>
      <c r="T1602" s="47"/>
    </row>
    <row r="1603" s="27" customFormat="1" ht="18" customHeight="1" spans="1:20">
      <c r="A1603" s="34"/>
      <c r="B1603" s="48">
        <v>2</v>
      </c>
      <c r="C1603" s="48"/>
      <c r="D1603" s="111" t="s">
        <v>568</v>
      </c>
      <c r="E1603" s="49" t="s">
        <v>109</v>
      </c>
      <c r="F1603" s="112"/>
      <c r="G1603" s="111"/>
      <c r="H1603" s="113">
        <v>1</v>
      </c>
      <c r="I1603" s="113">
        <f>+辅材及安装费!$G$12</f>
        <v>15</v>
      </c>
      <c r="J1603" s="114">
        <f>H1603*I1603</f>
        <v>15</v>
      </c>
      <c r="K1603" s="92"/>
      <c r="L1603" s="34" t="s">
        <v>447</v>
      </c>
      <c r="M1603" s="70" t="s">
        <v>569</v>
      </c>
      <c r="N1603" s="34">
        <v>0.369</v>
      </c>
      <c r="O1603" s="34">
        <v>1</v>
      </c>
      <c r="P1603" s="34">
        <v>1</v>
      </c>
      <c r="Q1603" s="44">
        <f>+P1603*O1603*N1603</f>
        <v>0.369</v>
      </c>
      <c r="R1603" s="71">
        <f>+Q1603/R1593</f>
        <v>0.369</v>
      </c>
      <c r="S1603" s="47">
        <v>0.159</v>
      </c>
      <c r="T1603" s="47">
        <f>O1603*S1603</f>
        <v>0.159</v>
      </c>
    </row>
    <row r="1604" s="27" customFormat="1" ht="18" customHeight="1" spans="1:20">
      <c r="A1604" s="34"/>
      <c r="B1604" s="48">
        <v>3</v>
      </c>
      <c r="C1604" s="48"/>
      <c r="D1604" s="115"/>
      <c r="E1604" s="63"/>
      <c r="F1604" s="116"/>
      <c r="G1604" s="115"/>
      <c r="H1604" s="117"/>
      <c r="I1604" s="117"/>
      <c r="J1604" s="118"/>
      <c r="K1604" s="92"/>
      <c r="L1604" s="90" t="s">
        <v>447</v>
      </c>
      <c r="M1604" s="70"/>
      <c r="N1604" s="82"/>
      <c r="O1604" s="44"/>
      <c r="P1604" s="44">
        <v>1</v>
      </c>
      <c r="Q1604" s="44">
        <f>+P1604*O1604*N1604</f>
        <v>0</v>
      </c>
      <c r="R1604" s="84">
        <f>Q1604/R1593</f>
        <v>0</v>
      </c>
      <c r="S1604" s="47"/>
      <c r="T1604" s="47">
        <f>S1604*O1604*P1604</f>
        <v>0</v>
      </c>
    </row>
    <row r="1605" s="27" customFormat="1" ht="18" customHeight="1" spans="1:20">
      <c r="A1605" s="34"/>
      <c r="B1605" s="48">
        <v>4</v>
      </c>
      <c r="C1605" s="48"/>
      <c r="D1605" s="85" t="s">
        <v>426</v>
      </c>
      <c r="E1605" s="48" t="s">
        <v>392</v>
      </c>
      <c r="F1605" s="50"/>
      <c r="G1605" s="48"/>
      <c r="H1605" s="86"/>
      <c r="I1605" s="86"/>
      <c r="J1605" s="95">
        <f>SUM(J1603:J1603)</f>
        <v>15</v>
      </c>
      <c r="K1605" s="92"/>
      <c r="L1605" s="90"/>
      <c r="M1605" s="44"/>
      <c r="N1605" s="82"/>
      <c r="O1605" s="44"/>
      <c r="P1605" s="44"/>
      <c r="Q1605" s="44"/>
      <c r="R1605" s="84"/>
      <c r="S1605" s="47"/>
      <c r="T1605" s="47"/>
    </row>
    <row r="1606" s="27" customFormat="1" ht="22" customHeight="1" spans="1:20">
      <c r="A1606" s="34"/>
      <c r="B1606" s="48">
        <v>1</v>
      </c>
      <c r="C1606" s="48" t="s">
        <v>394</v>
      </c>
      <c r="D1606" s="88"/>
      <c r="E1606" s="72"/>
      <c r="F1606" s="77"/>
      <c r="G1606" s="89"/>
      <c r="H1606" s="74"/>
      <c r="I1606" s="74"/>
      <c r="J1606" s="95"/>
      <c r="K1606" s="92">
        <f ca="1">H1606*K1592</f>
        <v>0</v>
      </c>
      <c r="L1606" s="90" t="s">
        <v>447</v>
      </c>
      <c r="M1606" s="44"/>
      <c r="N1606" s="82"/>
      <c r="O1606" s="44">
        <f>P1593</f>
        <v>1</v>
      </c>
      <c r="P1606" s="44"/>
      <c r="Q1606" s="44">
        <f>+P1606*O1606*N1606</f>
        <v>0</v>
      </c>
      <c r="R1606" s="84">
        <f>Q1606/R1593</f>
        <v>0</v>
      </c>
      <c r="S1606" s="47"/>
      <c r="T1606" s="47"/>
    </row>
    <row r="1607" s="27" customFormat="1" ht="18" customHeight="1" spans="1:20">
      <c r="A1607" s="34"/>
      <c r="B1607" s="48">
        <v>2</v>
      </c>
      <c r="C1607" s="48"/>
      <c r="D1607" s="88"/>
      <c r="E1607" s="72"/>
      <c r="F1607" s="77"/>
      <c r="G1607" s="89"/>
      <c r="H1607" s="74"/>
      <c r="I1607" s="74"/>
      <c r="J1607" s="95"/>
      <c r="K1607" s="92">
        <f ca="1">H1607*K1592</f>
        <v>0</v>
      </c>
      <c r="L1607" s="90" t="s">
        <v>447</v>
      </c>
      <c r="M1607" s="44"/>
      <c r="N1607" s="82"/>
      <c r="O1607" s="44">
        <f>O1593</f>
        <v>1</v>
      </c>
      <c r="P1607" s="44"/>
      <c r="Q1607" s="44">
        <f>+P1607*O1607*N1607</f>
        <v>0</v>
      </c>
      <c r="R1607" s="84">
        <f>Q1607/R1593</f>
        <v>0</v>
      </c>
      <c r="S1607" s="47"/>
      <c r="T1607" s="47"/>
    </row>
    <row r="1608" s="27" customFormat="1" ht="18" customHeight="1" spans="1:20">
      <c r="A1608" s="34"/>
      <c r="B1608" s="48">
        <v>3</v>
      </c>
      <c r="C1608" s="48"/>
      <c r="D1608" s="88"/>
      <c r="E1608" s="72"/>
      <c r="F1608" s="77"/>
      <c r="G1608" s="89"/>
      <c r="H1608" s="74"/>
      <c r="I1608" s="74"/>
      <c r="J1608" s="95"/>
      <c r="K1608" s="92">
        <f ca="1">H1608*K1592</f>
        <v>0</v>
      </c>
      <c r="L1608" s="90"/>
      <c r="M1608" s="44"/>
      <c r="N1608" s="82"/>
      <c r="O1608" s="44"/>
      <c r="P1608" s="44"/>
      <c r="Q1608" s="44">
        <f>+P1608*O1608</f>
        <v>0</v>
      </c>
      <c r="R1608" s="84">
        <f>+Q1608/R1593</f>
        <v>0</v>
      </c>
      <c r="S1608" s="47"/>
      <c r="T1608" s="47"/>
    </row>
    <row r="1609" s="27" customFormat="1" ht="18" customHeight="1" spans="1:20">
      <c r="A1609" s="34"/>
      <c r="B1609" s="48">
        <v>4</v>
      </c>
      <c r="C1609" s="48"/>
      <c r="D1609" s="88" t="s">
        <v>433</v>
      </c>
      <c r="E1609" s="72" t="str">
        <f>+VLOOKUP(D1609,'材料表 '!C:F,2,0)</f>
        <v>kg</v>
      </c>
      <c r="F1609" s="77">
        <f>+SUMIF($L$1593:$L$1631,D1609,$R$1593:$R$1631)</f>
        <v>0.269</v>
      </c>
      <c r="G1609" s="89">
        <f>+VLOOKUP(D1609,'材料表 '!C:F,4,0)</f>
        <v>0.03</v>
      </c>
      <c r="H1609" s="74">
        <f>F1609*(G1609+1)</f>
        <v>0.27707</v>
      </c>
      <c r="I1609" s="74">
        <f>+VLOOKUP(D1609,'材料表 '!C:F,3,0)</f>
        <v>26.1150442477876</v>
      </c>
      <c r="J1609" s="95">
        <f>H1609*I1609</f>
        <v>7.23569530973451</v>
      </c>
      <c r="K1609" s="92">
        <f ca="1">H1609*K1592</f>
        <v>3.92746725</v>
      </c>
      <c r="L1609" s="90"/>
      <c r="M1609" s="44"/>
      <c r="N1609" s="82"/>
      <c r="O1609" s="44"/>
      <c r="P1609" s="44"/>
      <c r="Q1609" s="44"/>
      <c r="R1609" s="84"/>
      <c r="S1609" s="47"/>
      <c r="T1609" s="47">
        <f>SUM(T1603:T1608)</f>
        <v>0.159</v>
      </c>
    </row>
    <row r="1610" s="27" customFormat="1" ht="18" customHeight="1" spans="1:20">
      <c r="A1610" s="34"/>
      <c r="B1610" s="48">
        <v>5</v>
      </c>
      <c r="C1610" s="48"/>
      <c r="D1610" s="88" t="s">
        <v>447</v>
      </c>
      <c r="E1610" s="72" t="str">
        <f>+VLOOKUP(D1610,'材料表 '!C:F,2,0)</f>
        <v>kg</v>
      </c>
      <c r="F1610" s="77">
        <f>+SUMIF($L$1593:$L$1631,D1610,$R$1593:$R$1631)</f>
        <v>0.369</v>
      </c>
      <c r="G1610" s="89">
        <f>+VLOOKUP(D1610,'材料表 '!C:F,4,0)</f>
        <v>0.03</v>
      </c>
      <c r="H1610" s="74">
        <f>F1610*(G1610+1)</f>
        <v>0.38007</v>
      </c>
      <c r="I1610" s="74">
        <f>+VLOOKUP(D1610,'材料表 '!C:F,3,0)</f>
        <v>24.4336283185841</v>
      </c>
      <c r="J1610" s="95">
        <f>H1610*I1610</f>
        <v>9.28648911504426</v>
      </c>
      <c r="K1610" s="92">
        <f ca="1">H1610*K1592</f>
        <v>5.38749225</v>
      </c>
      <c r="L1610" s="92" t="s">
        <v>476</v>
      </c>
      <c r="M1610" s="44"/>
      <c r="N1610" s="82"/>
      <c r="O1610" s="44"/>
      <c r="P1610" s="44"/>
      <c r="Q1610" s="44">
        <f>10*8*(O1593*0+P1593*0)/500</f>
        <v>0</v>
      </c>
      <c r="R1610" s="84">
        <f>+Q1610/R1593</f>
        <v>0</v>
      </c>
      <c r="S1610" s="47"/>
      <c r="T1610" s="47"/>
    </row>
    <row r="1611" s="27" customFormat="1" ht="18" customHeight="1" spans="1:20">
      <c r="A1611" s="34"/>
      <c r="B1611" s="48">
        <v>6</v>
      </c>
      <c r="C1611" s="48"/>
      <c r="D1611" s="88" t="s">
        <v>434</v>
      </c>
      <c r="E1611" s="72" t="str">
        <f>+VLOOKUP(D1611,'材料表 '!C:F,2,0)</f>
        <v>m2</v>
      </c>
      <c r="F1611" s="77">
        <f>T1609/R1593</f>
        <v>0.159</v>
      </c>
      <c r="G1611" s="89">
        <f>+VLOOKUP(D1611,'材料表 '!C:F,4,0)</f>
        <v>0</v>
      </c>
      <c r="H1611" s="74">
        <f>F1611*(G1611+1)</f>
        <v>0.159</v>
      </c>
      <c r="I1611" s="74">
        <f>+VLOOKUP(D1611,'材料表 '!C:F,3,0)</f>
        <v>49.5575221238938</v>
      </c>
      <c r="J1611" s="95">
        <f>H1611*I1611</f>
        <v>7.87964601769911</v>
      </c>
      <c r="K1611" s="92">
        <f ca="1">H1611*K1592</f>
        <v>2.253825</v>
      </c>
      <c r="L1611" s="92"/>
      <c r="M1611" s="44"/>
      <c r="N1611" s="82"/>
      <c r="O1611" s="44"/>
      <c r="P1611" s="44"/>
      <c r="Q1611" s="44"/>
      <c r="R1611" s="84"/>
      <c r="S1611" s="47"/>
      <c r="T1611" s="47"/>
    </row>
    <row r="1612" s="27" customFormat="1" ht="18" customHeight="1" spans="1:20">
      <c r="A1612" s="34"/>
      <c r="B1612" s="48">
        <v>7</v>
      </c>
      <c r="C1612" s="48"/>
      <c r="D1612" s="88"/>
      <c r="E1612" s="72"/>
      <c r="F1612" s="77"/>
      <c r="G1612" s="89"/>
      <c r="H1612" s="74"/>
      <c r="I1612" s="74"/>
      <c r="J1612" s="95"/>
      <c r="K1612" s="92">
        <f ca="1">H1612*K1592</f>
        <v>0</v>
      </c>
      <c r="L1612" s="92"/>
      <c r="M1612" s="44"/>
      <c r="N1612" s="82"/>
      <c r="O1612" s="44"/>
      <c r="P1612" s="44"/>
      <c r="Q1612" s="44"/>
      <c r="R1612" s="84"/>
      <c r="S1612" s="47"/>
      <c r="T1612" s="47"/>
    </row>
    <row r="1613" s="27" customFormat="1" ht="18" customHeight="1" spans="1:20">
      <c r="A1613" s="34"/>
      <c r="B1613" s="48">
        <v>8</v>
      </c>
      <c r="C1613" s="48"/>
      <c r="D1613" s="88"/>
      <c r="E1613" s="72"/>
      <c r="F1613" s="77"/>
      <c r="G1613" s="89"/>
      <c r="H1613" s="74"/>
      <c r="I1613" s="74"/>
      <c r="J1613" s="95"/>
      <c r="K1613" s="92">
        <f ca="1">H1613*K1592</f>
        <v>0</v>
      </c>
      <c r="L1613" s="92"/>
      <c r="M1613" s="44"/>
      <c r="N1613" s="82"/>
      <c r="O1613" s="44"/>
      <c r="P1613" s="44"/>
      <c r="Q1613" s="44"/>
      <c r="R1613" s="84"/>
      <c r="S1613" s="47"/>
      <c r="T1613" s="47"/>
    </row>
    <row r="1614" s="27" customFormat="1" ht="18" customHeight="1" spans="1:20">
      <c r="A1614" s="34"/>
      <c r="B1614" s="48">
        <v>9</v>
      </c>
      <c r="C1614" s="48"/>
      <c r="D1614" s="88" t="s">
        <v>476</v>
      </c>
      <c r="E1614" s="72" t="str">
        <f>+VLOOKUP(D1614,'材料表 '!C:F,2,0)</f>
        <v>支</v>
      </c>
      <c r="F1614" s="77">
        <v>0</v>
      </c>
      <c r="G1614" s="89">
        <f>+VLOOKUP(D1614,'材料表 '!C:F,4,0)</f>
        <v>0.15</v>
      </c>
      <c r="H1614" s="74">
        <f>F1614*(G1614+1)</f>
        <v>0</v>
      </c>
      <c r="I1614" s="74">
        <f>+VLOOKUP(D1614,'材料表 '!C:F,3,0)</f>
        <v>11.5044247787611</v>
      </c>
      <c r="J1614" s="95">
        <f>H1614*I1614</f>
        <v>0</v>
      </c>
      <c r="K1614" s="92">
        <f ca="1">H1614*K1592</f>
        <v>0</v>
      </c>
      <c r="L1614" s="90"/>
      <c r="M1614" s="44"/>
      <c r="N1614" s="82"/>
      <c r="O1614" s="34"/>
      <c r="P1614" s="44"/>
      <c r="Q1614" s="44"/>
      <c r="R1614" s="119"/>
      <c r="S1614" s="47"/>
      <c r="T1614" s="47"/>
    </row>
    <row r="1615" s="27" customFormat="1" ht="23" customHeight="1" spans="1:20">
      <c r="A1615" s="34"/>
      <c r="B1615" s="48">
        <v>10</v>
      </c>
      <c r="C1615" s="48"/>
      <c r="D1615" s="88"/>
      <c r="E1615" s="72"/>
      <c r="F1615" s="77"/>
      <c r="G1615" s="89"/>
      <c r="H1615" s="74"/>
      <c r="I1615" s="74"/>
      <c r="J1615" s="95"/>
      <c r="K1615" s="92">
        <f ca="1">H1615*K1592</f>
        <v>0</v>
      </c>
      <c r="L1615" s="92"/>
      <c r="M1615" s="120"/>
      <c r="N1615" s="82"/>
      <c r="O1615" s="44"/>
      <c r="P1615" s="44"/>
      <c r="Q1615" s="44"/>
      <c r="R1615" s="84"/>
      <c r="S1615" s="47"/>
      <c r="T1615" s="47"/>
    </row>
    <row r="1616" s="27" customFormat="1" ht="20" customHeight="1" spans="1:20">
      <c r="A1616" s="34"/>
      <c r="B1616" s="48">
        <v>11</v>
      </c>
      <c r="C1616" s="48"/>
      <c r="D1616" s="88"/>
      <c r="E1616" s="72"/>
      <c r="F1616" s="77"/>
      <c r="G1616" s="89"/>
      <c r="H1616" s="74"/>
      <c r="I1616" s="74"/>
      <c r="J1616" s="95"/>
      <c r="K1616" s="92">
        <f ca="1">H1616*K1592</f>
        <v>0</v>
      </c>
      <c r="L1616" s="92"/>
      <c r="M1616" s="44"/>
      <c r="N1616" s="82"/>
      <c r="O1616" s="44"/>
      <c r="P1616" s="44"/>
      <c r="Q1616" s="44"/>
      <c r="R1616" s="84"/>
      <c r="S1616" s="47"/>
      <c r="T1616" s="47"/>
    </row>
    <row r="1617" s="27" customFormat="1" ht="24" customHeight="1" spans="1:20">
      <c r="A1617" s="34"/>
      <c r="B1617" s="48">
        <v>12</v>
      </c>
      <c r="C1617" s="48"/>
      <c r="D1617" s="127"/>
      <c r="E1617" s="72"/>
      <c r="F1617" s="128"/>
      <c r="G1617" s="89"/>
      <c r="H1617" s="74"/>
      <c r="I1617" s="74"/>
      <c r="J1617" s="95"/>
      <c r="K1617" s="92">
        <f ca="1">H1617*K1592</f>
        <v>0</v>
      </c>
      <c r="L1617" s="92"/>
      <c r="M1617" s="44"/>
      <c r="N1617" s="44"/>
      <c r="O1617" s="44"/>
      <c r="P1617" s="44"/>
      <c r="Q1617" s="44"/>
      <c r="R1617" s="84"/>
      <c r="S1617" s="47"/>
      <c r="T1617" s="47"/>
    </row>
    <row r="1618" s="27" customFormat="1" ht="18" customHeight="1" spans="1:20">
      <c r="A1618" s="34"/>
      <c r="B1618" s="48">
        <v>13</v>
      </c>
      <c r="C1618" s="48"/>
      <c r="D1618" s="88"/>
      <c r="E1618" s="72"/>
      <c r="F1618" s="77"/>
      <c r="G1618" s="89"/>
      <c r="H1618" s="74"/>
      <c r="I1618" s="74"/>
      <c r="J1618" s="95"/>
      <c r="K1618" s="92">
        <f ca="1">H1618*K1592</f>
        <v>0</v>
      </c>
      <c r="L1618" s="92"/>
      <c r="M1618" s="44"/>
      <c r="N1618" s="44"/>
      <c r="O1618" s="44"/>
      <c r="P1618" s="44"/>
      <c r="Q1618" s="44"/>
      <c r="R1618" s="84"/>
      <c r="S1618" s="47"/>
      <c r="T1618" s="47"/>
    </row>
    <row r="1619" s="27" customFormat="1" ht="24" customHeight="1" spans="1:20">
      <c r="A1619" s="34"/>
      <c r="B1619" s="48">
        <v>14</v>
      </c>
      <c r="C1619" s="48"/>
      <c r="D1619" s="88"/>
      <c r="E1619" s="72"/>
      <c r="F1619" s="77"/>
      <c r="G1619" s="89"/>
      <c r="H1619" s="74"/>
      <c r="I1619" s="74"/>
      <c r="J1619" s="95"/>
      <c r="K1619" s="92">
        <f ca="1">H1619*K1592</f>
        <v>0</v>
      </c>
      <c r="L1619" s="92"/>
      <c r="M1619" s="44"/>
      <c r="N1619" s="44"/>
      <c r="O1619" s="44"/>
      <c r="P1619" s="44"/>
      <c r="Q1619" s="44"/>
      <c r="R1619" s="84"/>
      <c r="S1619" s="47"/>
      <c r="T1619" s="47"/>
    </row>
    <row r="1620" s="27" customFormat="1" ht="18" customHeight="1" spans="1:20">
      <c r="A1620" s="34"/>
      <c r="B1620" s="48">
        <v>15</v>
      </c>
      <c r="C1620" s="48"/>
      <c r="D1620" s="88"/>
      <c r="E1620" s="72"/>
      <c r="F1620" s="77"/>
      <c r="G1620" s="89"/>
      <c r="H1620" s="74"/>
      <c r="I1620" s="74"/>
      <c r="J1620" s="95"/>
      <c r="K1620" s="92"/>
      <c r="L1620" s="92"/>
      <c r="M1620" s="44"/>
      <c r="N1620" s="44"/>
      <c r="O1620" s="44"/>
      <c r="P1620" s="44"/>
      <c r="Q1620" s="44"/>
      <c r="R1620" s="84"/>
      <c r="S1620" s="47"/>
      <c r="T1620" s="47"/>
    </row>
    <row r="1621" s="27" customFormat="1" ht="18" customHeight="1" spans="1:20">
      <c r="A1621" s="34"/>
      <c r="B1621" s="48">
        <v>16</v>
      </c>
      <c r="C1621" s="48"/>
      <c r="D1621" s="88"/>
      <c r="E1621" s="72"/>
      <c r="F1621" s="77"/>
      <c r="G1621" s="89"/>
      <c r="H1621" s="74"/>
      <c r="I1621" s="74"/>
      <c r="J1621" s="95"/>
      <c r="K1621" s="92"/>
      <c r="L1621" s="92"/>
      <c r="M1621" s="44"/>
      <c r="N1621" s="44"/>
      <c r="O1621" s="44"/>
      <c r="P1621" s="44"/>
      <c r="Q1621" s="44"/>
      <c r="R1621" s="84"/>
      <c r="S1621" s="47"/>
      <c r="T1621" s="47"/>
    </row>
    <row r="1622" s="27" customFormat="1" ht="18" customHeight="1" spans="1:20">
      <c r="A1622" s="34"/>
      <c r="B1622" s="48">
        <v>17</v>
      </c>
      <c r="C1622" s="48"/>
      <c r="D1622" s="121"/>
      <c r="E1622" s="72"/>
      <c r="F1622" s="77"/>
      <c r="G1622" s="89"/>
      <c r="H1622" s="74"/>
      <c r="I1622" s="74"/>
      <c r="J1622" s="95"/>
      <c r="K1622" s="92"/>
      <c r="L1622" s="92"/>
      <c r="M1622" s="44"/>
      <c r="N1622" s="44"/>
      <c r="O1622" s="44"/>
      <c r="P1622" s="44"/>
      <c r="Q1622" s="101"/>
      <c r="R1622" s="84"/>
      <c r="S1622" s="47"/>
      <c r="T1622" s="47"/>
    </row>
    <row r="1623" s="27" customFormat="1" ht="18" customHeight="1" spans="1:20">
      <c r="A1623" s="34"/>
      <c r="B1623" s="48">
        <v>18</v>
      </c>
      <c r="C1623" s="48"/>
      <c r="D1623" s="88"/>
      <c r="E1623" s="72"/>
      <c r="F1623" s="77"/>
      <c r="G1623" s="89"/>
      <c r="H1623" s="74"/>
      <c r="I1623" s="74"/>
      <c r="J1623" s="95"/>
      <c r="K1623" s="92"/>
      <c r="L1623" s="92"/>
      <c r="M1623" s="44"/>
      <c r="N1623" s="44"/>
      <c r="O1623" s="44"/>
      <c r="P1623" s="44"/>
      <c r="Q1623" s="44"/>
      <c r="R1623" s="84"/>
      <c r="S1623" s="47"/>
      <c r="T1623" s="47"/>
    </row>
    <row r="1624" s="27" customFormat="1" ht="18" customHeight="1" spans="1:20">
      <c r="A1624" s="34"/>
      <c r="B1624" s="48">
        <v>19</v>
      </c>
      <c r="C1624" s="48"/>
      <c r="D1624" s="27"/>
      <c r="E1624" s="72"/>
      <c r="F1624" s="77"/>
      <c r="G1624" s="89"/>
      <c r="H1624" s="74"/>
      <c r="I1624" s="74"/>
      <c r="J1624" s="95"/>
      <c r="K1624" s="92"/>
      <c r="L1624" s="92"/>
      <c r="M1624" s="44"/>
      <c r="N1624" s="44"/>
      <c r="O1624" s="44"/>
      <c r="P1624" s="44"/>
      <c r="Q1624" s="44"/>
      <c r="R1624" s="84"/>
      <c r="S1624" s="47"/>
      <c r="T1624" s="47"/>
    </row>
    <row r="1625" s="27" customFormat="1" ht="18" customHeight="1" spans="1:20">
      <c r="A1625" s="34"/>
      <c r="B1625" s="48">
        <v>20</v>
      </c>
      <c r="C1625" s="48"/>
      <c r="D1625" s="88"/>
      <c r="E1625" s="72"/>
      <c r="F1625" s="77"/>
      <c r="G1625" s="89"/>
      <c r="H1625" s="74"/>
      <c r="I1625" s="74"/>
      <c r="J1625" s="95"/>
      <c r="K1625" s="92"/>
      <c r="L1625" s="92"/>
      <c r="M1625" s="44"/>
      <c r="N1625" s="44"/>
      <c r="O1625" s="44"/>
      <c r="P1625" s="44"/>
      <c r="Q1625" s="44"/>
      <c r="R1625" s="84"/>
      <c r="S1625" s="47"/>
      <c r="T1625" s="47"/>
    </row>
    <row r="1626" s="27" customFormat="1" ht="18" customHeight="1" spans="1:20">
      <c r="A1626" s="34"/>
      <c r="B1626" s="48">
        <v>21</v>
      </c>
      <c r="C1626" s="48"/>
      <c r="D1626" s="88"/>
      <c r="E1626" s="72"/>
      <c r="F1626" s="77"/>
      <c r="G1626" s="89"/>
      <c r="H1626" s="74"/>
      <c r="I1626" s="74"/>
      <c r="J1626" s="95"/>
      <c r="K1626" s="92"/>
      <c r="L1626" s="92"/>
      <c r="M1626" s="44"/>
      <c r="N1626" s="44"/>
      <c r="O1626" s="44"/>
      <c r="P1626" s="44"/>
      <c r="Q1626" s="44"/>
      <c r="R1626" s="84"/>
      <c r="S1626" s="47"/>
      <c r="T1626" s="47"/>
    </row>
    <row r="1627" s="27" customFormat="1" ht="18" customHeight="1" spans="1:20">
      <c r="A1627" s="34"/>
      <c r="B1627" s="48">
        <v>22</v>
      </c>
      <c r="C1627" s="48"/>
      <c r="D1627" s="27"/>
      <c r="E1627" s="72"/>
      <c r="F1627" s="77"/>
      <c r="G1627" s="72"/>
      <c r="H1627" s="74"/>
      <c r="I1627" s="74"/>
      <c r="J1627" s="95"/>
      <c r="K1627" s="92"/>
      <c r="L1627" s="92"/>
      <c r="M1627" s="44"/>
      <c r="N1627" s="44"/>
      <c r="O1627" s="44"/>
      <c r="P1627" s="44"/>
      <c r="Q1627" s="44"/>
      <c r="R1627" s="62"/>
      <c r="S1627" s="47"/>
      <c r="T1627" s="47"/>
    </row>
    <row r="1628" s="27" customFormat="1" ht="18" customHeight="1" spans="1:20">
      <c r="A1628" s="34"/>
      <c r="B1628" s="48">
        <v>23</v>
      </c>
      <c r="C1628" s="48"/>
      <c r="D1628" s="88"/>
      <c r="E1628" s="72"/>
      <c r="F1628" s="77"/>
      <c r="G1628" s="89"/>
      <c r="H1628" s="74"/>
      <c r="I1628" s="74"/>
      <c r="J1628" s="95"/>
      <c r="K1628" s="92"/>
      <c r="L1628" s="92"/>
      <c r="M1628" s="44"/>
      <c r="N1628" s="44"/>
      <c r="O1628" s="44"/>
      <c r="P1628" s="44"/>
      <c r="Q1628" s="44"/>
      <c r="R1628" s="62"/>
      <c r="S1628" s="47"/>
      <c r="T1628" s="47"/>
    </row>
    <row r="1629" s="27" customFormat="1" ht="18" customHeight="1" spans="1:20">
      <c r="A1629" s="34"/>
      <c r="B1629" s="48">
        <v>24</v>
      </c>
      <c r="C1629" s="48"/>
      <c r="D1629" s="88" t="s">
        <v>478</v>
      </c>
      <c r="E1629" s="72" t="s">
        <v>43</v>
      </c>
      <c r="F1629" s="77"/>
      <c r="G1629" s="72">
        <v>1</v>
      </c>
      <c r="H1629" s="74">
        <v>1</v>
      </c>
      <c r="I1629" s="74">
        <f>+辅材及安装费!$E$12</f>
        <v>2</v>
      </c>
      <c r="J1629" s="95">
        <f>H1629*I1629</f>
        <v>2</v>
      </c>
      <c r="K1629" s="92"/>
      <c r="L1629" s="92"/>
      <c r="M1629" s="44"/>
      <c r="N1629" s="44"/>
      <c r="O1629" s="44"/>
      <c r="P1629" s="44"/>
      <c r="Q1629" s="44"/>
      <c r="R1629" s="62"/>
      <c r="S1629" s="47"/>
      <c r="T1629" s="47"/>
    </row>
    <row r="1630" s="27" customFormat="1" ht="18" customHeight="1" spans="1:20">
      <c r="A1630" s="34"/>
      <c r="B1630" s="48">
        <v>25</v>
      </c>
      <c r="C1630" s="48"/>
      <c r="D1630" s="93" t="s">
        <v>442</v>
      </c>
      <c r="E1630" s="72"/>
      <c r="F1630" s="77"/>
      <c r="G1630" s="72"/>
      <c r="H1630" s="74"/>
      <c r="I1630" s="74"/>
      <c r="J1630" s="95">
        <f>SUM(J1606:J1629)</f>
        <v>26.4018304424779</v>
      </c>
      <c r="K1630" s="92"/>
      <c r="L1630" s="94"/>
      <c r="M1630" s="27"/>
      <c r="N1630" s="83"/>
      <c r="O1630" s="83"/>
      <c r="P1630" s="83"/>
      <c r="Q1630" s="83"/>
      <c r="R1630" s="87"/>
      <c r="S1630" s="47"/>
      <c r="T1630" s="47"/>
    </row>
    <row r="1631" s="27" customFormat="1" ht="18" customHeight="1" spans="1:20">
      <c r="A1631" s="34"/>
      <c r="B1631" s="48">
        <v>1</v>
      </c>
      <c r="C1631" s="48" t="s">
        <v>443</v>
      </c>
      <c r="D1631" s="48" t="s">
        <v>444</v>
      </c>
      <c r="E1631" s="72" t="s">
        <v>43</v>
      </c>
      <c r="F1631" s="50"/>
      <c r="G1631" s="48"/>
      <c r="H1631" s="51">
        <v>1</v>
      </c>
      <c r="I1631" s="74">
        <f>+辅材及安装费!$F$12</f>
        <v>1</v>
      </c>
      <c r="J1631" s="95">
        <f>H1631*I1631</f>
        <v>1</v>
      </c>
      <c r="K1631" s="118"/>
      <c r="L1631" s="96"/>
      <c r="M1631" s="97"/>
      <c r="N1631" s="98"/>
      <c r="O1631" s="98"/>
      <c r="P1631" s="98"/>
      <c r="Q1631" s="98"/>
      <c r="R1631" s="99"/>
      <c r="S1631" s="47"/>
      <c r="T1631" s="47"/>
    </row>
    <row r="1632" s="26" customFormat="1" ht="30" customHeight="1" spans="1:20">
      <c r="A1632" s="28"/>
      <c r="B1632" s="29" t="s">
        <v>386</v>
      </c>
      <c r="C1632" s="29"/>
      <c r="D1632" s="29"/>
      <c r="E1632" s="29"/>
      <c r="F1632" s="29"/>
      <c r="G1632" s="29"/>
      <c r="H1632" s="29"/>
      <c r="I1632" s="29"/>
      <c r="J1632" s="29"/>
      <c r="K1632" s="29"/>
      <c r="L1632" s="30"/>
      <c r="M1632" s="31"/>
      <c r="N1632" s="31"/>
      <c r="O1632" s="31"/>
      <c r="P1632" s="31"/>
      <c r="Q1632" s="31"/>
      <c r="R1632" s="32"/>
      <c r="S1632" s="33"/>
      <c r="T1632" s="33"/>
    </row>
    <row r="1633" s="27" customFormat="1" ht="33.75" customHeight="1" spans="1:20">
      <c r="A1633" s="34">
        <v>2</v>
      </c>
      <c r="B1633" s="35" t="s">
        <v>1</v>
      </c>
      <c r="C1633" s="35" t="s">
        <v>387</v>
      </c>
      <c r="D1633" s="36" t="str">
        <f>+A1641</f>
        <v>铝合金线条2（44*40）</v>
      </c>
      <c r="E1633" s="37"/>
      <c r="F1633" s="38"/>
      <c r="G1633" s="39"/>
      <c r="H1633" s="35" t="s">
        <v>388</v>
      </c>
      <c r="I1633" s="40" t="s">
        <v>389</v>
      </c>
      <c r="J1633" s="41" t="s">
        <v>37</v>
      </c>
      <c r="K1633" s="42">
        <f ca="1">VLOOKUP(A1633,排屋工程量清单!A:D,4,)</f>
        <v>3.85</v>
      </c>
      <c r="L1633" s="43"/>
      <c r="M1633" s="44"/>
      <c r="N1633" s="44"/>
      <c r="O1633" s="44"/>
      <c r="P1633" s="45"/>
      <c r="Q1633" s="44"/>
      <c r="R1633" s="46"/>
      <c r="S1633" s="47"/>
      <c r="T1633" s="47"/>
    </row>
    <row r="1634" s="27" customFormat="1" ht="25" customHeight="1" spans="1:20">
      <c r="A1634" s="34"/>
      <c r="B1634" s="48">
        <v>1</v>
      </c>
      <c r="C1634" s="49" t="s">
        <v>390</v>
      </c>
      <c r="D1634" s="48" t="s">
        <v>391</v>
      </c>
      <c r="E1634" s="48"/>
      <c r="F1634" s="50"/>
      <c r="G1634" s="48"/>
      <c r="H1634" s="51"/>
      <c r="I1634" s="52">
        <f>J1646</f>
        <v>15</v>
      </c>
      <c r="J1634" s="53" t="s">
        <v>392</v>
      </c>
      <c r="K1634" s="54"/>
      <c r="L1634" s="55"/>
      <c r="M1634" s="56"/>
      <c r="N1634" s="57"/>
      <c r="O1634" s="57">
        <v>1</v>
      </c>
      <c r="P1634" s="57">
        <v>1</v>
      </c>
      <c r="Q1634" s="57">
        <v>1</v>
      </c>
      <c r="R1634" s="58">
        <f>+Q1634*P1634*O1634</f>
        <v>1</v>
      </c>
      <c r="S1634" s="47"/>
      <c r="T1634" s="47"/>
    </row>
    <row r="1635" s="27" customFormat="1" ht="18" customHeight="1" spans="1:20">
      <c r="A1635" s="34"/>
      <c r="B1635" s="48">
        <v>2</v>
      </c>
      <c r="C1635" s="59"/>
      <c r="D1635" s="48" t="s">
        <v>394</v>
      </c>
      <c r="E1635" s="48"/>
      <c r="F1635" s="50"/>
      <c r="G1635" s="48"/>
      <c r="H1635" s="51"/>
      <c r="I1635" s="52">
        <f>J1671</f>
        <v>29.6070464451328</v>
      </c>
      <c r="J1635" s="53" t="s">
        <v>392</v>
      </c>
      <c r="K1635" s="60"/>
      <c r="L1635" s="61"/>
      <c r="M1635" s="44"/>
      <c r="N1635" s="44"/>
      <c r="O1635" s="44"/>
      <c r="P1635" s="44"/>
      <c r="Q1635" s="44"/>
      <c r="R1635" s="62"/>
      <c r="S1635" s="47"/>
      <c r="T1635" s="47"/>
    </row>
    <row r="1636" s="27" customFormat="1" ht="18" customHeight="1" spans="1:20">
      <c r="A1636" s="34"/>
      <c r="B1636" s="48">
        <v>3</v>
      </c>
      <c r="C1636" s="63"/>
      <c r="D1636" s="48" t="s">
        <v>395</v>
      </c>
      <c r="E1636" s="48"/>
      <c r="F1636" s="50"/>
      <c r="G1636" s="48"/>
      <c r="H1636" s="51"/>
      <c r="I1636" s="52">
        <f>J1672</f>
        <v>1</v>
      </c>
      <c r="J1636" s="53" t="s">
        <v>392</v>
      </c>
      <c r="K1636" s="60"/>
      <c r="L1636" s="60"/>
      <c r="M1636" s="65" t="s">
        <v>396</v>
      </c>
      <c r="N1636" s="65" t="s">
        <v>397</v>
      </c>
      <c r="O1636" s="65" t="s">
        <v>398</v>
      </c>
      <c r="P1636" s="65" t="s">
        <v>399</v>
      </c>
      <c r="Q1636" s="65" t="s">
        <v>400</v>
      </c>
      <c r="R1636" s="66" t="s">
        <v>401</v>
      </c>
      <c r="S1636" s="47"/>
      <c r="T1636" s="47"/>
    </row>
    <row r="1637" s="27" customFormat="1" ht="18" customHeight="1" spans="1:20">
      <c r="A1637" s="34"/>
      <c r="B1637" s="48">
        <v>4</v>
      </c>
      <c r="C1637" s="48" t="s">
        <v>402</v>
      </c>
      <c r="D1637" s="67" t="s">
        <v>403</v>
      </c>
      <c r="E1637" s="67"/>
      <c r="F1637" s="50"/>
      <c r="G1637" s="67"/>
      <c r="H1637" s="68"/>
      <c r="I1637" s="52">
        <f>SUM(I1634:I1636)</f>
        <v>45.6070464451328</v>
      </c>
      <c r="J1637" s="53" t="s">
        <v>392</v>
      </c>
      <c r="K1637" s="60"/>
      <c r="L1637" s="69"/>
      <c r="M1637" s="34"/>
      <c r="N1637" s="34"/>
      <c r="O1637" s="34"/>
      <c r="P1637" s="34"/>
      <c r="Q1637" s="44"/>
      <c r="R1637" s="71"/>
      <c r="S1637" s="47"/>
      <c r="T1637" s="47"/>
    </row>
    <row r="1638" s="27" customFormat="1" ht="28" customHeight="1" spans="1:20">
      <c r="A1638" s="34"/>
      <c r="B1638" s="48">
        <v>5</v>
      </c>
      <c r="C1638" s="72" t="s">
        <v>406</v>
      </c>
      <c r="D1638" s="48" t="s">
        <v>407</v>
      </c>
      <c r="E1638" s="48"/>
      <c r="F1638" s="50"/>
      <c r="G1638" s="48"/>
      <c r="H1638" s="73">
        <f>+'材料表 '!$E$178</f>
        <v>0</v>
      </c>
      <c r="I1638" s="52">
        <f>H1638*I1637</f>
        <v>0</v>
      </c>
      <c r="J1638" s="53" t="s">
        <v>392</v>
      </c>
      <c r="K1638" s="60"/>
      <c r="L1638" s="69"/>
      <c r="M1638" s="34"/>
      <c r="N1638" s="102"/>
      <c r="O1638" s="34"/>
      <c r="P1638" s="34"/>
      <c r="Q1638" s="44"/>
      <c r="R1638" s="71"/>
      <c r="S1638" s="47"/>
      <c r="T1638" s="47"/>
    </row>
    <row r="1639" s="27" customFormat="1" ht="18" customHeight="1" spans="1:20">
      <c r="A1639" s="34"/>
      <c r="B1639" s="48">
        <v>6</v>
      </c>
      <c r="C1639" s="48" t="s">
        <v>409</v>
      </c>
      <c r="D1639" s="48" t="s">
        <v>410</v>
      </c>
      <c r="E1639" s="48"/>
      <c r="F1639" s="50"/>
      <c r="G1639" s="48"/>
      <c r="H1639" s="73">
        <f>+'材料表 '!$E$179</f>
        <v>0</v>
      </c>
      <c r="I1639" s="52">
        <f>H1639*I1637</f>
        <v>0</v>
      </c>
      <c r="J1639" s="53" t="s">
        <v>392</v>
      </c>
      <c r="K1639" s="60"/>
      <c r="L1639" s="69"/>
      <c r="M1639" s="34"/>
      <c r="N1639" s="34"/>
      <c r="O1639" s="34"/>
      <c r="P1639" s="34"/>
      <c r="Q1639" s="44"/>
      <c r="R1639" s="71"/>
      <c r="S1639" s="47"/>
      <c r="T1639" s="47"/>
    </row>
    <row r="1640" s="27" customFormat="1" ht="18" customHeight="1" spans="1:20">
      <c r="A1640" s="34"/>
      <c r="B1640" s="48">
        <v>7</v>
      </c>
      <c r="C1640" s="48" t="s">
        <v>412</v>
      </c>
      <c r="D1640" s="72" t="s">
        <v>413</v>
      </c>
      <c r="E1640" s="72"/>
      <c r="F1640" s="77"/>
      <c r="G1640" s="72"/>
      <c r="H1640" s="73">
        <f>+'材料表 '!$E$180</f>
        <v>0.09</v>
      </c>
      <c r="I1640" s="52">
        <f>(I1637+I1638+I1639)*H1640</f>
        <v>4.10463418006195</v>
      </c>
      <c r="J1640" s="53" t="s">
        <v>392</v>
      </c>
      <c r="K1640" s="60"/>
      <c r="L1640" s="69"/>
      <c r="M1640" s="34"/>
      <c r="N1640" s="34"/>
      <c r="O1640" s="34"/>
      <c r="P1640" s="34"/>
      <c r="Q1640" s="44"/>
      <c r="R1640" s="71"/>
      <c r="S1640" s="47"/>
      <c r="T1640" s="47"/>
    </row>
    <row r="1641" s="27" customFormat="1" ht="18" customHeight="1" spans="1:20">
      <c r="A1641" s="105" t="s">
        <v>180</v>
      </c>
      <c r="B1641" s="48">
        <v>8</v>
      </c>
      <c r="C1641" s="48" t="s">
        <v>363</v>
      </c>
      <c r="D1641" s="106" t="s">
        <v>415</v>
      </c>
      <c r="E1641" s="107"/>
      <c r="F1641" s="108"/>
      <c r="G1641" s="107"/>
      <c r="H1641" s="51"/>
      <c r="I1641" s="74">
        <f>SUM(I1637:I1640)</f>
        <v>49.7116806251947</v>
      </c>
      <c r="J1641" s="53" t="s">
        <v>484</v>
      </c>
      <c r="K1641" s="60"/>
      <c r="L1641" s="69"/>
      <c r="M1641" s="34"/>
      <c r="N1641" s="126"/>
      <c r="O1641" s="34"/>
      <c r="P1641" s="44"/>
      <c r="Q1641" s="44"/>
      <c r="R1641" s="84"/>
      <c r="S1641" s="79"/>
      <c r="T1641" s="47"/>
    </row>
    <row r="1642" s="27" customFormat="1" ht="18" customHeight="1" spans="1:20">
      <c r="A1642" s="34"/>
      <c r="B1642" s="109" t="s">
        <v>418</v>
      </c>
      <c r="C1642" s="110"/>
      <c r="D1642" s="110"/>
      <c r="E1642" s="110"/>
      <c r="F1642" s="110"/>
      <c r="G1642" s="110"/>
      <c r="H1642" s="110"/>
      <c r="I1642" s="110"/>
      <c r="J1642" s="110"/>
      <c r="K1642" s="80"/>
      <c r="L1642" s="69"/>
      <c r="M1642" s="70"/>
      <c r="N1642" s="34"/>
      <c r="O1642" s="34"/>
      <c r="P1642" s="34"/>
      <c r="Q1642" s="44"/>
      <c r="R1642" s="71"/>
      <c r="S1642" s="47"/>
      <c r="T1642" s="47"/>
    </row>
    <row r="1643" s="27" customFormat="1" ht="18" customHeight="1" spans="1:20">
      <c r="A1643" s="34"/>
      <c r="B1643" s="48">
        <v>1</v>
      </c>
      <c r="C1643" s="48" t="s">
        <v>391</v>
      </c>
      <c r="D1643" s="48" t="s">
        <v>396</v>
      </c>
      <c r="E1643" s="48" t="s">
        <v>37</v>
      </c>
      <c r="F1643" s="50"/>
      <c r="G1643" s="48"/>
      <c r="H1643" s="51" t="s">
        <v>399</v>
      </c>
      <c r="I1643" s="51" t="s">
        <v>420</v>
      </c>
      <c r="J1643" s="95" t="s">
        <v>421</v>
      </c>
      <c r="K1643" s="92"/>
      <c r="L1643" s="69" t="s">
        <v>433</v>
      </c>
      <c r="M1643" s="70" t="s">
        <v>567</v>
      </c>
      <c r="N1643" s="34">
        <f>0.138*2.71</f>
        <v>0.37398</v>
      </c>
      <c r="O1643" s="34">
        <v>1</v>
      </c>
      <c r="P1643" s="34">
        <v>1</v>
      </c>
      <c r="Q1643" s="44">
        <f t="shared" ref="Q1643:Q1645" si="187">+P1643*O1643*N1643</f>
        <v>0.37398</v>
      </c>
      <c r="R1643" s="71">
        <f>+Q1643/R1634</f>
        <v>0.37398</v>
      </c>
      <c r="S1643" s="47"/>
      <c r="T1643" s="47"/>
    </row>
    <row r="1644" s="27" customFormat="1" ht="18" customHeight="1" spans="1:20">
      <c r="A1644" s="34"/>
      <c r="B1644" s="48">
        <v>2</v>
      </c>
      <c r="C1644" s="48"/>
      <c r="D1644" s="111" t="s">
        <v>568</v>
      </c>
      <c r="E1644" s="49" t="s">
        <v>423</v>
      </c>
      <c r="F1644" s="112"/>
      <c r="G1644" s="111"/>
      <c r="H1644" s="113">
        <v>1</v>
      </c>
      <c r="I1644" s="113">
        <f>+辅材及安装费!$G$12</f>
        <v>15</v>
      </c>
      <c r="J1644" s="114">
        <f>H1644*I1644</f>
        <v>15</v>
      </c>
      <c r="K1644" s="92"/>
      <c r="L1644" s="34" t="s">
        <v>447</v>
      </c>
      <c r="M1644" s="70" t="s">
        <v>569</v>
      </c>
      <c r="N1644" s="34">
        <f>0.173*2.71</f>
        <v>0.46883</v>
      </c>
      <c r="O1644" s="34">
        <v>1</v>
      </c>
      <c r="P1644" s="34">
        <v>1</v>
      </c>
      <c r="Q1644" s="44">
        <f t="shared" si="187"/>
        <v>0.46883</v>
      </c>
      <c r="R1644" s="71">
        <f>+Q1644/R1634</f>
        <v>0.46883</v>
      </c>
      <c r="S1644" s="47">
        <v>0.116</v>
      </c>
      <c r="T1644" s="47">
        <f>O1644*S1644</f>
        <v>0.116</v>
      </c>
    </row>
    <row r="1645" s="27" customFormat="1" ht="18" customHeight="1" spans="1:20">
      <c r="A1645" s="34"/>
      <c r="B1645" s="48">
        <v>3</v>
      </c>
      <c r="C1645" s="48"/>
      <c r="D1645" s="115"/>
      <c r="E1645" s="63"/>
      <c r="F1645" s="116"/>
      <c r="G1645" s="115"/>
      <c r="H1645" s="117"/>
      <c r="I1645" s="117"/>
      <c r="J1645" s="118"/>
      <c r="K1645" s="92"/>
      <c r="L1645" s="90" t="s">
        <v>447</v>
      </c>
      <c r="M1645" s="70"/>
      <c r="N1645" s="82"/>
      <c r="O1645" s="44"/>
      <c r="P1645" s="44">
        <v>1</v>
      </c>
      <c r="Q1645" s="44">
        <f t="shared" si="187"/>
        <v>0</v>
      </c>
      <c r="R1645" s="84">
        <f>Q1645/R1634</f>
        <v>0</v>
      </c>
      <c r="S1645" s="47"/>
      <c r="T1645" s="47">
        <f>S1645*O1645*P1645</f>
        <v>0</v>
      </c>
    </row>
    <row r="1646" s="27" customFormat="1" ht="18" customHeight="1" spans="1:20">
      <c r="A1646" s="34"/>
      <c r="B1646" s="48">
        <v>4</v>
      </c>
      <c r="C1646" s="48"/>
      <c r="D1646" s="85" t="s">
        <v>426</v>
      </c>
      <c r="E1646" s="48" t="s">
        <v>392</v>
      </c>
      <c r="F1646" s="50"/>
      <c r="G1646" s="48"/>
      <c r="H1646" s="86"/>
      <c r="I1646" s="86"/>
      <c r="J1646" s="95">
        <f>SUM(J1644:J1644)</f>
        <v>15</v>
      </c>
      <c r="K1646" s="92"/>
      <c r="L1646" s="90"/>
      <c r="M1646" s="44"/>
      <c r="N1646" s="82"/>
      <c r="O1646" s="44"/>
      <c r="P1646" s="44"/>
      <c r="Q1646" s="44"/>
      <c r="R1646" s="84"/>
      <c r="S1646" s="47"/>
      <c r="T1646" s="47"/>
    </row>
    <row r="1647" s="27" customFormat="1" ht="22" customHeight="1" spans="1:20">
      <c r="A1647" s="34"/>
      <c r="B1647" s="48">
        <v>1</v>
      </c>
      <c r="C1647" s="48" t="s">
        <v>394</v>
      </c>
      <c r="D1647" s="88"/>
      <c r="E1647" s="72"/>
      <c r="F1647" s="77"/>
      <c r="G1647" s="89"/>
      <c r="H1647" s="74"/>
      <c r="I1647" s="74"/>
      <c r="J1647" s="95"/>
      <c r="K1647" s="92">
        <f ca="1">H1647*K1633</f>
        <v>0</v>
      </c>
      <c r="L1647" s="90" t="s">
        <v>447</v>
      </c>
      <c r="M1647" s="44"/>
      <c r="N1647" s="82"/>
      <c r="O1647" s="44">
        <f>P1634</f>
        <v>1</v>
      </c>
      <c r="P1647" s="44"/>
      <c r="Q1647" s="44">
        <f>+P1647*O1647*N1647</f>
        <v>0</v>
      </c>
      <c r="R1647" s="84">
        <f>Q1647/R1634</f>
        <v>0</v>
      </c>
      <c r="S1647" s="47"/>
      <c r="T1647" s="47"/>
    </row>
    <row r="1648" s="27" customFormat="1" ht="18" customHeight="1" spans="1:20">
      <c r="A1648" s="34"/>
      <c r="B1648" s="48">
        <v>2</v>
      </c>
      <c r="C1648" s="48"/>
      <c r="D1648" s="88"/>
      <c r="E1648" s="72"/>
      <c r="F1648" s="77"/>
      <c r="G1648" s="89"/>
      <c r="H1648" s="74"/>
      <c r="I1648" s="74"/>
      <c r="J1648" s="95"/>
      <c r="K1648" s="92">
        <f ca="1">H1648*K1633</f>
        <v>0</v>
      </c>
      <c r="L1648" s="90" t="s">
        <v>447</v>
      </c>
      <c r="M1648" s="44"/>
      <c r="N1648" s="82"/>
      <c r="O1648" s="44">
        <f>O1634</f>
        <v>1</v>
      </c>
      <c r="P1648" s="44"/>
      <c r="Q1648" s="44">
        <f>+P1648*O1648*N1648</f>
        <v>0</v>
      </c>
      <c r="R1648" s="84">
        <f>Q1648/R1634</f>
        <v>0</v>
      </c>
      <c r="S1648" s="47"/>
      <c r="T1648" s="47"/>
    </row>
    <row r="1649" s="27" customFormat="1" ht="18" customHeight="1" spans="1:20">
      <c r="A1649" s="34"/>
      <c r="B1649" s="48">
        <v>3</v>
      </c>
      <c r="C1649" s="48"/>
      <c r="D1649" s="88"/>
      <c r="E1649" s="72"/>
      <c r="F1649" s="77"/>
      <c r="G1649" s="89"/>
      <c r="H1649" s="74"/>
      <c r="I1649" s="74"/>
      <c r="J1649" s="95"/>
      <c r="K1649" s="92">
        <f ca="1">H1649*K1633</f>
        <v>0</v>
      </c>
      <c r="L1649" s="90"/>
      <c r="M1649" s="44"/>
      <c r="N1649" s="82"/>
      <c r="O1649" s="44"/>
      <c r="P1649" s="44"/>
      <c r="Q1649" s="44">
        <f>+P1649*O1649</f>
        <v>0</v>
      </c>
      <c r="R1649" s="84">
        <f>+Q1649/R1634</f>
        <v>0</v>
      </c>
      <c r="S1649" s="47"/>
      <c r="T1649" s="47"/>
    </row>
    <row r="1650" s="27" customFormat="1" ht="18" customHeight="1" spans="1:20">
      <c r="A1650" s="34"/>
      <c r="B1650" s="48">
        <v>4</v>
      </c>
      <c r="C1650" s="48"/>
      <c r="D1650" s="88" t="s">
        <v>433</v>
      </c>
      <c r="E1650" s="72" t="str">
        <f>+VLOOKUP(D1650,'材料表 '!C:F,2,0)</f>
        <v>kg</v>
      </c>
      <c r="F1650" s="77">
        <f>+SUMIF($L$1634:$L$1672,D1650,$R$1634:$R$1672)</f>
        <v>0.37398</v>
      </c>
      <c r="G1650" s="89">
        <f>+VLOOKUP(D1650,'材料表 '!C:F,4,0)</f>
        <v>0.03</v>
      </c>
      <c r="H1650" s="74">
        <f t="shared" ref="H1650:H1652" si="188">F1650*(G1650+1)</f>
        <v>0.3851994</v>
      </c>
      <c r="I1650" s="74">
        <f>+VLOOKUP(D1650,'材料表 '!C:F,3,0)</f>
        <v>26.1150442477876</v>
      </c>
      <c r="J1650" s="95">
        <f t="shared" ref="J1650:J1652" si="189">H1650*I1650</f>
        <v>10.0594993752212</v>
      </c>
      <c r="K1650" s="92">
        <f ca="1">H1650*K1633</f>
        <v>1.48301769</v>
      </c>
      <c r="L1650" s="90"/>
      <c r="M1650" s="44"/>
      <c r="N1650" s="82"/>
      <c r="O1650" s="44"/>
      <c r="P1650" s="44"/>
      <c r="Q1650" s="44"/>
      <c r="R1650" s="84"/>
      <c r="S1650" s="47"/>
      <c r="T1650" s="47">
        <f>SUM(T1644:T1649)</f>
        <v>0.116</v>
      </c>
    </row>
    <row r="1651" s="27" customFormat="1" ht="18" customHeight="1" spans="1:20">
      <c r="A1651" s="34"/>
      <c r="B1651" s="48">
        <v>5</v>
      </c>
      <c r="C1651" s="48"/>
      <c r="D1651" s="88" t="s">
        <v>447</v>
      </c>
      <c r="E1651" s="72" t="str">
        <f>+VLOOKUP(D1651,'材料表 '!C:F,2,0)</f>
        <v>kg</v>
      </c>
      <c r="F1651" s="77">
        <f>+SUMIF($L$1634:$L$1672,D1651,$R$1634:$R$1672)</f>
        <v>0.46883</v>
      </c>
      <c r="G1651" s="89">
        <f>+VLOOKUP(D1651,'材料表 '!C:F,4,0)</f>
        <v>0.03</v>
      </c>
      <c r="H1651" s="74">
        <f t="shared" si="188"/>
        <v>0.4828949</v>
      </c>
      <c r="I1651" s="74">
        <f>+VLOOKUP(D1651,'材料表 '!C:F,3,0)</f>
        <v>24.4336283185841</v>
      </c>
      <c r="J1651" s="95">
        <f t="shared" si="189"/>
        <v>11.7988745035398</v>
      </c>
      <c r="K1651" s="92">
        <f ca="1">H1651*K1633</f>
        <v>1.859145365</v>
      </c>
      <c r="L1651" s="92" t="s">
        <v>476</v>
      </c>
      <c r="M1651" s="44"/>
      <c r="N1651" s="82"/>
      <c r="O1651" s="44"/>
      <c r="P1651" s="44"/>
      <c r="Q1651" s="44">
        <f>10*8*(O1634*0+P1634*0)/500</f>
        <v>0</v>
      </c>
      <c r="R1651" s="84">
        <f>+Q1651/R1634</f>
        <v>0</v>
      </c>
      <c r="S1651" s="47"/>
      <c r="T1651" s="47"/>
    </row>
    <row r="1652" s="27" customFormat="1" ht="18" customHeight="1" spans="1:20">
      <c r="A1652" s="34"/>
      <c r="B1652" s="48">
        <v>6</v>
      </c>
      <c r="C1652" s="48"/>
      <c r="D1652" s="88" t="s">
        <v>434</v>
      </c>
      <c r="E1652" s="72" t="str">
        <f>+VLOOKUP(D1652,'材料表 '!C:F,2,0)</f>
        <v>m2</v>
      </c>
      <c r="F1652" s="77">
        <f>T1650/R1634</f>
        <v>0.116</v>
      </c>
      <c r="G1652" s="89">
        <f>+VLOOKUP(D1652,'材料表 '!C:F,4,0)</f>
        <v>0</v>
      </c>
      <c r="H1652" s="74">
        <f t="shared" si="188"/>
        <v>0.116</v>
      </c>
      <c r="I1652" s="74">
        <f>+VLOOKUP(D1652,'材料表 '!C:F,3,0)</f>
        <v>49.5575221238938</v>
      </c>
      <c r="J1652" s="95">
        <f t="shared" si="189"/>
        <v>5.74867256637168</v>
      </c>
      <c r="K1652" s="92">
        <f ca="1">H1652*K1633</f>
        <v>0.4466</v>
      </c>
      <c r="L1652" s="92"/>
      <c r="M1652" s="44"/>
      <c r="N1652" s="82"/>
      <c r="O1652" s="44"/>
      <c r="P1652" s="44"/>
      <c r="Q1652" s="44"/>
      <c r="R1652" s="84"/>
      <c r="S1652" s="47"/>
      <c r="T1652" s="47"/>
    </row>
    <row r="1653" s="27" customFormat="1" ht="18" customHeight="1" spans="1:20">
      <c r="A1653" s="34"/>
      <c r="B1653" s="48">
        <v>7</v>
      </c>
      <c r="C1653" s="48"/>
      <c r="D1653" s="88"/>
      <c r="E1653" s="72"/>
      <c r="F1653" s="77"/>
      <c r="G1653" s="89"/>
      <c r="H1653" s="74"/>
      <c r="I1653" s="74"/>
      <c r="J1653" s="95"/>
      <c r="K1653" s="92">
        <f ca="1">H1653*K1633</f>
        <v>0</v>
      </c>
      <c r="L1653" s="92"/>
      <c r="M1653" s="44"/>
      <c r="N1653" s="82"/>
      <c r="O1653" s="44"/>
      <c r="P1653" s="44"/>
      <c r="Q1653" s="44"/>
      <c r="R1653" s="84"/>
      <c r="S1653" s="47"/>
      <c r="T1653" s="47"/>
    </row>
    <row r="1654" s="27" customFormat="1" ht="18" customHeight="1" spans="1:20">
      <c r="A1654" s="34"/>
      <c r="B1654" s="48">
        <v>8</v>
      </c>
      <c r="C1654" s="48"/>
      <c r="D1654" s="88"/>
      <c r="E1654" s="72"/>
      <c r="F1654" s="77"/>
      <c r="G1654" s="89"/>
      <c r="H1654" s="74"/>
      <c r="I1654" s="74"/>
      <c r="J1654" s="95"/>
      <c r="K1654" s="92">
        <f ca="1">H1654*K1633</f>
        <v>0</v>
      </c>
      <c r="L1654" s="92"/>
      <c r="M1654" s="44"/>
      <c r="N1654" s="82"/>
      <c r="O1654" s="44"/>
      <c r="P1654" s="44"/>
      <c r="Q1654" s="44"/>
      <c r="R1654" s="84"/>
      <c r="S1654" s="47"/>
      <c r="T1654" s="47"/>
    </row>
    <row r="1655" s="27" customFormat="1" ht="18" customHeight="1" spans="1:20">
      <c r="A1655" s="34"/>
      <c r="B1655" s="48">
        <v>9</v>
      </c>
      <c r="C1655" s="48"/>
      <c r="D1655" s="88" t="s">
        <v>476</v>
      </c>
      <c r="E1655" s="72" t="str">
        <f>+VLOOKUP(D1655,'材料表 '!C:F,2,0)</f>
        <v>支</v>
      </c>
      <c r="F1655" s="77">
        <v>0</v>
      </c>
      <c r="G1655" s="89">
        <f>+VLOOKUP(D1655,'材料表 '!C:F,4,0)</f>
        <v>0.15</v>
      </c>
      <c r="H1655" s="74">
        <f>F1655*(G1655+1)</f>
        <v>0</v>
      </c>
      <c r="I1655" s="74">
        <f>+VLOOKUP(D1655,'材料表 '!C:F,3,0)</f>
        <v>11.5044247787611</v>
      </c>
      <c r="J1655" s="95">
        <f>H1655*I1655</f>
        <v>0</v>
      </c>
      <c r="K1655" s="92">
        <f ca="1">H1655*K1633</f>
        <v>0</v>
      </c>
      <c r="L1655" s="90"/>
      <c r="M1655" s="44"/>
      <c r="N1655" s="82"/>
      <c r="O1655" s="34"/>
      <c r="P1655" s="44"/>
      <c r="Q1655" s="44"/>
      <c r="R1655" s="119"/>
      <c r="S1655" s="47"/>
      <c r="T1655" s="47"/>
    </row>
    <row r="1656" s="27" customFormat="1" ht="23" customHeight="1" spans="1:20">
      <c r="A1656" s="34"/>
      <c r="B1656" s="48">
        <v>10</v>
      </c>
      <c r="C1656" s="48"/>
      <c r="D1656" s="88"/>
      <c r="E1656" s="72"/>
      <c r="F1656" s="77"/>
      <c r="G1656" s="89"/>
      <c r="H1656" s="74"/>
      <c r="I1656" s="74"/>
      <c r="J1656" s="95"/>
      <c r="K1656" s="92">
        <f ca="1">H1656*K1633</f>
        <v>0</v>
      </c>
      <c r="L1656" s="92"/>
      <c r="M1656" s="120"/>
      <c r="N1656" s="82"/>
      <c r="O1656" s="44"/>
      <c r="P1656" s="44"/>
      <c r="Q1656" s="44"/>
      <c r="R1656" s="84"/>
      <c r="S1656" s="47"/>
      <c r="T1656" s="47"/>
    </row>
    <row r="1657" s="27" customFormat="1" ht="20" customHeight="1" spans="1:20">
      <c r="A1657" s="34"/>
      <c r="B1657" s="48">
        <v>11</v>
      </c>
      <c r="C1657" s="48"/>
      <c r="D1657" s="88"/>
      <c r="E1657" s="72"/>
      <c r="F1657" s="77"/>
      <c r="G1657" s="89"/>
      <c r="H1657" s="74"/>
      <c r="I1657" s="74"/>
      <c r="J1657" s="95"/>
      <c r="K1657" s="92">
        <f ca="1">H1657*K1633</f>
        <v>0</v>
      </c>
      <c r="L1657" s="92"/>
      <c r="M1657" s="44"/>
      <c r="N1657" s="82"/>
      <c r="O1657" s="44"/>
      <c r="P1657" s="44"/>
      <c r="Q1657" s="44"/>
      <c r="R1657" s="84"/>
      <c r="S1657" s="47"/>
      <c r="T1657" s="47"/>
    </row>
    <row r="1658" s="27" customFormat="1" ht="24" customHeight="1" spans="1:20">
      <c r="A1658" s="34"/>
      <c r="B1658" s="48">
        <v>12</v>
      </c>
      <c r="C1658" s="48"/>
      <c r="D1658" s="127"/>
      <c r="E1658" s="72"/>
      <c r="F1658" s="128"/>
      <c r="G1658" s="89"/>
      <c r="H1658" s="74"/>
      <c r="I1658" s="74"/>
      <c r="J1658" s="95"/>
      <c r="K1658" s="92">
        <f ca="1">H1658*K1633</f>
        <v>0</v>
      </c>
      <c r="L1658" s="92"/>
      <c r="M1658" s="44"/>
      <c r="N1658" s="44"/>
      <c r="O1658" s="44"/>
      <c r="P1658" s="44"/>
      <c r="Q1658" s="44"/>
      <c r="R1658" s="84"/>
      <c r="S1658" s="47"/>
      <c r="T1658" s="47"/>
    </row>
    <row r="1659" s="27" customFormat="1" ht="18" customHeight="1" spans="1:20">
      <c r="A1659" s="34"/>
      <c r="B1659" s="48">
        <v>13</v>
      </c>
      <c r="C1659" s="48"/>
      <c r="D1659" s="88"/>
      <c r="E1659" s="72"/>
      <c r="F1659" s="77"/>
      <c r="G1659" s="89"/>
      <c r="H1659" s="74"/>
      <c r="I1659" s="74"/>
      <c r="J1659" s="95"/>
      <c r="K1659" s="92">
        <f ca="1">H1659*K1633</f>
        <v>0</v>
      </c>
      <c r="L1659" s="92"/>
      <c r="M1659" s="44"/>
      <c r="N1659" s="44"/>
      <c r="O1659" s="44"/>
      <c r="P1659" s="44"/>
      <c r="Q1659" s="44"/>
      <c r="R1659" s="84"/>
      <c r="S1659" s="47"/>
      <c r="T1659" s="47"/>
    </row>
    <row r="1660" s="27" customFormat="1" ht="24" customHeight="1" spans="1:20">
      <c r="A1660" s="34"/>
      <c r="B1660" s="48">
        <v>14</v>
      </c>
      <c r="C1660" s="48"/>
      <c r="D1660" s="88"/>
      <c r="E1660" s="72"/>
      <c r="F1660" s="77"/>
      <c r="G1660" s="89"/>
      <c r="H1660" s="74"/>
      <c r="I1660" s="74"/>
      <c r="J1660" s="95"/>
      <c r="K1660" s="92">
        <f ca="1">H1660*K1633</f>
        <v>0</v>
      </c>
      <c r="L1660" s="92"/>
      <c r="M1660" s="44"/>
      <c r="N1660" s="44"/>
      <c r="O1660" s="44"/>
      <c r="P1660" s="44"/>
      <c r="Q1660" s="44"/>
      <c r="R1660" s="84"/>
      <c r="S1660" s="47"/>
      <c r="T1660" s="47"/>
    </row>
    <row r="1661" s="27" customFormat="1" ht="18" customHeight="1" spans="1:20">
      <c r="A1661" s="34"/>
      <c r="B1661" s="48">
        <v>15</v>
      </c>
      <c r="C1661" s="48"/>
      <c r="D1661" s="88"/>
      <c r="E1661" s="72"/>
      <c r="F1661" s="77"/>
      <c r="G1661" s="89"/>
      <c r="H1661" s="74"/>
      <c r="I1661" s="74"/>
      <c r="J1661" s="95"/>
      <c r="K1661" s="92"/>
      <c r="L1661" s="92"/>
      <c r="M1661" s="44"/>
      <c r="N1661" s="44"/>
      <c r="O1661" s="44"/>
      <c r="P1661" s="44"/>
      <c r="Q1661" s="44"/>
      <c r="R1661" s="84"/>
      <c r="S1661" s="47"/>
      <c r="T1661" s="47"/>
    </row>
    <row r="1662" s="27" customFormat="1" ht="18" customHeight="1" spans="1:20">
      <c r="A1662" s="34"/>
      <c r="B1662" s="48">
        <v>16</v>
      </c>
      <c r="C1662" s="48"/>
      <c r="D1662" s="88"/>
      <c r="E1662" s="72"/>
      <c r="F1662" s="77"/>
      <c r="G1662" s="89"/>
      <c r="H1662" s="74"/>
      <c r="I1662" s="74"/>
      <c r="J1662" s="95"/>
      <c r="K1662" s="92"/>
      <c r="L1662" s="92"/>
      <c r="M1662" s="44"/>
      <c r="N1662" s="44"/>
      <c r="O1662" s="44"/>
      <c r="P1662" s="44"/>
      <c r="Q1662" s="44"/>
      <c r="R1662" s="84"/>
      <c r="S1662" s="47"/>
      <c r="T1662" s="47"/>
    </row>
    <row r="1663" s="27" customFormat="1" ht="18" customHeight="1" spans="1:20">
      <c r="A1663" s="34"/>
      <c r="B1663" s="48">
        <v>17</v>
      </c>
      <c r="C1663" s="48"/>
      <c r="D1663" s="121"/>
      <c r="E1663" s="72"/>
      <c r="F1663" s="77"/>
      <c r="G1663" s="89"/>
      <c r="H1663" s="74"/>
      <c r="I1663" s="74"/>
      <c r="J1663" s="95"/>
      <c r="K1663" s="92"/>
      <c r="L1663" s="92"/>
      <c r="M1663" s="44"/>
      <c r="N1663" s="44"/>
      <c r="O1663" s="44"/>
      <c r="P1663" s="44"/>
      <c r="Q1663" s="101"/>
      <c r="R1663" s="84"/>
      <c r="S1663" s="47"/>
      <c r="T1663" s="47"/>
    </row>
    <row r="1664" s="27" customFormat="1" ht="18" customHeight="1" spans="1:20">
      <c r="A1664" s="34"/>
      <c r="B1664" s="48">
        <v>18</v>
      </c>
      <c r="C1664" s="48"/>
      <c r="D1664" s="88"/>
      <c r="E1664" s="72"/>
      <c r="F1664" s="77"/>
      <c r="G1664" s="89"/>
      <c r="H1664" s="74"/>
      <c r="I1664" s="74"/>
      <c r="J1664" s="95"/>
      <c r="K1664" s="92"/>
      <c r="L1664" s="92"/>
      <c r="M1664" s="44"/>
      <c r="N1664" s="44"/>
      <c r="O1664" s="44"/>
      <c r="P1664" s="44"/>
      <c r="Q1664" s="44"/>
      <c r="R1664" s="84"/>
      <c r="S1664" s="47"/>
      <c r="T1664" s="47"/>
    </row>
    <row r="1665" s="27" customFormat="1" ht="18" customHeight="1" spans="1:20">
      <c r="A1665" s="34"/>
      <c r="B1665" s="48">
        <v>19</v>
      </c>
      <c r="C1665" s="48"/>
      <c r="D1665" s="27"/>
      <c r="E1665" s="72"/>
      <c r="F1665" s="77"/>
      <c r="G1665" s="89"/>
      <c r="H1665" s="74"/>
      <c r="I1665" s="74"/>
      <c r="J1665" s="95"/>
      <c r="K1665" s="92"/>
      <c r="L1665" s="92"/>
      <c r="M1665" s="44"/>
      <c r="N1665" s="44"/>
      <c r="O1665" s="44"/>
      <c r="P1665" s="44"/>
      <c r="Q1665" s="44"/>
      <c r="R1665" s="84"/>
      <c r="S1665" s="47"/>
      <c r="T1665" s="47"/>
    </row>
    <row r="1666" s="27" customFormat="1" ht="18" customHeight="1" spans="1:20">
      <c r="A1666" s="34"/>
      <c r="B1666" s="48">
        <v>20</v>
      </c>
      <c r="C1666" s="48"/>
      <c r="D1666" s="88"/>
      <c r="E1666" s="72"/>
      <c r="F1666" s="77"/>
      <c r="G1666" s="89"/>
      <c r="H1666" s="74"/>
      <c r="I1666" s="74"/>
      <c r="J1666" s="95"/>
      <c r="K1666" s="92"/>
      <c r="L1666" s="92"/>
      <c r="M1666" s="44"/>
      <c r="N1666" s="44"/>
      <c r="O1666" s="44"/>
      <c r="P1666" s="44"/>
      <c r="Q1666" s="44"/>
      <c r="R1666" s="84"/>
      <c r="S1666" s="47"/>
      <c r="T1666" s="47"/>
    </row>
    <row r="1667" s="27" customFormat="1" ht="18" customHeight="1" spans="1:20">
      <c r="A1667" s="34"/>
      <c r="B1667" s="48">
        <v>21</v>
      </c>
      <c r="C1667" s="48"/>
      <c r="D1667" s="88"/>
      <c r="E1667" s="72"/>
      <c r="F1667" s="77"/>
      <c r="G1667" s="89"/>
      <c r="H1667" s="74"/>
      <c r="I1667" s="74"/>
      <c r="J1667" s="95"/>
      <c r="K1667" s="92"/>
      <c r="L1667" s="92"/>
      <c r="M1667" s="44"/>
      <c r="N1667" s="44"/>
      <c r="O1667" s="44"/>
      <c r="P1667" s="44"/>
      <c r="Q1667" s="44"/>
      <c r="R1667" s="84"/>
      <c r="S1667" s="47"/>
      <c r="T1667" s="47"/>
    </row>
    <row r="1668" s="27" customFormat="1" ht="18" customHeight="1" spans="1:20">
      <c r="A1668" s="34"/>
      <c r="B1668" s="48">
        <v>22</v>
      </c>
      <c r="C1668" s="48"/>
      <c r="D1668" s="27"/>
      <c r="E1668" s="72"/>
      <c r="F1668" s="77"/>
      <c r="G1668" s="72"/>
      <c r="H1668" s="74"/>
      <c r="I1668" s="74"/>
      <c r="J1668" s="95"/>
      <c r="K1668" s="92"/>
      <c r="L1668" s="92"/>
      <c r="M1668" s="44"/>
      <c r="N1668" s="44"/>
      <c r="O1668" s="44"/>
      <c r="P1668" s="44"/>
      <c r="Q1668" s="44"/>
      <c r="R1668" s="62"/>
      <c r="S1668" s="47"/>
      <c r="T1668" s="47"/>
    </row>
    <row r="1669" s="27" customFormat="1" ht="18" customHeight="1" spans="1:20">
      <c r="A1669" s="34"/>
      <c r="B1669" s="48">
        <v>23</v>
      </c>
      <c r="C1669" s="48"/>
      <c r="D1669" s="88"/>
      <c r="E1669" s="72"/>
      <c r="F1669" s="77"/>
      <c r="G1669" s="89"/>
      <c r="H1669" s="74"/>
      <c r="I1669" s="74"/>
      <c r="J1669" s="95"/>
      <c r="K1669" s="92"/>
      <c r="L1669" s="92"/>
      <c r="M1669" s="44"/>
      <c r="N1669" s="44"/>
      <c r="O1669" s="44"/>
      <c r="P1669" s="44"/>
      <c r="Q1669" s="44"/>
      <c r="R1669" s="62"/>
      <c r="S1669" s="47"/>
      <c r="T1669" s="47"/>
    </row>
    <row r="1670" s="27" customFormat="1" ht="18" customHeight="1" spans="1:20">
      <c r="A1670" s="34"/>
      <c r="B1670" s="48">
        <v>24</v>
      </c>
      <c r="C1670" s="48"/>
      <c r="D1670" s="88" t="s">
        <v>478</v>
      </c>
      <c r="E1670" s="72" t="s">
        <v>43</v>
      </c>
      <c r="F1670" s="77"/>
      <c r="G1670" s="72">
        <v>1</v>
      </c>
      <c r="H1670" s="74">
        <v>1</v>
      </c>
      <c r="I1670" s="74">
        <f>+辅材及安装费!$E$12</f>
        <v>2</v>
      </c>
      <c r="J1670" s="95">
        <f>H1670*I1670</f>
        <v>2</v>
      </c>
      <c r="K1670" s="92"/>
      <c r="L1670" s="92"/>
      <c r="M1670" s="44"/>
      <c r="N1670" s="44"/>
      <c r="O1670" s="44"/>
      <c r="P1670" s="44"/>
      <c r="Q1670" s="44"/>
      <c r="R1670" s="62"/>
      <c r="S1670" s="47"/>
      <c r="T1670" s="47"/>
    </row>
    <row r="1671" s="27" customFormat="1" ht="18" customHeight="1" spans="1:20">
      <c r="A1671" s="34"/>
      <c r="B1671" s="48">
        <v>25</v>
      </c>
      <c r="C1671" s="48"/>
      <c r="D1671" s="93" t="s">
        <v>442</v>
      </c>
      <c r="E1671" s="72"/>
      <c r="F1671" s="77"/>
      <c r="G1671" s="72"/>
      <c r="H1671" s="74"/>
      <c r="I1671" s="74"/>
      <c r="J1671" s="95">
        <f>SUM(J1647:J1670)</f>
        <v>29.6070464451328</v>
      </c>
      <c r="K1671" s="92"/>
      <c r="L1671" s="94"/>
      <c r="M1671" s="27"/>
      <c r="N1671" s="83"/>
      <c r="O1671" s="83"/>
      <c r="P1671" s="83"/>
      <c r="Q1671" s="83"/>
      <c r="R1671" s="87"/>
      <c r="S1671" s="47"/>
      <c r="T1671" s="47"/>
    </row>
    <row r="1672" s="27" customFormat="1" ht="18" customHeight="1" spans="1:20">
      <c r="A1672" s="34"/>
      <c r="B1672" s="48">
        <v>1</v>
      </c>
      <c r="C1672" s="48" t="s">
        <v>443</v>
      </c>
      <c r="D1672" s="48" t="s">
        <v>444</v>
      </c>
      <c r="E1672" s="72" t="s">
        <v>43</v>
      </c>
      <c r="F1672" s="50"/>
      <c r="G1672" s="48"/>
      <c r="H1672" s="51">
        <v>1</v>
      </c>
      <c r="I1672" s="74">
        <f>+辅材及安装费!$F$12</f>
        <v>1</v>
      </c>
      <c r="J1672" s="95">
        <f>H1672*I1672</f>
        <v>1</v>
      </c>
      <c r="K1672" s="118"/>
      <c r="L1672" s="96"/>
      <c r="M1672" s="97"/>
      <c r="N1672" s="98"/>
      <c r="O1672" s="98"/>
      <c r="P1672" s="98"/>
      <c r="Q1672" s="98"/>
      <c r="R1672" s="99"/>
      <c r="S1672" s="47"/>
      <c r="T1672" s="47"/>
    </row>
    <row r="1673" s="26" customFormat="1" ht="30" customHeight="1" spans="1:20">
      <c r="A1673" s="28"/>
      <c r="B1673" s="29" t="s">
        <v>386</v>
      </c>
      <c r="C1673" s="29"/>
      <c r="D1673" s="29"/>
      <c r="E1673" s="29"/>
      <c r="F1673" s="29"/>
      <c r="G1673" s="29"/>
      <c r="H1673" s="29"/>
      <c r="I1673" s="29"/>
      <c r="J1673" s="29"/>
      <c r="K1673" s="29"/>
      <c r="L1673" s="30"/>
      <c r="M1673" s="31"/>
      <c r="N1673" s="31"/>
      <c r="O1673" s="31"/>
      <c r="P1673" s="31"/>
      <c r="Q1673" s="31"/>
      <c r="R1673" s="32"/>
      <c r="S1673" s="33"/>
      <c r="T1673" s="33"/>
    </row>
    <row r="1674" s="27" customFormat="1" ht="33.75" customHeight="1" spans="1:20">
      <c r="A1674" s="34">
        <v>3</v>
      </c>
      <c r="B1674" s="35" t="s">
        <v>1</v>
      </c>
      <c r="C1674" s="35" t="s">
        <v>387</v>
      </c>
      <c r="D1674" s="36" t="str">
        <f>+A1682</f>
        <v>铝合金线条3（20*30）</v>
      </c>
      <c r="E1674" s="37"/>
      <c r="F1674" s="38"/>
      <c r="G1674" s="39"/>
      <c r="H1674" s="35" t="s">
        <v>388</v>
      </c>
      <c r="I1674" s="40" t="s">
        <v>389</v>
      </c>
      <c r="J1674" s="41" t="s">
        <v>37</v>
      </c>
      <c r="K1674" s="42">
        <f ca="1">VLOOKUP(A1674,排屋工程量清单!A:D,4,)</f>
        <v>4.4625</v>
      </c>
      <c r="L1674" s="43"/>
      <c r="M1674" s="44"/>
      <c r="N1674" s="44"/>
      <c r="O1674" s="44"/>
      <c r="P1674" s="45"/>
      <c r="Q1674" s="44"/>
      <c r="R1674" s="46"/>
      <c r="S1674" s="47"/>
      <c r="T1674" s="47"/>
    </row>
    <row r="1675" s="27" customFormat="1" ht="25" customHeight="1" spans="1:20">
      <c r="A1675" s="34"/>
      <c r="B1675" s="48">
        <v>1</v>
      </c>
      <c r="C1675" s="49" t="s">
        <v>390</v>
      </c>
      <c r="D1675" s="48" t="s">
        <v>391</v>
      </c>
      <c r="E1675" s="48"/>
      <c r="F1675" s="50"/>
      <c r="G1675" s="48"/>
      <c r="H1675" s="51"/>
      <c r="I1675" s="52">
        <f>J1687</f>
        <v>15</v>
      </c>
      <c r="J1675" s="53" t="s">
        <v>392</v>
      </c>
      <c r="K1675" s="54"/>
      <c r="L1675" s="55"/>
      <c r="M1675" s="56"/>
      <c r="N1675" s="57"/>
      <c r="O1675" s="57">
        <v>1</v>
      </c>
      <c r="P1675" s="57">
        <v>1</v>
      </c>
      <c r="Q1675" s="57">
        <v>1</v>
      </c>
      <c r="R1675" s="58">
        <f>+Q1675*P1675*O1675</f>
        <v>1</v>
      </c>
      <c r="S1675" s="47"/>
      <c r="T1675" s="47"/>
    </row>
    <row r="1676" s="27" customFormat="1" ht="18" customHeight="1" spans="1:20">
      <c r="A1676" s="34"/>
      <c r="B1676" s="48">
        <v>2</v>
      </c>
      <c r="C1676" s="59"/>
      <c r="D1676" s="48" t="s">
        <v>394</v>
      </c>
      <c r="E1676" s="48"/>
      <c r="F1676" s="50"/>
      <c r="G1676" s="48"/>
      <c r="H1676" s="51"/>
      <c r="I1676" s="52">
        <f>J1712</f>
        <v>17.7609977831858</v>
      </c>
      <c r="J1676" s="53" t="s">
        <v>392</v>
      </c>
      <c r="K1676" s="60"/>
      <c r="L1676" s="61"/>
      <c r="M1676" s="44"/>
      <c r="N1676" s="44"/>
      <c r="O1676" s="44"/>
      <c r="P1676" s="44"/>
      <c r="Q1676" s="44"/>
      <c r="R1676" s="62"/>
      <c r="S1676" s="47"/>
      <c r="T1676" s="47"/>
    </row>
    <row r="1677" s="27" customFormat="1" ht="18" customHeight="1" spans="1:20">
      <c r="A1677" s="34"/>
      <c r="B1677" s="48">
        <v>3</v>
      </c>
      <c r="C1677" s="63"/>
      <c r="D1677" s="48" t="s">
        <v>395</v>
      </c>
      <c r="E1677" s="48"/>
      <c r="F1677" s="50"/>
      <c r="G1677" s="48"/>
      <c r="H1677" s="51"/>
      <c r="I1677" s="52">
        <f>J1713</f>
        <v>1</v>
      </c>
      <c r="J1677" s="53" t="s">
        <v>392</v>
      </c>
      <c r="K1677" s="60"/>
      <c r="L1677" s="60"/>
      <c r="M1677" s="65" t="s">
        <v>396</v>
      </c>
      <c r="N1677" s="65" t="s">
        <v>397</v>
      </c>
      <c r="O1677" s="65" t="s">
        <v>398</v>
      </c>
      <c r="P1677" s="65" t="s">
        <v>399</v>
      </c>
      <c r="Q1677" s="65" t="s">
        <v>400</v>
      </c>
      <c r="R1677" s="66" t="s">
        <v>401</v>
      </c>
      <c r="S1677" s="47"/>
      <c r="T1677" s="47"/>
    </row>
    <row r="1678" s="27" customFormat="1" ht="18" customHeight="1" spans="1:20">
      <c r="A1678" s="34"/>
      <c r="B1678" s="48">
        <v>4</v>
      </c>
      <c r="C1678" s="48" t="s">
        <v>402</v>
      </c>
      <c r="D1678" s="67" t="s">
        <v>403</v>
      </c>
      <c r="E1678" s="67"/>
      <c r="F1678" s="50"/>
      <c r="G1678" s="67"/>
      <c r="H1678" s="68"/>
      <c r="I1678" s="52">
        <f>SUM(I1675:I1677)</f>
        <v>33.7609977831858</v>
      </c>
      <c r="J1678" s="53" t="s">
        <v>392</v>
      </c>
      <c r="K1678" s="60"/>
      <c r="L1678" s="69"/>
      <c r="M1678" s="34"/>
      <c r="N1678" s="34"/>
      <c r="O1678" s="34"/>
      <c r="P1678" s="34"/>
      <c r="Q1678" s="44"/>
      <c r="R1678" s="71"/>
      <c r="S1678" s="47"/>
      <c r="T1678" s="47"/>
    </row>
    <row r="1679" s="27" customFormat="1" ht="28" customHeight="1" spans="1:20">
      <c r="A1679" s="34"/>
      <c r="B1679" s="48">
        <v>5</v>
      </c>
      <c r="C1679" s="72" t="s">
        <v>406</v>
      </c>
      <c r="D1679" s="48" t="s">
        <v>407</v>
      </c>
      <c r="E1679" s="48"/>
      <c r="F1679" s="50"/>
      <c r="G1679" s="48"/>
      <c r="H1679" s="73">
        <f>+'材料表 '!$E$178</f>
        <v>0</v>
      </c>
      <c r="I1679" s="52">
        <f>H1679*I1678</f>
        <v>0</v>
      </c>
      <c r="J1679" s="53" t="s">
        <v>392</v>
      </c>
      <c r="K1679" s="60"/>
      <c r="L1679" s="69"/>
      <c r="M1679" s="34"/>
      <c r="N1679" s="102"/>
      <c r="O1679" s="34"/>
      <c r="P1679" s="34"/>
      <c r="Q1679" s="44"/>
      <c r="R1679" s="71"/>
      <c r="S1679" s="47"/>
      <c r="T1679" s="47"/>
    </row>
    <row r="1680" s="27" customFormat="1" ht="18" customHeight="1" spans="1:20">
      <c r="A1680" s="34"/>
      <c r="B1680" s="48">
        <v>6</v>
      </c>
      <c r="C1680" s="48" t="s">
        <v>409</v>
      </c>
      <c r="D1680" s="48" t="s">
        <v>410</v>
      </c>
      <c r="E1680" s="48"/>
      <c r="F1680" s="50"/>
      <c r="G1680" s="48"/>
      <c r="H1680" s="73">
        <f>+'材料表 '!$E$179</f>
        <v>0</v>
      </c>
      <c r="I1680" s="52">
        <f>H1680*I1678</f>
        <v>0</v>
      </c>
      <c r="J1680" s="53" t="s">
        <v>392</v>
      </c>
      <c r="K1680" s="60"/>
      <c r="L1680" s="69"/>
      <c r="M1680" s="34"/>
      <c r="N1680" s="34"/>
      <c r="O1680" s="34"/>
      <c r="P1680" s="34"/>
      <c r="Q1680" s="44"/>
      <c r="R1680" s="71"/>
      <c r="S1680" s="47"/>
      <c r="T1680" s="47"/>
    </row>
    <row r="1681" s="27" customFormat="1" ht="18" customHeight="1" spans="1:20">
      <c r="A1681" s="34"/>
      <c r="B1681" s="48">
        <v>7</v>
      </c>
      <c r="C1681" s="48" t="s">
        <v>412</v>
      </c>
      <c r="D1681" s="72" t="s">
        <v>413</v>
      </c>
      <c r="E1681" s="72"/>
      <c r="F1681" s="77"/>
      <c r="G1681" s="72"/>
      <c r="H1681" s="73">
        <f>+'材料表 '!$E$180</f>
        <v>0.09</v>
      </c>
      <c r="I1681" s="52">
        <f>(I1678+I1679+I1680)*H1681</f>
        <v>3.03848980048673</v>
      </c>
      <c r="J1681" s="53" t="s">
        <v>392</v>
      </c>
      <c r="K1681" s="60"/>
      <c r="L1681" s="69"/>
      <c r="M1681" s="34"/>
      <c r="N1681" s="34"/>
      <c r="O1681" s="34"/>
      <c r="P1681" s="34"/>
      <c r="Q1681" s="44"/>
      <c r="R1681" s="71"/>
      <c r="S1681" s="47"/>
      <c r="T1681" s="47"/>
    </row>
    <row r="1682" s="27" customFormat="1" ht="18" customHeight="1" spans="1:20">
      <c r="A1682" s="105" t="s">
        <v>182</v>
      </c>
      <c r="B1682" s="48">
        <v>8</v>
      </c>
      <c r="C1682" s="48" t="s">
        <v>363</v>
      </c>
      <c r="D1682" s="106" t="s">
        <v>415</v>
      </c>
      <c r="E1682" s="107"/>
      <c r="F1682" s="108"/>
      <c r="G1682" s="107"/>
      <c r="H1682" s="51"/>
      <c r="I1682" s="74">
        <f>SUM(I1678:I1681)</f>
        <v>36.7994875836726</v>
      </c>
      <c r="J1682" s="53" t="s">
        <v>484</v>
      </c>
      <c r="K1682" s="60"/>
      <c r="L1682" s="69"/>
      <c r="M1682" s="34"/>
      <c r="N1682" s="126"/>
      <c r="O1682" s="34"/>
      <c r="P1682" s="44"/>
      <c r="Q1682" s="44"/>
      <c r="R1682" s="84"/>
      <c r="S1682" s="79"/>
      <c r="T1682" s="47"/>
    </row>
    <row r="1683" s="27" customFormat="1" ht="18" customHeight="1" spans="1:20">
      <c r="A1683" s="34"/>
      <c r="B1683" s="109" t="s">
        <v>418</v>
      </c>
      <c r="C1683" s="110"/>
      <c r="D1683" s="110"/>
      <c r="E1683" s="110"/>
      <c r="F1683" s="110"/>
      <c r="G1683" s="110"/>
      <c r="H1683" s="110"/>
      <c r="I1683" s="110"/>
      <c r="J1683" s="110"/>
      <c r="K1683" s="80"/>
      <c r="L1683" s="69"/>
      <c r="M1683" s="70"/>
      <c r="N1683" s="34"/>
      <c r="O1683" s="34"/>
      <c r="P1683" s="34"/>
      <c r="Q1683" s="44"/>
      <c r="R1683" s="71"/>
      <c r="S1683" s="47"/>
      <c r="T1683" s="47"/>
    </row>
    <row r="1684" s="27" customFormat="1" ht="18" customHeight="1" spans="1:20">
      <c r="A1684" s="34"/>
      <c r="B1684" s="48">
        <v>1</v>
      </c>
      <c r="C1684" s="48" t="s">
        <v>391</v>
      </c>
      <c r="D1684" s="48" t="s">
        <v>396</v>
      </c>
      <c r="E1684" s="48" t="s">
        <v>37</v>
      </c>
      <c r="F1684" s="50"/>
      <c r="G1684" s="48"/>
      <c r="H1684" s="51" t="s">
        <v>399</v>
      </c>
      <c r="I1684" s="51" t="s">
        <v>420</v>
      </c>
      <c r="J1684" s="95" t="s">
        <v>421</v>
      </c>
      <c r="K1684" s="92"/>
      <c r="L1684" s="69" t="s">
        <v>433</v>
      </c>
      <c r="M1684" s="70" t="s">
        <v>567</v>
      </c>
      <c r="N1684" s="34">
        <f>0.076*2.71</f>
        <v>0.20596</v>
      </c>
      <c r="O1684" s="34">
        <v>1</v>
      </c>
      <c r="P1684" s="34">
        <v>1</v>
      </c>
      <c r="Q1684" s="44">
        <f t="shared" ref="Q1684:Q1686" si="190">+P1684*O1684*N1684</f>
        <v>0.20596</v>
      </c>
      <c r="R1684" s="71">
        <f>+Q1684/R1675</f>
        <v>0.20596</v>
      </c>
      <c r="S1684" s="47"/>
      <c r="T1684" s="47"/>
    </row>
    <row r="1685" s="27" customFormat="1" ht="18" customHeight="1" spans="1:20">
      <c r="A1685" s="34"/>
      <c r="B1685" s="48">
        <v>2</v>
      </c>
      <c r="C1685" s="48"/>
      <c r="D1685" s="111" t="s">
        <v>568</v>
      </c>
      <c r="E1685" s="49" t="s">
        <v>423</v>
      </c>
      <c r="F1685" s="112"/>
      <c r="G1685" s="111"/>
      <c r="H1685" s="113">
        <v>1</v>
      </c>
      <c r="I1685" s="113">
        <f>+辅材及安装费!$G$12</f>
        <v>15</v>
      </c>
      <c r="J1685" s="114">
        <f>H1685*I1685</f>
        <v>15</v>
      </c>
      <c r="K1685" s="92"/>
      <c r="L1685" s="34" t="s">
        <v>447</v>
      </c>
      <c r="M1685" s="70" t="s">
        <v>569</v>
      </c>
      <c r="N1685" s="34">
        <f>0.099*2.71</f>
        <v>0.26829</v>
      </c>
      <c r="O1685" s="34">
        <v>1</v>
      </c>
      <c r="P1685" s="34">
        <v>1</v>
      </c>
      <c r="Q1685" s="44">
        <f t="shared" si="190"/>
        <v>0.26829</v>
      </c>
      <c r="R1685" s="71">
        <f>+Q1685/R1675</f>
        <v>0.26829</v>
      </c>
      <c r="S1685" s="47">
        <v>0.07</v>
      </c>
      <c r="T1685" s="47">
        <f>O1685*S1685</f>
        <v>0.07</v>
      </c>
    </row>
    <row r="1686" s="27" customFormat="1" ht="18" customHeight="1" spans="1:20">
      <c r="A1686" s="34"/>
      <c r="B1686" s="48">
        <v>3</v>
      </c>
      <c r="C1686" s="48"/>
      <c r="D1686" s="115"/>
      <c r="E1686" s="63"/>
      <c r="F1686" s="116"/>
      <c r="G1686" s="115"/>
      <c r="H1686" s="117"/>
      <c r="I1686" s="117"/>
      <c r="J1686" s="118"/>
      <c r="K1686" s="92"/>
      <c r="L1686" s="90" t="s">
        <v>447</v>
      </c>
      <c r="M1686" s="70"/>
      <c r="N1686" s="82"/>
      <c r="O1686" s="44"/>
      <c r="P1686" s="44">
        <v>1</v>
      </c>
      <c r="Q1686" s="44">
        <f t="shared" si="190"/>
        <v>0</v>
      </c>
      <c r="R1686" s="84">
        <f>Q1686/R1675</f>
        <v>0</v>
      </c>
      <c r="S1686" s="47"/>
      <c r="T1686" s="47">
        <f>S1686*O1686*P1686</f>
        <v>0</v>
      </c>
    </row>
    <row r="1687" s="27" customFormat="1" ht="18" customHeight="1" spans="1:20">
      <c r="A1687" s="34"/>
      <c r="B1687" s="48">
        <v>4</v>
      </c>
      <c r="C1687" s="48"/>
      <c r="D1687" s="85" t="s">
        <v>426</v>
      </c>
      <c r="E1687" s="48" t="s">
        <v>392</v>
      </c>
      <c r="F1687" s="50"/>
      <c r="G1687" s="48"/>
      <c r="H1687" s="86"/>
      <c r="I1687" s="86"/>
      <c r="J1687" s="95">
        <f>SUM(J1685:J1685)</f>
        <v>15</v>
      </c>
      <c r="K1687" s="92"/>
      <c r="L1687" s="90"/>
      <c r="M1687" s="44"/>
      <c r="N1687" s="82"/>
      <c r="O1687" s="44"/>
      <c r="P1687" s="44"/>
      <c r="Q1687" s="44"/>
      <c r="R1687" s="84"/>
      <c r="S1687" s="47"/>
      <c r="T1687" s="47"/>
    </row>
    <row r="1688" s="27" customFormat="1" ht="22" customHeight="1" spans="1:20">
      <c r="A1688" s="34"/>
      <c r="B1688" s="48">
        <v>1</v>
      </c>
      <c r="C1688" s="48" t="s">
        <v>394</v>
      </c>
      <c r="D1688" s="88"/>
      <c r="E1688" s="72"/>
      <c r="F1688" s="77"/>
      <c r="G1688" s="89"/>
      <c r="H1688" s="74"/>
      <c r="I1688" s="74"/>
      <c r="J1688" s="95"/>
      <c r="K1688" s="92">
        <f ca="1">H1688*K1674</f>
        <v>0</v>
      </c>
      <c r="L1688" s="90"/>
      <c r="M1688" s="44"/>
      <c r="N1688" s="82"/>
      <c r="O1688" s="44"/>
      <c r="P1688" s="44"/>
      <c r="Q1688" s="44"/>
      <c r="R1688" s="84"/>
      <c r="S1688" s="47"/>
      <c r="T1688" s="47"/>
    </row>
    <row r="1689" s="27" customFormat="1" ht="18" customHeight="1" spans="1:20">
      <c r="A1689" s="34"/>
      <c r="B1689" s="48">
        <v>2</v>
      </c>
      <c r="C1689" s="48"/>
      <c r="D1689" s="88"/>
      <c r="E1689" s="72"/>
      <c r="F1689" s="77"/>
      <c r="G1689" s="89"/>
      <c r="H1689" s="74"/>
      <c r="I1689" s="74"/>
      <c r="J1689" s="95"/>
      <c r="K1689" s="92">
        <f ca="1">H1689*K1674</f>
        <v>0</v>
      </c>
      <c r="L1689" s="90"/>
      <c r="M1689" s="44"/>
      <c r="N1689" s="82"/>
      <c r="O1689" s="44"/>
      <c r="P1689" s="44"/>
      <c r="Q1689" s="44"/>
      <c r="R1689" s="84"/>
      <c r="S1689" s="47"/>
      <c r="T1689" s="47"/>
    </row>
    <row r="1690" s="27" customFormat="1" ht="18" customHeight="1" spans="1:20">
      <c r="A1690" s="34"/>
      <c r="B1690" s="48">
        <v>3</v>
      </c>
      <c r="C1690" s="48"/>
      <c r="D1690" s="88"/>
      <c r="E1690" s="72"/>
      <c r="F1690" s="77"/>
      <c r="G1690" s="89"/>
      <c r="H1690" s="74"/>
      <c r="I1690" s="74"/>
      <c r="J1690" s="95"/>
      <c r="K1690" s="92">
        <f ca="1">H1690*K1674</f>
        <v>0</v>
      </c>
      <c r="L1690" s="90"/>
      <c r="M1690" s="44"/>
      <c r="N1690" s="82"/>
      <c r="O1690" s="44"/>
      <c r="P1690" s="44"/>
      <c r="Q1690" s="44"/>
      <c r="R1690" s="84"/>
      <c r="S1690" s="47"/>
      <c r="T1690" s="47"/>
    </row>
    <row r="1691" s="27" customFormat="1" ht="18" customHeight="1" spans="1:20">
      <c r="A1691" s="34"/>
      <c r="B1691" s="48">
        <v>4</v>
      </c>
      <c r="C1691" s="48"/>
      <c r="D1691" s="88" t="s">
        <v>433</v>
      </c>
      <c r="E1691" s="72" t="str">
        <f>+VLOOKUP(D1691,'材料表 '!C:F,2,0)</f>
        <v>kg</v>
      </c>
      <c r="F1691" s="77">
        <f>+SUMIF($L$1675:$L$1713,D1691,$R$1675:$R$1713)</f>
        <v>0.20596</v>
      </c>
      <c r="G1691" s="89">
        <f>+VLOOKUP(D1691,'材料表 '!C:F,4,0)</f>
        <v>0.03</v>
      </c>
      <c r="H1691" s="74">
        <f t="shared" ref="H1691:H1693" si="191">F1691*(G1691+1)</f>
        <v>0.2121388</v>
      </c>
      <c r="I1691" s="74">
        <f>+VLOOKUP(D1691,'材料表 '!C:F,3,0)</f>
        <v>26.1150442477876</v>
      </c>
      <c r="J1691" s="95">
        <f t="shared" ref="J1691:J1693" si="192">H1691*I1691</f>
        <v>5.54001414867257</v>
      </c>
      <c r="K1691" s="92">
        <f ca="1">H1691*K1674</f>
        <v>0.946669395</v>
      </c>
      <c r="L1691" s="90"/>
      <c r="M1691" s="44"/>
      <c r="N1691" s="82"/>
      <c r="O1691" s="44"/>
      <c r="P1691" s="44"/>
      <c r="Q1691" s="44"/>
      <c r="R1691" s="84"/>
      <c r="S1691" s="47"/>
      <c r="T1691" s="47">
        <f>SUM(T1685:T1690)</f>
        <v>0.07</v>
      </c>
    </row>
    <row r="1692" s="27" customFormat="1" ht="18" customHeight="1" spans="1:20">
      <c r="A1692" s="34"/>
      <c r="B1692" s="48">
        <v>5</v>
      </c>
      <c r="C1692" s="48"/>
      <c r="D1692" s="88" t="s">
        <v>447</v>
      </c>
      <c r="E1692" s="72" t="str">
        <f>+VLOOKUP(D1692,'材料表 '!C:F,2,0)</f>
        <v>kg</v>
      </c>
      <c r="F1692" s="77">
        <f>+SUMIF($L$1675:$L$1713,D1692,$R$1675:$R$1713)</f>
        <v>0.26829</v>
      </c>
      <c r="G1692" s="89">
        <f>+VLOOKUP(D1692,'材料表 '!C:F,4,0)</f>
        <v>0.03</v>
      </c>
      <c r="H1692" s="74">
        <f t="shared" si="191"/>
        <v>0.2763387</v>
      </c>
      <c r="I1692" s="74">
        <f>+VLOOKUP(D1692,'材料表 '!C:F,3,0)</f>
        <v>24.4336283185841</v>
      </c>
      <c r="J1692" s="95">
        <f t="shared" si="192"/>
        <v>6.75195708584071</v>
      </c>
      <c r="K1692" s="92">
        <f ca="1">H1692*K1674</f>
        <v>1.23316144875</v>
      </c>
      <c r="L1692" s="92" t="s">
        <v>476</v>
      </c>
      <c r="M1692" s="44"/>
      <c r="N1692" s="82"/>
      <c r="O1692" s="44"/>
      <c r="P1692" s="44"/>
      <c r="Q1692" s="44">
        <f>10*8*(O1675*0+P1675*0)/500</f>
        <v>0</v>
      </c>
      <c r="R1692" s="84">
        <f>+Q1692/R1675</f>
        <v>0</v>
      </c>
      <c r="S1692" s="47"/>
      <c r="T1692" s="47"/>
    </row>
    <row r="1693" s="27" customFormat="1" ht="18" customHeight="1" spans="1:20">
      <c r="A1693" s="34"/>
      <c r="B1693" s="48">
        <v>6</v>
      </c>
      <c r="C1693" s="48"/>
      <c r="D1693" s="88" t="s">
        <v>434</v>
      </c>
      <c r="E1693" s="72" t="str">
        <f>+VLOOKUP(D1693,'材料表 '!C:F,2,0)</f>
        <v>m2</v>
      </c>
      <c r="F1693" s="77">
        <f>T1691/R1675</f>
        <v>0.07</v>
      </c>
      <c r="G1693" s="89">
        <f>+VLOOKUP(D1693,'材料表 '!C:F,4,0)</f>
        <v>0</v>
      </c>
      <c r="H1693" s="74">
        <f t="shared" si="191"/>
        <v>0.07</v>
      </c>
      <c r="I1693" s="74">
        <f>+VLOOKUP(D1693,'材料表 '!C:F,3,0)</f>
        <v>49.5575221238938</v>
      </c>
      <c r="J1693" s="95">
        <f t="shared" si="192"/>
        <v>3.46902654867257</v>
      </c>
      <c r="K1693" s="92">
        <f ca="1">H1693*K1674</f>
        <v>0.312375</v>
      </c>
      <c r="L1693" s="92"/>
      <c r="M1693" s="44"/>
      <c r="N1693" s="82"/>
      <c r="O1693" s="44"/>
      <c r="P1693" s="44"/>
      <c r="Q1693" s="44"/>
      <c r="R1693" s="84"/>
      <c r="S1693" s="47"/>
      <c r="T1693" s="47"/>
    </row>
    <row r="1694" s="27" customFormat="1" ht="18" customHeight="1" spans="1:20">
      <c r="A1694" s="34"/>
      <c r="B1694" s="48">
        <v>7</v>
      </c>
      <c r="C1694" s="48"/>
      <c r="D1694" s="88"/>
      <c r="E1694" s="72"/>
      <c r="F1694" s="77"/>
      <c r="G1694" s="89"/>
      <c r="H1694" s="74"/>
      <c r="I1694" s="74"/>
      <c r="J1694" s="95"/>
      <c r="K1694" s="92">
        <f ca="1">H1694*K1674</f>
        <v>0</v>
      </c>
      <c r="L1694" s="92"/>
      <c r="M1694" s="44"/>
      <c r="N1694" s="82"/>
      <c r="O1694" s="44"/>
      <c r="P1694" s="44"/>
      <c r="Q1694" s="44"/>
      <c r="R1694" s="84"/>
      <c r="S1694" s="47"/>
      <c r="T1694" s="47"/>
    </row>
    <row r="1695" s="27" customFormat="1" ht="18" customHeight="1" spans="1:20">
      <c r="A1695" s="34"/>
      <c r="B1695" s="48">
        <v>8</v>
      </c>
      <c r="C1695" s="48"/>
      <c r="D1695" s="88"/>
      <c r="E1695" s="72"/>
      <c r="F1695" s="77"/>
      <c r="G1695" s="89"/>
      <c r="H1695" s="74"/>
      <c r="I1695" s="74"/>
      <c r="J1695" s="95"/>
      <c r="K1695" s="92">
        <f ca="1">H1695*K1674</f>
        <v>0</v>
      </c>
      <c r="L1695" s="92"/>
      <c r="M1695" s="44"/>
      <c r="N1695" s="82"/>
      <c r="O1695" s="44"/>
      <c r="P1695" s="44"/>
      <c r="Q1695" s="44"/>
      <c r="R1695" s="84"/>
      <c r="S1695" s="47"/>
      <c r="T1695" s="47"/>
    </row>
    <row r="1696" s="27" customFormat="1" ht="18" customHeight="1" spans="1:20">
      <c r="A1696" s="34"/>
      <c r="B1696" s="48">
        <v>9</v>
      </c>
      <c r="C1696" s="48"/>
      <c r="D1696" s="88" t="s">
        <v>476</v>
      </c>
      <c r="E1696" s="72" t="str">
        <f>+VLOOKUP(D1696,'材料表 '!C:F,2,0)</f>
        <v>支</v>
      </c>
      <c r="F1696" s="77">
        <v>0</v>
      </c>
      <c r="G1696" s="89">
        <f>+VLOOKUP(D1696,'材料表 '!C:F,4,0)</f>
        <v>0.15</v>
      </c>
      <c r="H1696" s="74">
        <f>F1696*(G1696+1)</f>
        <v>0</v>
      </c>
      <c r="I1696" s="74">
        <f>+VLOOKUP(D1696,'材料表 '!C:F,3,0)</f>
        <v>11.5044247787611</v>
      </c>
      <c r="J1696" s="95">
        <f>H1696*I1696</f>
        <v>0</v>
      </c>
      <c r="K1696" s="92">
        <f ca="1">H1696*K1674</f>
        <v>0</v>
      </c>
      <c r="L1696" s="90"/>
      <c r="M1696" s="44"/>
      <c r="N1696" s="82"/>
      <c r="O1696" s="34"/>
      <c r="P1696" s="44"/>
      <c r="Q1696" s="44"/>
      <c r="R1696" s="119"/>
      <c r="S1696" s="47"/>
      <c r="T1696" s="47"/>
    </row>
    <row r="1697" s="27" customFormat="1" ht="23" customHeight="1" spans="1:20">
      <c r="A1697" s="34"/>
      <c r="B1697" s="48">
        <v>10</v>
      </c>
      <c r="C1697" s="48"/>
      <c r="D1697" s="88"/>
      <c r="E1697" s="72"/>
      <c r="F1697" s="77"/>
      <c r="G1697" s="89"/>
      <c r="H1697" s="74"/>
      <c r="I1697" s="74"/>
      <c r="J1697" s="95"/>
      <c r="K1697" s="92">
        <f ca="1">H1697*K1674</f>
        <v>0</v>
      </c>
      <c r="L1697" s="92"/>
      <c r="M1697" s="120"/>
      <c r="N1697" s="82"/>
      <c r="O1697" s="44"/>
      <c r="P1697" s="44"/>
      <c r="Q1697" s="44"/>
      <c r="R1697" s="84"/>
      <c r="S1697" s="47"/>
      <c r="T1697" s="47"/>
    </row>
    <row r="1698" s="27" customFormat="1" ht="20" customHeight="1" spans="1:20">
      <c r="A1698" s="34"/>
      <c r="B1698" s="48">
        <v>11</v>
      </c>
      <c r="C1698" s="48"/>
      <c r="D1698" s="88"/>
      <c r="E1698" s="72"/>
      <c r="F1698" s="77"/>
      <c r="G1698" s="89"/>
      <c r="H1698" s="74"/>
      <c r="I1698" s="74"/>
      <c r="J1698" s="95"/>
      <c r="K1698" s="92">
        <f ca="1">H1698*K1674</f>
        <v>0</v>
      </c>
      <c r="L1698" s="92"/>
      <c r="M1698" s="44"/>
      <c r="N1698" s="82"/>
      <c r="O1698" s="44"/>
      <c r="P1698" s="44"/>
      <c r="Q1698" s="44"/>
      <c r="R1698" s="84"/>
      <c r="S1698" s="47"/>
      <c r="T1698" s="47"/>
    </row>
    <row r="1699" s="27" customFormat="1" ht="24" customHeight="1" spans="1:20">
      <c r="A1699" s="34"/>
      <c r="B1699" s="48">
        <v>12</v>
      </c>
      <c r="C1699" s="48"/>
      <c r="D1699" s="127"/>
      <c r="E1699" s="72"/>
      <c r="F1699" s="128"/>
      <c r="G1699" s="89"/>
      <c r="H1699" s="74"/>
      <c r="I1699" s="74"/>
      <c r="J1699" s="95"/>
      <c r="K1699" s="92">
        <f ca="1">H1699*K1674</f>
        <v>0</v>
      </c>
      <c r="L1699" s="92"/>
      <c r="M1699" s="44"/>
      <c r="N1699" s="44"/>
      <c r="O1699" s="44"/>
      <c r="P1699" s="44"/>
      <c r="Q1699" s="44"/>
      <c r="R1699" s="84"/>
      <c r="S1699" s="47"/>
      <c r="T1699" s="47"/>
    </row>
    <row r="1700" s="27" customFormat="1" ht="18" customHeight="1" spans="1:20">
      <c r="A1700" s="34"/>
      <c r="B1700" s="48">
        <v>13</v>
      </c>
      <c r="C1700" s="48"/>
      <c r="D1700" s="88"/>
      <c r="E1700" s="72"/>
      <c r="F1700" s="77"/>
      <c r="G1700" s="89"/>
      <c r="H1700" s="74"/>
      <c r="I1700" s="74"/>
      <c r="J1700" s="95"/>
      <c r="K1700" s="92">
        <f ca="1">H1700*K1674</f>
        <v>0</v>
      </c>
      <c r="L1700" s="92"/>
      <c r="M1700" s="44"/>
      <c r="N1700" s="44"/>
      <c r="O1700" s="44"/>
      <c r="P1700" s="44"/>
      <c r="Q1700" s="44"/>
      <c r="R1700" s="84"/>
      <c r="S1700" s="47"/>
      <c r="T1700" s="47"/>
    </row>
    <row r="1701" s="27" customFormat="1" ht="24" customHeight="1" spans="1:20">
      <c r="A1701" s="34"/>
      <c r="B1701" s="48">
        <v>14</v>
      </c>
      <c r="C1701" s="48"/>
      <c r="D1701" s="88"/>
      <c r="E1701" s="72"/>
      <c r="F1701" s="77"/>
      <c r="G1701" s="89"/>
      <c r="H1701" s="74"/>
      <c r="I1701" s="74"/>
      <c r="J1701" s="95"/>
      <c r="K1701" s="92">
        <f ca="1">H1701*K1674</f>
        <v>0</v>
      </c>
      <c r="L1701" s="92"/>
      <c r="M1701" s="44"/>
      <c r="N1701" s="44"/>
      <c r="O1701" s="44"/>
      <c r="P1701" s="44"/>
      <c r="Q1701" s="44"/>
      <c r="R1701" s="84"/>
      <c r="S1701" s="47"/>
      <c r="T1701" s="47"/>
    </row>
    <row r="1702" s="27" customFormat="1" ht="18" customHeight="1" spans="1:20">
      <c r="A1702" s="34"/>
      <c r="B1702" s="48">
        <v>15</v>
      </c>
      <c r="C1702" s="48"/>
      <c r="D1702" s="88"/>
      <c r="E1702" s="72"/>
      <c r="F1702" s="77"/>
      <c r="G1702" s="89"/>
      <c r="H1702" s="74"/>
      <c r="I1702" s="74"/>
      <c r="J1702" s="95"/>
      <c r="K1702" s="92"/>
      <c r="L1702" s="92"/>
      <c r="M1702" s="44"/>
      <c r="N1702" s="44"/>
      <c r="O1702" s="44"/>
      <c r="P1702" s="44"/>
      <c r="Q1702" s="44"/>
      <c r="R1702" s="84"/>
      <c r="S1702" s="47"/>
      <c r="T1702" s="47"/>
    </row>
    <row r="1703" s="27" customFormat="1" ht="18" customHeight="1" spans="1:20">
      <c r="A1703" s="34"/>
      <c r="B1703" s="48">
        <v>16</v>
      </c>
      <c r="C1703" s="48"/>
      <c r="D1703" s="88"/>
      <c r="E1703" s="72"/>
      <c r="F1703" s="77"/>
      <c r="G1703" s="89"/>
      <c r="H1703" s="74"/>
      <c r="I1703" s="74"/>
      <c r="J1703" s="95"/>
      <c r="K1703" s="92"/>
      <c r="L1703" s="92"/>
      <c r="M1703" s="44"/>
      <c r="N1703" s="44"/>
      <c r="O1703" s="44"/>
      <c r="P1703" s="44"/>
      <c r="Q1703" s="44"/>
      <c r="R1703" s="84"/>
      <c r="S1703" s="47"/>
      <c r="T1703" s="47"/>
    </row>
    <row r="1704" s="27" customFormat="1" ht="18" customHeight="1" spans="1:20">
      <c r="A1704" s="34"/>
      <c r="B1704" s="48">
        <v>17</v>
      </c>
      <c r="C1704" s="48"/>
      <c r="D1704" s="121"/>
      <c r="E1704" s="72"/>
      <c r="F1704" s="77"/>
      <c r="G1704" s="89"/>
      <c r="H1704" s="74"/>
      <c r="I1704" s="74"/>
      <c r="J1704" s="95"/>
      <c r="K1704" s="92"/>
      <c r="L1704" s="92"/>
      <c r="M1704" s="44"/>
      <c r="N1704" s="44"/>
      <c r="O1704" s="44"/>
      <c r="P1704" s="44"/>
      <c r="Q1704" s="101"/>
      <c r="R1704" s="84"/>
      <c r="S1704" s="47"/>
      <c r="T1704" s="47"/>
    </row>
    <row r="1705" s="27" customFormat="1" ht="18" customHeight="1" spans="1:20">
      <c r="A1705" s="34"/>
      <c r="B1705" s="48">
        <v>18</v>
      </c>
      <c r="C1705" s="48"/>
      <c r="D1705" s="88"/>
      <c r="E1705" s="72"/>
      <c r="F1705" s="77"/>
      <c r="G1705" s="89"/>
      <c r="H1705" s="74"/>
      <c r="I1705" s="74"/>
      <c r="J1705" s="95"/>
      <c r="K1705" s="92"/>
      <c r="L1705" s="92"/>
      <c r="M1705" s="44"/>
      <c r="N1705" s="44"/>
      <c r="O1705" s="44"/>
      <c r="P1705" s="44"/>
      <c r="Q1705" s="44"/>
      <c r="R1705" s="84"/>
      <c r="S1705" s="47"/>
      <c r="T1705" s="47"/>
    </row>
    <row r="1706" s="27" customFormat="1" ht="18" customHeight="1" spans="1:20">
      <c r="A1706" s="34"/>
      <c r="B1706" s="48">
        <v>19</v>
      </c>
      <c r="C1706" s="48"/>
      <c r="D1706" s="27"/>
      <c r="E1706" s="72"/>
      <c r="F1706" s="77"/>
      <c r="G1706" s="89"/>
      <c r="H1706" s="74"/>
      <c r="I1706" s="74"/>
      <c r="J1706" s="95"/>
      <c r="K1706" s="92"/>
      <c r="L1706" s="92"/>
      <c r="M1706" s="44"/>
      <c r="N1706" s="44"/>
      <c r="O1706" s="44"/>
      <c r="P1706" s="44"/>
      <c r="Q1706" s="44"/>
      <c r="R1706" s="84"/>
      <c r="S1706" s="47"/>
      <c r="T1706" s="47"/>
    </row>
    <row r="1707" s="27" customFormat="1" ht="18" customHeight="1" spans="1:20">
      <c r="A1707" s="34"/>
      <c r="B1707" s="48">
        <v>20</v>
      </c>
      <c r="C1707" s="48"/>
      <c r="D1707" s="88"/>
      <c r="E1707" s="72"/>
      <c r="F1707" s="77"/>
      <c r="G1707" s="89"/>
      <c r="H1707" s="74"/>
      <c r="I1707" s="74"/>
      <c r="J1707" s="95"/>
      <c r="K1707" s="92"/>
      <c r="L1707" s="92"/>
      <c r="M1707" s="44"/>
      <c r="N1707" s="44"/>
      <c r="O1707" s="44"/>
      <c r="P1707" s="44"/>
      <c r="Q1707" s="44"/>
      <c r="R1707" s="84"/>
      <c r="S1707" s="47"/>
      <c r="T1707" s="47"/>
    </row>
    <row r="1708" s="27" customFormat="1" ht="18" customHeight="1" spans="1:20">
      <c r="A1708" s="34"/>
      <c r="B1708" s="48">
        <v>21</v>
      </c>
      <c r="C1708" s="48"/>
      <c r="D1708" s="88"/>
      <c r="E1708" s="72"/>
      <c r="F1708" s="77"/>
      <c r="G1708" s="89"/>
      <c r="H1708" s="74"/>
      <c r="I1708" s="74"/>
      <c r="J1708" s="95"/>
      <c r="K1708" s="92"/>
      <c r="L1708" s="92"/>
      <c r="M1708" s="44"/>
      <c r="N1708" s="44"/>
      <c r="O1708" s="44"/>
      <c r="P1708" s="44"/>
      <c r="Q1708" s="44"/>
      <c r="R1708" s="84"/>
      <c r="S1708" s="47"/>
      <c r="T1708" s="47"/>
    </row>
    <row r="1709" s="27" customFormat="1" ht="18" customHeight="1" spans="1:20">
      <c r="A1709" s="34"/>
      <c r="B1709" s="48">
        <v>22</v>
      </c>
      <c r="C1709" s="48"/>
      <c r="D1709" s="27"/>
      <c r="E1709" s="72"/>
      <c r="F1709" s="77"/>
      <c r="G1709" s="72"/>
      <c r="H1709" s="74"/>
      <c r="I1709" s="74"/>
      <c r="J1709" s="95"/>
      <c r="K1709" s="92"/>
      <c r="L1709" s="92"/>
      <c r="M1709" s="44"/>
      <c r="N1709" s="44"/>
      <c r="O1709" s="44"/>
      <c r="P1709" s="44"/>
      <c r="Q1709" s="44"/>
      <c r="R1709" s="62"/>
      <c r="S1709" s="47"/>
      <c r="T1709" s="47"/>
    </row>
    <row r="1710" s="27" customFormat="1" ht="18" customHeight="1" spans="1:20">
      <c r="A1710" s="34"/>
      <c r="B1710" s="48">
        <v>23</v>
      </c>
      <c r="C1710" s="48"/>
      <c r="D1710" s="88"/>
      <c r="E1710" s="72"/>
      <c r="F1710" s="77"/>
      <c r="G1710" s="89"/>
      <c r="H1710" s="74"/>
      <c r="I1710" s="74"/>
      <c r="J1710" s="95"/>
      <c r="K1710" s="92"/>
      <c r="L1710" s="92"/>
      <c r="M1710" s="44"/>
      <c r="N1710" s="44"/>
      <c r="O1710" s="44"/>
      <c r="P1710" s="44"/>
      <c r="Q1710" s="44"/>
      <c r="R1710" s="62"/>
      <c r="S1710" s="47"/>
      <c r="T1710" s="47"/>
    </row>
    <row r="1711" s="27" customFormat="1" ht="18" customHeight="1" spans="1:20">
      <c r="A1711" s="34"/>
      <c r="B1711" s="48">
        <v>24</v>
      </c>
      <c r="C1711" s="48"/>
      <c r="D1711" s="88" t="s">
        <v>478</v>
      </c>
      <c r="E1711" s="72" t="s">
        <v>43</v>
      </c>
      <c r="F1711" s="77"/>
      <c r="G1711" s="72">
        <v>1</v>
      </c>
      <c r="H1711" s="74">
        <v>1</v>
      </c>
      <c r="I1711" s="74">
        <f>+辅材及安装费!$E$12</f>
        <v>2</v>
      </c>
      <c r="J1711" s="95">
        <f>H1711*I1711</f>
        <v>2</v>
      </c>
      <c r="K1711" s="92"/>
      <c r="L1711" s="92"/>
      <c r="M1711" s="44"/>
      <c r="N1711" s="44"/>
      <c r="O1711" s="44"/>
      <c r="P1711" s="44"/>
      <c r="Q1711" s="44"/>
      <c r="R1711" s="62"/>
      <c r="S1711" s="47"/>
      <c r="T1711" s="47"/>
    </row>
    <row r="1712" s="27" customFormat="1" ht="18" customHeight="1" spans="1:20">
      <c r="A1712" s="34"/>
      <c r="B1712" s="48">
        <v>25</v>
      </c>
      <c r="C1712" s="48"/>
      <c r="D1712" s="93" t="s">
        <v>442</v>
      </c>
      <c r="E1712" s="72"/>
      <c r="F1712" s="77"/>
      <c r="G1712" s="72"/>
      <c r="H1712" s="74"/>
      <c r="I1712" s="74"/>
      <c r="J1712" s="95">
        <f>SUM(J1688:J1711)</f>
        <v>17.7609977831858</v>
      </c>
      <c r="K1712" s="92"/>
      <c r="L1712" s="94"/>
      <c r="M1712" s="27"/>
      <c r="N1712" s="83"/>
      <c r="O1712" s="83"/>
      <c r="P1712" s="83"/>
      <c r="Q1712" s="83"/>
      <c r="R1712" s="87"/>
      <c r="S1712" s="47"/>
      <c r="T1712" s="47"/>
    </row>
    <row r="1713" s="27" customFormat="1" ht="18" customHeight="1" spans="1:20">
      <c r="A1713" s="34"/>
      <c r="B1713" s="48">
        <v>1</v>
      </c>
      <c r="C1713" s="48" t="s">
        <v>443</v>
      </c>
      <c r="D1713" s="48" t="s">
        <v>444</v>
      </c>
      <c r="E1713" s="72" t="s">
        <v>43</v>
      </c>
      <c r="F1713" s="50"/>
      <c r="G1713" s="48"/>
      <c r="H1713" s="51">
        <v>1</v>
      </c>
      <c r="I1713" s="74">
        <f>+辅材及安装费!$F$12</f>
        <v>1</v>
      </c>
      <c r="J1713" s="95">
        <f>H1713*I1713</f>
        <v>1</v>
      </c>
      <c r="K1713" s="118"/>
      <c r="L1713" s="96"/>
      <c r="M1713" s="97"/>
      <c r="N1713" s="98"/>
      <c r="O1713" s="98"/>
      <c r="P1713" s="98"/>
      <c r="Q1713" s="98"/>
      <c r="R1713" s="99"/>
      <c r="S1713" s="47"/>
      <c r="T1713" s="47"/>
    </row>
    <row r="1714" s="26" customFormat="1" ht="30" customHeight="1" spans="1:20">
      <c r="A1714" s="28"/>
      <c r="B1714" s="29" t="s">
        <v>386</v>
      </c>
      <c r="C1714" s="29"/>
      <c r="D1714" s="29"/>
      <c r="E1714" s="29"/>
      <c r="F1714" s="29"/>
      <c r="G1714" s="29"/>
      <c r="H1714" s="29"/>
      <c r="I1714" s="29"/>
      <c r="J1714" s="29"/>
      <c r="K1714" s="29"/>
      <c r="L1714" s="30"/>
      <c r="M1714" s="31"/>
      <c r="N1714" s="31"/>
      <c r="O1714" s="31"/>
      <c r="P1714" s="31"/>
      <c r="Q1714" s="31"/>
      <c r="R1714" s="32"/>
      <c r="S1714" s="33"/>
      <c r="T1714" s="33"/>
    </row>
    <row r="1715" s="27" customFormat="1" ht="33.75" customHeight="1" spans="1:20">
      <c r="A1715" s="34">
        <v>4</v>
      </c>
      <c r="B1715" s="35" t="s">
        <v>1</v>
      </c>
      <c r="C1715" s="35" t="s">
        <v>387</v>
      </c>
      <c r="D1715" s="36" t="str">
        <f>+A1723</f>
        <v>铝合金线条4（30*30）</v>
      </c>
      <c r="E1715" s="37"/>
      <c r="F1715" s="38"/>
      <c r="G1715" s="39"/>
      <c r="H1715" s="35" t="s">
        <v>388</v>
      </c>
      <c r="I1715" s="40" t="s">
        <v>389</v>
      </c>
      <c r="J1715" s="41" t="s">
        <v>37</v>
      </c>
      <c r="K1715" s="42">
        <f ca="1">VLOOKUP(A1715,排屋工程量清单!A:D,4,)</f>
        <v>3.0375</v>
      </c>
      <c r="L1715" s="43"/>
      <c r="M1715" s="44"/>
      <c r="N1715" s="44"/>
      <c r="O1715" s="44"/>
      <c r="P1715" s="45"/>
      <c r="Q1715" s="44"/>
      <c r="R1715" s="46"/>
      <c r="S1715" s="47"/>
      <c r="T1715" s="47"/>
    </row>
    <row r="1716" s="27" customFormat="1" ht="25" customHeight="1" spans="1:20">
      <c r="A1716" s="34"/>
      <c r="B1716" s="48">
        <v>1</v>
      </c>
      <c r="C1716" s="49" t="s">
        <v>390</v>
      </c>
      <c r="D1716" s="48" t="s">
        <v>391</v>
      </c>
      <c r="E1716" s="48"/>
      <c r="F1716" s="50"/>
      <c r="G1716" s="48"/>
      <c r="H1716" s="51"/>
      <c r="I1716" s="52">
        <f>J1728</f>
        <v>15</v>
      </c>
      <c r="J1716" s="53" t="s">
        <v>392</v>
      </c>
      <c r="K1716" s="54"/>
      <c r="L1716" s="55"/>
      <c r="M1716" s="56"/>
      <c r="N1716" s="57"/>
      <c r="O1716" s="57">
        <v>1</v>
      </c>
      <c r="P1716" s="57">
        <v>1</v>
      </c>
      <c r="Q1716" s="57">
        <v>1</v>
      </c>
      <c r="R1716" s="58">
        <f>+Q1716*P1716*O1716</f>
        <v>1</v>
      </c>
      <c r="S1716" s="47"/>
      <c r="T1716" s="47"/>
    </row>
    <row r="1717" s="27" customFormat="1" ht="18" customHeight="1" spans="1:20">
      <c r="A1717" s="34"/>
      <c r="B1717" s="48">
        <v>2</v>
      </c>
      <c r="C1717" s="59"/>
      <c r="D1717" s="48" t="s">
        <v>394</v>
      </c>
      <c r="E1717" s="48"/>
      <c r="F1717" s="50"/>
      <c r="G1717" s="48"/>
      <c r="H1717" s="51"/>
      <c r="I1717" s="52">
        <f>J1753</f>
        <v>20.135447340708</v>
      </c>
      <c r="J1717" s="53" t="s">
        <v>392</v>
      </c>
      <c r="K1717" s="60"/>
      <c r="L1717" s="61"/>
      <c r="M1717" s="44"/>
      <c r="N1717" s="44"/>
      <c r="O1717" s="44"/>
      <c r="P1717" s="44"/>
      <c r="Q1717" s="44"/>
      <c r="R1717" s="62"/>
      <c r="S1717" s="47"/>
      <c r="T1717" s="47"/>
    </row>
    <row r="1718" s="27" customFormat="1" ht="18" customHeight="1" spans="1:20">
      <c r="A1718" s="34"/>
      <c r="B1718" s="48">
        <v>3</v>
      </c>
      <c r="C1718" s="63"/>
      <c r="D1718" s="48" t="s">
        <v>395</v>
      </c>
      <c r="E1718" s="48"/>
      <c r="F1718" s="50"/>
      <c r="G1718" s="48"/>
      <c r="H1718" s="51"/>
      <c r="I1718" s="52">
        <f>J1754</f>
        <v>1</v>
      </c>
      <c r="J1718" s="53" t="s">
        <v>392</v>
      </c>
      <c r="K1718" s="60"/>
      <c r="L1718" s="60"/>
      <c r="M1718" s="65" t="s">
        <v>396</v>
      </c>
      <c r="N1718" s="65" t="s">
        <v>397</v>
      </c>
      <c r="O1718" s="65" t="s">
        <v>398</v>
      </c>
      <c r="P1718" s="65" t="s">
        <v>399</v>
      </c>
      <c r="Q1718" s="65" t="s">
        <v>400</v>
      </c>
      <c r="R1718" s="66" t="s">
        <v>401</v>
      </c>
      <c r="S1718" s="47"/>
      <c r="T1718" s="47"/>
    </row>
    <row r="1719" s="27" customFormat="1" ht="18" customHeight="1" spans="1:20">
      <c r="A1719" s="34"/>
      <c r="B1719" s="48">
        <v>4</v>
      </c>
      <c r="C1719" s="48" t="s">
        <v>402</v>
      </c>
      <c r="D1719" s="67" t="s">
        <v>403</v>
      </c>
      <c r="E1719" s="67"/>
      <c r="F1719" s="50"/>
      <c r="G1719" s="67"/>
      <c r="H1719" s="68"/>
      <c r="I1719" s="52">
        <f>SUM(I1716:I1718)</f>
        <v>36.135447340708</v>
      </c>
      <c r="J1719" s="53" t="s">
        <v>392</v>
      </c>
      <c r="K1719" s="60"/>
      <c r="L1719" s="69"/>
      <c r="M1719" s="34"/>
      <c r="N1719" s="34"/>
      <c r="O1719" s="34"/>
      <c r="P1719" s="34"/>
      <c r="Q1719" s="44"/>
      <c r="R1719" s="71"/>
      <c r="S1719" s="47"/>
      <c r="T1719" s="47"/>
    </row>
    <row r="1720" s="27" customFormat="1" ht="28" customHeight="1" spans="1:20">
      <c r="A1720" s="34"/>
      <c r="B1720" s="48">
        <v>5</v>
      </c>
      <c r="C1720" s="72" t="s">
        <v>406</v>
      </c>
      <c r="D1720" s="48" t="s">
        <v>407</v>
      </c>
      <c r="E1720" s="48"/>
      <c r="F1720" s="50"/>
      <c r="G1720" s="48"/>
      <c r="H1720" s="73">
        <f>+'材料表 '!$E$178</f>
        <v>0</v>
      </c>
      <c r="I1720" s="52">
        <f>H1720*I1719</f>
        <v>0</v>
      </c>
      <c r="J1720" s="53" t="s">
        <v>392</v>
      </c>
      <c r="K1720" s="60"/>
      <c r="L1720" s="69"/>
      <c r="M1720" s="34"/>
      <c r="N1720" s="102"/>
      <c r="O1720" s="34"/>
      <c r="P1720" s="34"/>
      <c r="Q1720" s="44"/>
      <c r="R1720" s="71"/>
      <c r="S1720" s="47"/>
      <c r="T1720" s="47"/>
    </row>
    <row r="1721" s="27" customFormat="1" ht="18" customHeight="1" spans="1:20">
      <c r="A1721" s="34"/>
      <c r="B1721" s="48">
        <v>6</v>
      </c>
      <c r="C1721" s="48" t="s">
        <v>409</v>
      </c>
      <c r="D1721" s="48" t="s">
        <v>410</v>
      </c>
      <c r="E1721" s="48"/>
      <c r="F1721" s="50"/>
      <c r="G1721" s="48"/>
      <c r="H1721" s="73">
        <f>+'材料表 '!$E$179</f>
        <v>0</v>
      </c>
      <c r="I1721" s="52">
        <f>H1721*I1719</f>
        <v>0</v>
      </c>
      <c r="J1721" s="53" t="s">
        <v>392</v>
      </c>
      <c r="K1721" s="60"/>
      <c r="L1721" s="69"/>
      <c r="M1721" s="34"/>
      <c r="N1721" s="34"/>
      <c r="O1721" s="34"/>
      <c r="P1721" s="34"/>
      <c r="Q1721" s="44"/>
      <c r="R1721" s="71"/>
      <c r="S1721" s="47"/>
      <c r="T1721" s="47"/>
    </row>
    <row r="1722" s="27" customFormat="1" ht="18" customHeight="1" spans="1:20">
      <c r="A1722" s="34"/>
      <c r="B1722" s="48">
        <v>7</v>
      </c>
      <c r="C1722" s="48" t="s">
        <v>412</v>
      </c>
      <c r="D1722" s="72" t="s">
        <v>413</v>
      </c>
      <c r="E1722" s="72"/>
      <c r="F1722" s="77"/>
      <c r="G1722" s="72"/>
      <c r="H1722" s="73">
        <f>+'材料表 '!$E$180</f>
        <v>0.09</v>
      </c>
      <c r="I1722" s="52">
        <f>(I1719+I1720+I1721)*H1722</f>
        <v>3.25219026066372</v>
      </c>
      <c r="J1722" s="53" t="s">
        <v>392</v>
      </c>
      <c r="K1722" s="60"/>
      <c r="L1722" s="69"/>
      <c r="M1722" s="34"/>
      <c r="N1722" s="34"/>
      <c r="O1722" s="34"/>
      <c r="P1722" s="34"/>
      <c r="Q1722" s="44"/>
      <c r="R1722" s="71"/>
      <c r="S1722" s="47"/>
      <c r="T1722" s="47"/>
    </row>
    <row r="1723" s="27" customFormat="1" ht="18" customHeight="1" spans="1:20">
      <c r="A1723" s="105" t="s">
        <v>183</v>
      </c>
      <c r="B1723" s="48">
        <v>8</v>
      </c>
      <c r="C1723" s="48" t="s">
        <v>363</v>
      </c>
      <c r="D1723" s="106" t="s">
        <v>415</v>
      </c>
      <c r="E1723" s="107"/>
      <c r="F1723" s="108"/>
      <c r="G1723" s="107"/>
      <c r="H1723" s="51"/>
      <c r="I1723" s="74">
        <f>SUM(I1719:I1722)</f>
        <v>39.3876376013717</v>
      </c>
      <c r="J1723" s="53" t="s">
        <v>484</v>
      </c>
      <c r="K1723" s="60"/>
      <c r="L1723" s="69"/>
      <c r="M1723" s="34"/>
      <c r="N1723" s="126"/>
      <c r="O1723" s="34"/>
      <c r="P1723" s="44"/>
      <c r="Q1723" s="44"/>
      <c r="R1723" s="84"/>
      <c r="S1723" s="79"/>
      <c r="T1723" s="47"/>
    </row>
    <row r="1724" s="27" customFormat="1" ht="18" customHeight="1" spans="1:20">
      <c r="A1724" s="34"/>
      <c r="B1724" s="109" t="s">
        <v>418</v>
      </c>
      <c r="C1724" s="110"/>
      <c r="D1724" s="110"/>
      <c r="E1724" s="110"/>
      <c r="F1724" s="110"/>
      <c r="G1724" s="110"/>
      <c r="H1724" s="110"/>
      <c r="I1724" s="110"/>
      <c r="J1724" s="110"/>
      <c r="K1724" s="80"/>
      <c r="L1724" s="69"/>
      <c r="M1724" s="70"/>
      <c r="N1724" s="34"/>
      <c r="O1724" s="34"/>
      <c r="P1724" s="34"/>
      <c r="Q1724" s="44"/>
      <c r="R1724" s="71"/>
      <c r="S1724" s="47"/>
      <c r="T1724" s="47"/>
    </row>
    <row r="1725" s="27" customFormat="1" ht="18" customHeight="1" spans="1:20">
      <c r="A1725" s="34"/>
      <c r="B1725" s="48">
        <v>1</v>
      </c>
      <c r="C1725" s="48" t="s">
        <v>391</v>
      </c>
      <c r="D1725" s="48" t="s">
        <v>396</v>
      </c>
      <c r="E1725" s="48" t="s">
        <v>37</v>
      </c>
      <c r="F1725" s="50"/>
      <c r="G1725" s="48"/>
      <c r="H1725" s="51" t="s">
        <v>399</v>
      </c>
      <c r="I1725" s="51" t="s">
        <v>420</v>
      </c>
      <c r="J1725" s="95" t="s">
        <v>421</v>
      </c>
      <c r="K1725" s="92"/>
      <c r="L1725" s="69" t="s">
        <v>433</v>
      </c>
      <c r="M1725" s="70" t="s">
        <v>567</v>
      </c>
      <c r="N1725" s="34">
        <f>0.096*2.71</f>
        <v>0.26016</v>
      </c>
      <c r="O1725" s="34">
        <v>1</v>
      </c>
      <c r="P1725" s="34">
        <v>1</v>
      </c>
      <c r="Q1725" s="44">
        <f t="shared" ref="Q1725:Q1727" si="193">+P1725*O1725*N1725</f>
        <v>0.26016</v>
      </c>
      <c r="R1725" s="71">
        <f>+Q1725/R1716</f>
        <v>0.26016</v>
      </c>
      <c r="S1725" s="47"/>
      <c r="T1725" s="47"/>
    </row>
    <row r="1726" s="27" customFormat="1" ht="18" customHeight="1" spans="1:20">
      <c r="A1726" s="34"/>
      <c r="B1726" s="48">
        <v>2</v>
      </c>
      <c r="C1726" s="48"/>
      <c r="D1726" s="111" t="s">
        <v>568</v>
      </c>
      <c r="E1726" s="49" t="s">
        <v>423</v>
      </c>
      <c r="F1726" s="112"/>
      <c r="G1726" s="111"/>
      <c r="H1726" s="113">
        <v>1</v>
      </c>
      <c r="I1726" s="113">
        <f>+辅材及安装费!$G$12</f>
        <v>15</v>
      </c>
      <c r="J1726" s="114">
        <f>H1726*I1726</f>
        <v>15</v>
      </c>
      <c r="K1726" s="92"/>
      <c r="L1726" s="34" t="s">
        <v>447</v>
      </c>
      <c r="M1726" s="70" t="s">
        <v>569</v>
      </c>
      <c r="N1726" s="34">
        <f>0.173*2.71</f>
        <v>0.46883</v>
      </c>
      <c r="O1726" s="34">
        <v>1</v>
      </c>
      <c r="P1726" s="34">
        <v>1</v>
      </c>
      <c r="Q1726" s="44">
        <f t="shared" si="193"/>
        <v>0.46883</v>
      </c>
      <c r="R1726" s="71">
        <f>+Q1726/R1716</f>
        <v>0.46883</v>
      </c>
      <c r="S1726" s="47">
        <v>0.09</v>
      </c>
      <c r="T1726" s="47">
        <f>O1726*S1726</f>
        <v>0.09</v>
      </c>
    </row>
    <row r="1727" s="27" customFormat="1" ht="18" customHeight="1" spans="1:20">
      <c r="A1727" s="34"/>
      <c r="B1727" s="48">
        <v>3</v>
      </c>
      <c r="C1727" s="48"/>
      <c r="D1727" s="115"/>
      <c r="E1727" s="63"/>
      <c r="F1727" s="116"/>
      <c r="G1727" s="115"/>
      <c r="H1727" s="117"/>
      <c r="I1727" s="117"/>
      <c r="J1727" s="118"/>
      <c r="K1727" s="92"/>
      <c r="L1727" s="90" t="s">
        <v>447</v>
      </c>
      <c r="M1727" s="70"/>
      <c r="N1727" s="82"/>
      <c r="O1727" s="44"/>
      <c r="P1727" s="44">
        <v>1</v>
      </c>
      <c r="Q1727" s="44">
        <f t="shared" si="193"/>
        <v>0</v>
      </c>
      <c r="R1727" s="84">
        <f>Q1727/R1716</f>
        <v>0</v>
      </c>
      <c r="S1727" s="47"/>
      <c r="T1727" s="47">
        <f>S1727*O1727*P1727</f>
        <v>0</v>
      </c>
    </row>
    <row r="1728" s="27" customFormat="1" ht="18" customHeight="1" spans="1:20">
      <c r="A1728" s="34"/>
      <c r="B1728" s="48">
        <v>4</v>
      </c>
      <c r="C1728" s="48"/>
      <c r="D1728" s="85" t="s">
        <v>426</v>
      </c>
      <c r="E1728" s="48" t="s">
        <v>392</v>
      </c>
      <c r="F1728" s="50"/>
      <c r="G1728" s="48"/>
      <c r="H1728" s="86"/>
      <c r="I1728" s="86"/>
      <c r="J1728" s="95">
        <f>SUM(J1726:J1726)</f>
        <v>15</v>
      </c>
      <c r="K1728" s="92"/>
      <c r="L1728" s="90"/>
      <c r="M1728" s="44"/>
      <c r="N1728" s="82"/>
      <c r="O1728" s="44"/>
      <c r="P1728" s="44"/>
      <c r="Q1728" s="44"/>
      <c r="R1728" s="84"/>
      <c r="S1728" s="47"/>
      <c r="T1728" s="47"/>
    </row>
    <row r="1729" s="27" customFormat="1" ht="22" customHeight="1" spans="1:20">
      <c r="A1729" s="34"/>
      <c r="B1729" s="48">
        <v>1</v>
      </c>
      <c r="C1729" s="48" t="s">
        <v>394</v>
      </c>
      <c r="D1729" s="88"/>
      <c r="E1729" s="72"/>
      <c r="F1729" s="77"/>
      <c r="G1729" s="89"/>
      <c r="H1729" s="74"/>
      <c r="I1729" s="74"/>
      <c r="J1729" s="95"/>
      <c r="K1729" s="92">
        <f ca="1">H1729*K1715</f>
        <v>0</v>
      </c>
      <c r="L1729" s="90"/>
      <c r="M1729" s="44"/>
      <c r="N1729" s="82"/>
      <c r="O1729" s="44"/>
      <c r="P1729" s="44"/>
      <c r="Q1729" s="44"/>
      <c r="R1729" s="84"/>
      <c r="S1729" s="47"/>
      <c r="T1729" s="47"/>
    </row>
    <row r="1730" s="27" customFormat="1" ht="18" customHeight="1" spans="1:20">
      <c r="A1730" s="34"/>
      <c r="B1730" s="48">
        <v>2</v>
      </c>
      <c r="C1730" s="48"/>
      <c r="D1730" s="88"/>
      <c r="E1730" s="72"/>
      <c r="F1730" s="77"/>
      <c r="G1730" s="89"/>
      <c r="H1730" s="74"/>
      <c r="I1730" s="74"/>
      <c r="J1730" s="95"/>
      <c r="K1730" s="92">
        <f ca="1">H1730*K1715</f>
        <v>0</v>
      </c>
      <c r="L1730" s="90"/>
      <c r="M1730" s="44"/>
      <c r="N1730" s="82"/>
      <c r="O1730" s="44"/>
      <c r="P1730" s="44"/>
      <c r="Q1730" s="44"/>
      <c r="R1730" s="84"/>
      <c r="S1730" s="47"/>
      <c r="T1730" s="47"/>
    </row>
    <row r="1731" s="27" customFormat="1" ht="18" customHeight="1" spans="1:20">
      <c r="A1731" s="34"/>
      <c r="B1731" s="48">
        <v>3</v>
      </c>
      <c r="C1731" s="48"/>
      <c r="D1731" s="88"/>
      <c r="E1731" s="72"/>
      <c r="F1731" s="77"/>
      <c r="G1731" s="89"/>
      <c r="H1731" s="74"/>
      <c r="I1731" s="74"/>
      <c r="J1731" s="95"/>
      <c r="K1731" s="92">
        <f ca="1">H1731*K1715</f>
        <v>0</v>
      </c>
      <c r="L1731" s="90"/>
      <c r="M1731" s="44"/>
      <c r="N1731" s="82"/>
      <c r="O1731" s="44"/>
      <c r="P1731" s="44"/>
      <c r="Q1731" s="44"/>
      <c r="R1731" s="84"/>
      <c r="S1731" s="47"/>
      <c r="T1731" s="47"/>
    </row>
    <row r="1732" s="27" customFormat="1" ht="18" customHeight="1" spans="1:20">
      <c r="A1732" s="34"/>
      <c r="B1732" s="48">
        <v>4</v>
      </c>
      <c r="C1732" s="48"/>
      <c r="D1732" s="88" t="s">
        <v>433</v>
      </c>
      <c r="E1732" s="72" t="str">
        <f>+VLOOKUP(D1732,'材料表 '!C:F,2,0)</f>
        <v>kg</v>
      </c>
      <c r="F1732" s="77">
        <f t="shared" ref="F1732:F1735" si="194">+SUMIF($L$1675:$L$1713,D1732,$R$1675:$R$1713)</f>
        <v>0.20596</v>
      </c>
      <c r="G1732" s="89">
        <f>+VLOOKUP(D1732,'材料表 '!C:F,4,0)</f>
        <v>0.03</v>
      </c>
      <c r="H1732" s="74">
        <f t="shared" ref="H1732:H1735" si="195">F1732*(G1732+1)</f>
        <v>0.2121388</v>
      </c>
      <c r="I1732" s="74">
        <f>+VLOOKUP(D1732,'材料表 '!C:F,3,0)</f>
        <v>26.1150442477876</v>
      </c>
      <c r="J1732" s="95">
        <f t="shared" ref="J1732:J1735" si="196">H1732*I1732</f>
        <v>5.54001414867257</v>
      </c>
      <c r="K1732" s="92">
        <f ca="1">H1732*K1715</f>
        <v>0.644371605</v>
      </c>
      <c r="L1732" s="90"/>
      <c r="M1732" s="44"/>
      <c r="N1732" s="82"/>
      <c r="O1732" s="44"/>
      <c r="P1732" s="44"/>
      <c r="Q1732" s="44"/>
      <c r="R1732" s="84"/>
      <c r="S1732" s="47"/>
      <c r="T1732" s="47">
        <f>SUM(T1726:T1731)</f>
        <v>0.09</v>
      </c>
    </row>
    <row r="1733" s="27" customFormat="1" ht="18" customHeight="1" spans="1:20">
      <c r="A1733" s="34"/>
      <c r="B1733" s="48">
        <v>5</v>
      </c>
      <c r="C1733" s="48"/>
      <c r="D1733" s="88" t="s">
        <v>447</v>
      </c>
      <c r="E1733" s="72" t="str">
        <f>+VLOOKUP(D1733,'材料表 '!C:F,2,0)</f>
        <v>kg</v>
      </c>
      <c r="F1733" s="77">
        <f t="shared" si="194"/>
        <v>0.26829</v>
      </c>
      <c r="G1733" s="89">
        <f>+VLOOKUP(D1733,'材料表 '!C:F,4,0)</f>
        <v>0.03</v>
      </c>
      <c r="H1733" s="74">
        <f t="shared" si="195"/>
        <v>0.2763387</v>
      </c>
      <c r="I1733" s="74">
        <f>+VLOOKUP(D1733,'材料表 '!C:F,3,0)</f>
        <v>24.4336283185841</v>
      </c>
      <c r="J1733" s="95">
        <f t="shared" si="196"/>
        <v>6.75195708584071</v>
      </c>
      <c r="K1733" s="92">
        <f ca="1">H1733*K1715</f>
        <v>0.83937880125</v>
      </c>
      <c r="L1733" s="92" t="s">
        <v>476</v>
      </c>
      <c r="M1733" s="44"/>
      <c r="N1733" s="82"/>
      <c r="O1733" s="44"/>
      <c r="P1733" s="44"/>
      <c r="Q1733" s="44">
        <f>10*8*(O1716*0+P1716*0)/500</f>
        <v>0</v>
      </c>
      <c r="R1733" s="84">
        <f>+Q1733/R1716</f>
        <v>0</v>
      </c>
      <c r="S1733" s="47"/>
      <c r="T1733" s="47"/>
    </row>
    <row r="1734" s="27" customFormat="1" ht="18" customHeight="1" spans="1:20">
      <c r="A1734" s="34"/>
      <c r="B1734" s="48">
        <v>6</v>
      </c>
      <c r="C1734" s="48"/>
      <c r="D1734" s="88" t="s">
        <v>434</v>
      </c>
      <c r="E1734" s="72" t="str">
        <f>+VLOOKUP(D1734,'材料表 '!C:F,2,0)</f>
        <v>m2</v>
      </c>
      <c r="F1734" s="77">
        <f>T1732/R1716</f>
        <v>0.09</v>
      </c>
      <c r="G1734" s="89">
        <f>+VLOOKUP(D1734,'材料表 '!C:F,4,0)</f>
        <v>0</v>
      </c>
      <c r="H1734" s="74">
        <f t="shared" si="195"/>
        <v>0.09</v>
      </c>
      <c r="I1734" s="74">
        <f>+VLOOKUP(D1734,'材料表 '!C:F,3,0)</f>
        <v>49.5575221238938</v>
      </c>
      <c r="J1734" s="95">
        <f t="shared" si="196"/>
        <v>4.46017699115044</v>
      </c>
      <c r="K1734" s="92">
        <f ca="1">H1734*K1715</f>
        <v>0.273375</v>
      </c>
      <c r="L1734" s="92"/>
      <c r="M1734" s="44"/>
      <c r="N1734" s="82"/>
      <c r="O1734" s="44"/>
      <c r="P1734" s="44"/>
      <c r="Q1734" s="44"/>
      <c r="R1734" s="84"/>
      <c r="S1734" s="47"/>
      <c r="T1734" s="47"/>
    </row>
    <row r="1735" s="27" customFormat="1" ht="18" customHeight="1" spans="1:20">
      <c r="A1735" s="34"/>
      <c r="B1735" s="48">
        <v>7</v>
      </c>
      <c r="C1735" s="48"/>
      <c r="D1735" s="88" t="s">
        <v>500</v>
      </c>
      <c r="E1735" s="72" t="str">
        <f>+VLOOKUP(D1735,'材料表 '!C:F,2,0)</f>
        <v>kg</v>
      </c>
      <c r="F1735" s="77">
        <f>(F1732+F1733)*0.2</f>
        <v>0.09485</v>
      </c>
      <c r="G1735" s="89">
        <f>+VLOOKUP(D1735,'材料表 '!C:F,4,0)</f>
        <v>0.03</v>
      </c>
      <c r="H1735" s="74">
        <f t="shared" si="195"/>
        <v>0.0976955</v>
      </c>
      <c r="I1735" s="74">
        <f>+VLOOKUP(D1735,'材料表 '!C:F,3,0)</f>
        <v>14.1592920353982</v>
      </c>
      <c r="J1735" s="95">
        <f t="shared" si="196"/>
        <v>1.38329911504425</v>
      </c>
      <c r="K1735" s="92">
        <f ca="1">H1735*K1715</f>
        <v>0.29675008125</v>
      </c>
      <c r="L1735" s="92"/>
      <c r="M1735" s="44"/>
      <c r="N1735" s="82"/>
      <c r="O1735" s="44"/>
      <c r="P1735" s="44"/>
      <c r="Q1735" s="44"/>
      <c r="R1735" s="84"/>
      <c r="S1735" s="47"/>
      <c r="T1735" s="47"/>
    </row>
    <row r="1736" s="27" customFormat="1" ht="18" customHeight="1" spans="1:20">
      <c r="A1736" s="34"/>
      <c r="B1736" s="48">
        <v>8</v>
      </c>
      <c r="C1736" s="48"/>
      <c r="D1736" s="88"/>
      <c r="E1736" s="72"/>
      <c r="F1736" s="77"/>
      <c r="G1736" s="89"/>
      <c r="H1736" s="74"/>
      <c r="I1736" s="74"/>
      <c r="J1736" s="95"/>
      <c r="K1736" s="92">
        <f ca="1">H1736*K1715</f>
        <v>0</v>
      </c>
      <c r="L1736" s="92"/>
      <c r="M1736" s="44"/>
      <c r="N1736" s="82"/>
      <c r="O1736" s="44"/>
      <c r="P1736" s="44"/>
      <c r="Q1736" s="44"/>
      <c r="R1736" s="84"/>
      <c r="S1736" s="47"/>
      <c r="T1736" s="47"/>
    </row>
    <row r="1737" s="27" customFormat="1" ht="18" customHeight="1" spans="1:20">
      <c r="A1737" s="34"/>
      <c r="B1737" s="48">
        <v>9</v>
      </c>
      <c r="C1737" s="48"/>
      <c r="D1737" s="88" t="s">
        <v>476</v>
      </c>
      <c r="E1737" s="72" t="str">
        <f>+VLOOKUP(D1737,'材料表 '!C:F,2,0)</f>
        <v>支</v>
      </c>
      <c r="F1737" s="77">
        <v>0</v>
      </c>
      <c r="G1737" s="89">
        <f>+VLOOKUP(D1737,'材料表 '!C:F,4,0)</f>
        <v>0.15</v>
      </c>
      <c r="H1737" s="74">
        <f>F1737*(G1737+1)</f>
        <v>0</v>
      </c>
      <c r="I1737" s="74">
        <f>+VLOOKUP(D1737,'材料表 '!C:F,3,0)</f>
        <v>11.5044247787611</v>
      </c>
      <c r="J1737" s="95">
        <f>H1737*I1737</f>
        <v>0</v>
      </c>
      <c r="K1737" s="92">
        <f ca="1">H1737*K1715</f>
        <v>0</v>
      </c>
      <c r="L1737" s="90"/>
      <c r="M1737" s="44"/>
      <c r="N1737" s="82"/>
      <c r="O1737" s="34"/>
      <c r="P1737" s="44"/>
      <c r="Q1737" s="44"/>
      <c r="R1737" s="119"/>
      <c r="S1737" s="47"/>
      <c r="T1737" s="47"/>
    </row>
    <row r="1738" s="27" customFormat="1" ht="23" customHeight="1" spans="1:20">
      <c r="A1738" s="34"/>
      <c r="B1738" s="48">
        <v>10</v>
      </c>
      <c r="C1738" s="48"/>
      <c r="D1738" s="88"/>
      <c r="E1738" s="72"/>
      <c r="F1738" s="77"/>
      <c r="G1738" s="89"/>
      <c r="H1738" s="74"/>
      <c r="I1738" s="74"/>
      <c r="J1738" s="95"/>
      <c r="K1738" s="92">
        <f ca="1">H1738*K1715</f>
        <v>0</v>
      </c>
      <c r="L1738" s="92"/>
      <c r="M1738" s="120"/>
      <c r="N1738" s="82"/>
      <c r="O1738" s="44"/>
      <c r="P1738" s="44"/>
      <c r="Q1738" s="44"/>
      <c r="R1738" s="84"/>
      <c r="S1738" s="47"/>
      <c r="T1738" s="47"/>
    </row>
    <row r="1739" s="27" customFormat="1" ht="20" customHeight="1" spans="1:20">
      <c r="A1739" s="34"/>
      <c r="B1739" s="48">
        <v>11</v>
      </c>
      <c r="C1739" s="48"/>
      <c r="D1739" s="88"/>
      <c r="E1739" s="72"/>
      <c r="F1739" s="77"/>
      <c r="G1739" s="89"/>
      <c r="H1739" s="74"/>
      <c r="I1739" s="74"/>
      <c r="J1739" s="95"/>
      <c r="K1739" s="92">
        <f ca="1">H1739*K1715</f>
        <v>0</v>
      </c>
      <c r="L1739" s="92"/>
      <c r="M1739" s="44"/>
      <c r="N1739" s="82"/>
      <c r="O1739" s="44"/>
      <c r="P1739" s="44"/>
      <c r="Q1739" s="44"/>
      <c r="R1739" s="84"/>
      <c r="S1739" s="47"/>
      <c r="T1739" s="47"/>
    </row>
    <row r="1740" s="27" customFormat="1" ht="24" customHeight="1" spans="1:20">
      <c r="A1740" s="34"/>
      <c r="B1740" s="48">
        <v>12</v>
      </c>
      <c r="C1740" s="48"/>
      <c r="D1740" s="127"/>
      <c r="E1740" s="72"/>
      <c r="F1740" s="128"/>
      <c r="G1740" s="89"/>
      <c r="H1740" s="74"/>
      <c r="I1740" s="74"/>
      <c r="J1740" s="95"/>
      <c r="K1740" s="92">
        <f ca="1">H1740*K1715</f>
        <v>0</v>
      </c>
      <c r="L1740" s="92"/>
      <c r="M1740" s="44"/>
      <c r="N1740" s="44"/>
      <c r="O1740" s="44"/>
      <c r="P1740" s="44"/>
      <c r="Q1740" s="44"/>
      <c r="R1740" s="84"/>
      <c r="S1740" s="47"/>
      <c r="T1740" s="47"/>
    </row>
    <row r="1741" s="27" customFormat="1" ht="18" customHeight="1" spans="1:20">
      <c r="A1741" s="34"/>
      <c r="B1741" s="48">
        <v>13</v>
      </c>
      <c r="C1741" s="48"/>
      <c r="D1741" s="88"/>
      <c r="E1741" s="72"/>
      <c r="F1741" s="77"/>
      <c r="G1741" s="89"/>
      <c r="H1741" s="74"/>
      <c r="I1741" s="74"/>
      <c r="J1741" s="95"/>
      <c r="K1741" s="92">
        <f ca="1">H1741*K1715</f>
        <v>0</v>
      </c>
      <c r="L1741" s="92"/>
      <c r="M1741" s="44"/>
      <c r="N1741" s="44"/>
      <c r="O1741" s="44"/>
      <c r="P1741" s="44"/>
      <c r="Q1741" s="44"/>
      <c r="R1741" s="84"/>
      <c r="S1741" s="47"/>
      <c r="T1741" s="47"/>
    </row>
    <row r="1742" s="27" customFormat="1" ht="24" customHeight="1" spans="1:20">
      <c r="A1742" s="34"/>
      <c r="B1742" s="48">
        <v>14</v>
      </c>
      <c r="C1742" s="48"/>
      <c r="D1742" s="88"/>
      <c r="E1742" s="72"/>
      <c r="F1742" s="77"/>
      <c r="G1742" s="89"/>
      <c r="H1742" s="74"/>
      <c r="I1742" s="74"/>
      <c r="J1742" s="95"/>
      <c r="K1742" s="92">
        <f ca="1">H1742*K1715</f>
        <v>0</v>
      </c>
      <c r="L1742" s="92"/>
      <c r="M1742" s="44"/>
      <c r="N1742" s="44"/>
      <c r="O1742" s="44"/>
      <c r="P1742" s="44"/>
      <c r="Q1742" s="44"/>
      <c r="R1742" s="84"/>
      <c r="S1742" s="47"/>
      <c r="T1742" s="47"/>
    </row>
    <row r="1743" s="27" customFormat="1" ht="18" customHeight="1" spans="1:20">
      <c r="A1743" s="34"/>
      <c r="B1743" s="48">
        <v>15</v>
      </c>
      <c r="C1743" s="48"/>
      <c r="D1743" s="88"/>
      <c r="E1743" s="72"/>
      <c r="F1743" s="77"/>
      <c r="G1743" s="89"/>
      <c r="H1743" s="74"/>
      <c r="I1743" s="74"/>
      <c r="J1743" s="95"/>
      <c r="K1743" s="92"/>
      <c r="L1743" s="92"/>
      <c r="M1743" s="44"/>
      <c r="N1743" s="44"/>
      <c r="O1743" s="44"/>
      <c r="P1743" s="44"/>
      <c r="Q1743" s="44"/>
      <c r="R1743" s="84"/>
      <c r="S1743" s="47"/>
      <c r="T1743" s="47"/>
    </row>
    <row r="1744" s="27" customFormat="1" ht="18" customHeight="1" spans="1:20">
      <c r="A1744" s="34"/>
      <c r="B1744" s="48">
        <v>16</v>
      </c>
      <c r="C1744" s="48"/>
      <c r="D1744" s="88"/>
      <c r="E1744" s="72"/>
      <c r="F1744" s="77"/>
      <c r="G1744" s="89"/>
      <c r="H1744" s="74"/>
      <c r="I1744" s="74"/>
      <c r="J1744" s="95"/>
      <c r="K1744" s="92"/>
      <c r="L1744" s="92"/>
      <c r="M1744" s="44"/>
      <c r="N1744" s="44"/>
      <c r="O1744" s="44"/>
      <c r="P1744" s="44"/>
      <c r="Q1744" s="44"/>
      <c r="R1744" s="84"/>
      <c r="S1744" s="47"/>
      <c r="T1744" s="47"/>
    </row>
    <row r="1745" s="27" customFormat="1" ht="18" customHeight="1" spans="1:20">
      <c r="A1745" s="34"/>
      <c r="B1745" s="48">
        <v>17</v>
      </c>
      <c r="C1745" s="48"/>
      <c r="D1745" s="121"/>
      <c r="E1745" s="72"/>
      <c r="F1745" s="77"/>
      <c r="G1745" s="89"/>
      <c r="H1745" s="74"/>
      <c r="I1745" s="74"/>
      <c r="J1745" s="95"/>
      <c r="K1745" s="92"/>
      <c r="L1745" s="92"/>
      <c r="M1745" s="44"/>
      <c r="N1745" s="44"/>
      <c r="O1745" s="44"/>
      <c r="P1745" s="44"/>
      <c r="Q1745" s="101"/>
      <c r="R1745" s="84"/>
      <c r="S1745" s="47"/>
      <c r="T1745" s="47"/>
    </row>
    <row r="1746" s="27" customFormat="1" ht="18" customHeight="1" spans="1:20">
      <c r="A1746" s="34"/>
      <c r="B1746" s="48">
        <v>18</v>
      </c>
      <c r="C1746" s="48"/>
      <c r="D1746" s="88"/>
      <c r="E1746" s="72"/>
      <c r="F1746" s="77"/>
      <c r="G1746" s="89"/>
      <c r="H1746" s="74"/>
      <c r="I1746" s="74"/>
      <c r="J1746" s="95"/>
      <c r="K1746" s="92"/>
      <c r="L1746" s="92"/>
      <c r="M1746" s="44"/>
      <c r="N1746" s="44"/>
      <c r="O1746" s="44"/>
      <c r="P1746" s="44"/>
      <c r="Q1746" s="44"/>
      <c r="R1746" s="84"/>
      <c r="S1746" s="47"/>
      <c r="T1746" s="47"/>
    </row>
    <row r="1747" s="27" customFormat="1" ht="18" customHeight="1" spans="1:20">
      <c r="A1747" s="34"/>
      <c r="B1747" s="48">
        <v>19</v>
      </c>
      <c r="C1747" s="48"/>
      <c r="D1747" s="27"/>
      <c r="E1747" s="72"/>
      <c r="F1747" s="77"/>
      <c r="G1747" s="89"/>
      <c r="H1747" s="74"/>
      <c r="I1747" s="74"/>
      <c r="J1747" s="95"/>
      <c r="K1747" s="92"/>
      <c r="L1747" s="92"/>
      <c r="M1747" s="44"/>
      <c r="N1747" s="44"/>
      <c r="O1747" s="44"/>
      <c r="P1747" s="44"/>
      <c r="Q1747" s="44"/>
      <c r="R1747" s="84"/>
      <c r="S1747" s="47"/>
      <c r="T1747" s="47"/>
    </row>
    <row r="1748" s="27" customFormat="1" ht="18" customHeight="1" spans="1:20">
      <c r="A1748" s="34"/>
      <c r="B1748" s="48">
        <v>20</v>
      </c>
      <c r="C1748" s="48"/>
      <c r="D1748" s="88"/>
      <c r="E1748" s="72"/>
      <c r="F1748" s="77"/>
      <c r="G1748" s="89"/>
      <c r="H1748" s="74"/>
      <c r="I1748" s="74"/>
      <c r="J1748" s="95"/>
      <c r="K1748" s="92"/>
      <c r="L1748" s="92"/>
      <c r="M1748" s="44"/>
      <c r="N1748" s="44"/>
      <c r="O1748" s="44"/>
      <c r="P1748" s="44"/>
      <c r="Q1748" s="44"/>
      <c r="R1748" s="84"/>
      <c r="S1748" s="47"/>
      <c r="T1748" s="47"/>
    </row>
    <row r="1749" s="27" customFormat="1" ht="18" customHeight="1" spans="1:20">
      <c r="A1749" s="34"/>
      <c r="B1749" s="48">
        <v>21</v>
      </c>
      <c r="C1749" s="48"/>
      <c r="D1749" s="88"/>
      <c r="E1749" s="72"/>
      <c r="F1749" s="77"/>
      <c r="G1749" s="89"/>
      <c r="H1749" s="74"/>
      <c r="I1749" s="74"/>
      <c r="J1749" s="95"/>
      <c r="K1749" s="92"/>
      <c r="L1749" s="92"/>
      <c r="M1749" s="44"/>
      <c r="N1749" s="44"/>
      <c r="O1749" s="44"/>
      <c r="P1749" s="44"/>
      <c r="Q1749" s="44"/>
      <c r="R1749" s="84"/>
      <c r="S1749" s="47"/>
      <c r="T1749" s="47"/>
    </row>
    <row r="1750" s="27" customFormat="1" ht="18" customHeight="1" spans="1:20">
      <c r="A1750" s="34"/>
      <c r="B1750" s="48">
        <v>22</v>
      </c>
      <c r="C1750" s="48"/>
      <c r="D1750" s="27"/>
      <c r="E1750" s="72"/>
      <c r="F1750" s="77"/>
      <c r="G1750" s="72"/>
      <c r="H1750" s="74"/>
      <c r="I1750" s="74"/>
      <c r="J1750" s="95"/>
      <c r="K1750" s="92"/>
      <c r="L1750" s="92"/>
      <c r="M1750" s="44"/>
      <c r="N1750" s="44"/>
      <c r="O1750" s="44"/>
      <c r="P1750" s="44"/>
      <c r="Q1750" s="44"/>
      <c r="R1750" s="62"/>
      <c r="S1750" s="47"/>
      <c r="T1750" s="47"/>
    </row>
    <row r="1751" s="27" customFormat="1" ht="18" customHeight="1" spans="1:20">
      <c r="A1751" s="34"/>
      <c r="B1751" s="48">
        <v>23</v>
      </c>
      <c r="C1751" s="48"/>
      <c r="D1751" s="88"/>
      <c r="E1751" s="72"/>
      <c r="F1751" s="77"/>
      <c r="G1751" s="89"/>
      <c r="H1751" s="74"/>
      <c r="I1751" s="74"/>
      <c r="J1751" s="95"/>
      <c r="K1751" s="92"/>
      <c r="L1751" s="92"/>
      <c r="M1751" s="44"/>
      <c r="N1751" s="44"/>
      <c r="O1751" s="44"/>
      <c r="P1751" s="44"/>
      <c r="Q1751" s="44"/>
      <c r="R1751" s="62"/>
      <c r="S1751" s="47"/>
      <c r="T1751" s="47"/>
    </row>
    <row r="1752" s="27" customFormat="1" ht="18" customHeight="1" spans="1:20">
      <c r="A1752" s="34"/>
      <c r="B1752" s="48">
        <v>24</v>
      </c>
      <c r="C1752" s="48"/>
      <c r="D1752" s="88" t="s">
        <v>478</v>
      </c>
      <c r="E1752" s="72" t="s">
        <v>43</v>
      </c>
      <c r="F1752" s="77"/>
      <c r="G1752" s="72">
        <v>1</v>
      </c>
      <c r="H1752" s="74">
        <v>1</v>
      </c>
      <c r="I1752" s="74">
        <f>+辅材及安装费!$E$12</f>
        <v>2</v>
      </c>
      <c r="J1752" s="95">
        <f>H1752*I1752</f>
        <v>2</v>
      </c>
      <c r="K1752" s="92"/>
      <c r="L1752" s="92"/>
      <c r="M1752" s="44"/>
      <c r="N1752" s="44"/>
      <c r="O1752" s="44"/>
      <c r="P1752" s="44"/>
      <c r="Q1752" s="44"/>
      <c r="R1752" s="62"/>
      <c r="S1752" s="47"/>
      <c r="T1752" s="47"/>
    </row>
    <row r="1753" s="27" customFormat="1" ht="18" customHeight="1" spans="1:20">
      <c r="A1753" s="34"/>
      <c r="B1753" s="48">
        <v>25</v>
      </c>
      <c r="C1753" s="48"/>
      <c r="D1753" s="93" t="s">
        <v>442</v>
      </c>
      <c r="E1753" s="72"/>
      <c r="F1753" s="77"/>
      <c r="G1753" s="72"/>
      <c r="H1753" s="74"/>
      <c r="I1753" s="74"/>
      <c r="J1753" s="95">
        <f>SUM(J1729:J1752)</f>
        <v>20.135447340708</v>
      </c>
      <c r="K1753" s="92"/>
      <c r="L1753" s="94"/>
      <c r="M1753" s="27"/>
      <c r="N1753" s="83"/>
      <c r="O1753" s="83"/>
      <c r="P1753" s="83"/>
      <c r="Q1753" s="83"/>
      <c r="R1753" s="87"/>
      <c r="S1753" s="47"/>
      <c r="T1753" s="47"/>
    </row>
    <row r="1754" s="27" customFormat="1" ht="18" customHeight="1" spans="1:20">
      <c r="A1754" s="34"/>
      <c r="B1754" s="48">
        <v>1</v>
      </c>
      <c r="C1754" s="48" t="s">
        <v>443</v>
      </c>
      <c r="D1754" s="48" t="s">
        <v>444</v>
      </c>
      <c r="E1754" s="72" t="s">
        <v>43</v>
      </c>
      <c r="F1754" s="50"/>
      <c r="G1754" s="48"/>
      <c r="H1754" s="51">
        <v>1</v>
      </c>
      <c r="I1754" s="74">
        <f>+辅材及安装费!$F$12</f>
        <v>1</v>
      </c>
      <c r="J1754" s="95">
        <f>H1754*I1754</f>
        <v>1</v>
      </c>
      <c r="K1754" s="118"/>
      <c r="L1754" s="96"/>
      <c r="M1754" s="97"/>
      <c r="N1754" s="98"/>
      <c r="O1754" s="98"/>
      <c r="P1754" s="98"/>
      <c r="Q1754" s="98"/>
      <c r="R1754" s="99"/>
      <c r="S1754" s="47"/>
      <c r="T1754" s="47"/>
    </row>
    <row r="1755" s="26" customFormat="1" ht="30" customHeight="1" spans="1:20">
      <c r="A1755" s="28"/>
      <c r="B1755" s="29" t="s">
        <v>386</v>
      </c>
      <c r="C1755" s="29"/>
      <c r="D1755" s="29"/>
      <c r="E1755" s="29"/>
      <c r="F1755" s="29"/>
      <c r="G1755" s="29"/>
      <c r="H1755" s="29"/>
      <c r="I1755" s="29"/>
      <c r="J1755" s="29"/>
      <c r="K1755" s="29"/>
      <c r="L1755" s="30"/>
      <c r="M1755" s="31"/>
      <c r="N1755" s="31"/>
      <c r="O1755" s="31"/>
      <c r="P1755" s="31"/>
      <c r="Q1755" s="31"/>
      <c r="R1755" s="32"/>
      <c r="S1755" s="33"/>
      <c r="T1755" s="33"/>
    </row>
    <row r="1756" s="27" customFormat="1" ht="33.75" customHeight="1" spans="1:20">
      <c r="A1756" s="34">
        <v>5</v>
      </c>
      <c r="B1756" s="35" t="s">
        <v>1</v>
      </c>
      <c r="C1756" s="35" t="s">
        <v>387</v>
      </c>
      <c r="D1756" s="36" t="str">
        <f>+A1764</f>
        <v>铝合金线条5（80*50）</v>
      </c>
      <c r="E1756" s="37"/>
      <c r="F1756" s="38"/>
      <c r="G1756" s="39"/>
      <c r="H1756" s="35" t="s">
        <v>388</v>
      </c>
      <c r="I1756" s="40" t="s">
        <v>389</v>
      </c>
      <c r="J1756" s="41" t="s">
        <v>37</v>
      </c>
      <c r="K1756" s="42">
        <f ca="1">VLOOKUP(A1756,排屋工程量清单!A:D,4,)</f>
        <v>24.8</v>
      </c>
      <c r="L1756" s="43"/>
      <c r="M1756" s="44"/>
      <c r="N1756" s="44"/>
      <c r="O1756" s="44"/>
      <c r="P1756" s="45"/>
      <c r="Q1756" s="44"/>
      <c r="R1756" s="46"/>
      <c r="S1756" s="47"/>
      <c r="T1756" s="47"/>
    </row>
    <row r="1757" s="27" customFormat="1" ht="25" customHeight="1" spans="1:20">
      <c r="A1757" s="34"/>
      <c r="B1757" s="48">
        <v>1</v>
      </c>
      <c r="C1757" s="49" t="s">
        <v>390</v>
      </c>
      <c r="D1757" s="48" t="s">
        <v>391</v>
      </c>
      <c r="E1757" s="48"/>
      <c r="F1757" s="50"/>
      <c r="G1757" s="48"/>
      <c r="H1757" s="51"/>
      <c r="I1757" s="52">
        <f>J1769</f>
        <v>15</v>
      </c>
      <c r="J1757" s="53" t="s">
        <v>392</v>
      </c>
      <c r="K1757" s="54"/>
      <c r="L1757" s="55"/>
      <c r="M1757" s="56"/>
      <c r="N1757" s="57"/>
      <c r="O1757" s="57">
        <v>1</v>
      </c>
      <c r="P1757" s="57">
        <v>1</v>
      </c>
      <c r="Q1757" s="57">
        <v>1</v>
      </c>
      <c r="R1757" s="58">
        <f>+Q1757*P1757*O1757</f>
        <v>1</v>
      </c>
      <c r="S1757" s="47"/>
      <c r="T1757" s="47"/>
    </row>
    <row r="1758" s="27" customFormat="1" ht="18" customHeight="1" spans="1:20">
      <c r="A1758" s="34"/>
      <c r="B1758" s="48">
        <v>2</v>
      </c>
      <c r="C1758" s="59"/>
      <c r="D1758" s="48" t="s">
        <v>394</v>
      </c>
      <c r="E1758" s="48"/>
      <c r="F1758" s="50"/>
      <c r="G1758" s="48"/>
      <c r="H1758" s="51"/>
      <c r="I1758" s="52">
        <f>J1794</f>
        <v>32.2909277876106</v>
      </c>
      <c r="J1758" s="53" t="s">
        <v>392</v>
      </c>
      <c r="K1758" s="60"/>
      <c r="L1758" s="61"/>
      <c r="M1758" s="44"/>
      <c r="N1758" s="44"/>
      <c r="O1758" s="44"/>
      <c r="P1758" s="44"/>
      <c r="Q1758" s="44"/>
      <c r="R1758" s="62"/>
      <c r="S1758" s="47"/>
      <c r="T1758" s="47"/>
    </row>
    <row r="1759" s="27" customFormat="1" ht="18" customHeight="1" spans="1:20">
      <c r="A1759" s="34"/>
      <c r="B1759" s="48">
        <v>3</v>
      </c>
      <c r="C1759" s="63"/>
      <c r="D1759" s="48" t="s">
        <v>395</v>
      </c>
      <c r="E1759" s="48"/>
      <c r="F1759" s="50"/>
      <c r="G1759" s="48"/>
      <c r="H1759" s="51"/>
      <c r="I1759" s="52">
        <f>J1795</f>
        <v>1</v>
      </c>
      <c r="J1759" s="53" t="s">
        <v>392</v>
      </c>
      <c r="K1759" s="60"/>
      <c r="L1759" s="60"/>
      <c r="M1759" s="65" t="s">
        <v>396</v>
      </c>
      <c r="N1759" s="65" t="s">
        <v>397</v>
      </c>
      <c r="O1759" s="65" t="s">
        <v>398</v>
      </c>
      <c r="P1759" s="65" t="s">
        <v>399</v>
      </c>
      <c r="Q1759" s="65" t="s">
        <v>400</v>
      </c>
      <c r="R1759" s="66" t="s">
        <v>401</v>
      </c>
      <c r="S1759" s="47"/>
      <c r="T1759" s="47"/>
    </row>
    <row r="1760" s="27" customFormat="1" ht="18" customHeight="1" spans="1:20">
      <c r="A1760" s="34"/>
      <c r="B1760" s="48">
        <v>4</v>
      </c>
      <c r="C1760" s="48" t="s">
        <v>402</v>
      </c>
      <c r="D1760" s="67" t="s">
        <v>403</v>
      </c>
      <c r="E1760" s="67"/>
      <c r="F1760" s="50"/>
      <c r="G1760" s="67"/>
      <c r="H1760" s="68"/>
      <c r="I1760" s="52">
        <f>SUM(I1757:I1759)</f>
        <v>48.2909277876106</v>
      </c>
      <c r="J1760" s="53" t="s">
        <v>392</v>
      </c>
      <c r="K1760" s="60"/>
      <c r="L1760" s="69"/>
      <c r="M1760" s="34"/>
      <c r="N1760" s="34"/>
      <c r="O1760" s="34"/>
      <c r="P1760" s="34"/>
      <c r="Q1760" s="44"/>
      <c r="R1760" s="71"/>
      <c r="S1760" s="47"/>
      <c r="T1760" s="47"/>
    </row>
    <row r="1761" s="27" customFormat="1" ht="28" customHeight="1" spans="1:20">
      <c r="A1761" s="34"/>
      <c r="B1761" s="48">
        <v>5</v>
      </c>
      <c r="C1761" s="72" t="s">
        <v>406</v>
      </c>
      <c r="D1761" s="48" t="s">
        <v>407</v>
      </c>
      <c r="E1761" s="48"/>
      <c r="F1761" s="50"/>
      <c r="G1761" s="48"/>
      <c r="H1761" s="73">
        <f>+'材料表 '!$E$178</f>
        <v>0</v>
      </c>
      <c r="I1761" s="52">
        <f>H1761*I1760</f>
        <v>0</v>
      </c>
      <c r="J1761" s="53" t="s">
        <v>392</v>
      </c>
      <c r="K1761" s="60"/>
      <c r="L1761" s="69"/>
      <c r="M1761" s="34"/>
      <c r="N1761" s="102"/>
      <c r="O1761" s="34"/>
      <c r="P1761" s="34"/>
      <c r="Q1761" s="44"/>
      <c r="R1761" s="71"/>
      <c r="S1761" s="47"/>
      <c r="T1761" s="47"/>
    </row>
    <row r="1762" s="27" customFormat="1" ht="18" customHeight="1" spans="1:20">
      <c r="A1762" s="34"/>
      <c r="B1762" s="48">
        <v>6</v>
      </c>
      <c r="C1762" s="48" t="s">
        <v>409</v>
      </c>
      <c r="D1762" s="48" t="s">
        <v>410</v>
      </c>
      <c r="E1762" s="48"/>
      <c r="F1762" s="50"/>
      <c r="G1762" s="48"/>
      <c r="H1762" s="73">
        <f>+'材料表 '!$E$179</f>
        <v>0</v>
      </c>
      <c r="I1762" s="52">
        <f>H1762*I1760</f>
        <v>0</v>
      </c>
      <c r="J1762" s="53" t="s">
        <v>392</v>
      </c>
      <c r="K1762" s="60"/>
      <c r="L1762" s="69"/>
      <c r="M1762" s="34"/>
      <c r="N1762" s="34"/>
      <c r="O1762" s="34"/>
      <c r="P1762" s="34"/>
      <c r="Q1762" s="44"/>
      <c r="R1762" s="71"/>
      <c r="S1762" s="47"/>
      <c r="T1762" s="47"/>
    </row>
    <row r="1763" s="27" customFormat="1" ht="18" customHeight="1" spans="1:20">
      <c r="A1763" s="34"/>
      <c r="B1763" s="48">
        <v>7</v>
      </c>
      <c r="C1763" s="48" t="s">
        <v>412</v>
      </c>
      <c r="D1763" s="72" t="s">
        <v>413</v>
      </c>
      <c r="E1763" s="72"/>
      <c r="F1763" s="77"/>
      <c r="G1763" s="72"/>
      <c r="H1763" s="73">
        <f>+'材料表 '!$E$180</f>
        <v>0.09</v>
      </c>
      <c r="I1763" s="52">
        <f>(I1760+I1761+I1762)*H1763</f>
        <v>4.34618350088496</v>
      </c>
      <c r="J1763" s="53" t="s">
        <v>392</v>
      </c>
      <c r="K1763" s="60"/>
      <c r="L1763" s="69"/>
      <c r="M1763" s="34"/>
      <c r="N1763" s="34"/>
      <c r="O1763" s="34"/>
      <c r="P1763" s="34"/>
      <c r="Q1763" s="44"/>
      <c r="R1763" s="71"/>
      <c r="S1763" s="47"/>
      <c r="T1763" s="47"/>
    </row>
    <row r="1764" s="27" customFormat="1" ht="18" customHeight="1" spans="1:20">
      <c r="A1764" s="105" t="s">
        <v>185</v>
      </c>
      <c r="B1764" s="48">
        <v>8</v>
      </c>
      <c r="C1764" s="48" t="s">
        <v>363</v>
      </c>
      <c r="D1764" s="106" t="s">
        <v>415</v>
      </c>
      <c r="E1764" s="107"/>
      <c r="F1764" s="108"/>
      <c r="G1764" s="107"/>
      <c r="H1764" s="51"/>
      <c r="I1764" s="74">
        <f>SUM(I1760:I1763)</f>
        <v>52.6371112884956</v>
      </c>
      <c r="J1764" s="53" t="s">
        <v>484</v>
      </c>
      <c r="K1764" s="60"/>
      <c r="L1764" s="69"/>
      <c r="M1764" s="34"/>
      <c r="N1764" s="126"/>
      <c r="O1764" s="34"/>
      <c r="P1764" s="44"/>
      <c r="Q1764" s="44"/>
      <c r="R1764" s="84"/>
      <c r="S1764" s="79"/>
      <c r="T1764" s="47"/>
    </row>
    <row r="1765" s="27" customFormat="1" ht="18" customHeight="1" spans="1:20">
      <c r="A1765" s="34"/>
      <c r="B1765" s="109" t="s">
        <v>418</v>
      </c>
      <c r="C1765" s="110"/>
      <c r="D1765" s="110"/>
      <c r="E1765" s="110"/>
      <c r="F1765" s="110"/>
      <c r="G1765" s="110"/>
      <c r="H1765" s="110"/>
      <c r="I1765" s="110"/>
      <c r="J1765" s="110"/>
      <c r="K1765" s="80"/>
      <c r="L1765" s="69"/>
      <c r="M1765" s="70"/>
      <c r="N1765" s="34"/>
      <c r="O1765" s="34"/>
      <c r="P1765" s="34"/>
      <c r="Q1765" s="44"/>
      <c r="R1765" s="71"/>
      <c r="S1765" s="47"/>
      <c r="T1765" s="47"/>
    </row>
    <row r="1766" s="27" customFormat="1" ht="18" customHeight="1" spans="1:20">
      <c r="A1766" s="34"/>
      <c r="B1766" s="48">
        <v>1</v>
      </c>
      <c r="C1766" s="48" t="s">
        <v>391</v>
      </c>
      <c r="D1766" s="48" t="s">
        <v>396</v>
      </c>
      <c r="E1766" s="48" t="s">
        <v>37</v>
      </c>
      <c r="F1766" s="50"/>
      <c r="G1766" s="48"/>
      <c r="H1766" s="51" t="s">
        <v>399</v>
      </c>
      <c r="I1766" s="51" t="s">
        <v>420</v>
      </c>
      <c r="J1766" s="95" t="s">
        <v>421</v>
      </c>
      <c r="K1766" s="92"/>
      <c r="L1766" s="69" t="s">
        <v>433</v>
      </c>
      <c r="M1766" s="70" t="s">
        <v>567</v>
      </c>
      <c r="N1766" s="34">
        <f>0.367</f>
        <v>0.367</v>
      </c>
      <c r="O1766" s="34">
        <v>1</v>
      </c>
      <c r="P1766" s="34">
        <v>1</v>
      </c>
      <c r="Q1766" s="44">
        <f t="shared" ref="Q1766:Q1768" si="197">+P1766*O1766*N1766</f>
        <v>0.367</v>
      </c>
      <c r="R1766" s="71">
        <f>+Q1766/R1757</f>
        <v>0.367</v>
      </c>
      <c r="S1766" s="47"/>
      <c r="T1766" s="47"/>
    </row>
    <row r="1767" s="27" customFormat="1" ht="18" customHeight="1" spans="1:20">
      <c r="A1767" s="34"/>
      <c r="B1767" s="48">
        <v>2</v>
      </c>
      <c r="C1767" s="48"/>
      <c r="D1767" s="111" t="s">
        <v>568</v>
      </c>
      <c r="E1767" s="49" t="s">
        <v>423</v>
      </c>
      <c r="F1767" s="112"/>
      <c r="G1767" s="111"/>
      <c r="H1767" s="113">
        <v>1</v>
      </c>
      <c r="I1767" s="113">
        <f>+辅材及安装费!$G$12</f>
        <v>15</v>
      </c>
      <c r="J1767" s="114">
        <f>H1767*I1767</f>
        <v>15</v>
      </c>
      <c r="K1767" s="92"/>
      <c r="L1767" s="34" t="s">
        <v>447</v>
      </c>
      <c r="M1767" s="70" t="s">
        <v>569</v>
      </c>
      <c r="N1767" s="34">
        <f>0.451</f>
        <v>0.451</v>
      </c>
      <c r="O1767" s="34">
        <v>1</v>
      </c>
      <c r="P1767" s="34">
        <v>1</v>
      </c>
      <c r="Q1767" s="44">
        <f t="shared" si="197"/>
        <v>0.451</v>
      </c>
      <c r="R1767" s="71">
        <f>+Q1767/R1757</f>
        <v>0.451</v>
      </c>
      <c r="S1767" s="47">
        <v>0.183</v>
      </c>
      <c r="T1767" s="47">
        <f>O1767*S1767</f>
        <v>0.183</v>
      </c>
    </row>
    <row r="1768" s="27" customFormat="1" ht="18" customHeight="1" spans="1:20">
      <c r="A1768" s="34"/>
      <c r="B1768" s="48">
        <v>3</v>
      </c>
      <c r="C1768" s="48"/>
      <c r="D1768" s="115"/>
      <c r="E1768" s="63"/>
      <c r="F1768" s="116"/>
      <c r="G1768" s="115"/>
      <c r="H1768" s="117"/>
      <c r="I1768" s="117"/>
      <c r="J1768" s="118"/>
      <c r="K1768" s="92"/>
      <c r="L1768" s="90" t="s">
        <v>447</v>
      </c>
      <c r="M1768" s="70"/>
      <c r="N1768" s="82"/>
      <c r="O1768" s="44"/>
      <c r="P1768" s="44">
        <v>1</v>
      </c>
      <c r="Q1768" s="44">
        <f t="shared" si="197"/>
        <v>0</v>
      </c>
      <c r="R1768" s="84">
        <f>Q1768/R1757</f>
        <v>0</v>
      </c>
      <c r="S1768" s="47"/>
      <c r="T1768" s="47">
        <f>S1768*O1768*P1768</f>
        <v>0</v>
      </c>
    </row>
    <row r="1769" s="27" customFormat="1" ht="18" customHeight="1" spans="1:20">
      <c r="A1769" s="34"/>
      <c r="B1769" s="48">
        <v>4</v>
      </c>
      <c r="C1769" s="48"/>
      <c r="D1769" s="85" t="s">
        <v>426</v>
      </c>
      <c r="E1769" s="48" t="s">
        <v>392</v>
      </c>
      <c r="F1769" s="50"/>
      <c r="G1769" s="48"/>
      <c r="H1769" s="86"/>
      <c r="I1769" s="86"/>
      <c r="J1769" s="95">
        <f>SUM(J1767:J1767)</f>
        <v>15</v>
      </c>
      <c r="K1769" s="92"/>
      <c r="L1769" s="90"/>
      <c r="M1769" s="44"/>
      <c r="N1769" s="82"/>
      <c r="O1769" s="44"/>
      <c r="P1769" s="44"/>
      <c r="Q1769" s="44"/>
      <c r="R1769" s="84"/>
      <c r="S1769" s="47"/>
      <c r="T1769" s="47"/>
    </row>
    <row r="1770" s="27" customFormat="1" ht="22" customHeight="1" spans="1:20">
      <c r="A1770" s="34"/>
      <c r="B1770" s="48">
        <v>1</v>
      </c>
      <c r="C1770" s="48" t="s">
        <v>394</v>
      </c>
      <c r="D1770" s="88"/>
      <c r="E1770" s="72"/>
      <c r="F1770" s="77"/>
      <c r="G1770" s="89"/>
      <c r="H1770" s="74"/>
      <c r="I1770" s="74"/>
      <c r="J1770" s="95"/>
      <c r="K1770" s="92">
        <f ca="1">H1770*K1756</f>
        <v>0</v>
      </c>
      <c r="L1770" s="90"/>
      <c r="M1770" s="44"/>
      <c r="N1770" s="82"/>
      <c r="O1770" s="44"/>
      <c r="P1770" s="44"/>
      <c r="Q1770" s="44"/>
      <c r="R1770" s="84"/>
      <c r="S1770" s="47"/>
      <c r="T1770" s="47"/>
    </row>
    <row r="1771" s="27" customFormat="1" ht="18" customHeight="1" spans="1:20">
      <c r="A1771" s="34"/>
      <c r="B1771" s="48">
        <v>2</v>
      </c>
      <c r="C1771" s="48"/>
      <c r="D1771" s="88"/>
      <c r="E1771" s="72"/>
      <c r="F1771" s="77"/>
      <c r="G1771" s="89"/>
      <c r="H1771" s="74"/>
      <c r="I1771" s="74"/>
      <c r="J1771" s="95"/>
      <c r="K1771" s="92">
        <f ca="1">H1771*K1756</f>
        <v>0</v>
      </c>
      <c r="L1771" s="90"/>
      <c r="M1771" s="44"/>
      <c r="N1771" s="82"/>
      <c r="O1771" s="44"/>
      <c r="P1771" s="44"/>
      <c r="Q1771" s="44"/>
      <c r="R1771" s="84"/>
      <c r="S1771" s="47"/>
      <c r="T1771" s="47"/>
    </row>
    <row r="1772" s="27" customFormat="1" ht="18" customHeight="1" spans="1:20">
      <c r="A1772" s="34"/>
      <c r="B1772" s="48">
        <v>3</v>
      </c>
      <c r="C1772" s="48"/>
      <c r="D1772" s="88"/>
      <c r="E1772" s="72"/>
      <c r="F1772" s="77"/>
      <c r="G1772" s="89"/>
      <c r="H1772" s="74"/>
      <c r="I1772" s="74"/>
      <c r="J1772" s="95"/>
      <c r="K1772" s="92">
        <f ca="1">H1772*K1756</f>
        <v>0</v>
      </c>
      <c r="L1772" s="90"/>
      <c r="M1772" s="44"/>
      <c r="N1772" s="82"/>
      <c r="O1772" s="44"/>
      <c r="P1772" s="44"/>
      <c r="Q1772" s="44"/>
      <c r="R1772" s="84"/>
      <c r="S1772" s="47"/>
      <c r="T1772" s="47"/>
    </row>
    <row r="1773" s="27" customFormat="1" ht="18" customHeight="1" spans="1:20">
      <c r="A1773" s="34"/>
      <c r="B1773" s="48">
        <v>4</v>
      </c>
      <c r="C1773" s="48"/>
      <c r="D1773" s="88" t="s">
        <v>433</v>
      </c>
      <c r="E1773" s="72" t="str">
        <f>+VLOOKUP(D1773,'材料表 '!C:F,2,0)</f>
        <v>kg</v>
      </c>
      <c r="F1773" s="77">
        <f>+SUMIF($L$1757:$L$1795,D1773,$R$1757:$R$1795)</f>
        <v>0.367</v>
      </c>
      <c r="G1773" s="89">
        <f>+VLOOKUP(D1773,'材料表 '!C:F,4,0)</f>
        <v>0.03</v>
      </c>
      <c r="H1773" s="74">
        <f t="shared" ref="H1773:H1775" si="198">F1773*(G1773+1)</f>
        <v>0.37801</v>
      </c>
      <c r="I1773" s="74">
        <f>+VLOOKUP(D1773,'材料表 '!C:F,3,0)</f>
        <v>26.1150442477876</v>
      </c>
      <c r="J1773" s="95">
        <f t="shared" ref="J1773:J1775" si="199">H1773*I1773</f>
        <v>9.87174787610619</v>
      </c>
      <c r="K1773" s="92">
        <f ca="1">H1773*K1756</f>
        <v>9.374648</v>
      </c>
      <c r="L1773" s="90"/>
      <c r="M1773" s="44"/>
      <c r="N1773" s="82"/>
      <c r="O1773" s="44"/>
      <c r="P1773" s="44"/>
      <c r="Q1773" s="44"/>
      <c r="R1773" s="84"/>
      <c r="S1773" s="47"/>
      <c r="T1773" s="47">
        <f>SUM(T1767:T1772)</f>
        <v>0.183</v>
      </c>
    </row>
    <row r="1774" s="27" customFormat="1" ht="18" customHeight="1" spans="1:20">
      <c r="A1774" s="34"/>
      <c r="B1774" s="48">
        <v>5</v>
      </c>
      <c r="C1774" s="48"/>
      <c r="D1774" s="88" t="s">
        <v>447</v>
      </c>
      <c r="E1774" s="72" t="str">
        <f>+VLOOKUP(D1774,'材料表 '!C:F,2,0)</f>
        <v>kg</v>
      </c>
      <c r="F1774" s="77">
        <f>+SUMIF($L$1757:$L$1795,D1774,$R$1757:$R$1795)</f>
        <v>0.451</v>
      </c>
      <c r="G1774" s="89">
        <f>+VLOOKUP(D1774,'材料表 '!C:F,4,0)</f>
        <v>0.03</v>
      </c>
      <c r="H1774" s="74">
        <f t="shared" si="198"/>
        <v>0.46453</v>
      </c>
      <c r="I1774" s="74">
        <f>+VLOOKUP(D1774,'材料表 '!C:F,3,0)</f>
        <v>24.4336283185841</v>
      </c>
      <c r="J1774" s="95">
        <f t="shared" si="199"/>
        <v>11.3501533628319</v>
      </c>
      <c r="K1774" s="92">
        <f ca="1">H1774*K1756</f>
        <v>11.520344</v>
      </c>
      <c r="L1774" s="92" t="s">
        <v>476</v>
      </c>
      <c r="M1774" s="44"/>
      <c r="N1774" s="82"/>
      <c r="O1774" s="44"/>
      <c r="P1774" s="44"/>
      <c r="Q1774" s="44">
        <f>10*8*(O1757*0+P1757*0)/500</f>
        <v>0</v>
      </c>
      <c r="R1774" s="84">
        <f>+Q1774/R1757</f>
        <v>0</v>
      </c>
      <c r="S1774" s="47"/>
      <c r="T1774" s="47"/>
    </row>
    <row r="1775" s="27" customFormat="1" ht="18" customHeight="1" spans="1:20">
      <c r="A1775" s="34"/>
      <c r="B1775" s="48">
        <v>6</v>
      </c>
      <c r="C1775" s="48"/>
      <c r="D1775" s="88" t="s">
        <v>434</v>
      </c>
      <c r="E1775" s="72" t="str">
        <f>+VLOOKUP(D1775,'材料表 '!C:F,2,0)</f>
        <v>m2</v>
      </c>
      <c r="F1775" s="77">
        <f>T1773/R1757</f>
        <v>0.183</v>
      </c>
      <c r="G1775" s="89">
        <f>+VLOOKUP(D1775,'材料表 '!C:F,4,0)</f>
        <v>0</v>
      </c>
      <c r="H1775" s="74">
        <f t="shared" si="198"/>
        <v>0.183</v>
      </c>
      <c r="I1775" s="74">
        <f>+VLOOKUP(D1775,'材料表 '!C:F,3,0)</f>
        <v>49.5575221238938</v>
      </c>
      <c r="J1775" s="95">
        <f t="shared" si="199"/>
        <v>9.06902654867256</v>
      </c>
      <c r="K1775" s="92">
        <f ca="1">H1775*K1756</f>
        <v>4.5384</v>
      </c>
      <c r="L1775" s="92"/>
      <c r="M1775" s="44"/>
      <c r="N1775" s="82"/>
      <c r="O1775" s="44"/>
      <c r="P1775" s="44"/>
      <c r="Q1775" s="44"/>
      <c r="R1775" s="84"/>
      <c r="S1775" s="47"/>
      <c r="T1775" s="47"/>
    </row>
    <row r="1776" s="27" customFormat="1" ht="18" customHeight="1" spans="1:20">
      <c r="A1776" s="34"/>
      <c r="B1776" s="48">
        <v>7</v>
      </c>
      <c r="C1776" s="48"/>
      <c r="D1776" s="88"/>
      <c r="E1776" s="72"/>
      <c r="F1776" s="77"/>
      <c r="G1776" s="89"/>
      <c r="H1776" s="74"/>
      <c r="I1776" s="74"/>
      <c r="J1776" s="95"/>
      <c r="K1776" s="92">
        <f ca="1">H1776*K1756</f>
        <v>0</v>
      </c>
      <c r="L1776" s="92"/>
      <c r="M1776" s="44"/>
      <c r="N1776" s="82"/>
      <c r="O1776" s="44"/>
      <c r="P1776" s="44"/>
      <c r="Q1776" s="44"/>
      <c r="R1776" s="84"/>
      <c r="S1776" s="47"/>
      <c r="T1776" s="47"/>
    </row>
    <row r="1777" s="27" customFormat="1" ht="18" customHeight="1" spans="1:20">
      <c r="A1777" s="34"/>
      <c r="B1777" s="48">
        <v>8</v>
      </c>
      <c r="C1777" s="48"/>
      <c r="D1777" s="88"/>
      <c r="E1777" s="72"/>
      <c r="F1777" s="77"/>
      <c r="G1777" s="89"/>
      <c r="H1777" s="74"/>
      <c r="I1777" s="74"/>
      <c r="J1777" s="95"/>
      <c r="K1777" s="92">
        <f ca="1">H1777*K1756</f>
        <v>0</v>
      </c>
      <c r="L1777" s="92"/>
      <c r="M1777" s="44"/>
      <c r="N1777" s="82"/>
      <c r="O1777" s="44"/>
      <c r="P1777" s="44"/>
      <c r="Q1777" s="44"/>
      <c r="R1777" s="84"/>
      <c r="S1777" s="47"/>
      <c r="T1777" s="47"/>
    </row>
    <row r="1778" s="27" customFormat="1" ht="18" customHeight="1" spans="1:20">
      <c r="A1778" s="34"/>
      <c r="B1778" s="48">
        <v>9</v>
      </c>
      <c r="C1778" s="48"/>
      <c r="D1778" s="88" t="s">
        <v>476</v>
      </c>
      <c r="E1778" s="72" t="str">
        <f>+VLOOKUP(D1778,'材料表 '!C:F,2,0)</f>
        <v>支</v>
      </c>
      <c r="F1778" s="77">
        <v>0</v>
      </c>
      <c r="G1778" s="89">
        <f>+VLOOKUP(D1778,'材料表 '!C:F,4,0)</f>
        <v>0.15</v>
      </c>
      <c r="H1778" s="74">
        <f>F1778*(G1778+1)</f>
        <v>0</v>
      </c>
      <c r="I1778" s="74">
        <f>+VLOOKUP(D1778,'材料表 '!C:F,3,0)</f>
        <v>11.5044247787611</v>
      </c>
      <c r="J1778" s="95">
        <f>H1778*I1778</f>
        <v>0</v>
      </c>
      <c r="K1778" s="92">
        <f ca="1">H1778*K1756</f>
        <v>0</v>
      </c>
      <c r="L1778" s="90"/>
      <c r="M1778" s="44"/>
      <c r="N1778" s="82"/>
      <c r="O1778" s="34"/>
      <c r="P1778" s="44"/>
      <c r="Q1778" s="44"/>
      <c r="R1778" s="119"/>
      <c r="S1778" s="47"/>
      <c r="T1778" s="47"/>
    </row>
    <row r="1779" s="27" customFormat="1" ht="23" customHeight="1" spans="1:20">
      <c r="A1779" s="34"/>
      <c r="B1779" s="48">
        <v>10</v>
      </c>
      <c r="C1779" s="48"/>
      <c r="D1779" s="88"/>
      <c r="E1779" s="72"/>
      <c r="F1779" s="77"/>
      <c r="G1779" s="89"/>
      <c r="H1779" s="74"/>
      <c r="I1779" s="74"/>
      <c r="J1779" s="95"/>
      <c r="K1779" s="92">
        <f ca="1">H1779*K1756</f>
        <v>0</v>
      </c>
      <c r="L1779" s="92"/>
      <c r="M1779" s="120"/>
      <c r="N1779" s="82"/>
      <c r="O1779" s="44"/>
      <c r="P1779" s="44"/>
      <c r="Q1779" s="44"/>
      <c r="R1779" s="84"/>
      <c r="S1779" s="47"/>
      <c r="T1779" s="47"/>
    </row>
    <row r="1780" s="27" customFormat="1" ht="20" customHeight="1" spans="1:20">
      <c r="A1780" s="34"/>
      <c r="B1780" s="48">
        <v>11</v>
      </c>
      <c r="C1780" s="48"/>
      <c r="D1780" s="88"/>
      <c r="E1780" s="72"/>
      <c r="F1780" s="77"/>
      <c r="G1780" s="89"/>
      <c r="H1780" s="74"/>
      <c r="I1780" s="74"/>
      <c r="J1780" s="95"/>
      <c r="K1780" s="92">
        <f ca="1">H1780*K1756</f>
        <v>0</v>
      </c>
      <c r="L1780" s="92"/>
      <c r="M1780" s="44"/>
      <c r="N1780" s="82"/>
      <c r="O1780" s="44"/>
      <c r="P1780" s="44"/>
      <c r="Q1780" s="44"/>
      <c r="R1780" s="84"/>
      <c r="S1780" s="47"/>
      <c r="T1780" s="47"/>
    </row>
    <row r="1781" s="27" customFormat="1" ht="24" customHeight="1" spans="1:20">
      <c r="A1781" s="34"/>
      <c r="B1781" s="48">
        <v>12</v>
      </c>
      <c r="C1781" s="48"/>
      <c r="D1781" s="127"/>
      <c r="E1781" s="72"/>
      <c r="F1781" s="128"/>
      <c r="G1781" s="89"/>
      <c r="H1781" s="74"/>
      <c r="I1781" s="74"/>
      <c r="J1781" s="95"/>
      <c r="K1781" s="92">
        <f ca="1">H1781*K1756</f>
        <v>0</v>
      </c>
      <c r="L1781" s="92"/>
      <c r="M1781" s="44"/>
      <c r="N1781" s="44"/>
      <c r="O1781" s="44"/>
      <c r="P1781" s="44"/>
      <c r="Q1781" s="44"/>
      <c r="R1781" s="84"/>
      <c r="S1781" s="47"/>
      <c r="T1781" s="47"/>
    </row>
    <row r="1782" s="27" customFormat="1" ht="18" customHeight="1" spans="1:20">
      <c r="A1782" s="34"/>
      <c r="B1782" s="48">
        <v>13</v>
      </c>
      <c r="C1782" s="48"/>
      <c r="D1782" s="88"/>
      <c r="E1782" s="72"/>
      <c r="F1782" s="77"/>
      <c r="G1782" s="89"/>
      <c r="H1782" s="74"/>
      <c r="I1782" s="74"/>
      <c r="J1782" s="95"/>
      <c r="K1782" s="92">
        <f ca="1">H1782*K1756</f>
        <v>0</v>
      </c>
      <c r="L1782" s="92"/>
      <c r="M1782" s="44"/>
      <c r="N1782" s="44"/>
      <c r="O1782" s="44"/>
      <c r="P1782" s="44"/>
      <c r="Q1782" s="44"/>
      <c r="R1782" s="84"/>
      <c r="S1782" s="47"/>
      <c r="T1782" s="47"/>
    </row>
    <row r="1783" s="27" customFormat="1" ht="24" customHeight="1" spans="1:20">
      <c r="A1783" s="34"/>
      <c r="B1783" s="48">
        <v>14</v>
      </c>
      <c r="C1783" s="48"/>
      <c r="D1783" s="88"/>
      <c r="E1783" s="72"/>
      <c r="F1783" s="77"/>
      <c r="G1783" s="89"/>
      <c r="H1783" s="74"/>
      <c r="I1783" s="74"/>
      <c r="J1783" s="95"/>
      <c r="K1783" s="92">
        <f ca="1">H1783*K1756</f>
        <v>0</v>
      </c>
      <c r="L1783" s="92"/>
      <c r="M1783" s="44"/>
      <c r="N1783" s="44"/>
      <c r="O1783" s="44"/>
      <c r="P1783" s="44"/>
      <c r="Q1783" s="44"/>
      <c r="R1783" s="84"/>
      <c r="S1783" s="47"/>
      <c r="T1783" s="47"/>
    </row>
    <row r="1784" s="27" customFormat="1" ht="18" customHeight="1" spans="1:20">
      <c r="A1784" s="34"/>
      <c r="B1784" s="48">
        <v>15</v>
      </c>
      <c r="C1784" s="48"/>
      <c r="D1784" s="88"/>
      <c r="E1784" s="72"/>
      <c r="F1784" s="77"/>
      <c r="G1784" s="89"/>
      <c r="H1784" s="74"/>
      <c r="I1784" s="74"/>
      <c r="J1784" s="95"/>
      <c r="K1784" s="92"/>
      <c r="L1784" s="92"/>
      <c r="M1784" s="44"/>
      <c r="N1784" s="44"/>
      <c r="O1784" s="44"/>
      <c r="P1784" s="44"/>
      <c r="Q1784" s="44"/>
      <c r="R1784" s="84"/>
      <c r="S1784" s="47"/>
      <c r="T1784" s="47"/>
    </row>
    <row r="1785" s="27" customFormat="1" ht="18" customHeight="1" spans="1:20">
      <c r="A1785" s="34"/>
      <c r="B1785" s="48">
        <v>16</v>
      </c>
      <c r="C1785" s="48"/>
      <c r="D1785" s="88"/>
      <c r="E1785" s="72"/>
      <c r="F1785" s="77"/>
      <c r="G1785" s="89"/>
      <c r="H1785" s="74"/>
      <c r="I1785" s="74"/>
      <c r="J1785" s="95"/>
      <c r="K1785" s="92"/>
      <c r="L1785" s="92"/>
      <c r="M1785" s="44"/>
      <c r="N1785" s="44"/>
      <c r="O1785" s="44"/>
      <c r="P1785" s="44"/>
      <c r="Q1785" s="44"/>
      <c r="R1785" s="84"/>
      <c r="S1785" s="47"/>
      <c r="T1785" s="47"/>
    </row>
    <row r="1786" s="27" customFormat="1" ht="18" customHeight="1" spans="1:20">
      <c r="A1786" s="34"/>
      <c r="B1786" s="48">
        <v>17</v>
      </c>
      <c r="C1786" s="48"/>
      <c r="D1786" s="121"/>
      <c r="E1786" s="72"/>
      <c r="F1786" s="77"/>
      <c r="G1786" s="89"/>
      <c r="H1786" s="74"/>
      <c r="I1786" s="74"/>
      <c r="J1786" s="95"/>
      <c r="K1786" s="92"/>
      <c r="L1786" s="92"/>
      <c r="M1786" s="44"/>
      <c r="N1786" s="44"/>
      <c r="O1786" s="44"/>
      <c r="P1786" s="44"/>
      <c r="Q1786" s="101"/>
      <c r="R1786" s="84"/>
      <c r="S1786" s="47"/>
      <c r="T1786" s="47"/>
    </row>
    <row r="1787" s="27" customFormat="1" ht="18" customHeight="1" spans="1:20">
      <c r="A1787" s="34"/>
      <c r="B1787" s="48">
        <v>18</v>
      </c>
      <c r="C1787" s="48"/>
      <c r="D1787" s="88"/>
      <c r="E1787" s="72"/>
      <c r="F1787" s="77"/>
      <c r="G1787" s="89"/>
      <c r="H1787" s="74"/>
      <c r="I1787" s="74"/>
      <c r="J1787" s="95"/>
      <c r="K1787" s="92"/>
      <c r="L1787" s="92"/>
      <c r="M1787" s="44"/>
      <c r="N1787" s="44"/>
      <c r="O1787" s="44"/>
      <c r="P1787" s="44"/>
      <c r="Q1787" s="44"/>
      <c r="R1787" s="84"/>
      <c r="S1787" s="47"/>
      <c r="T1787" s="47"/>
    </row>
    <row r="1788" s="27" customFormat="1" ht="18" customHeight="1" spans="1:20">
      <c r="A1788" s="34"/>
      <c r="B1788" s="48">
        <v>19</v>
      </c>
      <c r="C1788" s="48"/>
      <c r="D1788" s="27"/>
      <c r="E1788" s="72"/>
      <c r="F1788" s="77"/>
      <c r="G1788" s="89"/>
      <c r="H1788" s="74"/>
      <c r="I1788" s="74"/>
      <c r="J1788" s="95"/>
      <c r="K1788" s="92"/>
      <c r="L1788" s="92"/>
      <c r="M1788" s="44"/>
      <c r="N1788" s="44"/>
      <c r="O1788" s="44"/>
      <c r="P1788" s="44"/>
      <c r="Q1788" s="44"/>
      <c r="R1788" s="84"/>
      <c r="S1788" s="47"/>
      <c r="T1788" s="47"/>
    </row>
    <row r="1789" s="27" customFormat="1" ht="18" customHeight="1" spans="1:20">
      <c r="A1789" s="34"/>
      <c r="B1789" s="48">
        <v>20</v>
      </c>
      <c r="C1789" s="48"/>
      <c r="D1789" s="88"/>
      <c r="E1789" s="72"/>
      <c r="F1789" s="77"/>
      <c r="G1789" s="89"/>
      <c r="H1789" s="74"/>
      <c r="I1789" s="74"/>
      <c r="J1789" s="95"/>
      <c r="K1789" s="92"/>
      <c r="L1789" s="92"/>
      <c r="M1789" s="44"/>
      <c r="N1789" s="44"/>
      <c r="O1789" s="44"/>
      <c r="P1789" s="44"/>
      <c r="Q1789" s="44"/>
      <c r="R1789" s="84"/>
      <c r="S1789" s="47"/>
      <c r="T1789" s="47"/>
    </row>
    <row r="1790" s="27" customFormat="1" ht="18" customHeight="1" spans="1:20">
      <c r="A1790" s="34"/>
      <c r="B1790" s="48">
        <v>21</v>
      </c>
      <c r="C1790" s="48"/>
      <c r="D1790" s="88"/>
      <c r="E1790" s="72"/>
      <c r="F1790" s="77"/>
      <c r="G1790" s="89"/>
      <c r="H1790" s="74"/>
      <c r="I1790" s="74"/>
      <c r="J1790" s="95"/>
      <c r="K1790" s="92"/>
      <c r="L1790" s="92"/>
      <c r="M1790" s="44"/>
      <c r="N1790" s="44"/>
      <c r="O1790" s="44"/>
      <c r="P1790" s="44"/>
      <c r="Q1790" s="44"/>
      <c r="R1790" s="84"/>
      <c r="S1790" s="47"/>
      <c r="T1790" s="47"/>
    </row>
    <row r="1791" s="27" customFormat="1" ht="18" customHeight="1" spans="1:20">
      <c r="A1791" s="34"/>
      <c r="B1791" s="48">
        <v>22</v>
      </c>
      <c r="C1791" s="48"/>
      <c r="D1791" s="27"/>
      <c r="E1791" s="72"/>
      <c r="F1791" s="77"/>
      <c r="G1791" s="72"/>
      <c r="H1791" s="74"/>
      <c r="I1791" s="74"/>
      <c r="J1791" s="95"/>
      <c r="K1791" s="92"/>
      <c r="L1791" s="92"/>
      <c r="M1791" s="44"/>
      <c r="N1791" s="44"/>
      <c r="O1791" s="44"/>
      <c r="P1791" s="44"/>
      <c r="Q1791" s="44"/>
      <c r="R1791" s="62"/>
      <c r="S1791" s="47"/>
      <c r="T1791" s="47"/>
    </row>
    <row r="1792" s="27" customFormat="1" ht="18" customHeight="1" spans="1:20">
      <c r="A1792" s="34"/>
      <c r="B1792" s="48">
        <v>23</v>
      </c>
      <c r="C1792" s="48"/>
      <c r="D1792" s="88"/>
      <c r="E1792" s="72"/>
      <c r="F1792" s="77"/>
      <c r="G1792" s="89"/>
      <c r="H1792" s="74"/>
      <c r="I1792" s="74"/>
      <c r="J1792" s="95"/>
      <c r="K1792" s="92"/>
      <c r="L1792" s="92"/>
      <c r="M1792" s="44"/>
      <c r="N1792" s="44"/>
      <c r="O1792" s="44"/>
      <c r="P1792" s="44"/>
      <c r="Q1792" s="44"/>
      <c r="R1792" s="62"/>
      <c r="S1792" s="47"/>
      <c r="T1792" s="47"/>
    </row>
    <row r="1793" s="27" customFormat="1" ht="18" customHeight="1" spans="1:20">
      <c r="A1793" s="34"/>
      <c r="B1793" s="48">
        <v>24</v>
      </c>
      <c r="C1793" s="48"/>
      <c r="D1793" s="88" t="s">
        <v>478</v>
      </c>
      <c r="E1793" s="72" t="s">
        <v>43</v>
      </c>
      <c r="F1793" s="77"/>
      <c r="G1793" s="72">
        <v>1</v>
      </c>
      <c r="H1793" s="74">
        <v>1</v>
      </c>
      <c r="I1793" s="74">
        <f>+辅材及安装费!$E$12</f>
        <v>2</v>
      </c>
      <c r="J1793" s="95">
        <f>H1793*I1793</f>
        <v>2</v>
      </c>
      <c r="K1793" s="92"/>
      <c r="L1793" s="92"/>
      <c r="M1793" s="44"/>
      <c r="N1793" s="44"/>
      <c r="O1793" s="44"/>
      <c r="P1793" s="44"/>
      <c r="Q1793" s="44"/>
      <c r="R1793" s="62"/>
      <c r="S1793" s="47"/>
      <c r="T1793" s="47"/>
    </row>
    <row r="1794" s="27" customFormat="1" ht="18" customHeight="1" spans="1:20">
      <c r="A1794" s="34"/>
      <c r="B1794" s="48">
        <v>25</v>
      </c>
      <c r="C1794" s="48"/>
      <c r="D1794" s="93" t="s">
        <v>442</v>
      </c>
      <c r="E1794" s="72"/>
      <c r="F1794" s="77"/>
      <c r="G1794" s="72"/>
      <c r="H1794" s="74"/>
      <c r="I1794" s="74"/>
      <c r="J1794" s="95">
        <f>SUM(J1770:J1793)</f>
        <v>32.2909277876106</v>
      </c>
      <c r="K1794" s="92"/>
      <c r="L1794" s="94"/>
      <c r="M1794" s="27"/>
      <c r="N1794" s="83"/>
      <c r="O1794" s="83"/>
      <c r="P1794" s="83"/>
      <c r="Q1794" s="83"/>
      <c r="R1794" s="87"/>
      <c r="S1794" s="47"/>
      <c r="T1794" s="47"/>
    </row>
    <row r="1795" s="27" customFormat="1" ht="18" customHeight="1" spans="1:20">
      <c r="A1795" s="34"/>
      <c r="B1795" s="48">
        <v>1</v>
      </c>
      <c r="C1795" s="48" t="s">
        <v>443</v>
      </c>
      <c r="D1795" s="48" t="s">
        <v>444</v>
      </c>
      <c r="E1795" s="72" t="s">
        <v>43</v>
      </c>
      <c r="F1795" s="50"/>
      <c r="G1795" s="48"/>
      <c r="H1795" s="51">
        <v>1</v>
      </c>
      <c r="I1795" s="74">
        <f>+辅材及安装费!$F$12</f>
        <v>1</v>
      </c>
      <c r="J1795" s="95">
        <f>H1795*I1795</f>
        <v>1</v>
      </c>
      <c r="K1795" s="118"/>
      <c r="L1795" s="96"/>
      <c r="M1795" s="97"/>
      <c r="N1795" s="98"/>
      <c r="O1795" s="98"/>
      <c r="P1795" s="98"/>
      <c r="Q1795" s="98"/>
      <c r="R1795" s="99"/>
      <c r="S1795" s="47"/>
      <c r="T1795" s="47"/>
    </row>
    <row r="1796" s="26" customFormat="1" ht="30" customHeight="1" spans="1:20">
      <c r="A1796" s="28"/>
      <c r="B1796" s="29" t="s">
        <v>386</v>
      </c>
      <c r="C1796" s="29"/>
      <c r="D1796" s="29"/>
      <c r="E1796" s="29"/>
      <c r="F1796" s="29"/>
      <c r="G1796" s="29"/>
      <c r="H1796" s="29"/>
      <c r="I1796" s="29"/>
      <c r="J1796" s="29"/>
      <c r="K1796" s="29"/>
      <c r="L1796" s="30"/>
      <c r="M1796" s="31"/>
      <c r="N1796" s="31"/>
      <c r="O1796" s="31"/>
      <c r="P1796" s="31"/>
      <c r="Q1796" s="31"/>
      <c r="R1796" s="32"/>
      <c r="S1796" s="33"/>
      <c r="T1796" s="33"/>
    </row>
    <row r="1797" s="27" customFormat="1" ht="33.75" customHeight="1" spans="1:20">
      <c r="A1797" s="34">
        <v>6</v>
      </c>
      <c r="B1797" s="35" t="s">
        <v>1</v>
      </c>
      <c r="C1797" s="35" t="s">
        <v>387</v>
      </c>
      <c r="D1797" s="36" t="str">
        <f>+A1805</f>
        <v>铝合金线条6（150*60）</v>
      </c>
      <c r="E1797" s="37"/>
      <c r="F1797" s="38"/>
      <c r="G1797" s="39"/>
      <c r="H1797" s="35" t="s">
        <v>388</v>
      </c>
      <c r="I1797" s="40" t="s">
        <v>389</v>
      </c>
      <c r="J1797" s="41" t="s">
        <v>37</v>
      </c>
      <c r="K1797" s="42">
        <f ca="1">VLOOKUP(A1797,排屋工程量清单!A:D,4,)</f>
        <v>3.9375</v>
      </c>
      <c r="L1797" s="43"/>
      <c r="M1797" s="44"/>
      <c r="N1797" s="44"/>
      <c r="O1797" s="44"/>
      <c r="P1797" s="45"/>
      <c r="Q1797" s="44"/>
      <c r="R1797" s="46"/>
      <c r="S1797" s="47"/>
      <c r="T1797" s="47"/>
    </row>
    <row r="1798" s="27" customFormat="1" ht="25" customHeight="1" spans="1:20">
      <c r="A1798" s="34"/>
      <c r="B1798" s="48">
        <v>1</v>
      </c>
      <c r="C1798" s="49" t="s">
        <v>390</v>
      </c>
      <c r="D1798" s="48" t="s">
        <v>391</v>
      </c>
      <c r="E1798" s="48"/>
      <c r="F1798" s="50"/>
      <c r="G1798" s="48"/>
      <c r="H1798" s="51"/>
      <c r="I1798" s="52">
        <f>J1810</f>
        <v>15</v>
      </c>
      <c r="J1798" s="53" t="s">
        <v>392</v>
      </c>
      <c r="K1798" s="54"/>
      <c r="L1798" s="55"/>
      <c r="M1798" s="56"/>
      <c r="N1798" s="57"/>
      <c r="O1798" s="57">
        <v>1</v>
      </c>
      <c r="P1798" s="57">
        <v>1</v>
      </c>
      <c r="Q1798" s="57">
        <v>1</v>
      </c>
      <c r="R1798" s="58">
        <f>+Q1798*P1798*O1798</f>
        <v>1</v>
      </c>
      <c r="S1798" s="47"/>
      <c r="T1798" s="47"/>
    </row>
    <row r="1799" s="27" customFormat="1" ht="18" customHeight="1" spans="1:20">
      <c r="A1799" s="34"/>
      <c r="B1799" s="48">
        <v>2</v>
      </c>
      <c r="C1799" s="59"/>
      <c r="D1799" s="48" t="s">
        <v>394</v>
      </c>
      <c r="E1799" s="48"/>
      <c r="F1799" s="50"/>
      <c r="G1799" s="48"/>
      <c r="H1799" s="51"/>
      <c r="I1799" s="52">
        <f>J1835</f>
        <v>86.0234045132744</v>
      </c>
      <c r="J1799" s="53" t="s">
        <v>392</v>
      </c>
      <c r="K1799" s="60"/>
      <c r="L1799" s="61"/>
      <c r="M1799" s="44"/>
      <c r="N1799" s="44"/>
      <c r="O1799" s="44"/>
      <c r="P1799" s="44"/>
      <c r="Q1799" s="44"/>
      <c r="R1799" s="62"/>
      <c r="S1799" s="47"/>
      <c r="T1799" s="47"/>
    </row>
    <row r="1800" s="27" customFormat="1" ht="18" customHeight="1" spans="1:20">
      <c r="A1800" s="34"/>
      <c r="B1800" s="48">
        <v>3</v>
      </c>
      <c r="C1800" s="63"/>
      <c r="D1800" s="48" t="s">
        <v>395</v>
      </c>
      <c r="E1800" s="48"/>
      <c r="F1800" s="50"/>
      <c r="G1800" s="48"/>
      <c r="H1800" s="51"/>
      <c r="I1800" s="52">
        <f>J1836</f>
        <v>1</v>
      </c>
      <c r="J1800" s="53" t="s">
        <v>392</v>
      </c>
      <c r="K1800" s="60"/>
      <c r="L1800" s="60"/>
      <c r="M1800" s="65" t="s">
        <v>396</v>
      </c>
      <c r="N1800" s="65" t="s">
        <v>397</v>
      </c>
      <c r="O1800" s="65" t="s">
        <v>398</v>
      </c>
      <c r="P1800" s="65" t="s">
        <v>399</v>
      </c>
      <c r="Q1800" s="65" t="s">
        <v>400</v>
      </c>
      <c r="R1800" s="66" t="s">
        <v>401</v>
      </c>
      <c r="S1800" s="47"/>
      <c r="T1800" s="47"/>
    </row>
    <row r="1801" s="27" customFormat="1" ht="18" customHeight="1" spans="1:20">
      <c r="A1801" s="34"/>
      <c r="B1801" s="48">
        <v>4</v>
      </c>
      <c r="C1801" s="48" t="s">
        <v>402</v>
      </c>
      <c r="D1801" s="67" t="s">
        <v>403</v>
      </c>
      <c r="E1801" s="67"/>
      <c r="F1801" s="50"/>
      <c r="G1801" s="67"/>
      <c r="H1801" s="68"/>
      <c r="I1801" s="52">
        <f>SUM(I1798:I1800)</f>
        <v>102.023404513274</v>
      </c>
      <c r="J1801" s="53" t="s">
        <v>392</v>
      </c>
      <c r="K1801" s="60"/>
      <c r="L1801" s="69"/>
      <c r="M1801" s="34"/>
      <c r="N1801" s="34"/>
      <c r="O1801" s="34"/>
      <c r="P1801" s="34"/>
      <c r="Q1801" s="44"/>
      <c r="R1801" s="71"/>
      <c r="S1801" s="47"/>
      <c r="T1801" s="47"/>
    </row>
    <row r="1802" s="27" customFormat="1" ht="28" customHeight="1" spans="1:20">
      <c r="A1802" s="34"/>
      <c r="B1802" s="48">
        <v>5</v>
      </c>
      <c r="C1802" s="72" t="s">
        <v>406</v>
      </c>
      <c r="D1802" s="48" t="s">
        <v>407</v>
      </c>
      <c r="E1802" s="48"/>
      <c r="F1802" s="50"/>
      <c r="G1802" s="48"/>
      <c r="H1802" s="73">
        <f>+'材料表 '!$E$178</f>
        <v>0</v>
      </c>
      <c r="I1802" s="52">
        <f>H1802*I1801</f>
        <v>0</v>
      </c>
      <c r="J1802" s="53" t="s">
        <v>392</v>
      </c>
      <c r="K1802" s="60"/>
      <c r="L1802" s="69"/>
      <c r="M1802" s="34"/>
      <c r="N1802" s="102"/>
      <c r="O1802" s="34"/>
      <c r="P1802" s="34"/>
      <c r="Q1802" s="44"/>
      <c r="R1802" s="71"/>
      <c r="S1802" s="47"/>
      <c r="T1802" s="47"/>
    </row>
    <row r="1803" s="27" customFormat="1" ht="18" customHeight="1" spans="1:20">
      <c r="A1803" s="34"/>
      <c r="B1803" s="48">
        <v>6</v>
      </c>
      <c r="C1803" s="48" t="s">
        <v>409</v>
      </c>
      <c r="D1803" s="48" t="s">
        <v>410</v>
      </c>
      <c r="E1803" s="48"/>
      <c r="F1803" s="50"/>
      <c r="G1803" s="48"/>
      <c r="H1803" s="73">
        <f>+'材料表 '!$E$179</f>
        <v>0</v>
      </c>
      <c r="I1803" s="52">
        <f>H1803*I1801</f>
        <v>0</v>
      </c>
      <c r="J1803" s="53" t="s">
        <v>392</v>
      </c>
      <c r="K1803" s="60"/>
      <c r="L1803" s="69"/>
      <c r="M1803" s="34"/>
      <c r="N1803" s="34"/>
      <c r="O1803" s="34"/>
      <c r="P1803" s="34"/>
      <c r="Q1803" s="44"/>
      <c r="R1803" s="71"/>
      <c r="S1803" s="47"/>
      <c r="T1803" s="47"/>
    </row>
    <row r="1804" s="27" customFormat="1" ht="18" customHeight="1" spans="1:20">
      <c r="A1804" s="34"/>
      <c r="B1804" s="48">
        <v>7</v>
      </c>
      <c r="C1804" s="48" t="s">
        <v>412</v>
      </c>
      <c r="D1804" s="72" t="s">
        <v>413</v>
      </c>
      <c r="E1804" s="72"/>
      <c r="F1804" s="77"/>
      <c r="G1804" s="72"/>
      <c r="H1804" s="73">
        <f>+'材料表 '!$E$180</f>
        <v>0.09</v>
      </c>
      <c r="I1804" s="52">
        <f>(I1801+I1802+I1803)*H1804</f>
        <v>9.18210640619469</v>
      </c>
      <c r="J1804" s="53" t="s">
        <v>392</v>
      </c>
      <c r="K1804" s="60"/>
      <c r="L1804" s="69"/>
      <c r="M1804" s="34"/>
      <c r="N1804" s="34"/>
      <c r="O1804" s="34"/>
      <c r="P1804" s="34"/>
      <c r="Q1804" s="44"/>
      <c r="R1804" s="71"/>
      <c r="S1804" s="47"/>
      <c r="T1804" s="47"/>
    </row>
    <row r="1805" s="27" customFormat="1" ht="18" customHeight="1" spans="1:20">
      <c r="A1805" s="105" t="s">
        <v>187</v>
      </c>
      <c r="B1805" s="48">
        <v>8</v>
      </c>
      <c r="C1805" s="48" t="s">
        <v>363</v>
      </c>
      <c r="D1805" s="106" t="s">
        <v>415</v>
      </c>
      <c r="E1805" s="107"/>
      <c r="F1805" s="108"/>
      <c r="G1805" s="107"/>
      <c r="H1805" s="51"/>
      <c r="I1805" s="74">
        <f>SUM(I1801:I1804)</f>
        <v>111.205510919469</v>
      </c>
      <c r="J1805" s="53" t="s">
        <v>484</v>
      </c>
      <c r="K1805" s="60"/>
      <c r="L1805" s="69"/>
      <c r="M1805" s="34"/>
      <c r="N1805" s="126"/>
      <c r="O1805" s="34"/>
      <c r="P1805" s="44"/>
      <c r="Q1805" s="44"/>
      <c r="R1805" s="84"/>
      <c r="S1805" s="79"/>
      <c r="T1805" s="47"/>
    </row>
    <row r="1806" s="27" customFormat="1" ht="18" customHeight="1" spans="1:20">
      <c r="A1806" s="34"/>
      <c r="B1806" s="109" t="s">
        <v>418</v>
      </c>
      <c r="C1806" s="110"/>
      <c r="D1806" s="110"/>
      <c r="E1806" s="110"/>
      <c r="F1806" s="110"/>
      <c r="G1806" s="110"/>
      <c r="H1806" s="110"/>
      <c r="I1806" s="110"/>
      <c r="J1806" s="110"/>
      <c r="K1806" s="80"/>
      <c r="L1806" s="69"/>
      <c r="M1806" s="70"/>
      <c r="N1806" s="34"/>
      <c r="O1806" s="34"/>
      <c r="P1806" s="34"/>
      <c r="Q1806" s="44"/>
      <c r="R1806" s="71"/>
      <c r="S1806" s="47"/>
      <c r="T1806" s="47"/>
    </row>
    <row r="1807" s="27" customFormat="1" ht="18" customHeight="1" spans="1:20">
      <c r="A1807" s="34"/>
      <c r="B1807" s="48">
        <v>1</v>
      </c>
      <c r="C1807" s="48" t="s">
        <v>391</v>
      </c>
      <c r="D1807" s="48" t="s">
        <v>396</v>
      </c>
      <c r="E1807" s="48" t="s">
        <v>37</v>
      </c>
      <c r="F1807" s="50"/>
      <c r="G1807" s="48"/>
      <c r="H1807" s="51" t="s">
        <v>399</v>
      </c>
      <c r="I1807" s="51" t="s">
        <v>420</v>
      </c>
      <c r="J1807" s="95" t="s">
        <v>421</v>
      </c>
      <c r="K1807" s="92"/>
      <c r="L1807" s="69" t="s">
        <v>433</v>
      </c>
      <c r="M1807" s="70" t="s">
        <v>567</v>
      </c>
      <c r="N1807" s="34">
        <v>0.546</v>
      </c>
      <c r="O1807" s="34">
        <v>1</v>
      </c>
      <c r="P1807" s="34">
        <v>1</v>
      </c>
      <c r="Q1807" s="44">
        <f t="shared" ref="Q1807:Q1809" si="200">+P1807*O1807*N1807</f>
        <v>0.546</v>
      </c>
      <c r="R1807" s="71">
        <f>+Q1807/R1798</f>
        <v>0.546</v>
      </c>
      <c r="S1807" s="47"/>
      <c r="T1807" s="47"/>
    </row>
    <row r="1808" s="27" customFormat="1" ht="18" customHeight="1" spans="1:20">
      <c r="A1808" s="34"/>
      <c r="B1808" s="48">
        <v>2</v>
      </c>
      <c r="C1808" s="48"/>
      <c r="D1808" s="111" t="s">
        <v>568</v>
      </c>
      <c r="E1808" s="49" t="s">
        <v>423</v>
      </c>
      <c r="F1808" s="112"/>
      <c r="G1808" s="111"/>
      <c r="H1808" s="113">
        <v>1</v>
      </c>
      <c r="I1808" s="113">
        <f>+辅材及安装费!$G$12</f>
        <v>15</v>
      </c>
      <c r="J1808" s="114">
        <f>H1808*I1808</f>
        <v>15</v>
      </c>
      <c r="K1808" s="92"/>
      <c r="L1808" s="34" t="s">
        <v>447</v>
      </c>
      <c r="M1808" s="70" t="s">
        <v>569</v>
      </c>
      <c r="N1808" s="34">
        <f>2.251</f>
        <v>2.251</v>
      </c>
      <c r="O1808" s="34">
        <v>1</v>
      </c>
      <c r="P1808" s="34">
        <v>1</v>
      </c>
      <c r="Q1808" s="44">
        <f t="shared" si="200"/>
        <v>2.251</v>
      </c>
      <c r="R1808" s="71">
        <f>+Q1808/R1798</f>
        <v>2.251</v>
      </c>
      <c r="S1808" s="47">
        <v>0.256</v>
      </c>
      <c r="T1808" s="47">
        <f>O1808*S1808</f>
        <v>0.256</v>
      </c>
    </row>
    <row r="1809" s="27" customFormat="1" ht="18" customHeight="1" spans="1:20">
      <c r="A1809" s="34"/>
      <c r="B1809" s="48">
        <v>3</v>
      </c>
      <c r="C1809" s="48"/>
      <c r="D1809" s="115"/>
      <c r="E1809" s="63"/>
      <c r="F1809" s="116"/>
      <c r="G1809" s="115"/>
      <c r="H1809" s="117"/>
      <c r="I1809" s="117"/>
      <c r="J1809" s="118"/>
      <c r="K1809" s="92"/>
      <c r="L1809" s="90" t="s">
        <v>447</v>
      </c>
      <c r="M1809" s="70"/>
      <c r="N1809" s="82"/>
      <c r="O1809" s="44"/>
      <c r="P1809" s="44">
        <v>1</v>
      </c>
      <c r="Q1809" s="44">
        <f t="shared" si="200"/>
        <v>0</v>
      </c>
      <c r="R1809" s="84">
        <f>Q1809/R1798</f>
        <v>0</v>
      </c>
      <c r="S1809" s="47"/>
      <c r="T1809" s="47">
        <f>S1809*O1809*P1809</f>
        <v>0</v>
      </c>
    </row>
    <row r="1810" s="27" customFormat="1" ht="18" customHeight="1" spans="1:20">
      <c r="A1810" s="34"/>
      <c r="B1810" s="48">
        <v>4</v>
      </c>
      <c r="C1810" s="48"/>
      <c r="D1810" s="85" t="s">
        <v>426</v>
      </c>
      <c r="E1810" s="48" t="s">
        <v>392</v>
      </c>
      <c r="F1810" s="50"/>
      <c r="G1810" s="48"/>
      <c r="H1810" s="86"/>
      <c r="I1810" s="86"/>
      <c r="J1810" s="95">
        <f>SUM(J1808:J1808)</f>
        <v>15</v>
      </c>
      <c r="K1810" s="92"/>
      <c r="L1810" s="90"/>
      <c r="M1810" s="44"/>
      <c r="N1810" s="82"/>
      <c r="O1810" s="44"/>
      <c r="P1810" s="44"/>
      <c r="Q1810" s="44"/>
      <c r="R1810" s="84"/>
      <c r="S1810" s="47"/>
      <c r="T1810" s="47"/>
    </row>
    <row r="1811" s="27" customFormat="1" ht="22" customHeight="1" spans="1:20">
      <c r="A1811" s="34"/>
      <c r="B1811" s="48">
        <v>1</v>
      </c>
      <c r="C1811" s="48" t="s">
        <v>394</v>
      </c>
      <c r="D1811" s="88"/>
      <c r="E1811" s="72"/>
      <c r="F1811" s="77"/>
      <c r="G1811" s="89"/>
      <c r="H1811" s="74"/>
      <c r="I1811" s="74"/>
      <c r="J1811" s="95"/>
      <c r="K1811" s="92">
        <f ca="1">H1811*K1797</f>
        <v>0</v>
      </c>
      <c r="L1811" s="90"/>
      <c r="M1811" s="44"/>
      <c r="N1811" s="82"/>
      <c r="O1811" s="44"/>
      <c r="P1811" s="44"/>
      <c r="Q1811" s="44"/>
      <c r="R1811" s="84"/>
      <c r="S1811" s="47"/>
      <c r="T1811" s="47"/>
    </row>
    <row r="1812" s="27" customFormat="1" ht="18" customHeight="1" spans="1:20">
      <c r="A1812" s="34"/>
      <c r="B1812" s="48">
        <v>2</v>
      </c>
      <c r="C1812" s="48"/>
      <c r="D1812" s="88"/>
      <c r="E1812" s="72"/>
      <c r="F1812" s="77"/>
      <c r="G1812" s="89"/>
      <c r="H1812" s="74"/>
      <c r="I1812" s="74"/>
      <c r="J1812" s="95"/>
      <c r="K1812" s="92">
        <f ca="1">H1812*K1797</f>
        <v>0</v>
      </c>
      <c r="L1812" s="90"/>
      <c r="M1812" s="44"/>
      <c r="N1812" s="82"/>
      <c r="O1812" s="44"/>
      <c r="P1812" s="44"/>
      <c r="Q1812" s="44"/>
      <c r="R1812" s="84"/>
      <c r="S1812" s="47"/>
      <c r="T1812" s="47"/>
    </row>
    <row r="1813" s="27" customFormat="1" ht="18" customHeight="1" spans="1:20">
      <c r="A1813" s="34"/>
      <c r="B1813" s="48">
        <v>3</v>
      </c>
      <c r="C1813" s="48"/>
      <c r="D1813" s="88"/>
      <c r="E1813" s="72"/>
      <c r="F1813" s="77"/>
      <c r="G1813" s="89"/>
      <c r="H1813" s="74"/>
      <c r="I1813" s="74"/>
      <c r="J1813" s="95"/>
      <c r="K1813" s="92">
        <f ca="1">H1813*K1797</f>
        <v>0</v>
      </c>
      <c r="L1813" s="90"/>
      <c r="M1813" s="44"/>
      <c r="N1813" s="82"/>
      <c r="O1813" s="44"/>
      <c r="P1813" s="44"/>
      <c r="Q1813" s="44"/>
      <c r="R1813" s="84"/>
      <c r="S1813" s="47"/>
      <c r="T1813" s="47"/>
    </row>
    <row r="1814" s="27" customFormat="1" ht="18" customHeight="1" spans="1:20">
      <c r="A1814" s="34"/>
      <c r="B1814" s="48">
        <v>4</v>
      </c>
      <c r="C1814" s="48"/>
      <c r="D1814" s="88" t="s">
        <v>433</v>
      </c>
      <c r="E1814" s="72" t="str">
        <f>+VLOOKUP(D1814,'材料表 '!C:F,2,0)</f>
        <v>kg</v>
      </c>
      <c r="F1814" s="77">
        <f>+SUMIF($L$1798:$L$1836,D1814,$R$1798:$R$1836)</f>
        <v>0.546</v>
      </c>
      <c r="G1814" s="89">
        <f>+VLOOKUP(D1814,'材料表 '!C:F,4,0)</f>
        <v>0.03</v>
      </c>
      <c r="H1814" s="74">
        <f t="shared" ref="H1814:H1816" si="201">F1814*(G1814+1)</f>
        <v>0.56238</v>
      </c>
      <c r="I1814" s="74">
        <f>+VLOOKUP(D1814,'材料表 '!C:F,3,0)</f>
        <v>26.1150442477876</v>
      </c>
      <c r="J1814" s="95">
        <f t="shared" ref="J1814:J1816" si="202">H1814*I1814</f>
        <v>14.6865785840708</v>
      </c>
      <c r="K1814" s="92">
        <f ca="1">H1814*K1797</f>
        <v>2.21437125</v>
      </c>
      <c r="L1814" s="90"/>
      <c r="M1814" s="44"/>
      <c r="N1814" s="82"/>
      <c r="O1814" s="44"/>
      <c r="P1814" s="44"/>
      <c r="Q1814" s="44"/>
      <c r="R1814" s="84"/>
      <c r="S1814" s="47"/>
      <c r="T1814" s="47">
        <f>SUM(T1808:T1813)</f>
        <v>0.256</v>
      </c>
    </row>
    <row r="1815" s="27" customFormat="1" ht="18" customHeight="1" spans="1:20">
      <c r="A1815" s="34"/>
      <c r="B1815" s="48">
        <v>5</v>
      </c>
      <c r="C1815" s="48"/>
      <c r="D1815" s="88" t="s">
        <v>447</v>
      </c>
      <c r="E1815" s="72" t="str">
        <f>+VLOOKUP(D1815,'材料表 '!C:F,2,0)</f>
        <v>kg</v>
      </c>
      <c r="F1815" s="77">
        <f>+SUMIF($L$1798:$L$1836,D1815,$R$1798:$R$1836)</f>
        <v>2.251</v>
      </c>
      <c r="G1815" s="89">
        <f>+VLOOKUP(D1815,'材料表 '!C:F,4,0)</f>
        <v>0.03</v>
      </c>
      <c r="H1815" s="74">
        <f t="shared" si="201"/>
        <v>2.31853</v>
      </c>
      <c r="I1815" s="74">
        <f>+VLOOKUP(D1815,'材料表 '!C:F,3,0)</f>
        <v>24.4336283185841</v>
      </c>
      <c r="J1815" s="95">
        <f t="shared" si="202"/>
        <v>56.6501002654868</v>
      </c>
      <c r="K1815" s="92">
        <f ca="1">H1815*K1797</f>
        <v>9.129211875</v>
      </c>
      <c r="L1815" s="92" t="s">
        <v>476</v>
      </c>
      <c r="M1815" s="44"/>
      <c r="N1815" s="82"/>
      <c r="O1815" s="44"/>
      <c r="P1815" s="44"/>
      <c r="Q1815" s="44">
        <f>10*8*(O1798*0+P1798*0)/500</f>
        <v>0</v>
      </c>
      <c r="R1815" s="84">
        <f>+Q1815/R1798</f>
        <v>0</v>
      </c>
      <c r="S1815" s="47"/>
      <c r="T1815" s="47"/>
    </row>
    <row r="1816" s="27" customFormat="1" ht="18" customHeight="1" spans="1:20">
      <c r="A1816" s="34"/>
      <c r="B1816" s="48">
        <v>6</v>
      </c>
      <c r="C1816" s="48"/>
      <c r="D1816" s="88" t="s">
        <v>434</v>
      </c>
      <c r="E1816" s="72" t="str">
        <f>+VLOOKUP(D1816,'材料表 '!C:F,2,0)</f>
        <v>m2</v>
      </c>
      <c r="F1816" s="77">
        <f>T1814/R1798</f>
        <v>0.256</v>
      </c>
      <c r="G1816" s="89">
        <f>+VLOOKUP(D1816,'材料表 '!C:F,4,0)</f>
        <v>0</v>
      </c>
      <c r="H1816" s="74">
        <f t="shared" si="201"/>
        <v>0.256</v>
      </c>
      <c r="I1816" s="74">
        <f>+VLOOKUP(D1816,'材料表 '!C:F,3,0)</f>
        <v>49.5575221238938</v>
      </c>
      <c r="J1816" s="95">
        <f t="shared" si="202"/>
        <v>12.6867256637168</v>
      </c>
      <c r="K1816" s="92">
        <f ca="1">H1816*K1797</f>
        <v>1.008</v>
      </c>
      <c r="L1816" s="92"/>
      <c r="M1816" s="44"/>
      <c r="N1816" s="82"/>
      <c r="O1816" s="44"/>
      <c r="P1816" s="44"/>
      <c r="Q1816" s="44"/>
      <c r="R1816" s="84"/>
      <c r="S1816" s="47"/>
      <c r="T1816" s="47"/>
    </row>
    <row r="1817" s="27" customFormat="1" ht="18" customHeight="1" spans="1:20">
      <c r="A1817" s="34"/>
      <c r="B1817" s="48">
        <v>7</v>
      </c>
      <c r="C1817" s="48"/>
      <c r="D1817" s="88"/>
      <c r="E1817" s="72"/>
      <c r="F1817" s="77"/>
      <c r="G1817" s="89"/>
      <c r="H1817" s="74"/>
      <c r="I1817" s="74"/>
      <c r="J1817" s="95"/>
      <c r="K1817" s="92">
        <f ca="1">H1817*K1797</f>
        <v>0</v>
      </c>
      <c r="L1817" s="92"/>
      <c r="M1817" s="44"/>
      <c r="N1817" s="82"/>
      <c r="O1817" s="44"/>
      <c r="P1817" s="44"/>
      <c r="Q1817" s="44"/>
      <c r="R1817" s="84"/>
      <c r="S1817" s="47"/>
      <c r="T1817" s="47"/>
    </row>
    <row r="1818" s="27" customFormat="1" ht="18" customHeight="1" spans="1:20">
      <c r="A1818" s="34"/>
      <c r="B1818" s="48">
        <v>8</v>
      </c>
      <c r="C1818" s="48"/>
      <c r="D1818" s="88"/>
      <c r="E1818" s="72"/>
      <c r="F1818" s="77"/>
      <c r="G1818" s="89"/>
      <c r="H1818" s="74"/>
      <c r="I1818" s="74"/>
      <c r="J1818" s="95"/>
      <c r="K1818" s="92">
        <f ca="1">H1818*K1797</f>
        <v>0</v>
      </c>
      <c r="L1818" s="92"/>
      <c r="M1818" s="44"/>
      <c r="N1818" s="82"/>
      <c r="O1818" s="44"/>
      <c r="P1818" s="44"/>
      <c r="Q1818" s="44"/>
      <c r="R1818" s="84"/>
      <c r="S1818" s="47"/>
      <c r="T1818" s="47"/>
    </row>
    <row r="1819" s="27" customFormat="1" ht="18" customHeight="1" spans="1:20">
      <c r="A1819" s="34"/>
      <c r="B1819" s="48">
        <v>9</v>
      </c>
      <c r="C1819" s="48"/>
      <c r="D1819" s="88" t="s">
        <v>476</v>
      </c>
      <c r="E1819" s="72" t="str">
        <f>+VLOOKUP(D1819,'材料表 '!C:F,2,0)</f>
        <v>支</v>
      </c>
      <c r="F1819" s="77">
        <v>0</v>
      </c>
      <c r="G1819" s="89">
        <f>+VLOOKUP(D1819,'材料表 '!C:F,4,0)</f>
        <v>0.15</v>
      </c>
      <c r="H1819" s="74">
        <f>F1819*(G1819+1)</f>
        <v>0</v>
      </c>
      <c r="I1819" s="74">
        <f>+VLOOKUP(D1819,'材料表 '!C:F,3,0)</f>
        <v>11.5044247787611</v>
      </c>
      <c r="J1819" s="95">
        <f>H1819*I1819</f>
        <v>0</v>
      </c>
      <c r="K1819" s="92">
        <f ca="1">H1819*K1797</f>
        <v>0</v>
      </c>
      <c r="L1819" s="90"/>
      <c r="M1819" s="44"/>
      <c r="N1819" s="82"/>
      <c r="O1819" s="34"/>
      <c r="P1819" s="44"/>
      <c r="Q1819" s="44"/>
      <c r="R1819" s="119"/>
      <c r="S1819" s="47"/>
      <c r="T1819" s="47"/>
    </row>
    <row r="1820" s="27" customFormat="1" ht="23" customHeight="1" spans="1:20">
      <c r="A1820" s="34"/>
      <c r="B1820" s="48">
        <v>10</v>
      </c>
      <c r="C1820" s="48"/>
      <c r="D1820" s="88"/>
      <c r="E1820" s="72"/>
      <c r="F1820" s="77"/>
      <c r="G1820" s="89"/>
      <c r="H1820" s="74"/>
      <c r="I1820" s="74"/>
      <c r="J1820" s="95"/>
      <c r="K1820" s="92">
        <f ca="1">H1820*K1797</f>
        <v>0</v>
      </c>
      <c r="L1820" s="92"/>
      <c r="M1820" s="120"/>
      <c r="N1820" s="82"/>
      <c r="O1820" s="44"/>
      <c r="P1820" s="44"/>
      <c r="Q1820" s="44"/>
      <c r="R1820" s="84"/>
      <c r="S1820" s="47"/>
      <c r="T1820" s="47"/>
    </row>
    <row r="1821" s="27" customFormat="1" ht="20" customHeight="1" spans="1:20">
      <c r="A1821" s="34"/>
      <c r="B1821" s="48">
        <v>11</v>
      </c>
      <c r="C1821" s="48"/>
      <c r="D1821" s="88"/>
      <c r="E1821" s="72"/>
      <c r="F1821" s="77"/>
      <c r="G1821" s="89"/>
      <c r="H1821" s="74"/>
      <c r="I1821" s="74"/>
      <c r="J1821" s="95"/>
      <c r="K1821" s="92">
        <f ca="1">H1821*K1797</f>
        <v>0</v>
      </c>
      <c r="L1821" s="92"/>
      <c r="M1821" s="44"/>
      <c r="N1821" s="82"/>
      <c r="O1821" s="44"/>
      <c r="P1821" s="44"/>
      <c r="Q1821" s="44"/>
      <c r="R1821" s="84"/>
      <c r="S1821" s="47"/>
      <c r="T1821" s="47"/>
    </row>
    <row r="1822" s="27" customFormat="1" ht="24" customHeight="1" spans="1:20">
      <c r="A1822" s="34"/>
      <c r="B1822" s="48">
        <v>12</v>
      </c>
      <c r="C1822" s="48"/>
      <c r="D1822" s="127"/>
      <c r="E1822" s="72"/>
      <c r="F1822" s="128"/>
      <c r="G1822" s="89"/>
      <c r="H1822" s="74"/>
      <c r="I1822" s="74"/>
      <c r="J1822" s="95"/>
      <c r="K1822" s="92">
        <f ca="1">H1822*K1797</f>
        <v>0</v>
      </c>
      <c r="L1822" s="92"/>
      <c r="M1822" s="44"/>
      <c r="N1822" s="44"/>
      <c r="O1822" s="44"/>
      <c r="P1822" s="44"/>
      <c r="Q1822" s="44"/>
      <c r="R1822" s="84"/>
      <c r="S1822" s="47"/>
      <c r="T1822" s="47"/>
    </row>
    <row r="1823" s="27" customFormat="1" ht="18" customHeight="1" spans="1:20">
      <c r="A1823" s="34"/>
      <c r="B1823" s="48">
        <v>13</v>
      </c>
      <c r="C1823" s="48"/>
      <c r="D1823" s="88"/>
      <c r="E1823" s="72"/>
      <c r="F1823" s="77"/>
      <c r="G1823" s="89"/>
      <c r="H1823" s="74"/>
      <c r="I1823" s="74"/>
      <c r="J1823" s="95"/>
      <c r="K1823" s="92">
        <f ca="1">H1823*K1797</f>
        <v>0</v>
      </c>
      <c r="L1823" s="92"/>
      <c r="M1823" s="44"/>
      <c r="N1823" s="44"/>
      <c r="O1823" s="44"/>
      <c r="P1823" s="44"/>
      <c r="Q1823" s="44"/>
      <c r="R1823" s="84"/>
      <c r="S1823" s="47"/>
      <c r="T1823" s="47"/>
    </row>
    <row r="1824" s="27" customFormat="1" ht="24" customHeight="1" spans="1:20">
      <c r="A1824" s="34"/>
      <c r="B1824" s="48">
        <v>14</v>
      </c>
      <c r="C1824" s="48"/>
      <c r="D1824" s="88"/>
      <c r="E1824" s="72"/>
      <c r="F1824" s="77"/>
      <c r="G1824" s="89"/>
      <c r="H1824" s="74"/>
      <c r="I1824" s="74"/>
      <c r="J1824" s="95"/>
      <c r="K1824" s="92">
        <f ca="1">H1824*K1797</f>
        <v>0</v>
      </c>
      <c r="L1824" s="92"/>
      <c r="M1824" s="44"/>
      <c r="N1824" s="44"/>
      <c r="O1824" s="44"/>
      <c r="P1824" s="44"/>
      <c r="Q1824" s="44"/>
      <c r="R1824" s="84"/>
      <c r="S1824" s="47"/>
      <c r="T1824" s="47"/>
    </row>
    <row r="1825" s="27" customFormat="1" ht="18" customHeight="1" spans="1:20">
      <c r="A1825" s="34"/>
      <c r="B1825" s="48">
        <v>15</v>
      </c>
      <c r="C1825" s="48"/>
      <c r="D1825" s="88"/>
      <c r="E1825" s="72"/>
      <c r="F1825" s="77"/>
      <c r="G1825" s="89"/>
      <c r="H1825" s="74"/>
      <c r="I1825" s="74"/>
      <c r="J1825" s="95"/>
      <c r="K1825" s="92"/>
      <c r="L1825" s="92"/>
      <c r="M1825" s="44"/>
      <c r="N1825" s="44"/>
      <c r="O1825" s="44"/>
      <c r="P1825" s="44"/>
      <c r="Q1825" s="44"/>
      <c r="R1825" s="84"/>
      <c r="S1825" s="47"/>
      <c r="T1825" s="47"/>
    </row>
    <row r="1826" s="27" customFormat="1" ht="18" customHeight="1" spans="1:20">
      <c r="A1826" s="34"/>
      <c r="B1826" s="48">
        <v>16</v>
      </c>
      <c r="C1826" s="48"/>
      <c r="D1826" s="88"/>
      <c r="E1826" s="72"/>
      <c r="F1826" s="77"/>
      <c r="G1826" s="89"/>
      <c r="H1826" s="74"/>
      <c r="I1826" s="74"/>
      <c r="J1826" s="95"/>
      <c r="K1826" s="92"/>
      <c r="L1826" s="92"/>
      <c r="M1826" s="44"/>
      <c r="N1826" s="44"/>
      <c r="O1826" s="44"/>
      <c r="P1826" s="44"/>
      <c r="Q1826" s="44"/>
      <c r="R1826" s="84"/>
      <c r="S1826" s="47"/>
      <c r="T1826" s="47"/>
    </row>
    <row r="1827" s="27" customFormat="1" ht="18" customHeight="1" spans="1:20">
      <c r="A1827" s="34"/>
      <c r="B1827" s="48">
        <v>17</v>
      </c>
      <c r="C1827" s="48"/>
      <c r="D1827" s="121"/>
      <c r="E1827" s="72"/>
      <c r="F1827" s="77"/>
      <c r="G1827" s="89"/>
      <c r="H1827" s="74"/>
      <c r="I1827" s="74"/>
      <c r="J1827" s="95"/>
      <c r="K1827" s="92"/>
      <c r="L1827" s="92"/>
      <c r="M1827" s="44"/>
      <c r="N1827" s="44"/>
      <c r="O1827" s="44"/>
      <c r="P1827" s="44"/>
      <c r="Q1827" s="101"/>
      <c r="R1827" s="84"/>
      <c r="S1827" s="47"/>
      <c r="T1827" s="47"/>
    </row>
    <row r="1828" s="27" customFormat="1" ht="18" customHeight="1" spans="1:20">
      <c r="A1828" s="34"/>
      <c r="B1828" s="48">
        <v>18</v>
      </c>
      <c r="C1828" s="48"/>
      <c r="D1828" s="88"/>
      <c r="E1828" s="72"/>
      <c r="F1828" s="77"/>
      <c r="G1828" s="89"/>
      <c r="H1828" s="74"/>
      <c r="I1828" s="74"/>
      <c r="J1828" s="95"/>
      <c r="K1828" s="92"/>
      <c r="L1828" s="92"/>
      <c r="M1828" s="44"/>
      <c r="N1828" s="44"/>
      <c r="O1828" s="44"/>
      <c r="P1828" s="44"/>
      <c r="Q1828" s="44"/>
      <c r="R1828" s="84"/>
      <c r="S1828" s="47"/>
      <c r="T1828" s="47"/>
    </row>
    <row r="1829" s="27" customFormat="1" ht="18" customHeight="1" spans="1:20">
      <c r="A1829" s="34"/>
      <c r="B1829" s="48">
        <v>19</v>
      </c>
      <c r="C1829" s="48"/>
      <c r="D1829" s="27"/>
      <c r="E1829" s="72"/>
      <c r="F1829" s="77"/>
      <c r="G1829" s="89"/>
      <c r="H1829" s="74"/>
      <c r="I1829" s="74"/>
      <c r="J1829" s="95"/>
      <c r="K1829" s="92"/>
      <c r="L1829" s="92"/>
      <c r="M1829" s="44"/>
      <c r="N1829" s="44"/>
      <c r="O1829" s="44"/>
      <c r="P1829" s="44"/>
      <c r="Q1829" s="44"/>
      <c r="R1829" s="84"/>
      <c r="S1829" s="47"/>
      <c r="T1829" s="47"/>
    </row>
    <row r="1830" s="27" customFormat="1" ht="18" customHeight="1" spans="1:20">
      <c r="A1830" s="34"/>
      <c r="B1830" s="48">
        <v>20</v>
      </c>
      <c r="C1830" s="48"/>
      <c r="D1830" s="88"/>
      <c r="E1830" s="72"/>
      <c r="F1830" s="77"/>
      <c r="G1830" s="89"/>
      <c r="H1830" s="74"/>
      <c r="I1830" s="74"/>
      <c r="J1830" s="95"/>
      <c r="K1830" s="92"/>
      <c r="L1830" s="92"/>
      <c r="M1830" s="44"/>
      <c r="N1830" s="44"/>
      <c r="O1830" s="44"/>
      <c r="P1830" s="44"/>
      <c r="Q1830" s="44"/>
      <c r="R1830" s="84"/>
      <c r="S1830" s="47"/>
      <c r="T1830" s="47"/>
    </row>
    <row r="1831" s="27" customFormat="1" ht="18" customHeight="1" spans="1:20">
      <c r="A1831" s="34"/>
      <c r="B1831" s="48">
        <v>21</v>
      </c>
      <c r="C1831" s="48"/>
      <c r="D1831" s="88"/>
      <c r="E1831" s="72"/>
      <c r="F1831" s="77"/>
      <c r="G1831" s="89"/>
      <c r="H1831" s="74"/>
      <c r="I1831" s="74"/>
      <c r="J1831" s="95"/>
      <c r="K1831" s="92"/>
      <c r="L1831" s="92"/>
      <c r="M1831" s="44"/>
      <c r="N1831" s="44"/>
      <c r="O1831" s="44"/>
      <c r="P1831" s="44"/>
      <c r="Q1831" s="44"/>
      <c r="R1831" s="84"/>
      <c r="S1831" s="47"/>
      <c r="T1831" s="47"/>
    </row>
    <row r="1832" s="27" customFormat="1" ht="18" customHeight="1" spans="1:20">
      <c r="A1832" s="34"/>
      <c r="B1832" s="48">
        <v>22</v>
      </c>
      <c r="C1832" s="48"/>
      <c r="D1832" s="27"/>
      <c r="E1832" s="72"/>
      <c r="F1832" s="77"/>
      <c r="G1832" s="72"/>
      <c r="H1832" s="74"/>
      <c r="I1832" s="74"/>
      <c r="J1832" s="95"/>
      <c r="K1832" s="92"/>
      <c r="L1832" s="92"/>
      <c r="M1832" s="44"/>
      <c r="N1832" s="44"/>
      <c r="O1832" s="44"/>
      <c r="P1832" s="44"/>
      <c r="Q1832" s="44"/>
      <c r="R1832" s="62"/>
      <c r="S1832" s="47"/>
      <c r="T1832" s="47"/>
    </row>
    <row r="1833" s="27" customFormat="1" ht="18" customHeight="1" spans="1:20">
      <c r="A1833" s="34"/>
      <c r="B1833" s="48">
        <v>23</v>
      </c>
      <c r="C1833" s="48"/>
      <c r="D1833" s="88"/>
      <c r="E1833" s="72"/>
      <c r="F1833" s="77"/>
      <c r="G1833" s="89"/>
      <c r="H1833" s="74"/>
      <c r="I1833" s="74"/>
      <c r="J1833" s="95"/>
      <c r="K1833" s="92"/>
      <c r="L1833" s="92"/>
      <c r="M1833" s="44"/>
      <c r="N1833" s="44"/>
      <c r="O1833" s="44"/>
      <c r="P1833" s="44"/>
      <c r="Q1833" s="44"/>
      <c r="R1833" s="62"/>
      <c r="S1833" s="47"/>
      <c r="T1833" s="47"/>
    </row>
    <row r="1834" s="27" customFormat="1" ht="18" customHeight="1" spans="1:20">
      <c r="A1834" s="34"/>
      <c r="B1834" s="48">
        <v>24</v>
      </c>
      <c r="C1834" s="48"/>
      <c r="D1834" s="88" t="s">
        <v>478</v>
      </c>
      <c r="E1834" s="72" t="s">
        <v>43</v>
      </c>
      <c r="F1834" s="77"/>
      <c r="G1834" s="72">
        <v>1</v>
      </c>
      <c r="H1834" s="74">
        <v>1</v>
      </c>
      <c r="I1834" s="74">
        <f>+辅材及安装费!$E$12</f>
        <v>2</v>
      </c>
      <c r="J1834" s="95">
        <f>H1834*I1834</f>
        <v>2</v>
      </c>
      <c r="K1834" s="92"/>
      <c r="L1834" s="92"/>
      <c r="M1834" s="44"/>
      <c r="N1834" s="44"/>
      <c r="O1834" s="44"/>
      <c r="P1834" s="44"/>
      <c r="Q1834" s="44"/>
      <c r="R1834" s="62"/>
      <c r="S1834" s="47"/>
      <c r="T1834" s="47"/>
    </row>
    <row r="1835" s="27" customFormat="1" ht="18" customHeight="1" spans="1:20">
      <c r="A1835" s="34"/>
      <c r="B1835" s="48">
        <v>25</v>
      </c>
      <c r="C1835" s="48"/>
      <c r="D1835" s="93" t="s">
        <v>442</v>
      </c>
      <c r="E1835" s="72"/>
      <c r="F1835" s="77"/>
      <c r="G1835" s="72"/>
      <c r="H1835" s="74"/>
      <c r="I1835" s="74"/>
      <c r="J1835" s="95">
        <f>SUM(J1811:J1834)</f>
        <v>86.0234045132744</v>
      </c>
      <c r="K1835" s="92"/>
      <c r="L1835" s="94"/>
      <c r="M1835" s="27"/>
      <c r="N1835" s="83"/>
      <c r="O1835" s="83"/>
      <c r="P1835" s="83"/>
      <c r="Q1835" s="83"/>
      <c r="R1835" s="87"/>
      <c r="S1835" s="47"/>
      <c r="T1835" s="47"/>
    </row>
    <row r="1836" s="27" customFormat="1" ht="18" customHeight="1" spans="1:20">
      <c r="A1836" s="34"/>
      <c r="B1836" s="48">
        <v>1</v>
      </c>
      <c r="C1836" s="48" t="s">
        <v>443</v>
      </c>
      <c r="D1836" s="48" t="s">
        <v>444</v>
      </c>
      <c r="E1836" s="72" t="s">
        <v>43</v>
      </c>
      <c r="F1836" s="50"/>
      <c r="G1836" s="48"/>
      <c r="H1836" s="51">
        <v>1</v>
      </c>
      <c r="I1836" s="74">
        <f>+辅材及安装费!$F$12</f>
        <v>1</v>
      </c>
      <c r="J1836" s="95">
        <f>H1836*I1836</f>
        <v>1</v>
      </c>
      <c r="K1836" s="118"/>
      <c r="L1836" s="96"/>
      <c r="M1836" s="97"/>
      <c r="N1836" s="98"/>
      <c r="O1836" s="98"/>
      <c r="P1836" s="98"/>
      <c r="Q1836" s="98"/>
      <c r="R1836" s="99"/>
      <c r="S1836" s="47"/>
      <c r="T1836" s="47"/>
    </row>
    <row r="1837" s="26" customFormat="1" ht="30" customHeight="1" spans="1:20">
      <c r="A1837" s="28"/>
      <c r="B1837" s="29" t="s">
        <v>386</v>
      </c>
      <c r="C1837" s="29"/>
      <c r="D1837" s="29"/>
      <c r="E1837" s="29"/>
      <c r="F1837" s="29"/>
      <c r="G1837" s="29"/>
      <c r="H1837" s="29"/>
      <c r="I1837" s="29"/>
      <c r="J1837" s="29"/>
      <c r="K1837" s="29"/>
      <c r="L1837" s="30"/>
      <c r="M1837" s="31"/>
      <c r="N1837" s="31"/>
      <c r="O1837" s="31"/>
      <c r="P1837" s="31"/>
      <c r="Q1837" s="31"/>
      <c r="R1837" s="32"/>
      <c r="S1837" s="33"/>
      <c r="T1837" s="33"/>
    </row>
    <row r="1838" s="27" customFormat="1" ht="33.75" customHeight="1" spans="1:20">
      <c r="A1838" s="34">
        <v>7</v>
      </c>
      <c r="B1838" s="35" t="s">
        <v>1</v>
      </c>
      <c r="C1838" s="35" t="s">
        <v>387</v>
      </c>
      <c r="D1838" s="36" t="str">
        <f>+A1846</f>
        <v>铝合金线条7（80*50）圆弧</v>
      </c>
      <c r="E1838" s="37"/>
      <c r="F1838" s="38"/>
      <c r="G1838" s="39"/>
      <c r="H1838" s="35" t="s">
        <v>388</v>
      </c>
      <c r="I1838" s="40" t="s">
        <v>389</v>
      </c>
      <c r="J1838" s="41" t="s">
        <v>37</v>
      </c>
      <c r="K1838" s="42">
        <f ca="1">VLOOKUP(A1838,排屋工程量清单!A:D,4,)</f>
        <v>10</v>
      </c>
      <c r="L1838" s="43"/>
      <c r="M1838" s="44"/>
      <c r="N1838" s="44"/>
      <c r="O1838" s="44"/>
      <c r="P1838" s="45"/>
      <c r="Q1838" s="44"/>
      <c r="R1838" s="46"/>
      <c r="S1838" s="47"/>
      <c r="T1838" s="47"/>
    </row>
    <row r="1839" s="27" customFormat="1" ht="25" customHeight="1" spans="1:20">
      <c r="A1839" s="34"/>
      <c r="B1839" s="48">
        <v>1</v>
      </c>
      <c r="C1839" s="49" t="s">
        <v>390</v>
      </c>
      <c r="D1839" s="48" t="s">
        <v>391</v>
      </c>
      <c r="E1839" s="48"/>
      <c r="F1839" s="50"/>
      <c r="G1839" s="48"/>
      <c r="H1839" s="51"/>
      <c r="I1839" s="52">
        <f>J1851</f>
        <v>15</v>
      </c>
      <c r="J1839" s="53" t="s">
        <v>392</v>
      </c>
      <c r="K1839" s="54"/>
      <c r="L1839" s="55"/>
      <c r="M1839" s="56"/>
      <c r="N1839" s="57"/>
      <c r="O1839" s="57">
        <v>1</v>
      </c>
      <c r="P1839" s="57">
        <v>1</v>
      </c>
      <c r="Q1839" s="57">
        <v>1</v>
      </c>
      <c r="R1839" s="58">
        <f>+Q1839*P1839*O1839</f>
        <v>1</v>
      </c>
      <c r="S1839" s="47"/>
      <c r="T1839" s="47"/>
    </row>
    <row r="1840" s="27" customFormat="1" ht="18" customHeight="1" spans="1:20">
      <c r="A1840" s="34"/>
      <c r="B1840" s="48">
        <v>2</v>
      </c>
      <c r="C1840" s="59"/>
      <c r="D1840" s="48" t="s">
        <v>394</v>
      </c>
      <c r="E1840" s="48"/>
      <c r="F1840" s="50"/>
      <c r="G1840" s="48"/>
      <c r="H1840" s="51"/>
      <c r="I1840" s="52">
        <f>J1876</f>
        <v>44.220697699115</v>
      </c>
      <c r="J1840" s="53" t="s">
        <v>392</v>
      </c>
      <c r="K1840" s="60"/>
      <c r="L1840" s="61"/>
      <c r="M1840" s="44"/>
      <c r="N1840" s="44"/>
      <c r="O1840" s="44"/>
      <c r="P1840" s="44"/>
      <c r="Q1840" s="44"/>
      <c r="R1840" s="62"/>
      <c r="S1840" s="47"/>
      <c r="T1840" s="47"/>
    </row>
    <row r="1841" s="27" customFormat="1" ht="18" customHeight="1" spans="1:20">
      <c r="A1841" s="34"/>
      <c r="B1841" s="48">
        <v>3</v>
      </c>
      <c r="C1841" s="63"/>
      <c r="D1841" s="48" t="s">
        <v>395</v>
      </c>
      <c r="E1841" s="48"/>
      <c r="F1841" s="50"/>
      <c r="G1841" s="48"/>
      <c r="H1841" s="51"/>
      <c r="I1841" s="52">
        <f>J1877</f>
        <v>1</v>
      </c>
      <c r="J1841" s="53" t="s">
        <v>392</v>
      </c>
      <c r="K1841" s="60"/>
      <c r="L1841" s="60"/>
      <c r="M1841" s="65" t="s">
        <v>396</v>
      </c>
      <c r="N1841" s="65" t="s">
        <v>397</v>
      </c>
      <c r="O1841" s="65" t="s">
        <v>398</v>
      </c>
      <c r="P1841" s="65" t="s">
        <v>399</v>
      </c>
      <c r="Q1841" s="65" t="s">
        <v>400</v>
      </c>
      <c r="R1841" s="66" t="s">
        <v>401</v>
      </c>
      <c r="S1841" s="47"/>
      <c r="T1841" s="47"/>
    </row>
    <row r="1842" s="27" customFormat="1" ht="18" customHeight="1" spans="1:20">
      <c r="A1842" s="34"/>
      <c r="B1842" s="48">
        <v>4</v>
      </c>
      <c r="C1842" s="48" t="s">
        <v>402</v>
      </c>
      <c r="D1842" s="67" t="s">
        <v>403</v>
      </c>
      <c r="E1842" s="67"/>
      <c r="F1842" s="50"/>
      <c r="G1842" s="67"/>
      <c r="H1842" s="68"/>
      <c r="I1842" s="52">
        <f>SUM(I1839:I1841)</f>
        <v>60.220697699115</v>
      </c>
      <c r="J1842" s="53" t="s">
        <v>392</v>
      </c>
      <c r="K1842" s="60"/>
      <c r="L1842" s="69"/>
      <c r="M1842" s="34"/>
      <c r="N1842" s="34"/>
      <c r="O1842" s="34"/>
      <c r="P1842" s="34"/>
      <c r="Q1842" s="44"/>
      <c r="R1842" s="71"/>
      <c r="S1842" s="47"/>
      <c r="T1842" s="47"/>
    </row>
    <row r="1843" s="27" customFormat="1" ht="28" customHeight="1" spans="1:20">
      <c r="A1843" s="34"/>
      <c r="B1843" s="48">
        <v>5</v>
      </c>
      <c r="C1843" s="72" t="s">
        <v>406</v>
      </c>
      <c r="D1843" s="48" t="s">
        <v>407</v>
      </c>
      <c r="E1843" s="48"/>
      <c r="F1843" s="50"/>
      <c r="G1843" s="48"/>
      <c r="H1843" s="73">
        <f>+'材料表 '!$E$178</f>
        <v>0</v>
      </c>
      <c r="I1843" s="52">
        <f>H1843*I1842</f>
        <v>0</v>
      </c>
      <c r="J1843" s="53" t="s">
        <v>392</v>
      </c>
      <c r="K1843" s="60"/>
      <c r="L1843" s="69"/>
      <c r="M1843" s="34"/>
      <c r="N1843" s="102"/>
      <c r="O1843" s="34"/>
      <c r="P1843" s="34"/>
      <c r="Q1843" s="44"/>
      <c r="R1843" s="71"/>
      <c r="S1843" s="47"/>
      <c r="T1843" s="47"/>
    </row>
    <row r="1844" s="27" customFormat="1" ht="18" customHeight="1" spans="1:20">
      <c r="A1844" s="34"/>
      <c r="B1844" s="48">
        <v>6</v>
      </c>
      <c r="C1844" s="48" t="s">
        <v>409</v>
      </c>
      <c r="D1844" s="48" t="s">
        <v>410</v>
      </c>
      <c r="E1844" s="48"/>
      <c r="F1844" s="50"/>
      <c r="G1844" s="48"/>
      <c r="H1844" s="73">
        <f>+'材料表 '!$E$179</f>
        <v>0</v>
      </c>
      <c r="I1844" s="52">
        <f>H1844*I1842</f>
        <v>0</v>
      </c>
      <c r="J1844" s="53" t="s">
        <v>392</v>
      </c>
      <c r="K1844" s="60"/>
      <c r="L1844" s="69"/>
      <c r="M1844" s="34"/>
      <c r="N1844" s="34"/>
      <c r="O1844" s="34"/>
      <c r="P1844" s="34"/>
      <c r="Q1844" s="44"/>
      <c r="R1844" s="71"/>
      <c r="S1844" s="47"/>
      <c r="T1844" s="47"/>
    </row>
    <row r="1845" s="27" customFormat="1" ht="18" customHeight="1" spans="1:20">
      <c r="A1845" s="34"/>
      <c r="B1845" s="48">
        <v>7</v>
      </c>
      <c r="C1845" s="48" t="s">
        <v>412</v>
      </c>
      <c r="D1845" s="72" t="s">
        <v>413</v>
      </c>
      <c r="E1845" s="72"/>
      <c r="F1845" s="77"/>
      <c r="G1845" s="72"/>
      <c r="H1845" s="73">
        <f>+'材料表 '!$E$180</f>
        <v>0.09</v>
      </c>
      <c r="I1845" s="52">
        <f>(I1842+I1843+I1844)*H1845</f>
        <v>5.41986279292035</v>
      </c>
      <c r="J1845" s="53" t="s">
        <v>392</v>
      </c>
      <c r="K1845" s="60"/>
      <c r="L1845" s="69"/>
      <c r="M1845" s="34"/>
      <c r="N1845" s="34"/>
      <c r="O1845" s="34"/>
      <c r="P1845" s="34"/>
      <c r="Q1845" s="44"/>
      <c r="R1845" s="71"/>
      <c r="S1845" s="47"/>
      <c r="T1845" s="47"/>
    </row>
    <row r="1846" s="27" customFormat="1" ht="18" customHeight="1" spans="1:20">
      <c r="A1846" s="105" t="s">
        <v>189</v>
      </c>
      <c r="B1846" s="48">
        <v>8</v>
      </c>
      <c r="C1846" s="48" t="s">
        <v>363</v>
      </c>
      <c r="D1846" s="106" t="s">
        <v>415</v>
      </c>
      <c r="E1846" s="107"/>
      <c r="F1846" s="108"/>
      <c r="G1846" s="107"/>
      <c r="H1846" s="51"/>
      <c r="I1846" s="74">
        <f>SUM(I1842:I1845)</f>
        <v>65.6405604920354</v>
      </c>
      <c r="J1846" s="53" t="s">
        <v>484</v>
      </c>
      <c r="K1846" s="60"/>
      <c r="L1846" s="69"/>
      <c r="M1846" s="34"/>
      <c r="N1846" s="126"/>
      <c r="O1846" s="34"/>
      <c r="P1846" s="44"/>
      <c r="Q1846" s="44"/>
      <c r="R1846" s="84"/>
      <c r="S1846" s="79"/>
      <c r="T1846" s="47"/>
    </row>
    <row r="1847" s="27" customFormat="1" ht="18" customHeight="1" spans="1:20">
      <c r="A1847" s="34"/>
      <c r="B1847" s="109" t="s">
        <v>418</v>
      </c>
      <c r="C1847" s="110"/>
      <c r="D1847" s="110"/>
      <c r="E1847" s="110"/>
      <c r="F1847" s="110"/>
      <c r="G1847" s="110"/>
      <c r="H1847" s="110"/>
      <c r="I1847" s="110"/>
      <c r="J1847" s="110"/>
      <c r="K1847" s="80"/>
      <c r="L1847" s="69"/>
      <c r="M1847" s="70"/>
      <c r="N1847" s="34"/>
      <c r="O1847" s="34"/>
      <c r="P1847" s="34"/>
      <c r="Q1847" s="44"/>
      <c r="R1847" s="71"/>
      <c r="S1847" s="47"/>
      <c r="T1847" s="47"/>
    </row>
    <row r="1848" s="27" customFormat="1" ht="18" customHeight="1" spans="1:20">
      <c r="A1848" s="34"/>
      <c r="B1848" s="48">
        <v>1</v>
      </c>
      <c r="C1848" s="48" t="s">
        <v>391</v>
      </c>
      <c r="D1848" s="48" t="s">
        <v>396</v>
      </c>
      <c r="E1848" s="48" t="s">
        <v>37</v>
      </c>
      <c r="F1848" s="50"/>
      <c r="G1848" s="48"/>
      <c r="H1848" s="51" t="s">
        <v>399</v>
      </c>
      <c r="I1848" s="51" t="s">
        <v>420</v>
      </c>
      <c r="J1848" s="95" t="s">
        <v>421</v>
      </c>
      <c r="K1848" s="92"/>
      <c r="L1848" s="69" t="s">
        <v>433</v>
      </c>
      <c r="M1848" s="70" t="s">
        <v>567</v>
      </c>
      <c r="N1848" s="34">
        <f>0.367</f>
        <v>0.367</v>
      </c>
      <c r="O1848" s="34">
        <v>1</v>
      </c>
      <c r="P1848" s="34">
        <v>1</v>
      </c>
      <c r="Q1848" s="44">
        <f>+P1848*O1848*N1848</f>
        <v>0.367</v>
      </c>
      <c r="R1848" s="71">
        <f>+Q1848/R1839</f>
        <v>0.367</v>
      </c>
      <c r="S1848" s="47"/>
      <c r="T1848" s="47"/>
    </row>
    <row r="1849" s="27" customFormat="1" ht="18" customHeight="1" spans="1:20">
      <c r="A1849" s="34"/>
      <c r="B1849" s="48">
        <v>2</v>
      </c>
      <c r="C1849" s="48"/>
      <c r="D1849" s="111" t="s">
        <v>568</v>
      </c>
      <c r="E1849" s="49" t="s">
        <v>423</v>
      </c>
      <c r="F1849" s="112"/>
      <c r="G1849" s="111"/>
      <c r="H1849" s="113">
        <v>1</v>
      </c>
      <c r="I1849" s="113">
        <f>+辅材及安装费!$G$12</f>
        <v>15</v>
      </c>
      <c r="J1849" s="114">
        <f>H1849*I1849</f>
        <v>15</v>
      </c>
      <c r="K1849" s="92"/>
      <c r="L1849" s="34" t="s">
        <v>447</v>
      </c>
      <c r="M1849" s="70" t="s">
        <v>569</v>
      </c>
      <c r="N1849" s="34">
        <f>0.451</f>
        <v>0.451</v>
      </c>
      <c r="O1849" s="34">
        <v>1</v>
      </c>
      <c r="P1849" s="34">
        <v>1</v>
      </c>
      <c r="Q1849" s="44">
        <f>+P1849*O1849*N1849</f>
        <v>0.451</v>
      </c>
      <c r="R1849" s="71">
        <f>+Q1849/R1839</f>
        <v>0.451</v>
      </c>
      <c r="S1849" s="47">
        <v>0.183</v>
      </c>
      <c r="T1849" s="47">
        <f>O1849*S1849</f>
        <v>0.183</v>
      </c>
    </row>
    <row r="1850" s="27" customFormat="1" ht="18" customHeight="1" spans="1:20">
      <c r="A1850" s="34"/>
      <c r="B1850" s="48">
        <v>3</v>
      </c>
      <c r="C1850" s="48"/>
      <c r="D1850" s="115"/>
      <c r="E1850" s="63"/>
      <c r="F1850" s="116"/>
      <c r="G1850" s="115"/>
      <c r="H1850" s="117"/>
      <c r="I1850" s="117"/>
      <c r="J1850" s="118"/>
      <c r="K1850" s="92"/>
      <c r="L1850" s="90" t="s">
        <v>447</v>
      </c>
      <c r="M1850" s="70"/>
      <c r="N1850" s="82"/>
      <c r="O1850" s="44"/>
      <c r="P1850" s="44">
        <v>1</v>
      </c>
      <c r="Q1850" s="44">
        <f t="shared" ref="Q1848:Q1850" si="203">+P1850*O1850*N1850</f>
        <v>0</v>
      </c>
      <c r="R1850" s="84">
        <f>Q1850/R1839</f>
        <v>0</v>
      </c>
      <c r="S1850" s="47"/>
      <c r="T1850" s="47">
        <f>S1850*O1850*P1850</f>
        <v>0</v>
      </c>
    </row>
    <row r="1851" s="27" customFormat="1" ht="18" customHeight="1" spans="1:20">
      <c r="A1851" s="34"/>
      <c r="B1851" s="48">
        <v>4</v>
      </c>
      <c r="C1851" s="48"/>
      <c r="D1851" s="85" t="s">
        <v>426</v>
      </c>
      <c r="E1851" s="48" t="s">
        <v>392</v>
      </c>
      <c r="F1851" s="50"/>
      <c r="G1851" s="48"/>
      <c r="H1851" s="86"/>
      <c r="I1851" s="86"/>
      <c r="J1851" s="95">
        <f>SUM(J1849:J1849)</f>
        <v>15</v>
      </c>
      <c r="K1851" s="92"/>
      <c r="L1851" s="90"/>
      <c r="M1851" s="44"/>
      <c r="N1851" s="82"/>
      <c r="O1851" s="44"/>
      <c r="P1851" s="44"/>
      <c r="Q1851" s="44"/>
      <c r="R1851" s="84"/>
      <c r="S1851" s="47"/>
      <c r="T1851" s="47"/>
    </row>
    <row r="1852" s="27" customFormat="1" ht="22" customHeight="1" spans="1:20">
      <c r="A1852" s="34"/>
      <c r="B1852" s="48">
        <v>1</v>
      </c>
      <c r="C1852" s="48" t="s">
        <v>394</v>
      </c>
      <c r="D1852" s="88"/>
      <c r="E1852" s="72"/>
      <c r="F1852" s="77"/>
      <c r="G1852" s="89"/>
      <c r="H1852" s="74"/>
      <c r="I1852" s="74"/>
      <c r="J1852" s="95"/>
      <c r="K1852" s="92">
        <f ca="1">H1852*K1838</f>
        <v>0</v>
      </c>
      <c r="L1852" s="90"/>
      <c r="M1852" s="44"/>
      <c r="N1852" s="82"/>
      <c r="O1852" s="44"/>
      <c r="P1852" s="44"/>
      <c r="Q1852" s="44"/>
      <c r="R1852" s="84"/>
      <c r="S1852" s="47"/>
      <c r="T1852" s="47"/>
    </row>
    <row r="1853" s="27" customFormat="1" ht="18" customHeight="1" spans="1:20">
      <c r="A1853" s="34"/>
      <c r="B1853" s="48">
        <v>2</v>
      </c>
      <c r="C1853" s="48"/>
      <c r="D1853" s="88"/>
      <c r="E1853" s="72"/>
      <c r="F1853" s="77"/>
      <c r="G1853" s="89"/>
      <c r="H1853" s="74"/>
      <c r="I1853" s="74"/>
      <c r="J1853" s="95"/>
      <c r="K1853" s="92">
        <f ca="1">H1853*K1838</f>
        <v>0</v>
      </c>
      <c r="L1853" s="90"/>
      <c r="M1853" s="44"/>
      <c r="N1853" s="82"/>
      <c r="O1853" s="44"/>
      <c r="P1853" s="44"/>
      <c r="Q1853" s="44"/>
      <c r="R1853" s="84"/>
      <c r="S1853" s="47"/>
      <c r="T1853" s="47"/>
    </row>
    <row r="1854" s="27" customFormat="1" ht="18" customHeight="1" spans="1:20">
      <c r="A1854" s="34"/>
      <c r="B1854" s="48">
        <v>3</v>
      </c>
      <c r="C1854" s="48"/>
      <c r="D1854" s="88"/>
      <c r="E1854" s="72"/>
      <c r="F1854" s="77"/>
      <c r="G1854" s="89"/>
      <c r="H1854" s="74"/>
      <c r="I1854" s="74"/>
      <c r="J1854" s="95"/>
      <c r="K1854" s="92">
        <f ca="1">H1854*K1838</f>
        <v>0</v>
      </c>
      <c r="L1854" s="90"/>
      <c r="M1854" s="44"/>
      <c r="N1854" s="82"/>
      <c r="O1854" s="44"/>
      <c r="P1854" s="44"/>
      <c r="Q1854" s="44"/>
      <c r="R1854" s="84"/>
      <c r="S1854" s="47"/>
      <c r="T1854" s="47"/>
    </row>
    <row r="1855" s="27" customFormat="1" ht="18" customHeight="1" spans="1:20">
      <c r="A1855" s="34"/>
      <c r="B1855" s="48">
        <v>4</v>
      </c>
      <c r="C1855" s="48"/>
      <c r="D1855" s="88" t="s">
        <v>433</v>
      </c>
      <c r="E1855" s="72" t="str">
        <f>+VLOOKUP(D1855,'材料表 '!C:F,2,0)</f>
        <v>kg</v>
      </c>
      <c r="F1855" s="77">
        <f>+SUMIF($L$1839:$L$1877,D1855,$R$1839:$R$1877)</f>
        <v>0.367</v>
      </c>
      <c r="G1855" s="89">
        <f>+VLOOKUP(D1855,'材料表 '!C:F,4,0)</f>
        <v>0.03</v>
      </c>
      <c r="H1855" s="74">
        <f t="shared" ref="H1855:H1857" si="204">F1855*(G1855+1)</f>
        <v>0.37801</v>
      </c>
      <c r="I1855" s="74">
        <f>+VLOOKUP(D1855,'材料表 '!C:F,3,0)</f>
        <v>26.1150442477876</v>
      </c>
      <c r="J1855" s="95">
        <f t="shared" ref="J1855:J1857" si="205">H1855*I1855</f>
        <v>9.87174787610619</v>
      </c>
      <c r="K1855" s="92">
        <f ca="1">H1855*K1838</f>
        <v>3.7801</v>
      </c>
      <c r="L1855" s="90"/>
      <c r="M1855" s="44"/>
      <c r="N1855" s="82"/>
      <c r="O1855" s="44"/>
      <c r="P1855" s="44"/>
      <c r="Q1855" s="44"/>
      <c r="R1855" s="84"/>
      <c r="S1855" s="47"/>
      <c r="T1855" s="47">
        <f>SUM(T1849:T1854)</f>
        <v>0.183</v>
      </c>
    </row>
    <row r="1856" s="27" customFormat="1" ht="18" customHeight="1" spans="1:20">
      <c r="A1856" s="34"/>
      <c r="B1856" s="48">
        <v>5</v>
      </c>
      <c r="C1856" s="48"/>
      <c r="D1856" s="88" t="s">
        <v>447</v>
      </c>
      <c r="E1856" s="72" t="str">
        <f>+VLOOKUP(D1856,'材料表 '!C:F,2,0)</f>
        <v>kg</v>
      </c>
      <c r="F1856" s="77">
        <f>+SUMIF($L$1839:$L$1877,D1856,$R$1839:$R$1877)</f>
        <v>0.451</v>
      </c>
      <c r="G1856" s="89">
        <f>+VLOOKUP(D1856,'材料表 '!C:F,4,0)</f>
        <v>0.03</v>
      </c>
      <c r="H1856" s="74">
        <f t="shared" si="204"/>
        <v>0.46453</v>
      </c>
      <c r="I1856" s="74">
        <f>+VLOOKUP(D1856,'材料表 '!C:F,3,0)</f>
        <v>24.4336283185841</v>
      </c>
      <c r="J1856" s="95">
        <f t="shared" si="205"/>
        <v>11.3501533628319</v>
      </c>
      <c r="K1856" s="92">
        <f ca="1">H1856*K1838</f>
        <v>4.6453</v>
      </c>
      <c r="L1856" s="92" t="s">
        <v>476</v>
      </c>
      <c r="M1856" s="44"/>
      <c r="N1856" s="82"/>
      <c r="O1856" s="44"/>
      <c r="P1856" s="44"/>
      <c r="Q1856" s="44">
        <f>10*8*(O1839*0+P1839*0)/500</f>
        <v>0</v>
      </c>
      <c r="R1856" s="84">
        <f>+Q1856/R1839</f>
        <v>0</v>
      </c>
      <c r="S1856" s="47"/>
      <c r="T1856" s="47"/>
    </row>
    <row r="1857" s="27" customFormat="1" ht="18" customHeight="1" spans="1:20">
      <c r="A1857" s="34"/>
      <c r="B1857" s="48">
        <v>6</v>
      </c>
      <c r="C1857" s="48"/>
      <c r="D1857" s="88" t="s">
        <v>434</v>
      </c>
      <c r="E1857" s="72" t="str">
        <f>+VLOOKUP(D1857,'材料表 '!C:F,2,0)</f>
        <v>m2</v>
      </c>
      <c r="F1857" s="77">
        <f>T1855/R1839</f>
        <v>0.183</v>
      </c>
      <c r="G1857" s="89">
        <f>+VLOOKUP(D1857,'材料表 '!C:F,4,0)</f>
        <v>0</v>
      </c>
      <c r="H1857" s="74">
        <f t="shared" si="204"/>
        <v>0.183</v>
      </c>
      <c r="I1857" s="74">
        <f>+VLOOKUP(D1857,'材料表 '!C:F,3,0)</f>
        <v>49.5575221238938</v>
      </c>
      <c r="J1857" s="95">
        <f t="shared" si="205"/>
        <v>9.06902654867256</v>
      </c>
      <c r="K1857" s="92">
        <f ca="1">H1857*K1838</f>
        <v>1.83</v>
      </c>
      <c r="L1857" s="92"/>
      <c r="M1857" s="44"/>
      <c r="N1857" s="82"/>
      <c r="O1857" s="44"/>
      <c r="P1857" s="44"/>
      <c r="Q1857" s="44"/>
      <c r="R1857" s="84"/>
      <c r="S1857" s="47"/>
      <c r="T1857" s="47"/>
    </row>
    <row r="1858" s="27" customFormat="1" ht="18" customHeight="1" spans="1:20">
      <c r="A1858" s="34"/>
      <c r="B1858" s="48">
        <v>7</v>
      </c>
      <c r="C1858" s="48"/>
      <c r="D1858" s="88"/>
      <c r="E1858" s="72"/>
      <c r="F1858" s="77"/>
      <c r="G1858" s="89"/>
      <c r="H1858" s="74"/>
      <c r="I1858" s="74"/>
      <c r="J1858" s="95"/>
      <c r="K1858" s="92">
        <f ca="1">H1858*K1838</f>
        <v>0</v>
      </c>
      <c r="L1858" s="92"/>
      <c r="M1858" s="44"/>
      <c r="N1858" s="82"/>
      <c r="O1858" s="44"/>
      <c r="P1858" s="44"/>
      <c r="Q1858" s="44"/>
      <c r="R1858" s="84"/>
      <c r="S1858" s="47"/>
      <c r="T1858" s="47"/>
    </row>
    <row r="1859" s="27" customFormat="1" ht="18" customHeight="1" spans="1:20">
      <c r="A1859" s="34"/>
      <c r="B1859" s="48">
        <v>8</v>
      </c>
      <c r="C1859" s="48"/>
      <c r="D1859" s="88"/>
      <c r="E1859" s="72"/>
      <c r="F1859" s="77"/>
      <c r="G1859" s="89"/>
      <c r="H1859" s="74"/>
      <c r="I1859" s="74"/>
      <c r="J1859" s="95"/>
      <c r="K1859" s="92">
        <f ca="1">H1859*K1838</f>
        <v>0</v>
      </c>
      <c r="L1859" s="92"/>
      <c r="M1859" s="44"/>
      <c r="N1859" s="82"/>
      <c r="O1859" s="44"/>
      <c r="P1859" s="44"/>
      <c r="Q1859" s="44"/>
      <c r="R1859" s="84"/>
      <c r="S1859" s="47"/>
      <c r="T1859" s="47"/>
    </row>
    <row r="1860" s="27" customFormat="1" ht="18" customHeight="1" spans="1:20">
      <c r="A1860" s="34"/>
      <c r="B1860" s="48">
        <v>9</v>
      </c>
      <c r="C1860" s="48"/>
      <c r="D1860" s="88" t="s">
        <v>476</v>
      </c>
      <c r="E1860" s="72" t="str">
        <f>+VLOOKUP(D1860,'材料表 '!C:F,2,0)</f>
        <v>支</v>
      </c>
      <c r="F1860" s="77">
        <v>0</v>
      </c>
      <c r="G1860" s="89">
        <f>+VLOOKUP(D1860,'材料表 '!C:F,4,0)</f>
        <v>0.15</v>
      </c>
      <c r="H1860" s="74">
        <f>F1860*(G1860+1)</f>
        <v>0</v>
      </c>
      <c r="I1860" s="74">
        <f>+VLOOKUP(D1860,'材料表 '!C:F,3,0)</f>
        <v>11.5044247787611</v>
      </c>
      <c r="J1860" s="95">
        <f>H1860*I1860</f>
        <v>0</v>
      </c>
      <c r="K1860" s="92">
        <f ca="1">H1860*K1838</f>
        <v>0</v>
      </c>
      <c r="L1860" s="90"/>
      <c r="M1860" s="44"/>
      <c r="N1860" s="82"/>
      <c r="O1860" s="34"/>
      <c r="P1860" s="44"/>
      <c r="Q1860" s="44"/>
      <c r="R1860" s="119"/>
      <c r="S1860" s="47"/>
      <c r="T1860" s="47"/>
    </row>
    <row r="1861" s="27" customFormat="1" ht="23" customHeight="1" spans="1:20">
      <c r="A1861" s="34"/>
      <c r="B1861" s="48">
        <v>10</v>
      </c>
      <c r="C1861" s="48"/>
      <c r="D1861" s="88" t="s">
        <v>500</v>
      </c>
      <c r="E1861" s="72" t="str">
        <f>+VLOOKUP(D1861,'材料表 '!C:F,2,0)</f>
        <v>kg</v>
      </c>
      <c r="F1861" s="77">
        <f>F1855+F1856</f>
        <v>0.818</v>
      </c>
      <c r="G1861" s="89">
        <f>+VLOOKUP(D1861,'材料表 '!C:F,4,0)</f>
        <v>0.03</v>
      </c>
      <c r="H1861" s="74">
        <f>F1861*(G1861+1)</f>
        <v>0.84254</v>
      </c>
      <c r="I1861" s="74">
        <f>+VLOOKUP(D1861,'材料表 '!C:F,3,0)</f>
        <v>14.1592920353982</v>
      </c>
      <c r="J1861" s="95">
        <f>H1861*I1861</f>
        <v>11.9297699115044</v>
      </c>
      <c r="K1861" s="92">
        <f ca="1">H1861*K1838</f>
        <v>8.4254</v>
      </c>
      <c r="L1861" s="92"/>
      <c r="M1861" s="120"/>
      <c r="N1861" s="82"/>
      <c r="O1861" s="44"/>
      <c r="P1861" s="44"/>
      <c r="Q1861" s="44"/>
      <c r="R1861" s="84"/>
      <c r="S1861" s="47"/>
      <c r="T1861" s="47"/>
    </row>
    <row r="1862" s="27" customFormat="1" ht="20" customHeight="1" spans="1:20">
      <c r="A1862" s="34"/>
      <c r="B1862" s="48">
        <v>11</v>
      </c>
      <c r="C1862" s="48"/>
      <c r="D1862" s="88"/>
      <c r="E1862" s="72"/>
      <c r="F1862" s="77"/>
      <c r="G1862" s="89"/>
      <c r="H1862" s="74"/>
      <c r="I1862" s="74"/>
      <c r="J1862" s="95"/>
      <c r="K1862" s="92">
        <f ca="1">H1862*K1838</f>
        <v>0</v>
      </c>
      <c r="L1862" s="92"/>
      <c r="M1862" s="44"/>
      <c r="N1862" s="82"/>
      <c r="O1862" s="44"/>
      <c r="P1862" s="44"/>
      <c r="Q1862" s="44"/>
      <c r="R1862" s="84"/>
      <c r="S1862" s="47"/>
      <c r="T1862" s="47"/>
    </row>
    <row r="1863" s="27" customFormat="1" ht="24" customHeight="1" spans="1:20">
      <c r="A1863" s="34"/>
      <c r="B1863" s="48">
        <v>12</v>
      </c>
      <c r="C1863" s="48"/>
      <c r="D1863" s="127"/>
      <c r="E1863" s="72"/>
      <c r="F1863" s="128"/>
      <c r="G1863" s="89"/>
      <c r="H1863" s="74"/>
      <c r="I1863" s="74"/>
      <c r="J1863" s="95"/>
      <c r="K1863" s="92">
        <f ca="1">H1863*K1838</f>
        <v>0</v>
      </c>
      <c r="L1863" s="92"/>
      <c r="M1863" s="44"/>
      <c r="N1863" s="44"/>
      <c r="O1863" s="44"/>
      <c r="P1863" s="44"/>
      <c r="Q1863" s="44"/>
      <c r="R1863" s="84"/>
      <c r="S1863" s="47"/>
      <c r="T1863" s="47"/>
    </row>
    <row r="1864" s="27" customFormat="1" ht="18" customHeight="1" spans="1:20">
      <c r="A1864" s="34"/>
      <c r="B1864" s="48">
        <v>13</v>
      </c>
      <c r="C1864" s="48"/>
      <c r="D1864" s="88"/>
      <c r="E1864" s="72"/>
      <c r="F1864" s="77"/>
      <c r="G1864" s="89"/>
      <c r="H1864" s="74"/>
      <c r="I1864" s="74"/>
      <c r="J1864" s="95"/>
      <c r="K1864" s="92">
        <f ca="1">H1864*K1838</f>
        <v>0</v>
      </c>
      <c r="L1864" s="92"/>
      <c r="M1864" s="44"/>
      <c r="N1864" s="44"/>
      <c r="O1864" s="44"/>
      <c r="P1864" s="44"/>
      <c r="Q1864" s="44"/>
      <c r="R1864" s="84"/>
      <c r="S1864" s="47"/>
      <c r="T1864" s="47"/>
    </row>
    <row r="1865" s="27" customFormat="1" ht="24" customHeight="1" spans="1:20">
      <c r="A1865" s="34"/>
      <c r="B1865" s="48">
        <v>14</v>
      </c>
      <c r="C1865" s="48"/>
      <c r="D1865" s="88"/>
      <c r="E1865" s="72"/>
      <c r="F1865" s="77"/>
      <c r="G1865" s="89"/>
      <c r="H1865" s="74"/>
      <c r="I1865" s="74"/>
      <c r="J1865" s="95"/>
      <c r="K1865" s="92">
        <f ca="1">H1865*K1838</f>
        <v>0</v>
      </c>
      <c r="L1865" s="92"/>
      <c r="M1865" s="44"/>
      <c r="N1865" s="44"/>
      <c r="O1865" s="44"/>
      <c r="P1865" s="44"/>
      <c r="Q1865" s="44"/>
      <c r="R1865" s="84"/>
      <c r="S1865" s="47"/>
      <c r="T1865" s="47"/>
    </row>
    <row r="1866" s="27" customFormat="1" ht="18" customHeight="1" spans="1:20">
      <c r="A1866" s="34"/>
      <c r="B1866" s="48">
        <v>15</v>
      </c>
      <c r="C1866" s="48"/>
      <c r="D1866" s="88"/>
      <c r="E1866" s="72"/>
      <c r="F1866" s="77"/>
      <c r="G1866" s="89"/>
      <c r="H1866" s="74"/>
      <c r="I1866" s="74"/>
      <c r="J1866" s="95"/>
      <c r="K1866" s="92"/>
      <c r="L1866" s="92"/>
      <c r="M1866" s="44"/>
      <c r="N1866" s="44"/>
      <c r="O1866" s="44"/>
      <c r="P1866" s="44"/>
      <c r="Q1866" s="44"/>
      <c r="R1866" s="84"/>
      <c r="S1866" s="47"/>
      <c r="T1866" s="47"/>
    </row>
    <row r="1867" s="27" customFormat="1" ht="18" customHeight="1" spans="1:20">
      <c r="A1867" s="34"/>
      <c r="B1867" s="48">
        <v>16</v>
      </c>
      <c r="C1867" s="48"/>
      <c r="D1867" s="88"/>
      <c r="E1867" s="72"/>
      <c r="F1867" s="77"/>
      <c r="G1867" s="89"/>
      <c r="H1867" s="74"/>
      <c r="I1867" s="74"/>
      <c r="J1867" s="95"/>
      <c r="K1867" s="92"/>
      <c r="L1867" s="92"/>
      <c r="M1867" s="44"/>
      <c r="N1867" s="44"/>
      <c r="O1867" s="44"/>
      <c r="P1867" s="44"/>
      <c r="Q1867" s="44"/>
      <c r="R1867" s="84"/>
      <c r="S1867" s="47"/>
      <c r="T1867" s="47"/>
    </row>
    <row r="1868" s="27" customFormat="1" ht="18" customHeight="1" spans="1:20">
      <c r="A1868" s="34"/>
      <c r="B1868" s="48">
        <v>17</v>
      </c>
      <c r="C1868" s="48"/>
      <c r="D1868" s="121"/>
      <c r="E1868" s="72"/>
      <c r="F1868" s="77"/>
      <c r="G1868" s="89"/>
      <c r="H1868" s="74"/>
      <c r="I1868" s="74"/>
      <c r="J1868" s="95"/>
      <c r="K1868" s="92"/>
      <c r="L1868" s="92"/>
      <c r="M1868" s="44"/>
      <c r="N1868" s="44"/>
      <c r="O1868" s="44"/>
      <c r="P1868" s="44"/>
      <c r="Q1868" s="101"/>
      <c r="R1868" s="84"/>
      <c r="S1868" s="47"/>
      <c r="T1868" s="47"/>
    </row>
    <row r="1869" s="27" customFormat="1" ht="18" customHeight="1" spans="1:20">
      <c r="A1869" s="34"/>
      <c r="B1869" s="48">
        <v>18</v>
      </c>
      <c r="C1869" s="48"/>
      <c r="D1869" s="88"/>
      <c r="E1869" s="72"/>
      <c r="F1869" s="77"/>
      <c r="G1869" s="89"/>
      <c r="H1869" s="74"/>
      <c r="I1869" s="74"/>
      <c r="J1869" s="95"/>
      <c r="K1869" s="92"/>
      <c r="L1869" s="92"/>
      <c r="M1869" s="44"/>
      <c r="N1869" s="44"/>
      <c r="O1869" s="44"/>
      <c r="P1869" s="44"/>
      <c r="Q1869" s="44"/>
      <c r="R1869" s="84"/>
      <c r="S1869" s="47"/>
      <c r="T1869" s="47"/>
    </row>
    <row r="1870" s="27" customFormat="1" ht="18" customHeight="1" spans="1:20">
      <c r="A1870" s="34"/>
      <c r="B1870" s="48">
        <v>19</v>
      </c>
      <c r="C1870" s="48"/>
      <c r="D1870" s="27"/>
      <c r="E1870" s="72"/>
      <c r="F1870" s="77"/>
      <c r="G1870" s="89"/>
      <c r="H1870" s="74"/>
      <c r="I1870" s="74"/>
      <c r="J1870" s="95"/>
      <c r="K1870" s="92"/>
      <c r="L1870" s="92"/>
      <c r="M1870" s="44"/>
      <c r="N1870" s="44"/>
      <c r="O1870" s="44"/>
      <c r="P1870" s="44"/>
      <c r="Q1870" s="44"/>
      <c r="R1870" s="84"/>
      <c r="S1870" s="47"/>
      <c r="T1870" s="47"/>
    </row>
    <row r="1871" s="27" customFormat="1" ht="18" customHeight="1" spans="1:20">
      <c r="A1871" s="34"/>
      <c r="B1871" s="48">
        <v>20</v>
      </c>
      <c r="C1871" s="48"/>
      <c r="D1871" s="88"/>
      <c r="E1871" s="72"/>
      <c r="F1871" s="77"/>
      <c r="G1871" s="89"/>
      <c r="H1871" s="74"/>
      <c r="I1871" s="74"/>
      <c r="J1871" s="95"/>
      <c r="K1871" s="92"/>
      <c r="L1871" s="92"/>
      <c r="M1871" s="44"/>
      <c r="N1871" s="44"/>
      <c r="O1871" s="44"/>
      <c r="P1871" s="44"/>
      <c r="Q1871" s="44"/>
      <c r="R1871" s="84"/>
      <c r="S1871" s="47"/>
      <c r="T1871" s="47"/>
    </row>
    <row r="1872" s="27" customFormat="1" ht="18" customHeight="1" spans="1:20">
      <c r="A1872" s="34"/>
      <c r="B1872" s="48">
        <v>21</v>
      </c>
      <c r="C1872" s="48"/>
      <c r="D1872" s="88"/>
      <c r="E1872" s="72"/>
      <c r="F1872" s="77"/>
      <c r="G1872" s="89"/>
      <c r="H1872" s="74"/>
      <c r="I1872" s="74"/>
      <c r="J1872" s="95"/>
      <c r="K1872" s="92"/>
      <c r="L1872" s="92"/>
      <c r="M1872" s="44"/>
      <c r="N1872" s="44"/>
      <c r="O1872" s="44"/>
      <c r="P1872" s="44"/>
      <c r="Q1872" s="44"/>
      <c r="R1872" s="84"/>
      <c r="S1872" s="47"/>
      <c r="T1872" s="47"/>
    </row>
    <row r="1873" s="27" customFormat="1" ht="18" customHeight="1" spans="1:20">
      <c r="A1873" s="34"/>
      <c r="B1873" s="48">
        <v>22</v>
      </c>
      <c r="C1873" s="48"/>
      <c r="D1873" s="27"/>
      <c r="E1873" s="72"/>
      <c r="F1873" s="77"/>
      <c r="G1873" s="72"/>
      <c r="H1873" s="74"/>
      <c r="I1873" s="74"/>
      <c r="J1873" s="95"/>
      <c r="K1873" s="92"/>
      <c r="L1873" s="92"/>
      <c r="M1873" s="44"/>
      <c r="N1873" s="44"/>
      <c r="O1873" s="44"/>
      <c r="P1873" s="44"/>
      <c r="Q1873" s="44"/>
      <c r="R1873" s="62"/>
      <c r="S1873" s="47"/>
      <c r="T1873" s="47"/>
    </row>
    <row r="1874" s="27" customFormat="1" ht="18" customHeight="1" spans="1:20">
      <c r="A1874" s="34"/>
      <c r="B1874" s="48">
        <v>23</v>
      </c>
      <c r="C1874" s="48"/>
      <c r="D1874" s="88"/>
      <c r="E1874" s="72"/>
      <c r="F1874" s="77"/>
      <c r="G1874" s="89"/>
      <c r="H1874" s="74"/>
      <c r="I1874" s="74"/>
      <c r="J1874" s="95"/>
      <c r="K1874" s="92"/>
      <c r="L1874" s="92"/>
      <c r="M1874" s="44"/>
      <c r="N1874" s="44"/>
      <c r="O1874" s="44"/>
      <c r="P1874" s="44"/>
      <c r="Q1874" s="44"/>
      <c r="R1874" s="62"/>
      <c r="S1874" s="47"/>
      <c r="T1874" s="47"/>
    </row>
    <row r="1875" s="27" customFormat="1" ht="18" customHeight="1" spans="1:20">
      <c r="A1875" s="34"/>
      <c r="B1875" s="48">
        <v>24</v>
      </c>
      <c r="C1875" s="48"/>
      <c r="D1875" s="88" t="s">
        <v>478</v>
      </c>
      <c r="E1875" s="72" t="s">
        <v>43</v>
      </c>
      <c r="F1875" s="77"/>
      <c r="G1875" s="72">
        <v>1</v>
      </c>
      <c r="H1875" s="74">
        <v>1</v>
      </c>
      <c r="I1875" s="74">
        <f>+辅材及安装费!$E$12</f>
        <v>2</v>
      </c>
      <c r="J1875" s="95">
        <f>H1875*I1875</f>
        <v>2</v>
      </c>
      <c r="K1875" s="92"/>
      <c r="L1875" s="92"/>
      <c r="M1875" s="44"/>
      <c r="N1875" s="44"/>
      <c r="O1875" s="44"/>
      <c r="P1875" s="44"/>
      <c r="Q1875" s="44"/>
      <c r="R1875" s="62"/>
      <c r="S1875" s="47"/>
      <c r="T1875" s="47"/>
    </row>
    <row r="1876" s="27" customFormat="1" ht="18" customHeight="1" spans="1:20">
      <c r="A1876" s="34"/>
      <c r="B1876" s="48">
        <v>25</v>
      </c>
      <c r="C1876" s="48"/>
      <c r="D1876" s="93" t="s">
        <v>442</v>
      </c>
      <c r="E1876" s="72"/>
      <c r="F1876" s="77"/>
      <c r="G1876" s="72"/>
      <c r="H1876" s="74"/>
      <c r="I1876" s="74"/>
      <c r="J1876" s="95">
        <f>SUM(J1852:J1875)</f>
        <v>44.220697699115</v>
      </c>
      <c r="K1876" s="92"/>
      <c r="L1876" s="94"/>
      <c r="M1876" s="27"/>
      <c r="N1876" s="83"/>
      <c r="O1876" s="83"/>
      <c r="P1876" s="83"/>
      <c r="Q1876" s="83"/>
      <c r="R1876" s="87"/>
      <c r="S1876" s="47"/>
      <c r="T1876" s="47"/>
    </row>
    <row r="1877" s="27" customFormat="1" ht="18" customHeight="1" spans="1:20">
      <c r="A1877" s="34"/>
      <c r="B1877" s="48">
        <v>1</v>
      </c>
      <c r="C1877" s="48" t="s">
        <v>443</v>
      </c>
      <c r="D1877" s="48" t="s">
        <v>444</v>
      </c>
      <c r="E1877" s="72" t="s">
        <v>43</v>
      </c>
      <c r="F1877" s="50"/>
      <c r="G1877" s="48"/>
      <c r="H1877" s="51">
        <v>1</v>
      </c>
      <c r="I1877" s="74">
        <f>+辅材及安装费!$F$12</f>
        <v>1</v>
      </c>
      <c r="J1877" s="95">
        <f>H1877*I1877</f>
        <v>1</v>
      </c>
      <c r="K1877" s="118"/>
      <c r="L1877" s="96"/>
      <c r="M1877" s="97"/>
      <c r="N1877" s="98"/>
      <c r="O1877" s="98"/>
      <c r="P1877" s="98"/>
      <c r="Q1877" s="98"/>
      <c r="R1877" s="99"/>
      <c r="S1877" s="47"/>
      <c r="T1877" s="47"/>
    </row>
    <row r="1878" s="26" customFormat="1" ht="30" customHeight="1" spans="1:20">
      <c r="A1878" s="28"/>
      <c r="B1878" s="29" t="s">
        <v>386</v>
      </c>
      <c r="C1878" s="29"/>
      <c r="D1878" s="29"/>
      <c r="E1878" s="29"/>
      <c r="F1878" s="29"/>
      <c r="G1878" s="29"/>
      <c r="H1878" s="29"/>
      <c r="I1878" s="29"/>
      <c r="J1878" s="29"/>
      <c r="K1878" s="29"/>
      <c r="L1878" s="30"/>
      <c r="M1878" s="31"/>
      <c r="N1878" s="31"/>
      <c r="O1878" s="31"/>
      <c r="P1878" s="31"/>
      <c r="Q1878" s="31"/>
      <c r="R1878" s="32"/>
      <c r="S1878" s="33"/>
      <c r="T1878" s="33"/>
    </row>
    <row r="1879" s="27" customFormat="1" ht="33.75" customHeight="1" spans="1:20">
      <c r="A1879" s="34">
        <v>8</v>
      </c>
      <c r="B1879" s="35" t="s">
        <v>1</v>
      </c>
      <c r="C1879" s="35" t="s">
        <v>387</v>
      </c>
      <c r="D1879" s="36" t="str">
        <f>+A1887</f>
        <v>铝合金线条8（150*60）圆弧</v>
      </c>
      <c r="E1879" s="37"/>
      <c r="F1879" s="38"/>
      <c r="G1879" s="39"/>
      <c r="H1879" s="35" t="s">
        <v>388</v>
      </c>
      <c r="I1879" s="40" t="s">
        <v>389</v>
      </c>
      <c r="J1879" s="41" t="s">
        <v>37</v>
      </c>
      <c r="K1879" s="42">
        <f ca="1">VLOOKUP(A1879,排屋工程量清单!A:D,4,)</f>
        <v>3.1</v>
      </c>
      <c r="L1879" s="43"/>
      <c r="M1879" s="44"/>
      <c r="N1879" s="44"/>
      <c r="O1879" s="44"/>
      <c r="P1879" s="45"/>
      <c r="Q1879" s="44"/>
      <c r="R1879" s="46"/>
      <c r="S1879" s="47"/>
      <c r="T1879" s="47"/>
    </row>
    <row r="1880" s="27" customFormat="1" ht="25" customHeight="1" spans="1:20">
      <c r="A1880" s="34"/>
      <c r="B1880" s="48">
        <v>1</v>
      </c>
      <c r="C1880" s="49" t="s">
        <v>390</v>
      </c>
      <c r="D1880" s="48" t="s">
        <v>391</v>
      </c>
      <c r="E1880" s="48"/>
      <c r="F1880" s="50"/>
      <c r="G1880" s="48"/>
      <c r="H1880" s="51"/>
      <c r="I1880" s="52">
        <f>J1892</f>
        <v>15</v>
      </c>
      <c r="J1880" s="53" t="s">
        <v>392</v>
      </c>
      <c r="K1880" s="54"/>
      <c r="L1880" s="55"/>
      <c r="M1880" s="56"/>
      <c r="N1880" s="57"/>
      <c r="O1880" s="57">
        <v>1</v>
      </c>
      <c r="P1880" s="57">
        <v>1</v>
      </c>
      <c r="Q1880" s="57">
        <v>1</v>
      </c>
      <c r="R1880" s="58">
        <f>+Q1880*P1880*O1880</f>
        <v>1</v>
      </c>
      <c r="S1880" s="47"/>
      <c r="T1880" s="47"/>
    </row>
    <row r="1881" s="27" customFormat="1" ht="18" customHeight="1" spans="1:20">
      <c r="A1881" s="34"/>
      <c r="B1881" s="48">
        <v>2</v>
      </c>
      <c r="C1881" s="59"/>
      <c r="D1881" s="48" t="s">
        <v>394</v>
      </c>
      <c r="E1881" s="48"/>
      <c r="F1881" s="50"/>
      <c r="G1881" s="48"/>
      <c r="H1881" s="51"/>
      <c r="I1881" s="52">
        <f>J1917</f>
        <v>126.815050530973</v>
      </c>
      <c r="J1881" s="53" t="s">
        <v>392</v>
      </c>
      <c r="K1881" s="60"/>
      <c r="L1881" s="61"/>
      <c r="M1881" s="44"/>
      <c r="N1881" s="44"/>
      <c r="O1881" s="44"/>
      <c r="P1881" s="44"/>
      <c r="Q1881" s="44"/>
      <c r="R1881" s="62"/>
      <c r="S1881" s="47"/>
      <c r="T1881" s="47"/>
    </row>
    <row r="1882" s="27" customFormat="1" ht="18" customHeight="1" spans="1:20">
      <c r="A1882" s="34"/>
      <c r="B1882" s="48">
        <v>3</v>
      </c>
      <c r="C1882" s="63"/>
      <c r="D1882" s="48" t="s">
        <v>395</v>
      </c>
      <c r="E1882" s="48"/>
      <c r="F1882" s="50"/>
      <c r="G1882" s="48"/>
      <c r="H1882" s="51"/>
      <c r="I1882" s="52">
        <f>J1918</f>
        <v>1</v>
      </c>
      <c r="J1882" s="53" t="s">
        <v>392</v>
      </c>
      <c r="K1882" s="60"/>
      <c r="L1882" s="60"/>
      <c r="M1882" s="65" t="s">
        <v>396</v>
      </c>
      <c r="N1882" s="65" t="s">
        <v>397</v>
      </c>
      <c r="O1882" s="65" t="s">
        <v>398</v>
      </c>
      <c r="P1882" s="65" t="s">
        <v>399</v>
      </c>
      <c r="Q1882" s="65" t="s">
        <v>400</v>
      </c>
      <c r="R1882" s="66" t="s">
        <v>401</v>
      </c>
      <c r="S1882" s="47"/>
      <c r="T1882" s="47"/>
    </row>
    <row r="1883" s="27" customFormat="1" ht="18" customHeight="1" spans="1:20">
      <c r="A1883" s="34"/>
      <c r="B1883" s="48">
        <v>4</v>
      </c>
      <c r="C1883" s="48" t="s">
        <v>402</v>
      </c>
      <c r="D1883" s="67" t="s">
        <v>403</v>
      </c>
      <c r="E1883" s="67"/>
      <c r="F1883" s="50"/>
      <c r="G1883" s="67"/>
      <c r="H1883" s="68"/>
      <c r="I1883" s="52">
        <f>SUM(I1880:I1882)</f>
        <v>142.815050530973</v>
      </c>
      <c r="J1883" s="53" t="s">
        <v>392</v>
      </c>
      <c r="K1883" s="60"/>
      <c r="L1883" s="69"/>
      <c r="M1883" s="34"/>
      <c r="N1883" s="34"/>
      <c r="O1883" s="34"/>
      <c r="P1883" s="34"/>
      <c r="Q1883" s="44"/>
      <c r="R1883" s="71"/>
      <c r="S1883" s="47"/>
      <c r="T1883" s="47"/>
    </row>
    <row r="1884" s="27" customFormat="1" ht="28" customHeight="1" spans="1:20">
      <c r="A1884" s="34"/>
      <c r="B1884" s="48">
        <v>5</v>
      </c>
      <c r="C1884" s="72" t="s">
        <v>406</v>
      </c>
      <c r="D1884" s="48" t="s">
        <v>407</v>
      </c>
      <c r="E1884" s="48"/>
      <c r="F1884" s="50"/>
      <c r="G1884" s="48"/>
      <c r="H1884" s="73">
        <f>+'材料表 '!$E$178</f>
        <v>0</v>
      </c>
      <c r="I1884" s="52">
        <f>H1884*I1883</f>
        <v>0</v>
      </c>
      <c r="J1884" s="53" t="s">
        <v>392</v>
      </c>
      <c r="K1884" s="60"/>
      <c r="L1884" s="69"/>
      <c r="M1884" s="34"/>
      <c r="N1884" s="102"/>
      <c r="O1884" s="34"/>
      <c r="P1884" s="34"/>
      <c r="Q1884" s="44"/>
      <c r="R1884" s="71"/>
      <c r="S1884" s="47"/>
      <c r="T1884" s="47"/>
    </row>
    <row r="1885" s="27" customFormat="1" ht="18" customHeight="1" spans="1:20">
      <c r="A1885" s="34"/>
      <c r="B1885" s="48">
        <v>6</v>
      </c>
      <c r="C1885" s="48" t="s">
        <v>409</v>
      </c>
      <c r="D1885" s="48" t="s">
        <v>410</v>
      </c>
      <c r="E1885" s="48"/>
      <c r="F1885" s="50"/>
      <c r="G1885" s="48"/>
      <c r="H1885" s="73">
        <f>+'材料表 '!$E$179</f>
        <v>0</v>
      </c>
      <c r="I1885" s="52">
        <f>H1885*I1883</f>
        <v>0</v>
      </c>
      <c r="J1885" s="53" t="s">
        <v>392</v>
      </c>
      <c r="K1885" s="60"/>
      <c r="L1885" s="69"/>
      <c r="M1885" s="34"/>
      <c r="N1885" s="34"/>
      <c r="O1885" s="34"/>
      <c r="P1885" s="34"/>
      <c r="Q1885" s="44"/>
      <c r="R1885" s="71"/>
      <c r="S1885" s="47"/>
      <c r="T1885" s="47"/>
    </row>
    <row r="1886" s="27" customFormat="1" ht="18" customHeight="1" spans="1:20">
      <c r="A1886" s="34"/>
      <c r="B1886" s="48">
        <v>7</v>
      </c>
      <c r="C1886" s="48" t="s">
        <v>412</v>
      </c>
      <c r="D1886" s="72" t="s">
        <v>413</v>
      </c>
      <c r="E1886" s="72"/>
      <c r="F1886" s="77"/>
      <c r="G1886" s="72"/>
      <c r="H1886" s="73">
        <f>+'材料表 '!$E$180</f>
        <v>0.09</v>
      </c>
      <c r="I1886" s="52">
        <f>(I1883+I1884+I1885)*H1886</f>
        <v>12.8533545477876</v>
      </c>
      <c r="J1886" s="53" t="s">
        <v>392</v>
      </c>
      <c r="K1886" s="60"/>
      <c r="L1886" s="69"/>
      <c r="M1886" s="34"/>
      <c r="N1886" s="34"/>
      <c r="O1886" s="34"/>
      <c r="P1886" s="34"/>
      <c r="Q1886" s="44"/>
      <c r="R1886" s="71"/>
      <c r="S1886" s="47"/>
      <c r="T1886" s="47"/>
    </row>
    <row r="1887" s="27" customFormat="1" ht="18" customHeight="1" spans="1:20">
      <c r="A1887" s="105" t="s">
        <v>190</v>
      </c>
      <c r="B1887" s="48">
        <v>8</v>
      </c>
      <c r="C1887" s="48" t="s">
        <v>363</v>
      </c>
      <c r="D1887" s="106" t="s">
        <v>415</v>
      </c>
      <c r="E1887" s="107"/>
      <c r="F1887" s="108"/>
      <c r="G1887" s="107"/>
      <c r="H1887" s="51"/>
      <c r="I1887" s="74">
        <f>SUM(I1883:I1886)</f>
        <v>155.668405078761</v>
      </c>
      <c r="J1887" s="53" t="s">
        <v>484</v>
      </c>
      <c r="K1887" s="60"/>
      <c r="L1887" s="69"/>
      <c r="M1887" s="34"/>
      <c r="N1887" s="126"/>
      <c r="O1887" s="34"/>
      <c r="P1887" s="44"/>
      <c r="Q1887" s="44"/>
      <c r="R1887" s="84"/>
      <c r="S1887" s="79"/>
      <c r="T1887" s="47"/>
    </row>
    <row r="1888" s="27" customFormat="1" ht="18" customHeight="1" spans="1:20">
      <c r="A1888" s="34"/>
      <c r="B1888" s="109" t="s">
        <v>418</v>
      </c>
      <c r="C1888" s="110"/>
      <c r="D1888" s="110"/>
      <c r="E1888" s="110"/>
      <c r="F1888" s="110"/>
      <c r="G1888" s="110"/>
      <c r="H1888" s="110"/>
      <c r="I1888" s="110"/>
      <c r="J1888" s="110"/>
      <c r="K1888" s="80"/>
      <c r="L1888" s="69"/>
      <c r="M1888" s="70"/>
      <c r="N1888" s="34"/>
      <c r="O1888" s="34"/>
      <c r="P1888" s="34"/>
      <c r="Q1888" s="44"/>
      <c r="R1888" s="71"/>
      <c r="S1888" s="47"/>
      <c r="T1888" s="47"/>
    </row>
    <row r="1889" s="27" customFormat="1" ht="18" customHeight="1" spans="1:20">
      <c r="A1889" s="34"/>
      <c r="B1889" s="48">
        <v>1</v>
      </c>
      <c r="C1889" s="48" t="s">
        <v>391</v>
      </c>
      <c r="D1889" s="48" t="s">
        <v>396</v>
      </c>
      <c r="E1889" s="48" t="s">
        <v>37</v>
      </c>
      <c r="F1889" s="50"/>
      <c r="G1889" s="48"/>
      <c r="H1889" s="51" t="s">
        <v>399</v>
      </c>
      <c r="I1889" s="51" t="s">
        <v>420</v>
      </c>
      <c r="J1889" s="95" t="s">
        <v>421</v>
      </c>
      <c r="K1889" s="92"/>
      <c r="L1889" s="69" t="s">
        <v>433</v>
      </c>
      <c r="M1889" s="70" t="s">
        <v>567</v>
      </c>
      <c r="N1889" s="34">
        <v>0.546</v>
      </c>
      <c r="O1889" s="34">
        <v>1</v>
      </c>
      <c r="P1889" s="34">
        <v>1</v>
      </c>
      <c r="Q1889" s="44">
        <f t="shared" ref="Q1889:Q1891" si="206">+P1889*O1889*N1889</f>
        <v>0.546</v>
      </c>
      <c r="R1889" s="71">
        <f>+Q1889/R1880</f>
        <v>0.546</v>
      </c>
      <c r="S1889" s="47"/>
      <c r="T1889" s="47"/>
    </row>
    <row r="1890" s="27" customFormat="1" ht="18" customHeight="1" spans="1:20">
      <c r="A1890" s="34"/>
      <c r="B1890" s="48">
        <v>2</v>
      </c>
      <c r="C1890" s="48"/>
      <c r="D1890" s="111" t="s">
        <v>568</v>
      </c>
      <c r="E1890" s="49" t="s">
        <v>109</v>
      </c>
      <c r="F1890" s="112"/>
      <c r="G1890" s="111"/>
      <c r="H1890" s="113">
        <v>1</v>
      </c>
      <c r="I1890" s="113">
        <f>+辅材及安装费!$G$12</f>
        <v>15</v>
      </c>
      <c r="J1890" s="114">
        <f>H1890*I1890</f>
        <v>15</v>
      </c>
      <c r="K1890" s="92"/>
      <c r="L1890" s="34" t="s">
        <v>447</v>
      </c>
      <c r="M1890" s="70" t="s">
        <v>569</v>
      </c>
      <c r="N1890" s="34">
        <f>2.251</f>
        <v>2.251</v>
      </c>
      <c r="O1890" s="34">
        <v>1</v>
      </c>
      <c r="P1890" s="34">
        <v>1</v>
      </c>
      <c r="Q1890" s="44">
        <f t="shared" si="206"/>
        <v>2.251</v>
      </c>
      <c r="R1890" s="71">
        <f>+Q1890/R1880</f>
        <v>2.251</v>
      </c>
      <c r="S1890" s="47">
        <v>0.256</v>
      </c>
      <c r="T1890" s="47">
        <f>O1890*S1890</f>
        <v>0.256</v>
      </c>
    </row>
    <row r="1891" s="27" customFormat="1" ht="18" customHeight="1" spans="1:20">
      <c r="A1891" s="34"/>
      <c r="B1891" s="48">
        <v>3</v>
      </c>
      <c r="C1891" s="48"/>
      <c r="D1891" s="115"/>
      <c r="E1891" s="63"/>
      <c r="F1891" s="116"/>
      <c r="G1891" s="115"/>
      <c r="H1891" s="117"/>
      <c r="I1891" s="117"/>
      <c r="J1891" s="118"/>
      <c r="K1891" s="92"/>
      <c r="L1891" s="90" t="s">
        <v>447</v>
      </c>
      <c r="M1891" s="70"/>
      <c r="N1891" s="82"/>
      <c r="O1891" s="44"/>
      <c r="P1891" s="44">
        <v>1</v>
      </c>
      <c r="Q1891" s="44">
        <f t="shared" si="206"/>
        <v>0</v>
      </c>
      <c r="R1891" s="84">
        <f>Q1891/R1880</f>
        <v>0</v>
      </c>
      <c r="S1891" s="47"/>
      <c r="T1891" s="47">
        <f>S1891*O1891*P1891</f>
        <v>0</v>
      </c>
    </row>
    <row r="1892" s="27" customFormat="1" ht="18" customHeight="1" spans="1:20">
      <c r="A1892" s="34"/>
      <c r="B1892" s="48">
        <v>4</v>
      </c>
      <c r="C1892" s="48"/>
      <c r="D1892" s="85" t="s">
        <v>426</v>
      </c>
      <c r="E1892" s="48" t="s">
        <v>392</v>
      </c>
      <c r="F1892" s="50"/>
      <c r="G1892" s="48"/>
      <c r="H1892" s="86"/>
      <c r="I1892" s="86"/>
      <c r="J1892" s="95">
        <f>SUM(J1890:J1890)</f>
        <v>15</v>
      </c>
      <c r="K1892" s="92"/>
      <c r="L1892" s="90"/>
      <c r="M1892" s="44"/>
      <c r="N1892" s="82"/>
      <c r="O1892" s="44"/>
      <c r="P1892" s="44"/>
      <c r="Q1892" s="44"/>
      <c r="R1892" s="84"/>
      <c r="S1892" s="47"/>
      <c r="T1892" s="47"/>
    </row>
    <row r="1893" s="27" customFormat="1" ht="22" customHeight="1" spans="1:20">
      <c r="A1893" s="34"/>
      <c r="B1893" s="48">
        <v>1</v>
      </c>
      <c r="C1893" s="48" t="s">
        <v>394</v>
      </c>
      <c r="D1893" s="88"/>
      <c r="E1893" s="72"/>
      <c r="F1893" s="77"/>
      <c r="G1893" s="89"/>
      <c r="H1893" s="74"/>
      <c r="I1893" s="74"/>
      <c r="J1893" s="95"/>
      <c r="K1893" s="92">
        <f ca="1">H1893*K1879</f>
        <v>0</v>
      </c>
      <c r="L1893" s="90"/>
      <c r="M1893" s="44"/>
      <c r="N1893" s="82"/>
      <c r="O1893" s="44"/>
      <c r="P1893" s="44"/>
      <c r="Q1893" s="44"/>
      <c r="R1893" s="84"/>
      <c r="S1893" s="47"/>
      <c r="T1893" s="47"/>
    </row>
    <row r="1894" s="27" customFormat="1" ht="18" customHeight="1" spans="1:20">
      <c r="A1894" s="34"/>
      <c r="B1894" s="48">
        <v>2</v>
      </c>
      <c r="C1894" s="48"/>
      <c r="D1894" s="88"/>
      <c r="E1894" s="72"/>
      <c r="F1894" s="77"/>
      <c r="G1894" s="89"/>
      <c r="H1894" s="74"/>
      <c r="I1894" s="74"/>
      <c r="J1894" s="95"/>
      <c r="K1894" s="92">
        <f ca="1">H1894*K1879</f>
        <v>0</v>
      </c>
      <c r="L1894" s="90"/>
      <c r="M1894" s="44"/>
      <c r="N1894" s="82"/>
      <c r="O1894" s="44"/>
      <c r="P1894" s="44"/>
      <c r="Q1894" s="44"/>
      <c r="R1894" s="84"/>
      <c r="S1894" s="47"/>
      <c r="T1894" s="47"/>
    </row>
    <row r="1895" s="27" customFormat="1" ht="18" customHeight="1" spans="1:20">
      <c r="A1895" s="34"/>
      <c r="B1895" s="48">
        <v>3</v>
      </c>
      <c r="C1895" s="48"/>
      <c r="D1895" s="88"/>
      <c r="E1895" s="72"/>
      <c r="F1895" s="77"/>
      <c r="G1895" s="89"/>
      <c r="H1895" s="74"/>
      <c r="I1895" s="74"/>
      <c r="J1895" s="95"/>
      <c r="K1895" s="92">
        <f ca="1">H1895*K1879</f>
        <v>0</v>
      </c>
      <c r="L1895" s="90"/>
      <c r="M1895" s="44"/>
      <c r="N1895" s="82"/>
      <c r="O1895" s="44"/>
      <c r="P1895" s="44"/>
      <c r="Q1895" s="44"/>
      <c r="R1895" s="84"/>
      <c r="S1895" s="47"/>
      <c r="T1895" s="47"/>
    </row>
    <row r="1896" s="27" customFormat="1" ht="18" customHeight="1" spans="1:20">
      <c r="A1896" s="34"/>
      <c r="B1896" s="48">
        <v>4</v>
      </c>
      <c r="C1896" s="48"/>
      <c r="D1896" s="88" t="s">
        <v>433</v>
      </c>
      <c r="E1896" s="72" t="str">
        <f>+VLOOKUP(D1896,'材料表 '!C:F,2,0)</f>
        <v>kg</v>
      </c>
      <c r="F1896" s="77">
        <f>+SUMIF($L$1880:$L$1918,D1896,$R$1880:$R$1918)</f>
        <v>0.546</v>
      </c>
      <c r="G1896" s="89">
        <f>+VLOOKUP(D1896,'材料表 '!C:F,4,0)</f>
        <v>0.03</v>
      </c>
      <c r="H1896" s="74">
        <f t="shared" ref="H1896:H1898" si="207">F1896*(G1896+1)</f>
        <v>0.56238</v>
      </c>
      <c r="I1896" s="74">
        <f>+VLOOKUP(D1896,'材料表 '!C:F,3,0)</f>
        <v>26.1150442477876</v>
      </c>
      <c r="J1896" s="95">
        <f t="shared" ref="J1896:J1898" si="208">H1896*I1896</f>
        <v>14.6865785840708</v>
      </c>
      <c r="K1896" s="92">
        <f ca="1">H1896*K1879</f>
        <v>1.743378</v>
      </c>
      <c r="L1896" s="90"/>
      <c r="M1896" s="44"/>
      <c r="N1896" s="82"/>
      <c r="O1896" s="44"/>
      <c r="P1896" s="44"/>
      <c r="Q1896" s="44"/>
      <c r="R1896" s="84"/>
      <c r="S1896" s="47"/>
      <c r="T1896" s="47">
        <f>SUM(T1890:T1895)</f>
        <v>0.256</v>
      </c>
    </row>
    <row r="1897" s="27" customFormat="1" ht="18" customHeight="1" spans="1:20">
      <c r="A1897" s="34"/>
      <c r="B1897" s="48">
        <v>5</v>
      </c>
      <c r="C1897" s="48"/>
      <c r="D1897" s="88" t="s">
        <v>447</v>
      </c>
      <c r="E1897" s="72" t="str">
        <f>+VLOOKUP(D1897,'材料表 '!C:F,2,0)</f>
        <v>kg</v>
      </c>
      <c r="F1897" s="77">
        <f>+SUMIF($L$1880:$L$1918,D1897,$R$1880:$R$1918)</f>
        <v>2.251</v>
      </c>
      <c r="G1897" s="89">
        <f>+VLOOKUP(D1897,'材料表 '!C:F,4,0)</f>
        <v>0.03</v>
      </c>
      <c r="H1897" s="74">
        <f t="shared" si="207"/>
        <v>2.31853</v>
      </c>
      <c r="I1897" s="74">
        <f>+VLOOKUP(D1897,'材料表 '!C:F,3,0)</f>
        <v>24.4336283185841</v>
      </c>
      <c r="J1897" s="95">
        <f t="shared" si="208"/>
        <v>56.6501002654868</v>
      </c>
      <c r="K1897" s="92">
        <f ca="1">H1897*K1879</f>
        <v>7.187443</v>
      </c>
      <c r="L1897" s="92" t="s">
        <v>476</v>
      </c>
      <c r="M1897" s="44"/>
      <c r="N1897" s="82"/>
      <c r="O1897" s="44"/>
      <c r="P1897" s="44"/>
      <c r="Q1897" s="44">
        <f>10*8*(O1880*0+P1880*0)/500</f>
        <v>0</v>
      </c>
      <c r="R1897" s="84">
        <f>+Q1897/R1880</f>
        <v>0</v>
      </c>
      <c r="S1897" s="47"/>
      <c r="T1897" s="47"/>
    </row>
    <row r="1898" s="27" customFormat="1" ht="18" customHeight="1" spans="1:20">
      <c r="A1898" s="34"/>
      <c r="B1898" s="48">
        <v>6</v>
      </c>
      <c r="C1898" s="48"/>
      <c r="D1898" s="88" t="s">
        <v>434</v>
      </c>
      <c r="E1898" s="72" t="str">
        <f>+VLOOKUP(D1898,'材料表 '!C:F,2,0)</f>
        <v>m2</v>
      </c>
      <c r="F1898" s="77">
        <f>T1896/R1880</f>
        <v>0.256</v>
      </c>
      <c r="G1898" s="89">
        <f>+VLOOKUP(D1898,'材料表 '!C:F,4,0)</f>
        <v>0</v>
      </c>
      <c r="H1898" s="74">
        <f t="shared" si="207"/>
        <v>0.256</v>
      </c>
      <c r="I1898" s="74">
        <f>+VLOOKUP(D1898,'材料表 '!C:F,3,0)</f>
        <v>49.5575221238938</v>
      </c>
      <c r="J1898" s="95">
        <f t="shared" si="208"/>
        <v>12.6867256637168</v>
      </c>
      <c r="K1898" s="92">
        <f ca="1">H1898*K1879</f>
        <v>0.7936</v>
      </c>
      <c r="L1898" s="92"/>
      <c r="M1898" s="44"/>
      <c r="N1898" s="82"/>
      <c r="O1898" s="44"/>
      <c r="P1898" s="44"/>
      <c r="Q1898" s="44"/>
      <c r="R1898" s="84"/>
      <c r="S1898" s="47"/>
      <c r="T1898" s="47"/>
    </row>
    <row r="1899" s="27" customFormat="1" ht="18" customHeight="1" spans="1:20">
      <c r="A1899" s="34"/>
      <c r="B1899" s="48">
        <v>7</v>
      </c>
      <c r="C1899" s="48"/>
      <c r="D1899" s="88"/>
      <c r="E1899" s="72"/>
      <c r="F1899" s="77"/>
      <c r="G1899" s="89"/>
      <c r="H1899" s="74"/>
      <c r="I1899" s="74"/>
      <c r="J1899" s="95"/>
      <c r="K1899" s="92">
        <f ca="1">H1899*K1879</f>
        <v>0</v>
      </c>
      <c r="L1899" s="92"/>
      <c r="M1899" s="44"/>
      <c r="N1899" s="82"/>
      <c r="O1899" s="44"/>
      <c r="P1899" s="44"/>
      <c r="Q1899" s="44"/>
      <c r="R1899" s="84"/>
      <c r="S1899" s="47"/>
      <c r="T1899" s="47"/>
    </row>
    <row r="1900" s="27" customFormat="1" ht="18" customHeight="1" spans="1:20">
      <c r="A1900" s="34"/>
      <c r="B1900" s="48">
        <v>8</v>
      </c>
      <c r="C1900" s="48"/>
      <c r="D1900" s="88"/>
      <c r="E1900" s="72"/>
      <c r="F1900" s="77"/>
      <c r="G1900" s="89"/>
      <c r="H1900" s="74"/>
      <c r="I1900" s="74"/>
      <c r="J1900" s="95"/>
      <c r="K1900" s="92">
        <f ca="1">H1900*K1879</f>
        <v>0</v>
      </c>
      <c r="L1900" s="92"/>
      <c r="M1900" s="44"/>
      <c r="N1900" s="82"/>
      <c r="O1900" s="44"/>
      <c r="P1900" s="44"/>
      <c r="Q1900" s="44"/>
      <c r="R1900" s="84"/>
      <c r="S1900" s="47"/>
      <c r="T1900" s="47"/>
    </row>
    <row r="1901" s="27" customFormat="1" ht="18" customHeight="1" spans="1:20">
      <c r="A1901" s="34"/>
      <c r="B1901" s="48">
        <v>9</v>
      </c>
      <c r="C1901" s="48"/>
      <c r="D1901" s="88" t="s">
        <v>476</v>
      </c>
      <c r="E1901" s="72" t="str">
        <f>+VLOOKUP(D1901,'材料表 '!C:F,2,0)</f>
        <v>支</v>
      </c>
      <c r="F1901" s="77">
        <v>0</v>
      </c>
      <c r="G1901" s="89">
        <f>+VLOOKUP(D1901,'材料表 '!C:F,4,0)</f>
        <v>0.15</v>
      </c>
      <c r="H1901" s="74">
        <f>F1901*(G1901+1)</f>
        <v>0</v>
      </c>
      <c r="I1901" s="74">
        <f>+VLOOKUP(D1901,'材料表 '!C:F,3,0)</f>
        <v>11.5044247787611</v>
      </c>
      <c r="J1901" s="95">
        <f>H1901*I1901</f>
        <v>0</v>
      </c>
      <c r="K1901" s="92">
        <f ca="1">H1901*K1879</f>
        <v>0</v>
      </c>
      <c r="L1901" s="90"/>
      <c r="M1901" s="44"/>
      <c r="N1901" s="82"/>
      <c r="O1901" s="34"/>
      <c r="P1901" s="44"/>
      <c r="Q1901" s="44"/>
      <c r="R1901" s="119"/>
      <c r="S1901" s="47"/>
      <c r="T1901" s="47"/>
    </row>
    <row r="1902" s="27" customFormat="1" ht="23" customHeight="1" spans="1:20">
      <c r="A1902" s="34"/>
      <c r="B1902" s="48">
        <v>10</v>
      </c>
      <c r="C1902" s="48"/>
      <c r="D1902" s="88" t="s">
        <v>500</v>
      </c>
      <c r="E1902" s="72" t="str">
        <f>+VLOOKUP(D1902,'材料表 '!C:F,2,0)</f>
        <v>kg</v>
      </c>
      <c r="F1902" s="77">
        <f>F1896+F1897</f>
        <v>2.797</v>
      </c>
      <c r="G1902" s="89">
        <f>+VLOOKUP(D1902,'材料表 '!C:F,4,0)</f>
        <v>0.03</v>
      </c>
      <c r="H1902" s="74">
        <f>F1902*(G1902+1)</f>
        <v>2.88091</v>
      </c>
      <c r="I1902" s="74">
        <f>+VLOOKUP(D1902,'材料表 '!C:F,3,0)</f>
        <v>14.1592920353982</v>
      </c>
      <c r="J1902" s="95">
        <f>H1902*I1902</f>
        <v>40.791646017699</v>
      </c>
      <c r="K1902" s="92">
        <f ca="1">H1902*K1879</f>
        <v>8.930821</v>
      </c>
      <c r="L1902" s="92"/>
      <c r="M1902" s="120"/>
      <c r="N1902" s="82"/>
      <c r="O1902" s="44"/>
      <c r="P1902" s="44"/>
      <c r="Q1902" s="44"/>
      <c r="R1902" s="84"/>
      <c r="S1902" s="47"/>
      <c r="T1902" s="47"/>
    </row>
    <row r="1903" s="27" customFormat="1" ht="20" customHeight="1" spans="1:20">
      <c r="A1903" s="34"/>
      <c r="B1903" s="48">
        <v>11</v>
      </c>
      <c r="C1903" s="48"/>
      <c r="D1903" s="88"/>
      <c r="E1903" s="72"/>
      <c r="F1903" s="77"/>
      <c r="G1903" s="89"/>
      <c r="H1903" s="74"/>
      <c r="I1903" s="74"/>
      <c r="J1903" s="95"/>
      <c r="K1903" s="92">
        <f ca="1">H1903*K1879</f>
        <v>0</v>
      </c>
      <c r="L1903" s="92"/>
      <c r="M1903" s="44"/>
      <c r="N1903" s="82"/>
      <c r="O1903" s="44"/>
      <c r="P1903" s="44"/>
      <c r="Q1903" s="44"/>
      <c r="R1903" s="84"/>
      <c r="S1903" s="47"/>
      <c r="T1903" s="47"/>
    </row>
    <row r="1904" s="27" customFormat="1" ht="24" customHeight="1" spans="1:20">
      <c r="A1904" s="34"/>
      <c r="B1904" s="48">
        <v>12</v>
      </c>
      <c r="C1904" s="48"/>
      <c r="D1904" s="127"/>
      <c r="E1904" s="72"/>
      <c r="F1904" s="128"/>
      <c r="G1904" s="89"/>
      <c r="H1904" s="74"/>
      <c r="I1904" s="74"/>
      <c r="J1904" s="95"/>
      <c r="K1904" s="92">
        <f ca="1">H1904*K1879</f>
        <v>0</v>
      </c>
      <c r="L1904" s="92"/>
      <c r="M1904" s="44"/>
      <c r="N1904" s="44"/>
      <c r="O1904" s="44"/>
      <c r="P1904" s="44"/>
      <c r="Q1904" s="44"/>
      <c r="R1904" s="84"/>
      <c r="S1904" s="47"/>
      <c r="T1904" s="47"/>
    </row>
    <row r="1905" s="27" customFormat="1" ht="18" customHeight="1" spans="1:20">
      <c r="A1905" s="34"/>
      <c r="B1905" s="48">
        <v>13</v>
      </c>
      <c r="C1905" s="48"/>
      <c r="D1905" s="88"/>
      <c r="E1905" s="72"/>
      <c r="F1905" s="77"/>
      <c r="G1905" s="89"/>
      <c r="H1905" s="74"/>
      <c r="I1905" s="74"/>
      <c r="J1905" s="95"/>
      <c r="K1905" s="92">
        <f ca="1">H1905*K1879</f>
        <v>0</v>
      </c>
      <c r="L1905" s="92"/>
      <c r="M1905" s="44"/>
      <c r="N1905" s="44"/>
      <c r="O1905" s="44"/>
      <c r="P1905" s="44"/>
      <c r="Q1905" s="44"/>
      <c r="R1905" s="84"/>
      <c r="S1905" s="47"/>
      <c r="T1905" s="47"/>
    </row>
    <row r="1906" s="27" customFormat="1" ht="24" customHeight="1" spans="1:20">
      <c r="A1906" s="34"/>
      <c r="B1906" s="48">
        <v>14</v>
      </c>
      <c r="C1906" s="48"/>
      <c r="D1906" s="88"/>
      <c r="E1906" s="72"/>
      <c r="F1906" s="77"/>
      <c r="G1906" s="89"/>
      <c r="H1906" s="74"/>
      <c r="I1906" s="74"/>
      <c r="J1906" s="95"/>
      <c r="K1906" s="92">
        <f ca="1">H1906*K1879</f>
        <v>0</v>
      </c>
      <c r="L1906" s="92"/>
      <c r="M1906" s="44"/>
      <c r="N1906" s="44"/>
      <c r="O1906" s="44"/>
      <c r="P1906" s="44"/>
      <c r="Q1906" s="44"/>
      <c r="R1906" s="84"/>
      <c r="S1906" s="47"/>
      <c r="T1906" s="47"/>
    </row>
    <row r="1907" s="27" customFormat="1" ht="18" customHeight="1" spans="1:20">
      <c r="A1907" s="34"/>
      <c r="B1907" s="48">
        <v>15</v>
      </c>
      <c r="C1907" s="48"/>
      <c r="D1907" s="88"/>
      <c r="E1907" s="72"/>
      <c r="F1907" s="77"/>
      <c r="G1907" s="89"/>
      <c r="H1907" s="74"/>
      <c r="I1907" s="74"/>
      <c r="J1907" s="95"/>
      <c r="K1907" s="92"/>
      <c r="L1907" s="92"/>
      <c r="M1907" s="44"/>
      <c r="N1907" s="44"/>
      <c r="O1907" s="44"/>
      <c r="P1907" s="44"/>
      <c r="Q1907" s="44"/>
      <c r="R1907" s="84"/>
      <c r="S1907" s="47"/>
      <c r="T1907" s="47"/>
    </row>
    <row r="1908" s="27" customFormat="1" ht="18" customHeight="1" spans="1:20">
      <c r="A1908" s="34"/>
      <c r="B1908" s="48">
        <v>16</v>
      </c>
      <c r="C1908" s="48"/>
      <c r="D1908" s="88"/>
      <c r="E1908" s="72"/>
      <c r="F1908" s="77"/>
      <c r="G1908" s="89"/>
      <c r="H1908" s="74"/>
      <c r="I1908" s="74"/>
      <c r="J1908" s="95"/>
      <c r="K1908" s="92"/>
      <c r="L1908" s="92"/>
      <c r="M1908" s="44"/>
      <c r="N1908" s="44"/>
      <c r="O1908" s="44"/>
      <c r="P1908" s="44"/>
      <c r="Q1908" s="44"/>
      <c r="R1908" s="84"/>
      <c r="S1908" s="47"/>
      <c r="T1908" s="47"/>
    </row>
    <row r="1909" s="27" customFormat="1" ht="18" customHeight="1" spans="1:20">
      <c r="A1909" s="34"/>
      <c r="B1909" s="48">
        <v>17</v>
      </c>
      <c r="C1909" s="48"/>
      <c r="D1909" s="121"/>
      <c r="E1909" s="72"/>
      <c r="F1909" s="77"/>
      <c r="G1909" s="89"/>
      <c r="H1909" s="74"/>
      <c r="I1909" s="74"/>
      <c r="J1909" s="95"/>
      <c r="K1909" s="92"/>
      <c r="L1909" s="92"/>
      <c r="M1909" s="44"/>
      <c r="N1909" s="44"/>
      <c r="O1909" s="44"/>
      <c r="P1909" s="44"/>
      <c r="Q1909" s="101"/>
      <c r="R1909" s="84"/>
      <c r="S1909" s="47"/>
      <c r="T1909" s="47"/>
    </row>
    <row r="1910" s="27" customFormat="1" ht="18" customHeight="1" spans="1:20">
      <c r="A1910" s="34"/>
      <c r="B1910" s="48">
        <v>18</v>
      </c>
      <c r="C1910" s="48"/>
      <c r="D1910" s="88"/>
      <c r="E1910" s="72"/>
      <c r="F1910" s="77"/>
      <c r="G1910" s="89"/>
      <c r="H1910" s="74"/>
      <c r="I1910" s="74"/>
      <c r="J1910" s="95"/>
      <c r="K1910" s="92"/>
      <c r="L1910" s="92"/>
      <c r="M1910" s="44"/>
      <c r="N1910" s="44"/>
      <c r="O1910" s="44"/>
      <c r="P1910" s="44"/>
      <c r="Q1910" s="44"/>
      <c r="R1910" s="84"/>
      <c r="S1910" s="47"/>
      <c r="T1910" s="47"/>
    </row>
    <row r="1911" s="27" customFormat="1" ht="18" customHeight="1" spans="1:20">
      <c r="A1911" s="34"/>
      <c r="B1911" s="48">
        <v>19</v>
      </c>
      <c r="C1911" s="48"/>
      <c r="D1911" s="27"/>
      <c r="E1911" s="72"/>
      <c r="F1911" s="77"/>
      <c r="G1911" s="89"/>
      <c r="H1911" s="74"/>
      <c r="I1911" s="74"/>
      <c r="J1911" s="95"/>
      <c r="K1911" s="92"/>
      <c r="L1911" s="92"/>
      <c r="M1911" s="44"/>
      <c r="N1911" s="44"/>
      <c r="O1911" s="44"/>
      <c r="P1911" s="44"/>
      <c r="Q1911" s="44"/>
      <c r="R1911" s="84"/>
      <c r="S1911" s="47"/>
      <c r="T1911" s="47"/>
    </row>
    <row r="1912" s="27" customFormat="1" ht="18" customHeight="1" spans="1:20">
      <c r="A1912" s="34"/>
      <c r="B1912" s="48">
        <v>20</v>
      </c>
      <c r="C1912" s="48"/>
      <c r="D1912" s="88"/>
      <c r="E1912" s="72"/>
      <c r="F1912" s="77"/>
      <c r="G1912" s="89"/>
      <c r="H1912" s="74"/>
      <c r="I1912" s="74"/>
      <c r="J1912" s="95"/>
      <c r="K1912" s="92"/>
      <c r="L1912" s="92"/>
      <c r="M1912" s="44"/>
      <c r="N1912" s="44"/>
      <c r="O1912" s="44"/>
      <c r="P1912" s="44"/>
      <c r="Q1912" s="44"/>
      <c r="R1912" s="84"/>
      <c r="S1912" s="47"/>
      <c r="T1912" s="47"/>
    </row>
    <row r="1913" s="27" customFormat="1" ht="18" customHeight="1" spans="1:20">
      <c r="A1913" s="34"/>
      <c r="B1913" s="48">
        <v>21</v>
      </c>
      <c r="C1913" s="48"/>
      <c r="D1913" s="88"/>
      <c r="E1913" s="72"/>
      <c r="F1913" s="77"/>
      <c r="G1913" s="89"/>
      <c r="H1913" s="74"/>
      <c r="I1913" s="74"/>
      <c r="J1913" s="95"/>
      <c r="K1913" s="92"/>
      <c r="L1913" s="92"/>
      <c r="M1913" s="44"/>
      <c r="N1913" s="44"/>
      <c r="O1913" s="44"/>
      <c r="P1913" s="44"/>
      <c r="Q1913" s="44"/>
      <c r="R1913" s="84"/>
      <c r="S1913" s="47"/>
      <c r="T1913" s="47"/>
    </row>
    <row r="1914" s="27" customFormat="1" ht="18" customHeight="1" spans="1:20">
      <c r="A1914" s="34"/>
      <c r="B1914" s="48">
        <v>22</v>
      </c>
      <c r="C1914" s="48"/>
      <c r="D1914" s="27"/>
      <c r="E1914" s="72"/>
      <c r="F1914" s="77"/>
      <c r="G1914" s="72"/>
      <c r="H1914" s="74"/>
      <c r="I1914" s="74"/>
      <c r="J1914" s="95"/>
      <c r="K1914" s="92"/>
      <c r="L1914" s="92"/>
      <c r="M1914" s="44"/>
      <c r="N1914" s="44"/>
      <c r="O1914" s="44"/>
      <c r="P1914" s="44"/>
      <c r="Q1914" s="44"/>
      <c r="R1914" s="62"/>
      <c r="S1914" s="47"/>
      <c r="T1914" s="47"/>
    </row>
    <row r="1915" s="27" customFormat="1" ht="18" customHeight="1" spans="1:20">
      <c r="A1915" s="34"/>
      <c r="B1915" s="48">
        <v>23</v>
      </c>
      <c r="C1915" s="48"/>
      <c r="D1915" s="88"/>
      <c r="E1915" s="72"/>
      <c r="F1915" s="77"/>
      <c r="G1915" s="89"/>
      <c r="H1915" s="74"/>
      <c r="I1915" s="74"/>
      <c r="J1915" s="95"/>
      <c r="K1915" s="92"/>
      <c r="L1915" s="92"/>
      <c r="M1915" s="44"/>
      <c r="N1915" s="44"/>
      <c r="O1915" s="44"/>
      <c r="P1915" s="44"/>
      <c r="Q1915" s="44"/>
      <c r="R1915" s="62"/>
      <c r="S1915" s="47"/>
      <c r="T1915" s="47"/>
    </row>
    <row r="1916" s="27" customFormat="1" ht="18" customHeight="1" spans="1:20">
      <c r="A1916" s="34"/>
      <c r="B1916" s="48">
        <v>24</v>
      </c>
      <c r="C1916" s="48"/>
      <c r="D1916" s="88" t="s">
        <v>478</v>
      </c>
      <c r="E1916" s="72" t="s">
        <v>109</v>
      </c>
      <c r="F1916" s="77"/>
      <c r="G1916" s="72">
        <v>1</v>
      </c>
      <c r="H1916" s="74">
        <v>1</v>
      </c>
      <c r="I1916" s="74">
        <f>+辅材及安装费!$E$12</f>
        <v>2</v>
      </c>
      <c r="J1916" s="95">
        <f>H1916*I1916</f>
        <v>2</v>
      </c>
      <c r="K1916" s="92"/>
      <c r="L1916" s="92"/>
      <c r="M1916" s="44"/>
      <c r="N1916" s="44"/>
      <c r="O1916" s="44"/>
      <c r="P1916" s="44"/>
      <c r="Q1916" s="44"/>
      <c r="R1916" s="62"/>
      <c r="S1916" s="47"/>
      <c r="T1916" s="47"/>
    </row>
    <row r="1917" s="27" customFormat="1" ht="18" customHeight="1" spans="1:20">
      <c r="A1917" s="34"/>
      <c r="B1917" s="48">
        <v>25</v>
      </c>
      <c r="C1917" s="48"/>
      <c r="D1917" s="93" t="s">
        <v>442</v>
      </c>
      <c r="E1917" s="72"/>
      <c r="F1917" s="77"/>
      <c r="G1917" s="72"/>
      <c r="H1917" s="74"/>
      <c r="I1917" s="74"/>
      <c r="J1917" s="95">
        <f>SUM(J1893:J1916)</f>
        <v>126.815050530973</v>
      </c>
      <c r="K1917" s="92"/>
      <c r="L1917" s="94"/>
      <c r="M1917" s="27"/>
      <c r="N1917" s="83"/>
      <c r="O1917" s="83"/>
      <c r="P1917" s="83"/>
      <c r="Q1917" s="83"/>
      <c r="R1917" s="87"/>
      <c r="S1917" s="47"/>
      <c r="T1917" s="47"/>
    </row>
    <row r="1918" s="27" customFormat="1" ht="18" customHeight="1" spans="1:20">
      <c r="A1918" s="34"/>
      <c r="B1918" s="48">
        <v>1</v>
      </c>
      <c r="C1918" s="48" t="s">
        <v>443</v>
      </c>
      <c r="D1918" s="48" t="s">
        <v>444</v>
      </c>
      <c r="E1918" s="72" t="s">
        <v>109</v>
      </c>
      <c r="F1918" s="50"/>
      <c r="G1918" s="48"/>
      <c r="H1918" s="51">
        <v>1</v>
      </c>
      <c r="I1918" s="74">
        <f>+辅材及安装费!$F$12</f>
        <v>1</v>
      </c>
      <c r="J1918" s="95">
        <f>H1918*I1918</f>
        <v>1</v>
      </c>
      <c r="K1918" s="118"/>
      <c r="L1918" s="96"/>
      <c r="M1918" s="97"/>
      <c r="N1918" s="98"/>
      <c r="O1918" s="98"/>
      <c r="P1918" s="98"/>
      <c r="Q1918" s="98"/>
      <c r="R1918" s="99"/>
      <c r="S1918" s="47"/>
      <c r="T1918" s="47"/>
    </row>
    <row r="1919" s="26" customFormat="1" ht="30" customHeight="1" spans="1:20">
      <c r="A1919" s="28"/>
      <c r="B1919" s="29" t="s">
        <v>386</v>
      </c>
      <c r="C1919" s="29"/>
      <c r="D1919" s="29"/>
      <c r="E1919" s="29"/>
      <c r="F1919" s="29"/>
      <c r="G1919" s="29"/>
      <c r="H1919" s="29"/>
      <c r="I1919" s="29"/>
      <c r="J1919" s="29"/>
      <c r="K1919" s="29"/>
      <c r="L1919" s="30"/>
      <c r="M1919" s="31"/>
      <c r="N1919" s="31"/>
      <c r="O1919" s="31"/>
      <c r="P1919" s="31"/>
      <c r="Q1919" s="31"/>
      <c r="R1919" s="32"/>
      <c r="S1919" s="33"/>
      <c r="T1919" s="33"/>
    </row>
    <row r="1920" s="27" customFormat="1" ht="33.75" customHeight="1" spans="1:20">
      <c r="A1920" s="34">
        <v>9</v>
      </c>
      <c r="B1920" s="35" t="s">
        <v>1</v>
      </c>
      <c r="C1920" s="35" t="s">
        <v>387</v>
      </c>
      <c r="D1920" s="36" t="str">
        <f>+A1928</f>
        <v>铝合金线条9（50*40）香槟色</v>
      </c>
      <c r="E1920" s="37"/>
      <c r="F1920" s="38"/>
      <c r="G1920" s="39"/>
      <c r="H1920" s="35" t="s">
        <v>388</v>
      </c>
      <c r="I1920" s="40" t="s">
        <v>389</v>
      </c>
      <c r="J1920" s="41" t="s">
        <v>37</v>
      </c>
      <c r="K1920" s="42">
        <f ca="1">VLOOKUP(A1920,排屋工程量清单!A:D,4,)</f>
        <v>1.575</v>
      </c>
      <c r="L1920" s="43"/>
      <c r="M1920" s="44"/>
      <c r="N1920" s="44"/>
      <c r="O1920" s="44"/>
      <c r="P1920" s="45"/>
      <c r="Q1920" s="44"/>
      <c r="R1920" s="46"/>
      <c r="S1920" s="47"/>
      <c r="T1920" s="47"/>
    </row>
    <row r="1921" s="27" customFormat="1" ht="25" customHeight="1" spans="1:20">
      <c r="A1921" s="34"/>
      <c r="B1921" s="48">
        <v>1</v>
      </c>
      <c r="C1921" s="49" t="s">
        <v>390</v>
      </c>
      <c r="D1921" s="48" t="s">
        <v>391</v>
      </c>
      <c r="E1921" s="48"/>
      <c r="F1921" s="50"/>
      <c r="G1921" s="48"/>
      <c r="H1921" s="51"/>
      <c r="I1921" s="52">
        <f>J1933</f>
        <v>15</v>
      </c>
      <c r="J1921" s="53" t="s">
        <v>392</v>
      </c>
      <c r="K1921" s="54"/>
      <c r="L1921" s="55"/>
      <c r="M1921" s="56"/>
      <c r="N1921" s="57"/>
      <c r="O1921" s="57">
        <v>1</v>
      </c>
      <c r="P1921" s="57">
        <v>1</v>
      </c>
      <c r="Q1921" s="57">
        <v>1</v>
      </c>
      <c r="R1921" s="58">
        <f>+Q1921*P1921*O1921</f>
        <v>1</v>
      </c>
      <c r="S1921" s="47"/>
      <c r="T1921" s="47"/>
    </row>
    <row r="1922" s="27" customFormat="1" ht="18" customHeight="1" spans="1:20">
      <c r="A1922" s="34"/>
      <c r="B1922" s="48">
        <v>2</v>
      </c>
      <c r="C1922" s="59"/>
      <c r="D1922" s="48" t="s">
        <v>394</v>
      </c>
      <c r="E1922" s="48"/>
      <c r="F1922" s="50"/>
      <c r="G1922" s="48"/>
      <c r="H1922" s="51"/>
      <c r="I1922" s="52">
        <f>J1958</f>
        <v>38.2018899300885</v>
      </c>
      <c r="J1922" s="53" t="s">
        <v>392</v>
      </c>
      <c r="K1922" s="60"/>
      <c r="L1922" s="61"/>
      <c r="M1922" s="44"/>
      <c r="N1922" s="44"/>
      <c r="O1922" s="44"/>
      <c r="P1922" s="44"/>
      <c r="Q1922" s="44"/>
      <c r="R1922" s="62"/>
      <c r="S1922" s="47"/>
      <c r="T1922" s="47"/>
    </row>
    <row r="1923" s="27" customFormat="1" ht="18" customHeight="1" spans="1:20">
      <c r="A1923" s="34"/>
      <c r="B1923" s="48">
        <v>3</v>
      </c>
      <c r="C1923" s="63"/>
      <c r="D1923" s="48" t="s">
        <v>395</v>
      </c>
      <c r="E1923" s="48"/>
      <c r="F1923" s="50"/>
      <c r="G1923" s="48"/>
      <c r="H1923" s="51"/>
      <c r="I1923" s="52">
        <f>J1959</f>
        <v>1</v>
      </c>
      <c r="J1923" s="53" t="s">
        <v>392</v>
      </c>
      <c r="K1923" s="60"/>
      <c r="L1923" s="60"/>
      <c r="M1923" s="65" t="s">
        <v>396</v>
      </c>
      <c r="N1923" s="65" t="s">
        <v>397</v>
      </c>
      <c r="O1923" s="65" t="s">
        <v>398</v>
      </c>
      <c r="P1923" s="65" t="s">
        <v>399</v>
      </c>
      <c r="Q1923" s="65" t="s">
        <v>400</v>
      </c>
      <c r="R1923" s="66" t="s">
        <v>401</v>
      </c>
      <c r="S1923" s="47"/>
      <c r="T1923" s="47"/>
    </row>
    <row r="1924" s="27" customFormat="1" ht="18" customHeight="1" spans="1:20">
      <c r="A1924" s="34"/>
      <c r="B1924" s="48">
        <v>4</v>
      </c>
      <c r="C1924" s="48" t="s">
        <v>402</v>
      </c>
      <c r="D1924" s="67" t="s">
        <v>403</v>
      </c>
      <c r="E1924" s="67"/>
      <c r="F1924" s="50"/>
      <c r="G1924" s="67"/>
      <c r="H1924" s="68"/>
      <c r="I1924" s="52">
        <f>SUM(I1921:I1923)</f>
        <v>54.2018899300885</v>
      </c>
      <c r="J1924" s="53" t="s">
        <v>392</v>
      </c>
      <c r="K1924" s="60"/>
      <c r="L1924" s="69"/>
      <c r="M1924" s="34"/>
      <c r="N1924" s="34"/>
      <c r="O1924" s="34"/>
      <c r="P1924" s="34"/>
      <c r="Q1924" s="44"/>
      <c r="R1924" s="71"/>
      <c r="S1924" s="47"/>
      <c r="T1924" s="47"/>
    </row>
    <row r="1925" s="27" customFormat="1" ht="28" customHeight="1" spans="1:20">
      <c r="A1925" s="34"/>
      <c r="B1925" s="48">
        <v>5</v>
      </c>
      <c r="C1925" s="72" t="s">
        <v>406</v>
      </c>
      <c r="D1925" s="48" t="s">
        <v>407</v>
      </c>
      <c r="E1925" s="48"/>
      <c r="F1925" s="50"/>
      <c r="G1925" s="48"/>
      <c r="H1925" s="73">
        <f>+'材料表 '!$E$178</f>
        <v>0</v>
      </c>
      <c r="I1925" s="52">
        <f>H1925*I1924</f>
        <v>0</v>
      </c>
      <c r="J1925" s="53" t="s">
        <v>392</v>
      </c>
      <c r="K1925" s="60"/>
      <c r="L1925" s="69"/>
      <c r="M1925" s="34"/>
      <c r="N1925" s="102"/>
      <c r="O1925" s="34"/>
      <c r="P1925" s="34"/>
      <c r="Q1925" s="44"/>
      <c r="R1925" s="71"/>
      <c r="S1925" s="47"/>
      <c r="T1925" s="47"/>
    </row>
    <row r="1926" s="27" customFormat="1" ht="18" customHeight="1" spans="1:20">
      <c r="A1926" s="34"/>
      <c r="B1926" s="48">
        <v>6</v>
      </c>
      <c r="C1926" s="48" t="s">
        <v>409</v>
      </c>
      <c r="D1926" s="48" t="s">
        <v>410</v>
      </c>
      <c r="E1926" s="48"/>
      <c r="F1926" s="50"/>
      <c r="G1926" s="48"/>
      <c r="H1926" s="73">
        <f>+'材料表 '!$E$179</f>
        <v>0</v>
      </c>
      <c r="I1926" s="52">
        <f>H1926*I1924</f>
        <v>0</v>
      </c>
      <c r="J1926" s="53" t="s">
        <v>392</v>
      </c>
      <c r="K1926" s="60"/>
      <c r="L1926" s="69"/>
      <c r="M1926" s="34"/>
      <c r="N1926" s="34"/>
      <c r="O1926" s="34"/>
      <c r="P1926" s="34"/>
      <c r="Q1926" s="44"/>
      <c r="R1926" s="71"/>
      <c r="S1926" s="47"/>
      <c r="T1926" s="47"/>
    </row>
    <row r="1927" s="27" customFormat="1" ht="18" customHeight="1" spans="1:20">
      <c r="A1927" s="34"/>
      <c r="B1927" s="48">
        <v>7</v>
      </c>
      <c r="C1927" s="48" t="s">
        <v>412</v>
      </c>
      <c r="D1927" s="72" t="s">
        <v>413</v>
      </c>
      <c r="E1927" s="72"/>
      <c r="F1927" s="77"/>
      <c r="G1927" s="72"/>
      <c r="H1927" s="73">
        <f>+'材料表 '!$E$180</f>
        <v>0.09</v>
      </c>
      <c r="I1927" s="52">
        <f>(I1924+I1925+I1926)*H1927</f>
        <v>4.87817009370797</v>
      </c>
      <c r="J1927" s="53" t="s">
        <v>392</v>
      </c>
      <c r="K1927" s="60"/>
      <c r="L1927" s="69"/>
      <c r="M1927" s="34"/>
      <c r="N1927" s="34"/>
      <c r="O1927" s="34"/>
      <c r="P1927" s="34"/>
      <c r="Q1927" s="44"/>
      <c r="R1927" s="71"/>
      <c r="S1927" s="47"/>
      <c r="T1927" s="47"/>
    </row>
    <row r="1928" s="27" customFormat="1" ht="18" customHeight="1" spans="1:20">
      <c r="A1928" s="105" t="s">
        <v>191</v>
      </c>
      <c r="B1928" s="48">
        <v>8</v>
      </c>
      <c r="C1928" s="48" t="s">
        <v>363</v>
      </c>
      <c r="D1928" s="106" t="s">
        <v>415</v>
      </c>
      <c r="E1928" s="107"/>
      <c r="F1928" s="108"/>
      <c r="G1928" s="107"/>
      <c r="H1928" s="51"/>
      <c r="I1928" s="74">
        <f>SUM(I1924:I1927)</f>
        <v>59.0800600237965</v>
      </c>
      <c r="J1928" s="53" t="s">
        <v>484</v>
      </c>
      <c r="K1928" s="60"/>
      <c r="L1928" s="69"/>
      <c r="M1928" s="34"/>
      <c r="N1928" s="126"/>
      <c r="O1928" s="34"/>
      <c r="P1928" s="44"/>
      <c r="Q1928" s="44"/>
      <c r="R1928" s="84"/>
      <c r="S1928" s="79"/>
      <c r="T1928" s="47"/>
    </row>
    <row r="1929" s="27" customFormat="1" ht="18" customHeight="1" spans="1:20">
      <c r="A1929" s="34"/>
      <c r="B1929" s="109" t="s">
        <v>418</v>
      </c>
      <c r="C1929" s="110"/>
      <c r="D1929" s="110"/>
      <c r="E1929" s="110"/>
      <c r="F1929" s="110"/>
      <c r="G1929" s="110"/>
      <c r="H1929" s="110"/>
      <c r="I1929" s="110"/>
      <c r="J1929" s="110"/>
      <c r="K1929" s="80"/>
      <c r="L1929" s="69"/>
      <c r="M1929" s="70"/>
      <c r="N1929" s="34"/>
      <c r="O1929" s="34"/>
      <c r="P1929" s="34"/>
      <c r="Q1929" s="44"/>
      <c r="R1929" s="71"/>
      <c r="S1929" s="47"/>
      <c r="T1929" s="47"/>
    </row>
    <row r="1930" s="27" customFormat="1" ht="18" customHeight="1" spans="1:20">
      <c r="A1930" s="34"/>
      <c r="B1930" s="48">
        <v>1</v>
      </c>
      <c r="C1930" s="48" t="s">
        <v>391</v>
      </c>
      <c r="D1930" s="48" t="s">
        <v>396</v>
      </c>
      <c r="E1930" s="48" t="s">
        <v>37</v>
      </c>
      <c r="F1930" s="50"/>
      <c r="G1930" s="48"/>
      <c r="H1930" s="51" t="s">
        <v>399</v>
      </c>
      <c r="I1930" s="51" t="s">
        <v>420</v>
      </c>
      <c r="J1930" s="95" t="s">
        <v>421</v>
      </c>
      <c r="K1930" s="92"/>
      <c r="L1930" s="69" t="s">
        <v>433</v>
      </c>
      <c r="M1930" s="70" t="s">
        <v>567</v>
      </c>
      <c r="N1930" s="34">
        <f>0.083*2.71</f>
        <v>0.22493</v>
      </c>
      <c r="O1930" s="34">
        <v>1</v>
      </c>
      <c r="P1930" s="34">
        <v>1</v>
      </c>
      <c r="Q1930" s="44">
        <f t="shared" ref="Q1930:Q1932" si="209">+P1930*O1930*N1930</f>
        <v>0.22493</v>
      </c>
      <c r="R1930" s="71">
        <f>+Q1930/R1921</f>
        <v>0.22493</v>
      </c>
      <c r="S1930" s="47"/>
      <c r="T1930" s="47"/>
    </row>
    <row r="1931" s="27" customFormat="1" ht="18" customHeight="1" spans="1:20">
      <c r="A1931" s="34"/>
      <c r="B1931" s="48">
        <v>2</v>
      </c>
      <c r="C1931" s="48"/>
      <c r="D1931" s="111" t="s">
        <v>568</v>
      </c>
      <c r="E1931" s="49" t="s">
        <v>109</v>
      </c>
      <c r="F1931" s="112"/>
      <c r="G1931" s="111"/>
      <c r="H1931" s="113">
        <v>1</v>
      </c>
      <c r="I1931" s="113">
        <f>+辅材及安装费!$G$12</f>
        <v>15</v>
      </c>
      <c r="J1931" s="114">
        <f>H1931*I1931</f>
        <v>15</v>
      </c>
      <c r="K1931" s="92"/>
      <c r="L1931" s="34" t="s">
        <v>447</v>
      </c>
      <c r="M1931" s="70" t="s">
        <v>569</v>
      </c>
      <c r="N1931" s="34">
        <f>0.344*2.71</f>
        <v>0.93224</v>
      </c>
      <c r="O1931" s="34">
        <v>1</v>
      </c>
      <c r="P1931" s="34">
        <v>1</v>
      </c>
      <c r="Q1931" s="44">
        <f t="shared" si="209"/>
        <v>0.93224</v>
      </c>
      <c r="R1931" s="71">
        <f>+Q1931/R1921</f>
        <v>0.93224</v>
      </c>
      <c r="S1931" s="47">
        <v>0.135</v>
      </c>
      <c r="T1931" s="47">
        <f>O1931*S1931</f>
        <v>0.135</v>
      </c>
    </row>
    <row r="1932" s="27" customFormat="1" ht="18" customHeight="1" spans="1:20">
      <c r="A1932" s="34"/>
      <c r="B1932" s="48">
        <v>3</v>
      </c>
      <c r="C1932" s="48"/>
      <c r="D1932" s="115"/>
      <c r="E1932" s="63"/>
      <c r="F1932" s="116"/>
      <c r="G1932" s="115"/>
      <c r="H1932" s="117"/>
      <c r="I1932" s="117"/>
      <c r="J1932" s="118"/>
      <c r="K1932" s="92"/>
      <c r="L1932" s="90" t="s">
        <v>447</v>
      </c>
      <c r="M1932" s="70"/>
      <c r="N1932" s="82"/>
      <c r="O1932" s="44"/>
      <c r="P1932" s="44">
        <v>1</v>
      </c>
      <c r="Q1932" s="44">
        <f t="shared" si="209"/>
        <v>0</v>
      </c>
      <c r="R1932" s="84">
        <f>Q1932/R1921</f>
        <v>0</v>
      </c>
      <c r="S1932" s="47"/>
      <c r="T1932" s="47">
        <f>S1932*O1932*P1932</f>
        <v>0</v>
      </c>
    </row>
    <row r="1933" s="27" customFormat="1" ht="18" customHeight="1" spans="1:20">
      <c r="A1933" s="34"/>
      <c r="B1933" s="48">
        <v>4</v>
      </c>
      <c r="C1933" s="48"/>
      <c r="D1933" s="85" t="s">
        <v>426</v>
      </c>
      <c r="E1933" s="48" t="s">
        <v>392</v>
      </c>
      <c r="F1933" s="50"/>
      <c r="G1933" s="48"/>
      <c r="H1933" s="86"/>
      <c r="I1933" s="86"/>
      <c r="J1933" s="95">
        <f>SUM(J1931:J1931)</f>
        <v>15</v>
      </c>
      <c r="K1933" s="92"/>
      <c r="L1933" s="90"/>
      <c r="M1933" s="44"/>
      <c r="N1933" s="82"/>
      <c r="O1933" s="44"/>
      <c r="P1933" s="44"/>
      <c r="Q1933" s="44"/>
      <c r="R1933" s="84"/>
      <c r="S1933" s="47"/>
      <c r="T1933" s="47"/>
    </row>
    <row r="1934" s="27" customFormat="1" ht="22" customHeight="1" spans="1:20">
      <c r="A1934" s="34"/>
      <c r="B1934" s="48">
        <v>1</v>
      </c>
      <c r="C1934" s="48" t="s">
        <v>394</v>
      </c>
      <c r="D1934" s="88"/>
      <c r="E1934" s="72"/>
      <c r="F1934" s="77"/>
      <c r="G1934" s="89"/>
      <c r="H1934" s="74"/>
      <c r="I1934" s="74"/>
      <c r="J1934" s="95"/>
      <c r="K1934" s="92">
        <f ca="1">H1934*K1920</f>
        <v>0</v>
      </c>
      <c r="L1934" s="90"/>
      <c r="M1934" s="44"/>
      <c r="N1934" s="82"/>
      <c r="O1934" s="44"/>
      <c r="P1934" s="44"/>
      <c r="Q1934" s="44"/>
      <c r="R1934" s="84"/>
      <c r="S1934" s="47"/>
      <c r="T1934" s="47"/>
    </row>
    <row r="1935" s="27" customFormat="1" ht="18" customHeight="1" spans="1:20">
      <c r="A1935" s="34"/>
      <c r="B1935" s="48">
        <v>2</v>
      </c>
      <c r="C1935" s="48"/>
      <c r="D1935" s="88"/>
      <c r="E1935" s="72"/>
      <c r="F1935" s="77"/>
      <c r="G1935" s="89"/>
      <c r="H1935" s="74"/>
      <c r="I1935" s="74"/>
      <c r="J1935" s="95"/>
      <c r="K1935" s="92">
        <f ca="1">H1935*K1920</f>
        <v>0</v>
      </c>
      <c r="L1935" s="90"/>
      <c r="M1935" s="44"/>
      <c r="N1935" s="82"/>
      <c r="O1935" s="44"/>
      <c r="P1935" s="44"/>
      <c r="Q1935" s="44"/>
      <c r="R1935" s="84"/>
      <c r="S1935" s="47"/>
      <c r="T1935" s="47"/>
    </row>
    <row r="1936" s="27" customFormat="1" ht="18" customHeight="1" spans="1:20">
      <c r="A1936" s="34"/>
      <c r="B1936" s="48">
        <v>3</v>
      </c>
      <c r="C1936" s="48"/>
      <c r="D1936" s="88"/>
      <c r="E1936" s="72"/>
      <c r="F1936" s="77"/>
      <c r="G1936" s="89"/>
      <c r="H1936" s="74"/>
      <c r="I1936" s="74"/>
      <c r="J1936" s="95"/>
      <c r="K1936" s="92">
        <f ca="1">H1936*K1920</f>
        <v>0</v>
      </c>
      <c r="L1936" s="90"/>
      <c r="M1936" s="44"/>
      <c r="N1936" s="82"/>
      <c r="O1936" s="44"/>
      <c r="P1936" s="44"/>
      <c r="Q1936" s="44"/>
      <c r="R1936" s="84"/>
      <c r="S1936" s="47"/>
      <c r="T1936" s="47"/>
    </row>
    <row r="1937" s="27" customFormat="1" ht="18" customHeight="1" spans="1:20">
      <c r="A1937" s="34"/>
      <c r="B1937" s="48">
        <v>4</v>
      </c>
      <c r="C1937" s="48"/>
      <c r="D1937" s="88" t="s">
        <v>433</v>
      </c>
      <c r="E1937" s="72" t="str">
        <f>+VLOOKUP(D1937,'材料表 '!C:F,2,0)</f>
        <v>kg</v>
      </c>
      <c r="F1937" s="77">
        <f>+SUMIF($L$1921:$L$1959,D1937,$R$1921:$R$1959)</f>
        <v>0.22493</v>
      </c>
      <c r="G1937" s="89">
        <f>+VLOOKUP(D1937,'材料表 '!C:F,4,0)</f>
        <v>0.03</v>
      </c>
      <c r="H1937" s="74">
        <f t="shared" ref="H1937:H1939" si="210">F1937*(G1937+1)</f>
        <v>0.2316779</v>
      </c>
      <c r="I1937" s="74">
        <f>+VLOOKUP(D1937,'材料表 '!C:F,3,0)</f>
        <v>26.1150442477876</v>
      </c>
      <c r="J1937" s="95">
        <f t="shared" ref="J1937:J1939" si="211">H1937*I1937</f>
        <v>6.05027860973451</v>
      </c>
      <c r="K1937" s="92">
        <f ca="1">H1937*K1920</f>
        <v>0.3648926925</v>
      </c>
      <c r="L1937" s="90"/>
      <c r="M1937" s="44"/>
      <c r="N1937" s="82"/>
      <c r="O1937" s="44"/>
      <c r="P1937" s="44"/>
      <c r="Q1937" s="44"/>
      <c r="R1937" s="84"/>
      <c r="S1937" s="47"/>
      <c r="T1937" s="47">
        <f>SUM(T1931:T1936)</f>
        <v>0.135</v>
      </c>
    </row>
    <row r="1938" s="27" customFormat="1" ht="18" customHeight="1" spans="1:20">
      <c r="A1938" s="34"/>
      <c r="B1938" s="48">
        <v>5</v>
      </c>
      <c r="C1938" s="48"/>
      <c r="D1938" s="88" t="s">
        <v>447</v>
      </c>
      <c r="E1938" s="72" t="str">
        <f>+VLOOKUP(D1938,'材料表 '!C:F,2,0)</f>
        <v>kg</v>
      </c>
      <c r="F1938" s="77">
        <f>+SUMIF($L$1921:$L$1959,D1938,$R$1921:$R$1959)</f>
        <v>0.93224</v>
      </c>
      <c r="G1938" s="89">
        <f>+VLOOKUP(D1938,'材料表 '!C:F,4,0)</f>
        <v>0.03</v>
      </c>
      <c r="H1938" s="74">
        <f t="shared" si="210"/>
        <v>0.9602072</v>
      </c>
      <c r="I1938" s="74">
        <f>+VLOOKUP(D1938,'材料表 '!C:F,3,0)</f>
        <v>24.4336283185841</v>
      </c>
      <c r="J1938" s="95">
        <f t="shared" si="211"/>
        <v>23.4613458336283</v>
      </c>
      <c r="K1938" s="92">
        <f ca="1">H1938*K1920</f>
        <v>1.51232634</v>
      </c>
      <c r="L1938" s="92" t="s">
        <v>476</v>
      </c>
      <c r="M1938" s="44"/>
      <c r="N1938" s="82"/>
      <c r="O1938" s="44"/>
      <c r="P1938" s="44"/>
      <c r="Q1938" s="44">
        <f>10*8*(O1921*0+P1921*0)/500</f>
        <v>0</v>
      </c>
      <c r="R1938" s="84">
        <f>+Q1938/R1921</f>
        <v>0</v>
      </c>
      <c r="S1938" s="47"/>
      <c r="T1938" s="47"/>
    </row>
    <row r="1939" s="27" customFormat="1" ht="18" customHeight="1" spans="1:20">
      <c r="A1939" s="34"/>
      <c r="B1939" s="48">
        <v>6</v>
      </c>
      <c r="C1939" s="48"/>
      <c r="D1939" s="88" t="s">
        <v>434</v>
      </c>
      <c r="E1939" s="72" t="str">
        <f>+VLOOKUP(D1939,'材料表 '!C:F,2,0)</f>
        <v>m2</v>
      </c>
      <c r="F1939" s="77">
        <f>T1937/R1921</f>
        <v>0.135</v>
      </c>
      <c r="G1939" s="89">
        <f>+VLOOKUP(D1939,'材料表 '!C:F,4,0)</f>
        <v>0</v>
      </c>
      <c r="H1939" s="74">
        <f t="shared" si="210"/>
        <v>0.135</v>
      </c>
      <c r="I1939" s="74">
        <f>+VLOOKUP(D1939,'材料表 '!C:F,3,0)</f>
        <v>49.5575221238938</v>
      </c>
      <c r="J1939" s="95">
        <f t="shared" si="211"/>
        <v>6.69026548672566</v>
      </c>
      <c r="K1939" s="92">
        <f ca="1">H1939*K1920</f>
        <v>0.212625</v>
      </c>
      <c r="L1939" s="92"/>
      <c r="M1939" s="44"/>
      <c r="N1939" s="82"/>
      <c r="O1939" s="44"/>
      <c r="P1939" s="44"/>
      <c r="Q1939" s="44"/>
      <c r="R1939" s="84"/>
      <c r="S1939" s="47"/>
      <c r="T1939" s="47"/>
    </row>
    <row r="1940" s="27" customFormat="1" ht="18" customHeight="1" spans="1:20">
      <c r="A1940" s="34"/>
      <c r="B1940" s="48">
        <v>7</v>
      </c>
      <c r="C1940" s="48"/>
      <c r="D1940" s="88"/>
      <c r="E1940" s="72"/>
      <c r="F1940" s="77"/>
      <c r="G1940" s="89"/>
      <c r="H1940" s="74"/>
      <c r="I1940" s="74"/>
      <c r="J1940" s="95"/>
      <c r="K1940" s="92">
        <f ca="1">H1940*K1920</f>
        <v>0</v>
      </c>
      <c r="L1940" s="92"/>
      <c r="M1940" s="44"/>
      <c r="N1940" s="82"/>
      <c r="O1940" s="44"/>
      <c r="P1940" s="44"/>
      <c r="Q1940" s="44"/>
      <c r="R1940" s="84"/>
      <c r="S1940" s="47"/>
      <c r="T1940" s="47"/>
    </row>
    <row r="1941" s="27" customFormat="1" ht="18" customHeight="1" spans="1:20">
      <c r="A1941" s="34"/>
      <c r="B1941" s="48">
        <v>8</v>
      </c>
      <c r="C1941" s="48"/>
      <c r="D1941" s="88"/>
      <c r="E1941" s="72"/>
      <c r="F1941" s="77"/>
      <c r="G1941" s="89"/>
      <c r="H1941" s="74"/>
      <c r="I1941" s="74"/>
      <c r="J1941" s="95"/>
      <c r="K1941" s="92">
        <f ca="1">H1941*K1920</f>
        <v>0</v>
      </c>
      <c r="L1941" s="92"/>
      <c r="M1941" s="44"/>
      <c r="N1941" s="82"/>
      <c r="O1941" s="44"/>
      <c r="P1941" s="44"/>
      <c r="Q1941" s="44"/>
      <c r="R1941" s="84"/>
      <c r="S1941" s="47"/>
      <c r="T1941" s="47"/>
    </row>
    <row r="1942" s="27" customFormat="1" ht="18" customHeight="1" spans="1:20">
      <c r="A1942" s="34"/>
      <c r="B1942" s="48">
        <v>9</v>
      </c>
      <c r="C1942" s="48"/>
      <c r="D1942" s="88" t="s">
        <v>476</v>
      </c>
      <c r="E1942" s="72" t="str">
        <f>+VLOOKUP(D1942,'材料表 '!C:F,2,0)</f>
        <v>支</v>
      </c>
      <c r="F1942" s="77">
        <v>0</v>
      </c>
      <c r="G1942" s="89">
        <f>+VLOOKUP(D1942,'材料表 '!C:F,4,0)</f>
        <v>0.15</v>
      </c>
      <c r="H1942" s="74">
        <f>F1942*(G1942+1)</f>
        <v>0</v>
      </c>
      <c r="I1942" s="74">
        <f>+VLOOKUP(D1942,'材料表 '!C:F,3,0)</f>
        <v>11.5044247787611</v>
      </c>
      <c r="J1942" s="95">
        <f>H1942*I1942</f>
        <v>0</v>
      </c>
      <c r="K1942" s="92">
        <f ca="1">H1942*K1920</f>
        <v>0</v>
      </c>
      <c r="L1942" s="90"/>
      <c r="M1942" s="44"/>
      <c r="N1942" s="82"/>
      <c r="O1942" s="34"/>
      <c r="P1942" s="44"/>
      <c r="Q1942" s="44"/>
      <c r="R1942" s="119"/>
      <c r="S1942" s="47"/>
      <c r="T1942" s="47"/>
    </row>
    <row r="1943" s="27" customFormat="1" ht="23" customHeight="1" spans="1:20">
      <c r="A1943" s="34"/>
      <c r="B1943" s="48">
        <v>10</v>
      </c>
      <c r="C1943" s="48"/>
      <c r="D1943" s="88"/>
      <c r="E1943" s="72"/>
      <c r="F1943" s="77"/>
      <c r="G1943" s="89"/>
      <c r="H1943" s="74"/>
      <c r="I1943" s="74"/>
      <c r="J1943" s="95"/>
      <c r="K1943" s="92">
        <f ca="1">H1943*K1920</f>
        <v>0</v>
      </c>
      <c r="L1943" s="92"/>
      <c r="M1943" s="120"/>
      <c r="N1943" s="82"/>
      <c r="O1943" s="44"/>
      <c r="P1943" s="44"/>
      <c r="Q1943" s="44"/>
      <c r="R1943" s="84"/>
      <c r="S1943" s="47"/>
      <c r="T1943" s="47"/>
    </row>
    <row r="1944" s="27" customFormat="1" ht="20" customHeight="1" spans="1:20">
      <c r="A1944" s="34"/>
      <c r="B1944" s="48">
        <v>11</v>
      </c>
      <c r="C1944" s="48"/>
      <c r="D1944" s="88"/>
      <c r="E1944" s="72"/>
      <c r="F1944" s="77"/>
      <c r="G1944" s="89"/>
      <c r="H1944" s="74"/>
      <c r="I1944" s="74"/>
      <c r="J1944" s="95"/>
      <c r="K1944" s="92">
        <f ca="1">H1944*K1920</f>
        <v>0</v>
      </c>
      <c r="L1944" s="92"/>
      <c r="M1944" s="44"/>
      <c r="N1944" s="82"/>
      <c r="O1944" s="44"/>
      <c r="P1944" s="44"/>
      <c r="Q1944" s="44"/>
      <c r="R1944" s="84"/>
      <c r="S1944" s="47"/>
      <c r="T1944" s="47"/>
    </row>
    <row r="1945" s="27" customFormat="1" ht="24" customHeight="1" spans="1:20">
      <c r="A1945" s="34"/>
      <c r="B1945" s="48">
        <v>12</v>
      </c>
      <c r="C1945" s="48"/>
      <c r="D1945" s="127"/>
      <c r="E1945" s="72"/>
      <c r="F1945" s="128"/>
      <c r="G1945" s="89"/>
      <c r="H1945" s="74"/>
      <c r="I1945" s="74"/>
      <c r="J1945" s="95"/>
      <c r="K1945" s="92">
        <f ca="1">H1945*K1920</f>
        <v>0</v>
      </c>
      <c r="L1945" s="92"/>
      <c r="M1945" s="44"/>
      <c r="N1945" s="44"/>
      <c r="O1945" s="44"/>
      <c r="P1945" s="44"/>
      <c r="Q1945" s="44"/>
      <c r="R1945" s="84"/>
      <c r="S1945" s="47"/>
      <c r="T1945" s="47"/>
    </row>
    <row r="1946" s="27" customFormat="1" ht="18" customHeight="1" spans="1:20">
      <c r="A1946" s="34"/>
      <c r="B1946" s="48">
        <v>13</v>
      </c>
      <c r="C1946" s="48"/>
      <c r="D1946" s="88"/>
      <c r="E1946" s="72"/>
      <c r="F1946" s="77"/>
      <c r="G1946" s="89"/>
      <c r="H1946" s="74"/>
      <c r="I1946" s="74"/>
      <c r="J1946" s="95"/>
      <c r="K1946" s="92">
        <f ca="1">H1946*K1920</f>
        <v>0</v>
      </c>
      <c r="L1946" s="92"/>
      <c r="M1946" s="44"/>
      <c r="N1946" s="44"/>
      <c r="O1946" s="44"/>
      <c r="P1946" s="44"/>
      <c r="Q1946" s="44"/>
      <c r="R1946" s="84"/>
      <c r="S1946" s="47"/>
      <c r="T1946" s="47"/>
    </row>
    <row r="1947" s="27" customFormat="1" ht="24" customHeight="1" spans="1:20">
      <c r="A1947" s="34"/>
      <c r="B1947" s="48">
        <v>14</v>
      </c>
      <c r="C1947" s="48"/>
      <c r="D1947" s="88"/>
      <c r="E1947" s="72"/>
      <c r="F1947" s="77"/>
      <c r="G1947" s="89"/>
      <c r="H1947" s="74"/>
      <c r="I1947" s="74"/>
      <c r="J1947" s="95"/>
      <c r="K1947" s="92">
        <f ca="1">H1947*K1920</f>
        <v>0</v>
      </c>
      <c r="L1947" s="92"/>
      <c r="M1947" s="44"/>
      <c r="N1947" s="44"/>
      <c r="O1947" s="44"/>
      <c r="P1947" s="44"/>
      <c r="Q1947" s="44"/>
      <c r="R1947" s="84"/>
      <c r="S1947" s="47"/>
      <c r="T1947" s="47"/>
    </row>
    <row r="1948" s="27" customFormat="1" ht="18" customHeight="1" spans="1:20">
      <c r="A1948" s="34"/>
      <c r="B1948" s="48">
        <v>15</v>
      </c>
      <c r="C1948" s="48"/>
      <c r="D1948" s="88"/>
      <c r="E1948" s="72"/>
      <c r="F1948" s="77"/>
      <c r="G1948" s="89"/>
      <c r="H1948" s="74"/>
      <c r="I1948" s="74"/>
      <c r="J1948" s="95"/>
      <c r="K1948" s="92"/>
      <c r="L1948" s="92"/>
      <c r="M1948" s="44"/>
      <c r="N1948" s="44"/>
      <c r="O1948" s="44"/>
      <c r="P1948" s="44"/>
      <c r="Q1948" s="44"/>
      <c r="R1948" s="84"/>
      <c r="S1948" s="47"/>
      <c r="T1948" s="47"/>
    </row>
    <row r="1949" s="27" customFormat="1" ht="18" customHeight="1" spans="1:20">
      <c r="A1949" s="34"/>
      <c r="B1949" s="48">
        <v>16</v>
      </c>
      <c r="C1949" s="48"/>
      <c r="D1949" s="88"/>
      <c r="E1949" s="72"/>
      <c r="F1949" s="77"/>
      <c r="G1949" s="89"/>
      <c r="H1949" s="74"/>
      <c r="I1949" s="74"/>
      <c r="J1949" s="95"/>
      <c r="K1949" s="92"/>
      <c r="L1949" s="92"/>
      <c r="M1949" s="44"/>
      <c r="N1949" s="44"/>
      <c r="O1949" s="44"/>
      <c r="P1949" s="44"/>
      <c r="Q1949" s="44"/>
      <c r="R1949" s="84"/>
      <c r="S1949" s="47"/>
      <c r="T1949" s="47"/>
    </row>
    <row r="1950" s="27" customFormat="1" ht="18" customHeight="1" spans="1:20">
      <c r="A1950" s="34"/>
      <c r="B1950" s="48">
        <v>17</v>
      </c>
      <c r="C1950" s="48"/>
      <c r="D1950" s="121"/>
      <c r="E1950" s="72"/>
      <c r="F1950" s="77"/>
      <c r="G1950" s="89"/>
      <c r="H1950" s="74"/>
      <c r="I1950" s="74"/>
      <c r="J1950" s="95"/>
      <c r="K1950" s="92"/>
      <c r="L1950" s="92"/>
      <c r="M1950" s="44"/>
      <c r="N1950" s="44"/>
      <c r="O1950" s="44"/>
      <c r="P1950" s="44"/>
      <c r="Q1950" s="101"/>
      <c r="R1950" s="84"/>
      <c r="S1950" s="47"/>
      <c r="T1950" s="47"/>
    </row>
    <row r="1951" s="27" customFormat="1" ht="18" customHeight="1" spans="1:20">
      <c r="A1951" s="34"/>
      <c r="B1951" s="48">
        <v>18</v>
      </c>
      <c r="C1951" s="48"/>
      <c r="D1951" s="88"/>
      <c r="E1951" s="72"/>
      <c r="F1951" s="77"/>
      <c r="G1951" s="89"/>
      <c r="H1951" s="74"/>
      <c r="I1951" s="74"/>
      <c r="J1951" s="95"/>
      <c r="K1951" s="92"/>
      <c r="L1951" s="92"/>
      <c r="M1951" s="44"/>
      <c r="N1951" s="44"/>
      <c r="O1951" s="44"/>
      <c r="P1951" s="44"/>
      <c r="Q1951" s="44"/>
      <c r="R1951" s="84"/>
      <c r="S1951" s="47"/>
      <c r="T1951" s="47"/>
    </row>
    <row r="1952" s="27" customFormat="1" ht="18" customHeight="1" spans="1:20">
      <c r="A1952" s="34"/>
      <c r="B1952" s="48">
        <v>19</v>
      </c>
      <c r="C1952" s="48"/>
      <c r="D1952" s="27"/>
      <c r="E1952" s="72"/>
      <c r="F1952" s="77"/>
      <c r="G1952" s="89"/>
      <c r="H1952" s="74"/>
      <c r="I1952" s="74"/>
      <c r="J1952" s="95"/>
      <c r="K1952" s="92"/>
      <c r="L1952" s="92"/>
      <c r="M1952" s="44"/>
      <c r="N1952" s="44"/>
      <c r="O1952" s="44"/>
      <c r="P1952" s="44"/>
      <c r="Q1952" s="44"/>
      <c r="R1952" s="84"/>
      <c r="S1952" s="47"/>
      <c r="T1952" s="47"/>
    </row>
    <row r="1953" s="27" customFormat="1" ht="18" customHeight="1" spans="1:20">
      <c r="A1953" s="34"/>
      <c r="B1953" s="48">
        <v>20</v>
      </c>
      <c r="C1953" s="48"/>
      <c r="D1953" s="88"/>
      <c r="E1953" s="72"/>
      <c r="F1953" s="77"/>
      <c r="G1953" s="89"/>
      <c r="H1953" s="74"/>
      <c r="I1953" s="74"/>
      <c r="J1953" s="95"/>
      <c r="K1953" s="92"/>
      <c r="L1953" s="92"/>
      <c r="M1953" s="44"/>
      <c r="N1953" s="44"/>
      <c r="O1953" s="44"/>
      <c r="P1953" s="44"/>
      <c r="Q1953" s="44"/>
      <c r="R1953" s="84"/>
      <c r="S1953" s="47"/>
      <c r="T1953" s="47"/>
    </row>
    <row r="1954" s="27" customFormat="1" ht="18" customHeight="1" spans="1:20">
      <c r="A1954" s="34"/>
      <c r="B1954" s="48">
        <v>21</v>
      </c>
      <c r="C1954" s="48"/>
      <c r="D1954" s="88"/>
      <c r="E1954" s="72"/>
      <c r="F1954" s="77"/>
      <c r="G1954" s="89"/>
      <c r="H1954" s="74"/>
      <c r="I1954" s="74"/>
      <c r="J1954" s="95"/>
      <c r="K1954" s="92"/>
      <c r="L1954" s="92"/>
      <c r="M1954" s="44"/>
      <c r="N1954" s="44"/>
      <c r="O1954" s="44"/>
      <c r="P1954" s="44"/>
      <c r="Q1954" s="44"/>
      <c r="R1954" s="84"/>
      <c r="S1954" s="47"/>
      <c r="T1954" s="47"/>
    </row>
    <row r="1955" s="27" customFormat="1" ht="18" customHeight="1" spans="1:20">
      <c r="A1955" s="34"/>
      <c r="B1955" s="48">
        <v>22</v>
      </c>
      <c r="C1955" s="48"/>
      <c r="D1955" s="27"/>
      <c r="E1955" s="72"/>
      <c r="F1955" s="77"/>
      <c r="G1955" s="72"/>
      <c r="H1955" s="74"/>
      <c r="I1955" s="74"/>
      <c r="J1955" s="95"/>
      <c r="K1955" s="92"/>
      <c r="L1955" s="92"/>
      <c r="M1955" s="44"/>
      <c r="N1955" s="44"/>
      <c r="O1955" s="44"/>
      <c r="P1955" s="44"/>
      <c r="Q1955" s="44"/>
      <c r="R1955" s="62"/>
      <c r="S1955" s="47"/>
      <c r="T1955" s="47"/>
    </row>
    <row r="1956" s="27" customFormat="1" ht="18" customHeight="1" spans="1:20">
      <c r="A1956" s="34"/>
      <c r="B1956" s="48">
        <v>23</v>
      </c>
      <c r="C1956" s="48"/>
      <c r="D1956" s="88"/>
      <c r="E1956" s="72"/>
      <c r="F1956" s="77"/>
      <c r="G1956" s="89"/>
      <c r="H1956" s="74"/>
      <c r="I1956" s="74"/>
      <c r="J1956" s="95"/>
      <c r="K1956" s="92"/>
      <c r="L1956" s="92"/>
      <c r="M1956" s="44"/>
      <c r="N1956" s="44"/>
      <c r="O1956" s="44"/>
      <c r="P1956" s="44"/>
      <c r="Q1956" s="44"/>
      <c r="R1956" s="62"/>
      <c r="S1956" s="47"/>
      <c r="T1956" s="47"/>
    </row>
    <row r="1957" s="27" customFormat="1" ht="18" customHeight="1" spans="1:20">
      <c r="A1957" s="34"/>
      <c r="B1957" s="48">
        <v>24</v>
      </c>
      <c r="C1957" s="48"/>
      <c r="D1957" s="88" t="s">
        <v>478</v>
      </c>
      <c r="E1957" s="72" t="s">
        <v>109</v>
      </c>
      <c r="F1957" s="77"/>
      <c r="G1957" s="72">
        <v>1</v>
      </c>
      <c r="H1957" s="74">
        <v>1</v>
      </c>
      <c r="I1957" s="74">
        <f>+辅材及安装费!$E$12</f>
        <v>2</v>
      </c>
      <c r="J1957" s="95">
        <f>H1957*I1957</f>
        <v>2</v>
      </c>
      <c r="K1957" s="92"/>
      <c r="L1957" s="92"/>
      <c r="M1957" s="44"/>
      <c r="N1957" s="44"/>
      <c r="O1957" s="44"/>
      <c r="P1957" s="44"/>
      <c r="Q1957" s="44"/>
      <c r="R1957" s="62"/>
      <c r="S1957" s="47"/>
      <c r="T1957" s="47"/>
    </row>
    <row r="1958" s="27" customFormat="1" ht="18" customHeight="1" spans="1:20">
      <c r="A1958" s="34"/>
      <c r="B1958" s="48">
        <v>25</v>
      </c>
      <c r="C1958" s="48"/>
      <c r="D1958" s="93" t="s">
        <v>442</v>
      </c>
      <c r="E1958" s="72"/>
      <c r="F1958" s="77"/>
      <c r="G1958" s="72"/>
      <c r="H1958" s="74"/>
      <c r="I1958" s="74"/>
      <c r="J1958" s="95">
        <f>SUM(J1934:J1957)</f>
        <v>38.2018899300885</v>
      </c>
      <c r="K1958" s="92"/>
      <c r="L1958" s="94"/>
      <c r="M1958" s="27"/>
      <c r="N1958" s="83"/>
      <c r="O1958" s="83"/>
      <c r="P1958" s="83"/>
      <c r="Q1958" s="83"/>
      <c r="R1958" s="87"/>
      <c r="S1958" s="47"/>
      <c r="T1958" s="47"/>
    </row>
    <row r="1959" s="27" customFormat="1" ht="18" customHeight="1" spans="1:20">
      <c r="A1959" s="34"/>
      <c r="B1959" s="48">
        <v>1</v>
      </c>
      <c r="C1959" s="48" t="s">
        <v>443</v>
      </c>
      <c r="D1959" s="48" t="s">
        <v>444</v>
      </c>
      <c r="E1959" s="72" t="s">
        <v>109</v>
      </c>
      <c r="F1959" s="50"/>
      <c r="G1959" s="48"/>
      <c r="H1959" s="51">
        <v>1</v>
      </c>
      <c r="I1959" s="74">
        <f>+辅材及安装费!$F$12</f>
        <v>1</v>
      </c>
      <c r="J1959" s="95">
        <f>H1959*I1959</f>
        <v>1</v>
      </c>
      <c r="K1959" s="118"/>
      <c r="L1959" s="96"/>
      <c r="M1959" s="97"/>
      <c r="N1959" s="98"/>
      <c r="O1959" s="98"/>
      <c r="P1959" s="98"/>
      <c r="Q1959" s="98"/>
      <c r="R1959" s="99"/>
      <c r="S1959" s="47"/>
      <c r="T1959" s="47"/>
    </row>
    <row r="1960" s="26" customFormat="1" ht="30" customHeight="1" spans="1:20">
      <c r="A1960" s="28"/>
      <c r="B1960" s="29" t="s">
        <v>386</v>
      </c>
      <c r="C1960" s="29"/>
      <c r="D1960" s="29"/>
      <c r="E1960" s="29"/>
      <c r="F1960" s="29"/>
      <c r="G1960" s="29"/>
      <c r="H1960" s="29"/>
      <c r="I1960" s="29"/>
      <c r="J1960" s="29"/>
      <c r="K1960" s="29"/>
      <c r="L1960" s="30"/>
      <c r="M1960" s="31"/>
      <c r="N1960" s="31"/>
      <c r="O1960" s="31"/>
      <c r="P1960" s="31"/>
      <c r="Q1960" s="31"/>
      <c r="R1960" s="32"/>
      <c r="S1960" s="33"/>
      <c r="T1960" s="33"/>
    </row>
    <row r="1961" s="27" customFormat="1" ht="33.75" customHeight="1" spans="1:20">
      <c r="A1961" s="34">
        <v>10</v>
      </c>
      <c r="B1961" s="35" t="s">
        <v>1</v>
      </c>
      <c r="C1961" s="35" t="s">
        <v>387</v>
      </c>
      <c r="D1961" s="36" t="str">
        <f>+A1969</f>
        <v>铝合金线条10（50*40）香槟色圆弧</v>
      </c>
      <c r="E1961" s="37"/>
      <c r="F1961" s="38"/>
      <c r="G1961" s="39"/>
      <c r="H1961" s="35" t="s">
        <v>388</v>
      </c>
      <c r="I1961" s="40" t="s">
        <v>389</v>
      </c>
      <c r="J1961" s="41" t="s">
        <v>37</v>
      </c>
      <c r="K1961" s="42">
        <f ca="1">VLOOKUP(A1961,排屋工程量清单!A:D,4,)</f>
        <v>6.9</v>
      </c>
      <c r="L1961" s="43"/>
      <c r="M1961" s="44"/>
      <c r="N1961" s="44"/>
      <c r="O1961" s="44"/>
      <c r="P1961" s="45"/>
      <c r="Q1961" s="44"/>
      <c r="R1961" s="46"/>
      <c r="S1961" s="47"/>
      <c r="T1961" s="47"/>
    </row>
    <row r="1962" s="27" customFormat="1" ht="25" customHeight="1" spans="1:20">
      <c r="A1962" s="34"/>
      <c r="B1962" s="48">
        <v>1</v>
      </c>
      <c r="C1962" s="49" t="s">
        <v>390</v>
      </c>
      <c r="D1962" s="48" t="s">
        <v>391</v>
      </c>
      <c r="E1962" s="48"/>
      <c r="F1962" s="50"/>
      <c r="G1962" s="48"/>
      <c r="H1962" s="51"/>
      <c r="I1962" s="52">
        <f>J1974</f>
        <v>15</v>
      </c>
      <c r="J1962" s="53" t="s">
        <v>392</v>
      </c>
      <c r="K1962" s="54"/>
      <c r="L1962" s="55"/>
      <c r="M1962" s="56"/>
      <c r="N1962" s="57"/>
      <c r="O1962" s="57">
        <v>1</v>
      </c>
      <c r="P1962" s="57">
        <v>1</v>
      </c>
      <c r="Q1962" s="57">
        <v>1</v>
      </c>
      <c r="R1962" s="58">
        <f>+Q1962*P1962*O1962</f>
        <v>1</v>
      </c>
      <c r="S1962" s="47"/>
      <c r="T1962" s="47"/>
    </row>
    <row r="1963" s="27" customFormat="1" ht="18" customHeight="1" spans="1:20">
      <c r="A1963" s="34"/>
      <c r="B1963" s="48">
        <v>2</v>
      </c>
      <c r="C1963" s="59"/>
      <c r="D1963" s="48" t="s">
        <v>394</v>
      </c>
      <c r="E1963" s="48"/>
      <c r="F1963" s="50"/>
      <c r="G1963" s="48"/>
      <c r="H1963" s="51"/>
      <c r="I1963" s="52">
        <f>J1999</f>
        <v>55.0781391336283</v>
      </c>
      <c r="J1963" s="53" t="s">
        <v>392</v>
      </c>
      <c r="K1963" s="60"/>
      <c r="L1963" s="61"/>
      <c r="M1963" s="44"/>
      <c r="N1963" s="44"/>
      <c r="O1963" s="44"/>
      <c r="P1963" s="44"/>
      <c r="Q1963" s="44"/>
      <c r="R1963" s="62"/>
      <c r="S1963" s="47"/>
      <c r="T1963" s="47"/>
    </row>
    <row r="1964" s="27" customFormat="1" ht="18" customHeight="1" spans="1:20">
      <c r="A1964" s="34"/>
      <c r="B1964" s="48">
        <v>3</v>
      </c>
      <c r="C1964" s="63"/>
      <c r="D1964" s="48" t="s">
        <v>395</v>
      </c>
      <c r="E1964" s="48"/>
      <c r="F1964" s="50"/>
      <c r="G1964" s="48"/>
      <c r="H1964" s="51"/>
      <c r="I1964" s="52">
        <f>J2000</f>
        <v>1</v>
      </c>
      <c r="J1964" s="53" t="s">
        <v>392</v>
      </c>
      <c r="K1964" s="60"/>
      <c r="L1964" s="60"/>
      <c r="M1964" s="65" t="s">
        <v>396</v>
      </c>
      <c r="N1964" s="65" t="s">
        <v>397</v>
      </c>
      <c r="O1964" s="65" t="s">
        <v>398</v>
      </c>
      <c r="P1964" s="65" t="s">
        <v>399</v>
      </c>
      <c r="Q1964" s="65" t="s">
        <v>400</v>
      </c>
      <c r="R1964" s="66" t="s">
        <v>401</v>
      </c>
      <c r="S1964" s="47"/>
      <c r="T1964" s="47"/>
    </row>
    <row r="1965" s="27" customFormat="1" ht="18" customHeight="1" spans="1:20">
      <c r="A1965" s="34"/>
      <c r="B1965" s="48">
        <v>4</v>
      </c>
      <c r="C1965" s="48" t="s">
        <v>402</v>
      </c>
      <c r="D1965" s="67" t="s">
        <v>403</v>
      </c>
      <c r="E1965" s="67"/>
      <c r="F1965" s="50"/>
      <c r="G1965" s="67"/>
      <c r="H1965" s="68"/>
      <c r="I1965" s="52">
        <f>SUM(I1962:I1964)</f>
        <v>71.0781391336283</v>
      </c>
      <c r="J1965" s="53" t="s">
        <v>392</v>
      </c>
      <c r="K1965" s="60"/>
      <c r="L1965" s="69"/>
      <c r="M1965" s="34"/>
      <c r="N1965" s="34"/>
      <c r="O1965" s="34"/>
      <c r="P1965" s="34"/>
      <c r="Q1965" s="44"/>
      <c r="R1965" s="71"/>
      <c r="S1965" s="47"/>
      <c r="T1965" s="47"/>
    </row>
    <row r="1966" s="27" customFormat="1" ht="28" customHeight="1" spans="1:20">
      <c r="A1966" s="34"/>
      <c r="B1966" s="48">
        <v>5</v>
      </c>
      <c r="C1966" s="72" t="s">
        <v>406</v>
      </c>
      <c r="D1966" s="48" t="s">
        <v>407</v>
      </c>
      <c r="E1966" s="48"/>
      <c r="F1966" s="50"/>
      <c r="G1966" s="48"/>
      <c r="H1966" s="73">
        <f>+'材料表 '!$E$178</f>
        <v>0</v>
      </c>
      <c r="I1966" s="52">
        <f>H1966*I1965</f>
        <v>0</v>
      </c>
      <c r="J1966" s="53" t="s">
        <v>392</v>
      </c>
      <c r="K1966" s="60"/>
      <c r="L1966" s="69"/>
      <c r="M1966" s="34"/>
      <c r="N1966" s="102"/>
      <c r="O1966" s="34"/>
      <c r="P1966" s="34"/>
      <c r="Q1966" s="44"/>
      <c r="R1966" s="71"/>
      <c r="S1966" s="47"/>
      <c r="T1966" s="47"/>
    </row>
    <row r="1967" s="27" customFormat="1" ht="18" customHeight="1" spans="1:20">
      <c r="A1967" s="34"/>
      <c r="B1967" s="48">
        <v>6</v>
      </c>
      <c r="C1967" s="48" t="s">
        <v>409</v>
      </c>
      <c r="D1967" s="48" t="s">
        <v>410</v>
      </c>
      <c r="E1967" s="48"/>
      <c r="F1967" s="50"/>
      <c r="G1967" s="48"/>
      <c r="H1967" s="73">
        <f>+'材料表 '!$E$179</f>
        <v>0</v>
      </c>
      <c r="I1967" s="52">
        <f>H1967*I1965</f>
        <v>0</v>
      </c>
      <c r="J1967" s="53" t="s">
        <v>392</v>
      </c>
      <c r="K1967" s="60"/>
      <c r="L1967" s="69"/>
      <c r="M1967" s="34"/>
      <c r="N1967" s="34"/>
      <c r="O1967" s="34"/>
      <c r="P1967" s="34"/>
      <c r="Q1967" s="44"/>
      <c r="R1967" s="71"/>
      <c r="S1967" s="47"/>
      <c r="T1967" s="47"/>
    </row>
    <row r="1968" s="27" customFormat="1" ht="18" customHeight="1" spans="1:20">
      <c r="A1968" s="34"/>
      <c r="B1968" s="48">
        <v>7</v>
      </c>
      <c r="C1968" s="48" t="s">
        <v>412</v>
      </c>
      <c r="D1968" s="72" t="s">
        <v>413</v>
      </c>
      <c r="E1968" s="72"/>
      <c r="F1968" s="77"/>
      <c r="G1968" s="72"/>
      <c r="H1968" s="73">
        <f>+'材料表 '!$E$180</f>
        <v>0.09</v>
      </c>
      <c r="I1968" s="52">
        <f>(I1965+I1966+I1967)*H1968</f>
        <v>6.39703252202655</v>
      </c>
      <c r="J1968" s="53" t="s">
        <v>392</v>
      </c>
      <c r="K1968" s="60"/>
      <c r="L1968" s="69"/>
      <c r="M1968" s="34"/>
      <c r="N1968" s="34"/>
      <c r="O1968" s="34"/>
      <c r="P1968" s="34"/>
      <c r="Q1968" s="44"/>
      <c r="R1968" s="71"/>
      <c r="S1968" s="47"/>
      <c r="T1968" s="47"/>
    </row>
    <row r="1969" s="27" customFormat="1" ht="18" customHeight="1" spans="1:20">
      <c r="A1969" s="105" t="s">
        <v>193</v>
      </c>
      <c r="B1969" s="48">
        <v>8</v>
      </c>
      <c r="C1969" s="48" t="s">
        <v>363</v>
      </c>
      <c r="D1969" s="106" t="s">
        <v>415</v>
      </c>
      <c r="E1969" s="107"/>
      <c r="F1969" s="108"/>
      <c r="G1969" s="107"/>
      <c r="H1969" s="51"/>
      <c r="I1969" s="74">
        <f>SUM(I1965:I1968)</f>
        <v>77.4751716556549</v>
      </c>
      <c r="J1969" s="53" t="s">
        <v>484</v>
      </c>
      <c r="K1969" s="60"/>
      <c r="L1969" s="69"/>
      <c r="M1969" s="34"/>
      <c r="N1969" s="126"/>
      <c r="O1969" s="34"/>
      <c r="P1969" s="44"/>
      <c r="Q1969" s="44"/>
      <c r="R1969" s="84"/>
      <c r="S1969" s="79"/>
      <c r="T1969" s="47"/>
    </row>
    <row r="1970" s="27" customFormat="1" ht="18" customHeight="1" spans="1:20">
      <c r="A1970" s="34"/>
      <c r="B1970" s="109" t="s">
        <v>418</v>
      </c>
      <c r="C1970" s="110"/>
      <c r="D1970" s="110"/>
      <c r="E1970" s="110"/>
      <c r="F1970" s="110"/>
      <c r="G1970" s="110"/>
      <c r="H1970" s="110"/>
      <c r="I1970" s="110"/>
      <c r="J1970" s="110"/>
      <c r="K1970" s="80"/>
      <c r="L1970" s="69"/>
      <c r="M1970" s="70"/>
      <c r="N1970" s="34"/>
      <c r="O1970" s="34"/>
      <c r="P1970" s="34"/>
      <c r="Q1970" s="44"/>
      <c r="R1970" s="71"/>
      <c r="S1970" s="47"/>
      <c r="T1970" s="47"/>
    </row>
    <row r="1971" s="27" customFormat="1" ht="18" customHeight="1" spans="1:20">
      <c r="A1971" s="34"/>
      <c r="B1971" s="48">
        <v>1</v>
      </c>
      <c r="C1971" s="48" t="s">
        <v>391</v>
      </c>
      <c r="D1971" s="48" t="s">
        <v>396</v>
      </c>
      <c r="E1971" s="48" t="s">
        <v>37</v>
      </c>
      <c r="F1971" s="50"/>
      <c r="G1971" s="48"/>
      <c r="H1971" s="51" t="s">
        <v>399</v>
      </c>
      <c r="I1971" s="51" t="s">
        <v>420</v>
      </c>
      <c r="J1971" s="95" t="s">
        <v>421</v>
      </c>
      <c r="K1971" s="92"/>
      <c r="L1971" s="69" t="s">
        <v>433</v>
      </c>
      <c r="M1971" s="70" t="s">
        <v>567</v>
      </c>
      <c r="N1971" s="34">
        <f>0.083*2.71</f>
        <v>0.22493</v>
      </c>
      <c r="O1971" s="34">
        <v>1</v>
      </c>
      <c r="P1971" s="34">
        <v>1</v>
      </c>
      <c r="Q1971" s="44">
        <f t="shared" ref="Q1971:Q1973" si="212">+P1971*O1971*N1971</f>
        <v>0.22493</v>
      </c>
      <c r="R1971" s="71">
        <f>+Q1971/R1962</f>
        <v>0.22493</v>
      </c>
      <c r="S1971" s="47"/>
      <c r="T1971" s="47"/>
    </row>
    <row r="1972" s="27" customFormat="1" ht="18" customHeight="1" spans="1:20">
      <c r="A1972" s="34"/>
      <c r="B1972" s="48">
        <v>2</v>
      </c>
      <c r="C1972" s="48"/>
      <c r="D1972" s="111" t="s">
        <v>568</v>
      </c>
      <c r="E1972" s="49" t="s">
        <v>109</v>
      </c>
      <c r="F1972" s="112"/>
      <c r="G1972" s="111"/>
      <c r="H1972" s="113">
        <v>1</v>
      </c>
      <c r="I1972" s="113">
        <f>+辅材及安装费!$G$12</f>
        <v>15</v>
      </c>
      <c r="J1972" s="114">
        <f>H1972*I1972</f>
        <v>15</v>
      </c>
      <c r="K1972" s="92"/>
      <c r="L1972" s="34" t="s">
        <v>447</v>
      </c>
      <c r="M1972" s="70" t="s">
        <v>569</v>
      </c>
      <c r="N1972" s="34">
        <f>0.344*2.71</f>
        <v>0.93224</v>
      </c>
      <c r="O1972" s="34">
        <v>1</v>
      </c>
      <c r="P1972" s="34">
        <v>1</v>
      </c>
      <c r="Q1972" s="44">
        <f t="shared" si="212"/>
        <v>0.93224</v>
      </c>
      <c r="R1972" s="71">
        <f>+Q1972/R1962</f>
        <v>0.93224</v>
      </c>
      <c r="S1972" s="47">
        <v>0.135</v>
      </c>
      <c r="T1972" s="47">
        <f>O1972*S1972</f>
        <v>0.135</v>
      </c>
    </row>
    <row r="1973" s="27" customFormat="1" ht="18" customHeight="1" spans="1:20">
      <c r="A1973" s="34"/>
      <c r="B1973" s="48">
        <v>3</v>
      </c>
      <c r="C1973" s="48"/>
      <c r="D1973" s="115"/>
      <c r="E1973" s="63"/>
      <c r="F1973" s="116"/>
      <c r="G1973" s="115"/>
      <c r="H1973" s="117"/>
      <c r="I1973" s="117"/>
      <c r="J1973" s="118"/>
      <c r="K1973" s="92"/>
      <c r="L1973" s="90" t="s">
        <v>447</v>
      </c>
      <c r="M1973" s="70"/>
      <c r="N1973" s="82"/>
      <c r="O1973" s="44"/>
      <c r="P1973" s="44">
        <v>1</v>
      </c>
      <c r="Q1973" s="44">
        <f t="shared" si="212"/>
        <v>0</v>
      </c>
      <c r="R1973" s="84">
        <f>Q1973/R1962</f>
        <v>0</v>
      </c>
      <c r="S1973" s="47"/>
      <c r="T1973" s="47">
        <f>S1973*O1973*P1973</f>
        <v>0</v>
      </c>
    </row>
    <row r="1974" s="27" customFormat="1" ht="18" customHeight="1" spans="1:20">
      <c r="A1974" s="34"/>
      <c r="B1974" s="48">
        <v>4</v>
      </c>
      <c r="C1974" s="48"/>
      <c r="D1974" s="85" t="s">
        <v>426</v>
      </c>
      <c r="E1974" s="48" t="s">
        <v>392</v>
      </c>
      <c r="F1974" s="50"/>
      <c r="G1974" s="48"/>
      <c r="H1974" s="86"/>
      <c r="I1974" s="86"/>
      <c r="J1974" s="95">
        <f>SUM(J1972:J1972)</f>
        <v>15</v>
      </c>
      <c r="K1974" s="92"/>
      <c r="L1974" s="90"/>
      <c r="M1974" s="44"/>
      <c r="N1974" s="82"/>
      <c r="O1974" s="44"/>
      <c r="P1974" s="44"/>
      <c r="Q1974" s="44"/>
      <c r="R1974" s="84"/>
      <c r="S1974" s="47"/>
      <c r="T1974" s="47"/>
    </row>
    <row r="1975" s="27" customFormat="1" ht="22" customHeight="1" spans="1:20">
      <c r="A1975" s="34"/>
      <c r="B1975" s="48">
        <v>1</v>
      </c>
      <c r="C1975" s="48" t="s">
        <v>394</v>
      </c>
      <c r="D1975" s="88"/>
      <c r="E1975" s="72"/>
      <c r="F1975" s="77"/>
      <c r="G1975" s="89"/>
      <c r="H1975" s="74"/>
      <c r="I1975" s="74"/>
      <c r="J1975" s="95"/>
      <c r="K1975" s="92">
        <f ca="1">H1975*K1961</f>
        <v>0</v>
      </c>
      <c r="L1975" s="90"/>
      <c r="M1975" s="44"/>
      <c r="N1975" s="82"/>
      <c r="O1975" s="44"/>
      <c r="P1975" s="44"/>
      <c r="Q1975" s="44"/>
      <c r="R1975" s="84"/>
      <c r="S1975" s="47"/>
      <c r="T1975" s="47"/>
    </row>
    <row r="1976" s="27" customFormat="1" ht="18" customHeight="1" spans="1:20">
      <c r="A1976" s="34"/>
      <c r="B1976" s="48">
        <v>2</v>
      </c>
      <c r="C1976" s="48"/>
      <c r="D1976" s="88"/>
      <c r="E1976" s="72"/>
      <c r="F1976" s="77"/>
      <c r="G1976" s="89"/>
      <c r="H1976" s="74"/>
      <c r="I1976" s="74"/>
      <c r="J1976" s="95"/>
      <c r="K1976" s="92">
        <f ca="1">H1976*K1961</f>
        <v>0</v>
      </c>
      <c r="L1976" s="90"/>
      <c r="M1976" s="44"/>
      <c r="N1976" s="82"/>
      <c r="O1976" s="44"/>
      <c r="P1976" s="44"/>
      <c r="Q1976" s="44"/>
      <c r="R1976" s="84"/>
      <c r="S1976" s="47"/>
      <c r="T1976" s="47"/>
    </row>
    <row r="1977" s="27" customFormat="1" ht="18" customHeight="1" spans="1:20">
      <c r="A1977" s="34"/>
      <c r="B1977" s="48">
        <v>3</v>
      </c>
      <c r="C1977" s="48"/>
      <c r="D1977" s="88"/>
      <c r="E1977" s="72"/>
      <c r="F1977" s="77"/>
      <c r="G1977" s="89"/>
      <c r="H1977" s="74"/>
      <c r="I1977" s="74"/>
      <c r="J1977" s="95"/>
      <c r="K1977" s="92">
        <f ca="1">H1977*K1961</f>
        <v>0</v>
      </c>
      <c r="L1977" s="90"/>
      <c r="M1977" s="44"/>
      <c r="N1977" s="82"/>
      <c r="O1977" s="44"/>
      <c r="P1977" s="44"/>
      <c r="Q1977" s="44"/>
      <c r="R1977" s="84"/>
      <c r="S1977" s="47"/>
      <c r="T1977" s="47"/>
    </row>
    <row r="1978" s="27" customFormat="1" ht="18" customHeight="1" spans="1:20">
      <c r="A1978" s="34"/>
      <c r="B1978" s="48">
        <v>4</v>
      </c>
      <c r="C1978" s="48"/>
      <c r="D1978" s="88" t="s">
        <v>433</v>
      </c>
      <c r="E1978" s="72" t="str">
        <f>+VLOOKUP(D1978,'材料表 '!C:F,2,0)</f>
        <v>kg</v>
      </c>
      <c r="F1978" s="77">
        <f t="shared" ref="F1978:F1982" si="213">+SUMIF($L$1962:$L$2000,D1978,$R$1962:$R$2000)</f>
        <v>0.22493</v>
      </c>
      <c r="G1978" s="89">
        <f>+VLOOKUP(D1978,'材料表 '!C:F,4,0)</f>
        <v>0.03</v>
      </c>
      <c r="H1978" s="74">
        <f t="shared" ref="H1978:H1980" si="214">F1978*(G1978+1)</f>
        <v>0.2316779</v>
      </c>
      <c r="I1978" s="74">
        <f>+VLOOKUP(D1978,'材料表 '!C:F,3,0)</f>
        <v>26.1150442477876</v>
      </c>
      <c r="J1978" s="95">
        <f t="shared" ref="J1978:J1980" si="215">H1978*I1978</f>
        <v>6.05027860973451</v>
      </c>
      <c r="K1978" s="92">
        <f ca="1">H1978*K1961</f>
        <v>1.59857751</v>
      </c>
      <c r="L1978" s="90"/>
      <c r="M1978" s="44"/>
      <c r="N1978" s="82"/>
      <c r="O1978" s="44"/>
      <c r="P1978" s="44"/>
      <c r="Q1978" s="44"/>
      <c r="R1978" s="84"/>
      <c r="S1978" s="47"/>
      <c r="T1978" s="47">
        <f>SUM(T1972:T1977)</f>
        <v>0.135</v>
      </c>
    </row>
    <row r="1979" s="27" customFormat="1" ht="18" customHeight="1" spans="1:20">
      <c r="A1979" s="34"/>
      <c r="B1979" s="48">
        <v>5</v>
      </c>
      <c r="C1979" s="48"/>
      <c r="D1979" s="88" t="s">
        <v>447</v>
      </c>
      <c r="E1979" s="72" t="str">
        <f>+VLOOKUP(D1979,'材料表 '!C:F,2,0)</f>
        <v>kg</v>
      </c>
      <c r="F1979" s="77">
        <f t="shared" si="213"/>
        <v>0.93224</v>
      </c>
      <c r="G1979" s="89">
        <f>+VLOOKUP(D1979,'材料表 '!C:F,4,0)</f>
        <v>0.03</v>
      </c>
      <c r="H1979" s="74">
        <f t="shared" si="214"/>
        <v>0.9602072</v>
      </c>
      <c r="I1979" s="74">
        <f>+VLOOKUP(D1979,'材料表 '!C:F,3,0)</f>
        <v>24.4336283185841</v>
      </c>
      <c r="J1979" s="95">
        <f t="shared" si="215"/>
        <v>23.4613458336283</v>
      </c>
      <c r="K1979" s="92">
        <f ca="1">H1979*K1961</f>
        <v>6.62542968</v>
      </c>
      <c r="L1979" s="92" t="s">
        <v>476</v>
      </c>
      <c r="M1979" s="44"/>
      <c r="N1979" s="82"/>
      <c r="O1979" s="44"/>
      <c r="P1979" s="44"/>
      <c r="Q1979" s="44">
        <f>10*8*(O1962*0+P1962*0)/500</f>
        <v>0</v>
      </c>
      <c r="R1979" s="84">
        <f>+Q1979/R1962</f>
        <v>0</v>
      </c>
      <c r="S1979" s="47"/>
      <c r="T1979" s="47"/>
    </row>
    <row r="1980" s="27" customFormat="1" ht="18" customHeight="1" spans="1:20">
      <c r="A1980" s="34"/>
      <c r="B1980" s="48">
        <v>6</v>
      </c>
      <c r="C1980" s="48"/>
      <c r="D1980" s="88" t="s">
        <v>434</v>
      </c>
      <c r="E1980" s="72" t="str">
        <f>+VLOOKUP(D1980,'材料表 '!C:F,2,0)</f>
        <v>m2</v>
      </c>
      <c r="F1980" s="77">
        <f>T1978/R1962</f>
        <v>0.135</v>
      </c>
      <c r="G1980" s="89">
        <f>+VLOOKUP(D1980,'材料表 '!C:F,4,0)</f>
        <v>0</v>
      </c>
      <c r="H1980" s="74">
        <f t="shared" si="214"/>
        <v>0.135</v>
      </c>
      <c r="I1980" s="74">
        <f>+VLOOKUP(D1980,'材料表 '!C:F,3,0)</f>
        <v>49.5575221238938</v>
      </c>
      <c r="J1980" s="95">
        <f t="shared" si="215"/>
        <v>6.69026548672566</v>
      </c>
      <c r="K1980" s="92">
        <f ca="1">H1980*K1961</f>
        <v>0.9315</v>
      </c>
      <c r="L1980" s="92"/>
      <c r="M1980" s="44"/>
      <c r="N1980" s="82"/>
      <c r="O1980" s="44"/>
      <c r="P1980" s="44"/>
      <c r="Q1980" s="44"/>
      <c r="R1980" s="84"/>
      <c r="S1980" s="47"/>
      <c r="T1980" s="47"/>
    </row>
    <row r="1981" s="27" customFormat="1" ht="18" customHeight="1" spans="1:20">
      <c r="A1981" s="34"/>
      <c r="B1981" s="48">
        <v>7</v>
      </c>
      <c r="C1981" s="48"/>
      <c r="D1981" s="88"/>
      <c r="E1981" s="72"/>
      <c r="F1981" s="77"/>
      <c r="G1981" s="89"/>
      <c r="H1981" s="74"/>
      <c r="I1981" s="74"/>
      <c r="J1981" s="95"/>
      <c r="K1981" s="92">
        <f ca="1">H1981*K1961</f>
        <v>0</v>
      </c>
      <c r="L1981" s="92"/>
      <c r="M1981" s="44"/>
      <c r="N1981" s="82"/>
      <c r="O1981" s="44"/>
      <c r="P1981" s="44"/>
      <c r="Q1981" s="44"/>
      <c r="R1981" s="84"/>
      <c r="S1981" s="47"/>
      <c r="T1981" s="47"/>
    </row>
    <row r="1982" s="27" customFormat="1" ht="18" customHeight="1" spans="1:20">
      <c r="A1982" s="34"/>
      <c r="B1982" s="48">
        <v>8</v>
      </c>
      <c r="C1982" s="48"/>
      <c r="D1982" s="124" t="s">
        <v>500</v>
      </c>
      <c r="E1982" s="72" t="str">
        <f>+VLOOKUP(D1982,'材料表 '!C:F,2,0)</f>
        <v>kg</v>
      </c>
      <c r="F1982" s="77">
        <f>(F1978+F1979)</f>
        <v>1.15717</v>
      </c>
      <c r="G1982" s="89">
        <f>+VLOOKUP(D1982,'材料表 '!C:F,4,0)</f>
        <v>0.03</v>
      </c>
      <c r="H1982" s="74">
        <f>F1982*(G1982+1)</f>
        <v>1.1918851</v>
      </c>
      <c r="I1982" s="74">
        <f>+VLOOKUP(D1982,'材料表 '!C:F,3,0)</f>
        <v>14.1592920353982</v>
      </c>
      <c r="J1982" s="95">
        <f>H1982*I1982</f>
        <v>16.8762492035398</v>
      </c>
      <c r="K1982" s="92">
        <f ca="1">H1982*K1961</f>
        <v>8.22400719</v>
      </c>
      <c r="L1982" s="92"/>
      <c r="M1982" s="44"/>
      <c r="N1982" s="82"/>
      <c r="O1982" s="44"/>
      <c r="P1982" s="44"/>
      <c r="Q1982" s="44"/>
      <c r="R1982" s="84"/>
      <c r="S1982" s="47"/>
      <c r="T1982" s="47"/>
    </row>
    <row r="1983" s="27" customFormat="1" ht="18" customHeight="1" spans="1:20">
      <c r="A1983" s="34"/>
      <c r="B1983" s="48">
        <v>9</v>
      </c>
      <c r="C1983" s="48"/>
      <c r="D1983" s="88" t="s">
        <v>476</v>
      </c>
      <c r="E1983" s="72" t="str">
        <f>+VLOOKUP(D1983,'材料表 '!C:F,2,0)</f>
        <v>支</v>
      </c>
      <c r="F1983" s="77">
        <v>0</v>
      </c>
      <c r="G1983" s="89">
        <f>+VLOOKUP(D1983,'材料表 '!C:F,4,0)</f>
        <v>0.15</v>
      </c>
      <c r="H1983" s="74">
        <f>F1983*(G1983+1)</f>
        <v>0</v>
      </c>
      <c r="I1983" s="74">
        <f>+VLOOKUP(D1983,'材料表 '!C:F,3,0)</f>
        <v>11.5044247787611</v>
      </c>
      <c r="J1983" s="95">
        <f>H1983*I1983</f>
        <v>0</v>
      </c>
      <c r="K1983" s="92">
        <f ca="1">H1983*K1961</f>
        <v>0</v>
      </c>
      <c r="L1983" s="90"/>
      <c r="M1983" s="44"/>
      <c r="N1983" s="82"/>
      <c r="O1983" s="34"/>
      <c r="P1983" s="44"/>
      <c r="Q1983" s="44"/>
      <c r="R1983" s="119"/>
      <c r="S1983" s="47"/>
      <c r="T1983" s="47"/>
    </row>
    <row r="1984" s="27" customFormat="1" ht="23" customHeight="1" spans="1:20">
      <c r="A1984" s="34"/>
      <c r="B1984" s="48">
        <v>10</v>
      </c>
      <c r="C1984" s="48"/>
      <c r="D1984" s="88"/>
      <c r="E1984" s="72"/>
      <c r="F1984" s="77"/>
      <c r="G1984" s="89"/>
      <c r="H1984" s="74"/>
      <c r="I1984" s="74"/>
      <c r="J1984" s="95"/>
      <c r="K1984" s="92">
        <f ca="1">H1984*K1961</f>
        <v>0</v>
      </c>
      <c r="L1984" s="92"/>
      <c r="M1984" s="120"/>
      <c r="N1984" s="82"/>
      <c r="O1984" s="44"/>
      <c r="P1984" s="44"/>
      <c r="Q1984" s="44"/>
      <c r="R1984" s="84"/>
      <c r="S1984" s="47"/>
      <c r="T1984" s="47"/>
    </row>
    <row r="1985" s="27" customFormat="1" ht="20" customHeight="1" spans="1:20">
      <c r="A1985" s="34"/>
      <c r="B1985" s="48">
        <v>11</v>
      </c>
      <c r="C1985" s="48"/>
      <c r="D1985" s="88"/>
      <c r="E1985" s="72"/>
      <c r="F1985" s="77"/>
      <c r="G1985" s="89"/>
      <c r="H1985" s="74"/>
      <c r="I1985" s="74"/>
      <c r="J1985" s="95"/>
      <c r="K1985" s="92">
        <f ca="1">H1985*K1961</f>
        <v>0</v>
      </c>
      <c r="L1985" s="92"/>
      <c r="M1985" s="44"/>
      <c r="N1985" s="82"/>
      <c r="O1985" s="44"/>
      <c r="P1985" s="44"/>
      <c r="Q1985" s="44"/>
      <c r="R1985" s="84"/>
      <c r="S1985" s="47"/>
      <c r="T1985" s="47"/>
    </row>
    <row r="1986" s="27" customFormat="1" ht="24" customHeight="1" spans="1:20">
      <c r="A1986" s="34"/>
      <c r="B1986" s="48">
        <v>12</v>
      </c>
      <c r="C1986" s="48"/>
      <c r="D1986" s="127"/>
      <c r="E1986" s="72"/>
      <c r="F1986" s="128"/>
      <c r="G1986" s="89"/>
      <c r="H1986" s="74"/>
      <c r="I1986" s="74"/>
      <c r="J1986" s="95"/>
      <c r="K1986" s="92">
        <f ca="1">H1986*K1961</f>
        <v>0</v>
      </c>
      <c r="L1986" s="92"/>
      <c r="M1986" s="44"/>
      <c r="N1986" s="44"/>
      <c r="O1986" s="44"/>
      <c r="P1986" s="44"/>
      <c r="Q1986" s="44"/>
      <c r="R1986" s="84"/>
      <c r="S1986" s="47"/>
      <c r="T1986" s="47"/>
    </row>
    <row r="1987" s="27" customFormat="1" ht="18" customHeight="1" spans="1:20">
      <c r="A1987" s="34"/>
      <c r="B1987" s="48">
        <v>13</v>
      </c>
      <c r="C1987" s="48"/>
      <c r="D1987" s="88"/>
      <c r="E1987" s="72"/>
      <c r="F1987" s="77"/>
      <c r="G1987" s="89"/>
      <c r="H1987" s="74"/>
      <c r="I1987" s="74"/>
      <c r="J1987" s="95"/>
      <c r="K1987" s="92">
        <f ca="1">H1987*K1961</f>
        <v>0</v>
      </c>
      <c r="L1987" s="92"/>
      <c r="M1987" s="44"/>
      <c r="N1987" s="44"/>
      <c r="O1987" s="44"/>
      <c r="P1987" s="44"/>
      <c r="Q1987" s="44"/>
      <c r="R1987" s="84"/>
      <c r="S1987" s="47"/>
      <c r="T1987" s="47"/>
    </row>
    <row r="1988" s="27" customFormat="1" ht="24" customHeight="1" spans="1:20">
      <c r="A1988" s="34"/>
      <c r="B1988" s="48">
        <v>14</v>
      </c>
      <c r="C1988" s="48"/>
      <c r="D1988" s="88"/>
      <c r="E1988" s="72"/>
      <c r="F1988" s="77"/>
      <c r="G1988" s="89"/>
      <c r="H1988" s="74"/>
      <c r="I1988" s="74"/>
      <c r="J1988" s="95"/>
      <c r="K1988" s="92">
        <f ca="1">H1988*K1961</f>
        <v>0</v>
      </c>
      <c r="L1988" s="92"/>
      <c r="M1988" s="44"/>
      <c r="N1988" s="44"/>
      <c r="O1988" s="44"/>
      <c r="P1988" s="44"/>
      <c r="Q1988" s="44"/>
      <c r="R1988" s="84"/>
      <c r="S1988" s="47"/>
      <c r="T1988" s="47"/>
    </row>
    <row r="1989" s="27" customFormat="1" ht="18" customHeight="1" spans="1:20">
      <c r="A1989" s="34"/>
      <c r="B1989" s="48">
        <v>15</v>
      </c>
      <c r="C1989" s="48"/>
      <c r="D1989" s="88"/>
      <c r="E1989" s="72"/>
      <c r="F1989" s="77"/>
      <c r="G1989" s="89"/>
      <c r="H1989" s="74"/>
      <c r="I1989" s="74"/>
      <c r="J1989" s="95"/>
      <c r="K1989" s="92"/>
      <c r="L1989" s="92"/>
      <c r="M1989" s="44"/>
      <c r="N1989" s="44"/>
      <c r="O1989" s="44"/>
      <c r="P1989" s="44"/>
      <c r="Q1989" s="44"/>
      <c r="R1989" s="84"/>
      <c r="S1989" s="47"/>
      <c r="T1989" s="47"/>
    </row>
    <row r="1990" s="27" customFormat="1" ht="18" customHeight="1" spans="1:20">
      <c r="A1990" s="34"/>
      <c r="B1990" s="48">
        <v>16</v>
      </c>
      <c r="C1990" s="48"/>
      <c r="D1990" s="88"/>
      <c r="E1990" s="72"/>
      <c r="F1990" s="77"/>
      <c r="G1990" s="89"/>
      <c r="H1990" s="74"/>
      <c r="I1990" s="74"/>
      <c r="J1990" s="95"/>
      <c r="K1990" s="92"/>
      <c r="L1990" s="92"/>
      <c r="M1990" s="44"/>
      <c r="N1990" s="44"/>
      <c r="O1990" s="44"/>
      <c r="P1990" s="44"/>
      <c r="Q1990" s="44"/>
      <c r="R1990" s="84"/>
      <c r="S1990" s="47"/>
      <c r="T1990" s="47"/>
    </row>
    <row r="1991" s="27" customFormat="1" ht="18" customHeight="1" spans="1:20">
      <c r="A1991" s="34"/>
      <c r="B1991" s="48">
        <v>17</v>
      </c>
      <c r="C1991" s="48"/>
      <c r="D1991" s="121"/>
      <c r="E1991" s="72"/>
      <c r="F1991" s="77"/>
      <c r="G1991" s="89"/>
      <c r="H1991" s="74"/>
      <c r="I1991" s="74"/>
      <c r="J1991" s="95"/>
      <c r="K1991" s="92"/>
      <c r="L1991" s="92"/>
      <c r="M1991" s="44"/>
      <c r="N1991" s="44"/>
      <c r="O1991" s="44"/>
      <c r="P1991" s="44"/>
      <c r="Q1991" s="101"/>
      <c r="R1991" s="84"/>
      <c r="S1991" s="47"/>
      <c r="T1991" s="47"/>
    </row>
    <row r="1992" s="27" customFormat="1" ht="18" customHeight="1" spans="1:20">
      <c r="A1992" s="34"/>
      <c r="B1992" s="48">
        <v>18</v>
      </c>
      <c r="C1992" s="48"/>
      <c r="D1992" s="88"/>
      <c r="E1992" s="72"/>
      <c r="F1992" s="77"/>
      <c r="G1992" s="89"/>
      <c r="H1992" s="74"/>
      <c r="I1992" s="74"/>
      <c r="J1992" s="95"/>
      <c r="K1992" s="92"/>
      <c r="L1992" s="92"/>
      <c r="M1992" s="44"/>
      <c r="N1992" s="44"/>
      <c r="O1992" s="44"/>
      <c r="P1992" s="44"/>
      <c r="Q1992" s="44"/>
      <c r="R1992" s="84"/>
      <c r="S1992" s="47"/>
      <c r="T1992" s="47"/>
    </row>
    <row r="1993" s="27" customFormat="1" ht="18" customHeight="1" spans="1:20">
      <c r="A1993" s="34"/>
      <c r="B1993" s="48">
        <v>19</v>
      </c>
      <c r="C1993" s="48"/>
      <c r="D1993" s="27"/>
      <c r="E1993" s="72"/>
      <c r="F1993" s="77"/>
      <c r="G1993" s="89"/>
      <c r="H1993" s="74"/>
      <c r="I1993" s="74"/>
      <c r="J1993" s="95"/>
      <c r="K1993" s="92"/>
      <c r="L1993" s="92"/>
      <c r="M1993" s="44"/>
      <c r="N1993" s="44"/>
      <c r="O1993" s="44"/>
      <c r="P1993" s="44"/>
      <c r="Q1993" s="44"/>
      <c r="R1993" s="84"/>
      <c r="S1993" s="47"/>
      <c r="T1993" s="47"/>
    </row>
    <row r="1994" s="27" customFormat="1" ht="18" customHeight="1" spans="1:20">
      <c r="A1994" s="34"/>
      <c r="B1994" s="48">
        <v>20</v>
      </c>
      <c r="C1994" s="48"/>
      <c r="D1994" s="88"/>
      <c r="E1994" s="72"/>
      <c r="F1994" s="77"/>
      <c r="G1994" s="89"/>
      <c r="H1994" s="74"/>
      <c r="I1994" s="74"/>
      <c r="J1994" s="95"/>
      <c r="K1994" s="92"/>
      <c r="L1994" s="92"/>
      <c r="M1994" s="44"/>
      <c r="N1994" s="44"/>
      <c r="O1994" s="44"/>
      <c r="P1994" s="44"/>
      <c r="Q1994" s="44"/>
      <c r="R1994" s="84"/>
      <c r="S1994" s="47"/>
      <c r="T1994" s="47"/>
    </row>
    <row r="1995" s="27" customFormat="1" ht="18" customHeight="1" spans="1:20">
      <c r="A1995" s="34"/>
      <c r="B1995" s="48">
        <v>21</v>
      </c>
      <c r="C1995" s="48"/>
      <c r="D1995" s="88"/>
      <c r="E1995" s="72"/>
      <c r="F1995" s="77"/>
      <c r="G1995" s="89"/>
      <c r="H1995" s="74"/>
      <c r="I1995" s="74"/>
      <c r="J1995" s="95"/>
      <c r="K1995" s="92"/>
      <c r="L1995" s="92"/>
      <c r="M1995" s="44"/>
      <c r="N1995" s="44"/>
      <c r="O1995" s="44"/>
      <c r="P1995" s="44"/>
      <c r="Q1995" s="44"/>
      <c r="R1995" s="84"/>
      <c r="S1995" s="47"/>
      <c r="T1995" s="47"/>
    </row>
    <row r="1996" s="27" customFormat="1" ht="18" customHeight="1" spans="1:20">
      <c r="A1996" s="34"/>
      <c r="B1996" s="48">
        <v>22</v>
      </c>
      <c r="C1996" s="48"/>
      <c r="D1996" s="27"/>
      <c r="E1996" s="72"/>
      <c r="F1996" s="77"/>
      <c r="G1996" s="72"/>
      <c r="H1996" s="74"/>
      <c r="I1996" s="74"/>
      <c r="J1996" s="95"/>
      <c r="K1996" s="92"/>
      <c r="L1996" s="92"/>
      <c r="M1996" s="44"/>
      <c r="N1996" s="44"/>
      <c r="O1996" s="44"/>
      <c r="P1996" s="44"/>
      <c r="Q1996" s="44"/>
      <c r="R1996" s="62"/>
      <c r="S1996" s="47"/>
      <c r="T1996" s="47"/>
    </row>
    <row r="1997" s="27" customFormat="1" ht="18" customHeight="1" spans="1:20">
      <c r="A1997" s="34"/>
      <c r="B1997" s="48">
        <v>23</v>
      </c>
      <c r="C1997" s="48"/>
      <c r="D1997" s="88"/>
      <c r="E1997" s="72"/>
      <c r="F1997" s="77"/>
      <c r="G1997" s="89"/>
      <c r="H1997" s="74"/>
      <c r="I1997" s="74"/>
      <c r="J1997" s="95"/>
      <c r="K1997" s="92"/>
      <c r="L1997" s="92"/>
      <c r="M1997" s="44"/>
      <c r="N1997" s="44"/>
      <c r="O1997" s="44"/>
      <c r="P1997" s="44"/>
      <c r="Q1997" s="44"/>
      <c r="R1997" s="62"/>
      <c r="S1997" s="47"/>
      <c r="T1997" s="47"/>
    </row>
    <row r="1998" s="27" customFormat="1" ht="18" customHeight="1" spans="1:20">
      <c r="A1998" s="34"/>
      <c r="B1998" s="48">
        <v>24</v>
      </c>
      <c r="C1998" s="48"/>
      <c r="D1998" s="88" t="s">
        <v>478</v>
      </c>
      <c r="E1998" s="72" t="s">
        <v>109</v>
      </c>
      <c r="F1998" s="77"/>
      <c r="G1998" s="72">
        <v>1</v>
      </c>
      <c r="H1998" s="74">
        <v>1</v>
      </c>
      <c r="I1998" s="74">
        <f>+辅材及安装费!$E$12</f>
        <v>2</v>
      </c>
      <c r="J1998" s="95">
        <f>H1998*I1998</f>
        <v>2</v>
      </c>
      <c r="K1998" s="92"/>
      <c r="L1998" s="92"/>
      <c r="M1998" s="44"/>
      <c r="N1998" s="44"/>
      <c r="O1998" s="44"/>
      <c r="P1998" s="44"/>
      <c r="Q1998" s="44"/>
      <c r="R1998" s="62"/>
      <c r="S1998" s="47"/>
      <c r="T1998" s="47"/>
    </row>
    <row r="1999" s="27" customFormat="1" ht="18" customHeight="1" spans="1:20">
      <c r="A1999" s="34"/>
      <c r="B1999" s="48">
        <v>25</v>
      </c>
      <c r="C1999" s="48"/>
      <c r="D1999" s="93" t="s">
        <v>442</v>
      </c>
      <c r="E1999" s="72"/>
      <c r="F1999" s="77"/>
      <c r="G1999" s="72"/>
      <c r="H1999" s="74"/>
      <c r="I1999" s="74"/>
      <c r="J1999" s="95">
        <f>SUM(J1975:J1998)</f>
        <v>55.0781391336283</v>
      </c>
      <c r="K1999" s="92"/>
      <c r="L1999" s="94"/>
      <c r="M1999" s="27"/>
      <c r="N1999" s="83"/>
      <c r="O1999" s="83"/>
      <c r="P1999" s="83"/>
      <c r="Q1999" s="83"/>
      <c r="R1999" s="87"/>
      <c r="S1999" s="47"/>
      <c r="T1999" s="47"/>
    </row>
    <row r="2000" s="27" customFormat="1" ht="18" customHeight="1" spans="1:20">
      <c r="A2000" s="34"/>
      <c r="B2000" s="48">
        <v>1</v>
      </c>
      <c r="C2000" s="48" t="s">
        <v>443</v>
      </c>
      <c r="D2000" s="48" t="s">
        <v>444</v>
      </c>
      <c r="E2000" s="72" t="s">
        <v>109</v>
      </c>
      <c r="F2000" s="50"/>
      <c r="G2000" s="48"/>
      <c r="H2000" s="51">
        <v>1</v>
      </c>
      <c r="I2000" s="74">
        <f>+辅材及安装费!$F$12</f>
        <v>1</v>
      </c>
      <c r="J2000" s="95">
        <f>H2000*I2000</f>
        <v>1</v>
      </c>
      <c r="K2000" s="118"/>
      <c r="L2000" s="96"/>
      <c r="M2000" s="97"/>
      <c r="N2000" s="98"/>
      <c r="O2000" s="98"/>
      <c r="P2000" s="98"/>
      <c r="Q2000" s="98"/>
      <c r="R2000" s="99"/>
      <c r="S2000" s="47"/>
      <c r="T2000" s="47"/>
    </row>
    <row r="2001" s="26" customFormat="1" ht="30" customHeight="1" spans="1:20">
      <c r="A2001" s="28"/>
      <c r="B2001" s="29" t="s">
        <v>386</v>
      </c>
      <c r="C2001" s="29"/>
      <c r="D2001" s="29"/>
      <c r="E2001" s="29"/>
      <c r="F2001" s="29"/>
      <c r="G2001" s="29"/>
      <c r="H2001" s="29"/>
      <c r="I2001" s="29"/>
      <c r="J2001" s="29"/>
      <c r="K2001" s="29"/>
      <c r="L2001" s="30"/>
      <c r="M2001" s="31"/>
      <c r="N2001" s="31"/>
      <c r="O2001" s="31"/>
      <c r="P2001" s="31"/>
      <c r="Q2001" s="31"/>
      <c r="R2001" s="32"/>
      <c r="S2001" s="33"/>
      <c r="T2001" s="33"/>
    </row>
    <row r="2002" s="27" customFormat="1" ht="33.75" customHeight="1" spans="1:20">
      <c r="A2002" s="34">
        <v>11</v>
      </c>
      <c r="B2002" s="35" t="s">
        <v>1</v>
      </c>
      <c r="C2002" s="35" t="s">
        <v>387</v>
      </c>
      <c r="D2002" s="36" t="str">
        <f>+A2010</f>
        <v>铝合金线条11（45*20）</v>
      </c>
      <c r="E2002" s="37"/>
      <c r="F2002" s="38"/>
      <c r="G2002" s="39"/>
      <c r="H2002" s="35" t="s">
        <v>388</v>
      </c>
      <c r="I2002" s="40" t="s">
        <v>389</v>
      </c>
      <c r="J2002" s="41" t="s">
        <v>37</v>
      </c>
      <c r="K2002" s="42">
        <f ca="1">VLOOKUP(A2002,排屋工程量清单!A:D,4,)</f>
        <v>1.9375</v>
      </c>
      <c r="L2002" s="43"/>
      <c r="M2002" s="44"/>
      <c r="N2002" s="44"/>
      <c r="O2002" s="44"/>
      <c r="P2002" s="45"/>
      <c r="Q2002" s="44"/>
      <c r="R2002" s="46"/>
      <c r="S2002" s="47"/>
      <c r="T2002" s="47"/>
    </row>
    <row r="2003" s="27" customFormat="1" ht="25" customHeight="1" spans="1:20">
      <c r="A2003" s="34"/>
      <c r="B2003" s="48">
        <v>1</v>
      </c>
      <c r="C2003" s="49" t="s">
        <v>390</v>
      </c>
      <c r="D2003" s="48" t="s">
        <v>391</v>
      </c>
      <c r="E2003" s="48"/>
      <c r="F2003" s="50"/>
      <c r="G2003" s="48"/>
      <c r="H2003" s="51"/>
      <c r="I2003" s="52">
        <f>J2015</f>
        <v>15</v>
      </c>
      <c r="J2003" s="53" t="s">
        <v>392</v>
      </c>
      <c r="K2003" s="54"/>
      <c r="L2003" s="55"/>
      <c r="M2003" s="56"/>
      <c r="N2003" s="57"/>
      <c r="O2003" s="57">
        <v>1</v>
      </c>
      <c r="P2003" s="57">
        <v>1</v>
      </c>
      <c r="Q2003" s="57">
        <v>1</v>
      </c>
      <c r="R2003" s="58">
        <f>+Q2003*P2003*O2003</f>
        <v>1</v>
      </c>
      <c r="S2003" s="47"/>
      <c r="T2003" s="47"/>
    </row>
    <row r="2004" s="27" customFormat="1" ht="18" customHeight="1" spans="1:20">
      <c r="A2004" s="34"/>
      <c r="B2004" s="48">
        <v>2</v>
      </c>
      <c r="C2004" s="59"/>
      <c r="D2004" s="48" t="s">
        <v>394</v>
      </c>
      <c r="E2004" s="48"/>
      <c r="F2004" s="50"/>
      <c r="G2004" s="48"/>
      <c r="H2004" s="51"/>
      <c r="I2004" s="52">
        <f>J2040</f>
        <v>26.514615520354</v>
      </c>
      <c r="J2004" s="53" t="s">
        <v>392</v>
      </c>
      <c r="K2004" s="60"/>
      <c r="L2004" s="61"/>
      <c r="M2004" s="44"/>
      <c r="N2004" s="44"/>
      <c r="O2004" s="44"/>
      <c r="P2004" s="44"/>
      <c r="Q2004" s="44"/>
      <c r="R2004" s="62"/>
      <c r="S2004" s="47"/>
      <c r="T2004" s="47"/>
    </row>
    <row r="2005" s="27" customFormat="1" ht="18" customHeight="1" spans="1:20">
      <c r="A2005" s="34"/>
      <c r="B2005" s="48">
        <v>3</v>
      </c>
      <c r="C2005" s="63"/>
      <c r="D2005" s="48" t="s">
        <v>395</v>
      </c>
      <c r="E2005" s="48"/>
      <c r="F2005" s="50"/>
      <c r="G2005" s="48"/>
      <c r="H2005" s="51"/>
      <c r="I2005" s="52">
        <f>J2041</f>
        <v>1</v>
      </c>
      <c r="J2005" s="53" t="s">
        <v>392</v>
      </c>
      <c r="K2005" s="60"/>
      <c r="L2005" s="60"/>
      <c r="M2005" s="65" t="s">
        <v>396</v>
      </c>
      <c r="N2005" s="65" t="s">
        <v>397</v>
      </c>
      <c r="O2005" s="65" t="s">
        <v>398</v>
      </c>
      <c r="P2005" s="65" t="s">
        <v>399</v>
      </c>
      <c r="Q2005" s="65" t="s">
        <v>400</v>
      </c>
      <c r="R2005" s="66" t="s">
        <v>401</v>
      </c>
      <c r="S2005" s="47"/>
      <c r="T2005" s="47"/>
    </row>
    <row r="2006" s="27" customFormat="1" ht="18" customHeight="1" spans="1:20">
      <c r="A2006" s="34"/>
      <c r="B2006" s="48">
        <v>4</v>
      </c>
      <c r="C2006" s="48" t="s">
        <v>402</v>
      </c>
      <c r="D2006" s="67" t="s">
        <v>403</v>
      </c>
      <c r="E2006" s="67"/>
      <c r="F2006" s="50"/>
      <c r="G2006" s="67"/>
      <c r="H2006" s="68"/>
      <c r="I2006" s="52">
        <f>SUM(I2003:I2005)</f>
        <v>42.514615520354</v>
      </c>
      <c r="J2006" s="53" t="s">
        <v>392</v>
      </c>
      <c r="K2006" s="60"/>
      <c r="L2006" s="69"/>
      <c r="M2006" s="34"/>
      <c r="N2006" s="34"/>
      <c r="O2006" s="34"/>
      <c r="P2006" s="34"/>
      <c r="Q2006" s="44"/>
      <c r="R2006" s="71"/>
      <c r="S2006" s="47"/>
      <c r="T2006" s="47"/>
    </row>
    <row r="2007" s="27" customFormat="1" ht="28" customHeight="1" spans="1:20">
      <c r="A2007" s="34"/>
      <c r="B2007" s="48">
        <v>5</v>
      </c>
      <c r="C2007" s="72" t="s">
        <v>406</v>
      </c>
      <c r="D2007" s="48" t="s">
        <v>407</v>
      </c>
      <c r="E2007" s="48"/>
      <c r="F2007" s="50"/>
      <c r="G2007" s="48"/>
      <c r="H2007" s="73">
        <f>+'材料表 '!$E$178</f>
        <v>0</v>
      </c>
      <c r="I2007" s="52">
        <f>H2007*I2006</f>
        <v>0</v>
      </c>
      <c r="J2007" s="53" t="s">
        <v>392</v>
      </c>
      <c r="K2007" s="60"/>
      <c r="L2007" s="69"/>
      <c r="M2007" s="34"/>
      <c r="N2007" s="102"/>
      <c r="O2007" s="34"/>
      <c r="P2007" s="34"/>
      <c r="Q2007" s="44"/>
      <c r="R2007" s="71"/>
      <c r="S2007" s="47"/>
      <c r="T2007" s="47"/>
    </row>
    <row r="2008" s="27" customFormat="1" ht="18" customHeight="1" spans="1:20">
      <c r="A2008" s="34"/>
      <c r="B2008" s="48">
        <v>6</v>
      </c>
      <c r="C2008" s="48" t="s">
        <v>409</v>
      </c>
      <c r="D2008" s="48" t="s">
        <v>410</v>
      </c>
      <c r="E2008" s="48"/>
      <c r="F2008" s="50"/>
      <c r="G2008" s="48"/>
      <c r="H2008" s="73">
        <f>+'材料表 '!$E$179</f>
        <v>0</v>
      </c>
      <c r="I2008" s="52">
        <f>H2008*I2006</f>
        <v>0</v>
      </c>
      <c r="J2008" s="53" t="s">
        <v>392</v>
      </c>
      <c r="K2008" s="60"/>
      <c r="L2008" s="69"/>
      <c r="M2008" s="34"/>
      <c r="N2008" s="34"/>
      <c r="O2008" s="34"/>
      <c r="P2008" s="34"/>
      <c r="Q2008" s="44"/>
      <c r="R2008" s="71"/>
      <c r="S2008" s="47"/>
      <c r="T2008" s="47"/>
    </row>
    <row r="2009" s="27" customFormat="1" ht="18" customHeight="1" spans="1:20">
      <c r="A2009" s="34"/>
      <c r="B2009" s="48">
        <v>7</v>
      </c>
      <c r="C2009" s="48" t="s">
        <v>412</v>
      </c>
      <c r="D2009" s="72" t="s">
        <v>413</v>
      </c>
      <c r="E2009" s="72"/>
      <c r="F2009" s="77"/>
      <c r="G2009" s="72"/>
      <c r="H2009" s="73">
        <f>+'材料表 '!$E$180</f>
        <v>0.09</v>
      </c>
      <c r="I2009" s="52">
        <f>(I2006+I2007+I2008)*H2009</f>
        <v>3.82631539683186</v>
      </c>
      <c r="J2009" s="53" t="s">
        <v>392</v>
      </c>
      <c r="K2009" s="60"/>
      <c r="L2009" s="69"/>
      <c r="M2009" s="34"/>
      <c r="N2009" s="34"/>
      <c r="O2009" s="34"/>
      <c r="P2009" s="34"/>
      <c r="Q2009" s="44"/>
      <c r="R2009" s="71"/>
      <c r="S2009" s="47"/>
      <c r="T2009" s="47"/>
    </row>
    <row r="2010" s="27" customFormat="1" ht="18" customHeight="1" spans="1:20">
      <c r="A2010" s="105" t="s">
        <v>194</v>
      </c>
      <c r="B2010" s="48">
        <v>8</v>
      </c>
      <c r="C2010" s="48" t="s">
        <v>363</v>
      </c>
      <c r="D2010" s="106" t="s">
        <v>415</v>
      </c>
      <c r="E2010" s="107"/>
      <c r="F2010" s="108"/>
      <c r="G2010" s="107"/>
      <c r="H2010" s="51"/>
      <c r="I2010" s="74">
        <f>SUM(I2006:I2009)</f>
        <v>46.3409309171859</v>
      </c>
      <c r="J2010" s="53" t="s">
        <v>484</v>
      </c>
      <c r="K2010" s="60"/>
      <c r="L2010" s="69"/>
      <c r="M2010" s="34"/>
      <c r="N2010" s="126"/>
      <c r="O2010" s="34"/>
      <c r="P2010" s="44"/>
      <c r="Q2010" s="44"/>
      <c r="R2010" s="84"/>
      <c r="S2010" s="79"/>
      <c r="T2010" s="47"/>
    </row>
    <row r="2011" s="27" customFormat="1" ht="18" customHeight="1" spans="1:20">
      <c r="A2011" s="34"/>
      <c r="B2011" s="109" t="s">
        <v>418</v>
      </c>
      <c r="C2011" s="110"/>
      <c r="D2011" s="110"/>
      <c r="E2011" s="110"/>
      <c r="F2011" s="110"/>
      <c r="G2011" s="110"/>
      <c r="H2011" s="110"/>
      <c r="I2011" s="110"/>
      <c r="J2011" s="110"/>
      <c r="K2011" s="80"/>
      <c r="L2011" s="69"/>
      <c r="M2011" s="70"/>
      <c r="N2011" s="34"/>
      <c r="O2011" s="34"/>
      <c r="P2011" s="34"/>
      <c r="Q2011" s="44"/>
      <c r="R2011" s="71"/>
      <c r="S2011" s="47"/>
      <c r="T2011" s="47"/>
    </row>
    <row r="2012" s="27" customFormat="1" ht="18" customHeight="1" spans="1:20">
      <c r="A2012" s="34"/>
      <c r="B2012" s="48">
        <v>1</v>
      </c>
      <c r="C2012" s="48" t="s">
        <v>391</v>
      </c>
      <c r="D2012" s="48" t="s">
        <v>396</v>
      </c>
      <c r="E2012" s="48" t="s">
        <v>37</v>
      </c>
      <c r="F2012" s="50"/>
      <c r="G2012" s="48"/>
      <c r="H2012" s="51" t="s">
        <v>399</v>
      </c>
      <c r="I2012" s="51" t="s">
        <v>420</v>
      </c>
      <c r="J2012" s="95" t="s">
        <v>421</v>
      </c>
      <c r="K2012" s="92"/>
      <c r="L2012" s="69" t="s">
        <v>433</v>
      </c>
      <c r="M2012" s="70" t="s">
        <v>567</v>
      </c>
      <c r="N2012" s="34">
        <f>0.056*2.71</f>
        <v>0.15176</v>
      </c>
      <c r="O2012" s="34">
        <v>1</v>
      </c>
      <c r="P2012" s="34">
        <v>1</v>
      </c>
      <c r="Q2012" s="44">
        <f t="shared" ref="Q2012:Q2014" si="216">+P2012*O2012*N2012</f>
        <v>0.15176</v>
      </c>
      <c r="R2012" s="71">
        <f>+Q2012/R2003</f>
        <v>0.15176</v>
      </c>
      <c r="S2012" s="47"/>
      <c r="T2012" s="47"/>
    </row>
    <row r="2013" s="27" customFormat="1" ht="18" customHeight="1" spans="1:20">
      <c r="A2013" s="34"/>
      <c r="B2013" s="48">
        <v>2</v>
      </c>
      <c r="C2013" s="48"/>
      <c r="D2013" s="111" t="s">
        <v>568</v>
      </c>
      <c r="E2013" s="49" t="s">
        <v>109</v>
      </c>
      <c r="F2013" s="112"/>
      <c r="G2013" s="111"/>
      <c r="H2013" s="113">
        <v>1</v>
      </c>
      <c r="I2013" s="113">
        <f>+辅材及安装费!$G$12</f>
        <v>15</v>
      </c>
      <c r="J2013" s="114">
        <f>H2013*I2013</f>
        <v>15</v>
      </c>
      <c r="K2013" s="92"/>
      <c r="L2013" s="34" t="s">
        <v>447</v>
      </c>
      <c r="M2013" s="70" t="s">
        <v>569</v>
      </c>
      <c r="N2013" s="34">
        <f>0.17*2.71</f>
        <v>0.4607</v>
      </c>
      <c r="O2013" s="34">
        <v>1</v>
      </c>
      <c r="P2013" s="34">
        <v>1</v>
      </c>
      <c r="Q2013" s="44">
        <f t="shared" si="216"/>
        <v>0.4607</v>
      </c>
      <c r="R2013" s="71">
        <f>+Q2013/R2003</f>
        <v>0.4607</v>
      </c>
      <c r="S2013" s="47">
        <v>0.11</v>
      </c>
      <c r="T2013" s="47">
        <f>O2013*S2013</f>
        <v>0.11</v>
      </c>
    </row>
    <row r="2014" s="27" customFormat="1" ht="18" customHeight="1" spans="1:20">
      <c r="A2014" s="34"/>
      <c r="B2014" s="48">
        <v>3</v>
      </c>
      <c r="C2014" s="48"/>
      <c r="D2014" s="115"/>
      <c r="E2014" s="63"/>
      <c r="F2014" s="116"/>
      <c r="G2014" s="115"/>
      <c r="H2014" s="117"/>
      <c r="I2014" s="117"/>
      <c r="J2014" s="118"/>
      <c r="K2014" s="92"/>
      <c r="L2014" s="90" t="s">
        <v>447</v>
      </c>
      <c r="M2014" s="70"/>
      <c r="N2014" s="82"/>
      <c r="O2014" s="44"/>
      <c r="P2014" s="44">
        <v>1</v>
      </c>
      <c r="Q2014" s="44">
        <f t="shared" si="216"/>
        <v>0</v>
      </c>
      <c r="R2014" s="84">
        <f>Q2014/R2003</f>
        <v>0</v>
      </c>
      <c r="S2014" s="47"/>
      <c r="T2014" s="47">
        <f>S2014*O2014*P2014</f>
        <v>0</v>
      </c>
    </row>
    <row r="2015" s="27" customFormat="1" ht="18" customHeight="1" spans="1:20">
      <c r="A2015" s="34"/>
      <c r="B2015" s="48">
        <v>4</v>
      </c>
      <c r="C2015" s="48"/>
      <c r="D2015" s="85" t="s">
        <v>426</v>
      </c>
      <c r="E2015" s="48" t="s">
        <v>392</v>
      </c>
      <c r="F2015" s="50"/>
      <c r="G2015" s="48"/>
      <c r="H2015" s="86"/>
      <c r="I2015" s="86"/>
      <c r="J2015" s="95">
        <f>SUM(J2013:J2013)</f>
        <v>15</v>
      </c>
      <c r="K2015" s="92"/>
      <c r="L2015" s="90"/>
      <c r="M2015" s="44"/>
      <c r="N2015" s="82"/>
      <c r="O2015" s="44"/>
      <c r="P2015" s="44"/>
      <c r="Q2015" s="44"/>
      <c r="R2015" s="84"/>
      <c r="S2015" s="47"/>
      <c r="T2015" s="47"/>
    </row>
    <row r="2016" s="27" customFormat="1" ht="22" customHeight="1" spans="1:20">
      <c r="A2016" s="34"/>
      <c r="B2016" s="48">
        <v>1</v>
      </c>
      <c r="C2016" s="48" t="s">
        <v>394</v>
      </c>
      <c r="D2016" s="88"/>
      <c r="E2016" s="72"/>
      <c r="F2016" s="77"/>
      <c r="G2016" s="89"/>
      <c r="H2016" s="74"/>
      <c r="I2016" s="74"/>
      <c r="J2016" s="95"/>
      <c r="K2016" s="92">
        <f ca="1">H2016*K2002</f>
        <v>0</v>
      </c>
      <c r="L2016" s="90"/>
      <c r="M2016" s="44"/>
      <c r="N2016" s="82"/>
      <c r="O2016" s="44"/>
      <c r="P2016" s="44"/>
      <c r="Q2016" s="44"/>
      <c r="R2016" s="84"/>
      <c r="S2016" s="47"/>
      <c r="T2016" s="47"/>
    </row>
    <row r="2017" s="27" customFormat="1" ht="18" customHeight="1" spans="1:20">
      <c r="A2017" s="34"/>
      <c r="B2017" s="48">
        <v>2</v>
      </c>
      <c r="C2017" s="48"/>
      <c r="D2017" s="88"/>
      <c r="E2017" s="72"/>
      <c r="F2017" s="77"/>
      <c r="G2017" s="89"/>
      <c r="H2017" s="74"/>
      <c r="I2017" s="74"/>
      <c r="J2017" s="95"/>
      <c r="K2017" s="92">
        <f ca="1">H2017*K2002</f>
        <v>0</v>
      </c>
      <c r="L2017" s="90"/>
      <c r="M2017" s="44"/>
      <c r="N2017" s="82"/>
      <c r="O2017" s="44"/>
      <c r="P2017" s="44"/>
      <c r="Q2017" s="44"/>
      <c r="R2017" s="84"/>
      <c r="S2017" s="47"/>
      <c r="T2017" s="47"/>
    </row>
    <row r="2018" s="27" customFormat="1" ht="18" customHeight="1" spans="1:20">
      <c r="A2018" s="34"/>
      <c r="B2018" s="48">
        <v>3</v>
      </c>
      <c r="C2018" s="48"/>
      <c r="D2018" s="88"/>
      <c r="E2018" s="72"/>
      <c r="F2018" s="77"/>
      <c r="G2018" s="89"/>
      <c r="H2018" s="74"/>
      <c r="I2018" s="74"/>
      <c r="J2018" s="95"/>
      <c r="K2018" s="92">
        <f ca="1">H2018*K2002</f>
        <v>0</v>
      </c>
      <c r="L2018" s="90"/>
      <c r="M2018" s="44"/>
      <c r="N2018" s="82"/>
      <c r="O2018" s="44"/>
      <c r="P2018" s="44"/>
      <c r="Q2018" s="44"/>
      <c r="R2018" s="84"/>
      <c r="S2018" s="47"/>
      <c r="T2018" s="47"/>
    </row>
    <row r="2019" s="27" customFormat="1" ht="18" customHeight="1" spans="1:20">
      <c r="A2019" s="34"/>
      <c r="B2019" s="48">
        <v>4</v>
      </c>
      <c r="C2019" s="48"/>
      <c r="D2019" s="88" t="s">
        <v>433</v>
      </c>
      <c r="E2019" s="72" t="str">
        <f>+VLOOKUP(D2019,'材料表 '!C:F,2,0)</f>
        <v>kg</v>
      </c>
      <c r="F2019" s="77">
        <f t="shared" ref="F2019:F2024" si="217">+SUMIF($L$2003:$L$2041,D2019,$R$2003:$R$2041)</f>
        <v>0.15176</v>
      </c>
      <c r="G2019" s="89">
        <f>+VLOOKUP(D2019,'材料表 '!C:F,4,0)</f>
        <v>0.03</v>
      </c>
      <c r="H2019" s="74">
        <f t="shared" ref="H2019:H2021" si="218">F2019*(G2019+1)</f>
        <v>0.1563128</v>
      </c>
      <c r="I2019" s="74">
        <f>+VLOOKUP(D2019,'材料表 '!C:F,3,0)</f>
        <v>26.1150442477876</v>
      </c>
      <c r="J2019" s="95">
        <f t="shared" ref="J2019:J2021" si="219">H2019*I2019</f>
        <v>4.08211568849557</v>
      </c>
      <c r="K2019" s="92">
        <f ca="1">H2019*K2002</f>
        <v>0.30285605</v>
      </c>
      <c r="L2019" s="90"/>
      <c r="M2019" s="44"/>
      <c r="N2019" s="82"/>
      <c r="O2019" s="44"/>
      <c r="P2019" s="44"/>
      <c r="Q2019" s="44"/>
      <c r="R2019" s="84"/>
      <c r="S2019" s="47"/>
      <c r="T2019" s="47">
        <f>SUM(T2013:T2018)</f>
        <v>0.11</v>
      </c>
    </row>
    <row r="2020" s="27" customFormat="1" ht="18" customHeight="1" spans="1:20">
      <c r="A2020" s="34"/>
      <c r="B2020" s="48">
        <v>5</v>
      </c>
      <c r="C2020" s="48"/>
      <c r="D2020" s="88" t="s">
        <v>447</v>
      </c>
      <c r="E2020" s="72" t="str">
        <f>+VLOOKUP(D2020,'材料表 '!C:F,2,0)</f>
        <v>kg</v>
      </c>
      <c r="F2020" s="77">
        <f t="shared" si="217"/>
        <v>0.4607</v>
      </c>
      <c r="G2020" s="89">
        <f>+VLOOKUP(D2020,'材料表 '!C:F,4,0)</f>
        <v>0.03</v>
      </c>
      <c r="H2020" s="74">
        <f t="shared" si="218"/>
        <v>0.474521</v>
      </c>
      <c r="I2020" s="74">
        <f>+VLOOKUP(D2020,'材料表 '!C:F,3,0)</f>
        <v>24.4336283185841</v>
      </c>
      <c r="J2020" s="95">
        <f t="shared" si="219"/>
        <v>11.5942697433628</v>
      </c>
      <c r="K2020" s="92">
        <f ca="1">H2020*K2002</f>
        <v>0.9193844375</v>
      </c>
      <c r="L2020" s="92" t="s">
        <v>476</v>
      </c>
      <c r="M2020" s="44"/>
      <c r="N2020" s="82"/>
      <c r="O2020" s="44"/>
      <c r="P2020" s="44"/>
      <c r="Q2020" s="44">
        <f>8*8*(O2003*0+P2003*2)/500</f>
        <v>0.256</v>
      </c>
      <c r="R2020" s="84">
        <f>+Q2020/R2003</f>
        <v>0.256</v>
      </c>
      <c r="S2020" s="47"/>
      <c r="T2020" s="47"/>
    </row>
    <row r="2021" s="27" customFormat="1" ht="18" customHeight="1" spans="1:20">
      <c r="A2021" s="34"/>
      <c r="B2021" s="48">
        <v>6</v>
      </c>
      <c r="C2021" s="48"/>
      <c r="D2021" s="88" t="s">
        <v>434</v>
      </c>
      <c r="E2021" s="72" t="str">
        <f>+VLOOKUP(D2021,'材料表 '!C:F,2,0)</f>
        <v>m2</v>
      </c>
      <c r="F2021" s="77">
        <f>T2019/R2003</f>
        <v>0.11</v>
      </c>
      <c r="G2021" s="89">
        <f>+VLOOKUP(D2021,'材料表 '!C:F,4,0)</f>
        <v>0</v>
      </c>
      <c r="H2021" s="74">
        <f t="shared" si="218"/>
        <v>0.11</v>
      </c>
      <c r="I2021" s="74">
        <f>+VLOOKUP(D2021,'材料表 '!C:F,3,0)</f>
        <v>49.5575221238938</v>
      </c>
      <c r="J2021" s="95">
        <f t="shared" si="219"/>
        <v>5.45132743362832</v>
      </c>
      <c r="K2021" s="92">
        <f ca="1">H2021*K2002</f>
        <v>0.213125</v>
      </c>
      <c r="L2021" s="92"/>
      <c r="M2021" s="44"/>
      <c r="N2021" s="82"/>
      <c r="O2021" s="44"/>
      <c r="P2021" s="44"/>
      <c r="Q2021" s="44"/>
      <c r="R2021" s="84"/>
      <c r="S2021" s="47"/>
      <c r="T2021" s="47"/>
    </row>
    <row r="2022" s="27" customFormat="1" ht="18" customHeight="1" spans="1:20">
      <c r="A2022" s="34"/>
      <c r="B2022" s="48">
        <v>7</v>
      </c>
      <c r="C2022" s="48"/>
      <c r="D2022" s="88"/>
      <c r="E2022" s="72"/>
      <c r="F2022" s="77"/>
      <c r="G2022" s="89"/>
      <c r="H2022" s="74"/>
      <c r="I2022" s="74"/>
      <c r="J2022" s="95"/>
      <c r="K2022" s="92">
        <f ca="1">H2022*K2002</f>
        <v>0</v>
      </c>
      <c r="L2022" s="92"/>
      <c r="M2022" s="44"/>
      <c r="N2022" s="82"/>
      <c r="O2022" s="44"/>
      <c r="P2022" s="44"/>
      <c r="Q2022" s="44"/>
      <c r="R2022" s="84"/>
      <c r="S2022" s="47"/>
      <c r="T2022" s="47"/>
    </row>
    <row r="2023" s="27" customFormat="1" ht="18" customHeight="1" spans="1:20">
      <c r="A2023" s="34"/>
      <c r="B2023" s="48">
        <v>8</v>
      </c>
      <c r="C2023" s="48"/>
      <c r="D2023" s="88"/>
      <c r="E2023" s="72"/>
      <c r="F2023" s="77"/>
      <c r="G2023" s="89"/>
      <c r="H2023" s="74"/>
      <c r="I2023" s="74"/>
      <c r="J2023" s="95"/>
      <c r="K2023" s="92">
        <f ca="1">H2023*K2002</f>
        <v>0</v>
      </c>
      <c r="L2023" s="92"/>
      <c r="M2023" s="44"/>
      <c r="N2023" s="82"/>
      <c r="O2023" s="44"/>
      <c r="P2023" s="44"/>
      <c r="Q2023" s="44"/>
      <c r="R2023" s="84"/>
      <c r="S2023" s="47"/>
      <c r="T2023" s="47"/>
    </row>
    <row r="2024" s="27" customFormat="1" ht="18" customHeight="1" spans="1:20">
      <c r="A2024" s="34"/>
      <c r="B2024" s="48">
        <v>9</v>
      </c>
      <c r="C2024" s="48"/>
      <c r="D2024" s="88" t="s">
        <v>476</v>
      </c>
      <c r="E2024" s="72" t="str">
        <f>+VLOOKUP(D2024,'材料表 '!C:F,2,0)</f>
        <v>支</v>
      </c>
      <c r="F2024" s="77">
        <f t="shared" si="217"/>
        <v>0.256</v>
      </c>
      <c r="G2024" s="89">
        <f>+VLOOKUP(D2024,'材料表 '!C:F,4,0)</f>
        <v>0.15</v>
      </c>
      <c r="H2024" s="74">
        <f>F2024*(G2024+1)</f>
        <v>0.2944</v>
      </c>
      <c r="I2024" s="74">
        <f>+VLOOKUP(D2024,'材料表 '!C:F,3,0)</f>
        <v>11.5044247787611</v>
      </c>
      <c r="J2024" s="95">
        <f>H2024*I2024</f>
        <v>3.38690265486727</v>
      </c>
      <c r="K2024" s="92">
        <f ca="1">H2024*K2002</f>
        <v>0.5704</v>
      </c>
      <c r="L2024" s="90"/>
      <c r="M2024" s="44"/>
      <c r="N2024" s="82"/>
      <c r="O2024" s="34"/>
      <c r="P2024" s="44"/>
      <c r="Q2024" s="44"/>
      <c r="R2024" s="119"/>
      <c r="S2024" s="47"/>
      <c r="T2024" s="47"/>
    </row>
    <row r="2025" s="27" customFormat="1" ht="23" customHeight="1" spans="1:20">
      <c r="A2025" s="34"/>
      <c r="B2025" s="48">
        <v>10</v>
      </c>
      <c r="C2025" s="48"/>
      <c r="D2025" s="88"/>
      <c r="E2025" s="72"/>
      <c r="F2025" s="77"/>
      <c r="G2025" s="89"/>
      <c r="H2025" s="74"/>
      <c r="I2025" s="74"/>
      <c r="J2025" s="95"/>
      <c r="K2025" s="92">
        <f ca="1">H2025*K2002</f>
        <v>0</v>
      </c>
      <c r="L2025" s="92"/>
      <c r="M2025" s="120"/>
      <c r="N2025" s="82"/>
      <c r="O2025" s="44"/>
      <c r="P2025" s="44"/>
      <c r="Q2025" s="44"/>
      <c r="R2025" s="84"/>
      <c r="S2025" s="47"/>
      <c r="T2025" s="47"/>
    </row>
    <row r="2026" s="27" customFormat="1" ht="20" customHeight="1" spans="1:20">
      <c r="A2026" s="34"/>
      <c r="B2026" s="48">
        <v>11</v>
      </c>
      <c r="C2026" s="48"/>
      <c r="D2026" s="88"/>
      <c r="E2026" s="72"/>
      <c r="F2026" s="77"/>
      <c r="G2026" s="89"/>
      <c r="H2026" s="74"/>
      <c r="I2026" s="74"/>
      <c r="J2026" s="95"/>
      <c r="K2026" s="92">
        <f ca="1">H2026*K2002</f>
        <v>0</v>
      </c>
      <c r="L2026" s="92"/>
      <c r="M2026" s="44"/>
      <c r="N2026" s="82"/>
      <c r="O2026" s="44"/>
      <c r="P2026" s="44"/>
      <c r="Q2026" s="44"/>
      <c r="R2026" s="84"/>
      <c r="S2026" s="47"/>
      <c r="T2026" s="47"/>
    </row>
    <row r="2027" s="27" customFormat="1" ht="24" customHeight="1" spans="1:20">
      <c r="A2027" s="34"/>
      <c r="B2027" s="48">
        <v>12</v>
      </c>
      <c r="C2027" s="48"/>
      <c r="D2027" s="127"/>
      <c r="E2027" s="72"/>
      <c r="F2027" s="128"/>
      <c r="G2027" s="89"/>
      <c r="H2027" s="74"/>
      <c r="I2027" s="74"/>
      <c r="J2027" s="95"/>
      <c r="K2027" s="92">
        <f ca="1">H2027*K2002</f>
        <v>0</v>
      </c>
      <c r="L2027" s="92"/>
      <c r="M2027" s="44"/>
      <c r="N2027" s="44"/>
      <c r="O2027" s="44"/>
      <c r="P2027" s="44"/>
      <c r="Q2027" s="44"/>
      <c r="R2027" s="84"/>
      <c r="S2027" s="47"/>
      <c r="T2027" s="47"/>
    </row>
    <row r="2028" s="27" customFormat="1" ht="18" customHeight="1" spans="1:20">
      <c r="A2028" s="34"/>
      <c r="B2028" s="48">
        <v>13</v>
      </c>
      <c r="C2028" s="48"/>
      <c r="D2028" s="88"/>
      <c r="E2028" s="72"/>
      <c r="F2028" s="77"/>
      <c r="G2028" s="89"/>
      <c r="H2028" s="74"/>
      <c r="I2028" s="74"/>
      <c r="J2028" s="95"/>
      <c r="K2028" s="92">
        <f ca="1">H2028*K2002</f>
        <v>0</v>
      </c>
      <c r="L2028" s="92"/>
      <c r="M2028" s="44"/>
      <c r="N2028" s="44"/>
      <c r="O2028" s="44"/>
      <c r="P2028" s="44"/>
      <c r="Q2028" s="44"/>
      <c r="R2028" s="84"/>
      <c r="S2028" s="47"/>
      <c r="T2028" s="47"/>
    </row>
    <row r="2029" s="27" customFormat="1" ht="24" customHeight="1" spans="1:20">
      <c r="A2029" s="34"/>
      <c r="B2029" s="48">
        <v>14</v>
      </c>
      <c r="C2029" s="48"/>
      <c r="D2029" s="88"/>
      <c r="E2029" s="72"/>
      <c r="F2029" s="77"/>
      <c r="G2029" s="89"/>
      <c r="H2029" s="74"/>
      <c r="I2029" s="74"/>
      <c r="J2029" s="95"/>
      <c r="K2029" s="92">
        <f ca="1">H2029*K2002</f>
        <v>0</v>
      </c>
      <c r="L2029" s="92"/>
      <c r="M2029" s="44"/>
      <c r="N2029" s="44"/>
      <c r="O2029" s="44"/>
      <c r="P2029" s="44"/>
      <c r="Q2029" s="44"/>
      <c r="R2029" s="84"/>
      <c r="S2029" s="47"/>
      <c r="T2029" s="47"/>
    </row>
    <row r="2030" s="27" customFormat="1" ht="18" customHeight="1" spans="1:20">
      <c r="A2030" s="34"/>
      <c r="B2030" s="48">
        <v>15</v>
      </c>
      <c r="C2030" s="48"/>
      <c r="D2030" s="88"/>
      <c r="E2030" s="72"/>
      <c r="F2030" s="77"/>
      <c r="G2030" s="89"/>
      <c r="H2030" s="74"/>
      <c r="I2030" s="74"/>
      <c r="J2030" s="95"/>
      <c r="K2030" s="92"/>
      <c r="L2030" s="92"/>
      <c r="M2030" s="44"/>
      <c r="N2030" s="44"/>
      <c r="O2030" s="44"/>
      <c r="P2030" s="44"/>
      <c r="Q2030" s="44"/>
      <c r="R2030" s="84"/>
      <c r="S2030" s="47"/>
      <c r="T2030" s="47"/>
    </row>
    <row r="2031" s="27" customFormat="1" ht="18" customHeight="1" spans="1:20">
      <c r="A2031" s="34"/>
      <c r="B2031" s="48">
        <v>16</v>
      </c>
      <c r="C2031" s="48"/>
      <c r="D2031" s="88"/>
      <c r="E2031" s="72"/>
      <c r="F2031" s="77"/>
      <c r="G2031" s="89"/>
      <c r="H2031" s="74"/>
      <c r="I2031" s="74"/>
      <c r="J2031" s="95"/>
      <c r="K2031" s="92"/>
      <c r="L2031" s="92"/>
      <c r="M2031" s="44"/>
      <c r="N2031" s="44"/>
      <c r="O2031" s="44"/>
      <c r="P2031" s="44"/>
      <c r="Q2031" s="44"/>
      <c r="R2031" s="84"/>
      <c r="S2031" s="47"/>
      <c r="T2031" s="47"/>
    </row>
    <row r="2032" s="27" customFormat="1" ht="18" customHeight="1" spans="1:20">
      <c r="A2032" s="34"/>
      <c r="B2032" s="48">
        <v>17</v>
      </c>
      <c r="C2032" s="48"/>
      <c r="D2032" s="121"/>
      <c r="E2032" s="72"/>
      <c r="F2032" s="77"/>
      <c r="G2032" s="89"/>
      <c r="H2032" s="74"/>
      <c r="I2032" s="74"/>
      <c r="J2032" s="95"/>
      <c r="K2032" s="92"/>
      <c r="L2032" s="92"/>
      <c r="M2032" s="44"/>
      <c r="N2032" s="44"/>
      <c r="O2032" s="44"/>
      <c r="P2032" s="44"/>
      <c r="Q2032" s="101"/>
      <c r="R2032" s="84"/>
      <c r="S2032" s="47"/>
      <c r="T2032" s="47"/>
    </row>
    <row r="2033" s="27" customFormat="1" ht="18" customHeight="1" spans="1:20">
      <c r="A2033" s="34"/>
      <c r="B2033" s="48">
        <v>18</v>
      </c>
      <c r="C2033" s="48"/>
      <c r="D2033" s="88"/>
      <c r="E2033" s="72"/>
      <c r="F2033" s="77"/>
      <c r="G2033" s="89"/>
      <c r="H2033" s="74"/>
      <c r="I2033" s="74"/>
      <c r="J2033" s="95"/>
      <c r="K2033" s="92"/>
      <c r="L2033" s="92"/>
      <c r="M2033" s="44"/>
      <c r="N2033" s="44"/>
      <c r="O2033" s="44"/>
      <c r="P2033" s="44"/>
      <c r="Q2033" s="44"/>
      <c r="R2033" s="84"/>
      <c r="S2033" s="47"/>
      <c r="T2033" s="47"/>
    </row>
    <row r="2034" s="27" customFormat="1" ht="18" customHeight="1" spans="1:20">
      <c r="A2034" s="34"/>
      <c r="B2034" s="48">
        <v>19</v>
      </c>
      <c r="C2034" s="48"/>
      <c r="D2034" s="27"/>
      <c r="E2034" s="72"/>
      <c r="F2034" s="77"/>
      <c r="G2034" s="89"/>
      <c r="H2034" s="74"/>
      <c r="I2034" s="74"/>
      <c r="J2034" s="95"/>
      <c r="K2034" s="92"/>
      <c r="L2034" s="92"/>
      <c r="M2034" s="44"/>
      <c r="N2034" s="44"/>
      <c r="O2034" s="44"/>
      <c r="P2034" s="44"/>
      <c r="Q2034" s="44"/>
      <c r="R2034" s="84"/>
      <c r="S2034" s="47"/>
      <c r="T2034" s="47"/>
    </row>
    <row r="2035" s="27" customFormat="1" ht="18" customHeight="1" spans="1:20">
      <c r="A2035" s="34"/>
      <c r="B2035" s="48">
        <v>20</v>
      </c>
      <c r="C2035" s="48"/>
      <c r="D2035" s="88"/>
      <c r="E2035" s="72"/>
      <c r="F2035" s="77"/>
      <c r="G2035" s="89"/>
      <c r="H2035" s="74"/>
      <c r="I2035" s="74"/>
      <c r="J2035" s="95"/>
      <c r="K2035" s="92"/>
      <c r="L2035" s="92"/>
      <c r="M2035" s="44"/>
      <c r="N2035" s="44"/>
      <c r="O2035" s="44"/>
      <c r="P2035" s="44"/>
      <c r="Q2035" s="44"/>
      <c r="R2035" s="84"/>
      <c r="S2035" s="47"/>
      <c r="T2035" s="47"/>
    </row>
    <row r="2036" s="27" customFormat="1" ht="18" customHeight="1" spans="1:20">
      <c r="A2036" s="34"/>
      <c r="B2036" s="48">
        <v>21</v>
      </c>
      <c r="C2036" s="48"/>
      <c r="D2036" s="88"/>
      <c r="E2036" s="72"/>
      <c r="F2036" s="77"/>
      <c r="G2036" s="89"/>
      <c r="H2036" s="74"/>
      <c r="I2036" s="74"/>
      <c r="J2036" s="95"/>
      <c r="K2036" s="92"/>
      <c r="L2036" s="92"/>
      <c r="M2036" s="44"/>
      <c r="N2036" s="44"/>
      <c r="O2036" s="44"/>
      <c r="P2036" s="44"/>
      <c r="Q2036" s="44"/>
      <c r="R2036" s="84"/>
      <c r="S2036" s="47"/>
      <c r="T2036" s="47"/>
    </row>
    <row r="2037" s="27" customFormat="1" ht="18" customHeight="1" spans="1:20">
      <c r="A2037" s="34"/>
      <c r="B2037" s="48">
        <v>22</v>
      </c>
      <c r="C2037" s="48"/>
      <c r="D2037" s="27"/>
      <c r="E2037" s="72"/>
      <c r="F2037" s="77"/>
      <c r="G2037" s="72"/>
      <c r="H2037" s="74"/>
      <c r="I2037" s="74"/>
      <c r="J2037" s="95"/>
      <c r="K2037" s="92"/>
      <c r="L2037" s="92"/>
      <c r="M2037" s="44"/>
      <c r="N2037" s="44"/>
      <c r="O2037" s="44"/>
      <c r="P2037" s="44"/>
      <c r="Q2037" s="44"/>
      <c r="R2037" s="62"/>
      <c r="S2037" s="47"/>
      <c r="T2037" s="47"/>
    </row>
    <row r="2038" s="27" customFormat="1" ht="18" customHeight="1" spans="1:20">
      <c r="A2038" s="34"/>
      <c r="B2038" s="48">
        <v>23</v>
      </c>
      <c r="C2038" s="48"/>
      <c r="D2038" s="88"/>
      <c r="E2038" s="72"/>
      <c r="F2038" s="77"/>
      <c r="G2038" s="89"/>
      <c r="H2038" s="74"/>
      <c r="I2038" s="74"/>
      <c r="J2038" s="95"/>
      <c r="K2038" s="92"/>
      <c r="L2038" s="92"/>
      <c r="M2038" s="44"/>
      <c r="N2038" s="44"/>
      <c r="O2038" s="44"/>
      <c r="P2038" s="44"/>
      <c r="Q2038" s="44"/>
      <c r="R2038" s="62"/>
      <c r="S2038" s="47"/>
      <c r="T2038" s="47"/>
    </row>
    <row r="2039" s="27" customFormat="1" ht="18" customHeight="1" spans="1:20">
      <c r="A2039" s="34"/>
      <c r="B2039" s="48">
        <v>24</v>
      </c>
      <c r="C2039" s="48"/>
      <c r="D2039" s="88" t="s">
        <v>478</v>
      </c>
      <c r="E2039" s="72" t="s">
        <v>109</v>
      </c>
      <c r="F2039" s="77"/>
      <c r="G2039" s="72">
        <v>1</v>
      </c>
      <c r="H2039" s="74">
        <v>1</v>
      </c>
      <c r="I2039" s="74">
        <f>+辅材及安装费!$E$12</f>
        <v>2</v>
      </c>
      <c r="J2039" s="95">
        <f>H2039*I2039</f>
        <v>2</v>
      </c>
      <c r="K2039" s="92"/>
      <c r="L2039" s="92"/>
      <c r="M2039" s="44"/>
      <c r="N2039" s="44"/>
      <c r="O2039" s="44"/>
      <c r="P2039" s="44"/>
      <c r="Q2039" s="44"/>
      <c r="R2039" s="62"/>
      <c r="S2039" s="47"/>
      <c r="T2039" s="47"/>
    </row>
    <row r="2040" s="27" customFormat="1" ht="18" customHeight="1" spans="1:20">
      <c r="A2040" s="34"/>
      <c r="B2040" s="48">
        <v>25</v>
      </c>
      <c r="C2040" s="48"/>
      <c r="D2040" s="93" t="s">
        <v>442</v>
      </c>
      <c r="E2040" s="72"/>
      <c r="F2040" s="77"/>
      <c r="G2040" s="72"/>
      <c r="H2040" s="74"/>
      <c r="I2040" s="74"/>
      <c r="J2040" s="95">
        <f>SUM(J2016:J2039)</f>
        <v>26.514615520354</v>
      </c>
      <c r="K2040" s="92"/>
      <c r="L2040" s="94"/>
      <c r="M2040" s="27"/>
      <c r="N2040" s="83"/>
      <c r="O2040" s="83"/>
      <c r="P2040" s="83"/>
      <c r="Q2040" s="83"/>
      <c r="R2040" s="87"/>
      <c r="S2040" s="47"/>
      <c r="T2040" s="47"/>
    </row>
    <row r="2041" s="27" customFormat="1" ht="18" customHeight="1" spans="1:20">
      <c r="A2041" s="34"/>
      <c r="B2041" s="48">
        <v>1</v>
      </c>
      <c r="C2041" s="48" t="s">
        <v>443</v>
      </c>
      <c r="D2041" s="48" t="s">
        <v>444</v>
      </c>
      <c r="E2041" s="72" t="s">
        <v>109</v>
      </c>
      <c r="F2041" s="50"/>
      <c r="G2041" s="48"/>
      <c r="H2041" s="51">
        <v>1</v>
      </c>
      <c r="I2041" s="74">
        <f>+辅材及安装费!$F$12</f>
        <v>1</v>
      </c>
      <c r="J2041" s="95">
        <f>H2041*I2041</f>
        <v>1</v>
      </c>
      <c r="K2041" s="118"/>
      <c r="L2041" s="96"/>
      <c r="M2041" s="97"/>
      <c r="N2041" s="98"/>
      <c r="O2041" s="98"/>
      <c r="P2041" s="98"/>
      <c r="Q2041" s="98"/>
      <c r="R2041" s="99"/>
      <c r="S2041" s="47"/>
      <c r="T2041" s="47"/>
    </row>
    <row r="2042" s="26" customFormat="1" ht="30" customHeight="1" spans="1:20">
      <c r="A2042" s="28"/>
      <c r="B2042" s="29" t="s">
        <v>386</v>
      </c>
      <c r="C2042" s="29"/>
      <c r="D2042" s="29"/>
      <c r="E2042" s="29"/>
      <c r="F2042" s="29"/>
      <c r="G2042" s="29"/>
      <c r="H2042" s="29"/>
      <c r="I2042" s="29"/>
      <c r="J2042" s="29"/>
      <c r="K2042" s="29"/>
      <c r="L2042" s="30"/>
      <c r="M2042" s="31"/>
      <c r="N2042" s="31"/>
      <c r="O2042" s="31"/>
      <c r="P2042" s="31"/>
      <c r="Q2042" s="31"/>
      <c r="R2042" s="32"/>
      <c r="S2042" s="33"/>
      <c r="T2042" s="33"/>
    </row>
    <row r="2043" s="27" customFormat="1" ht="33.75" customHeight="1" spans="1:20">
      <c r="A2043" s="34">
        <v>1</v>
      </c>
      <c r="B2043" s="35" t="s">
        <v>1</v>
      </c>
      <c r="C2043" s="35" t="s">
        <v>387</v>
      </c>
      <c r="D2043" s="36" t="str">
        <f>+A2051</f>
        <v>屋面采光顶8+1.52+8㎜超白钢化夹层玻璃</v>
      </c>
      <c r="E2043" s="37"/>
      <c r="F2043" s="38"/>
      <c r="G2043" s="39"/>
      <c r="H2043" s="35" t="s">
        <v>388</v>
      </c>
      <c r="I2043" s="40" t="s">
        <v>389</v>
      </c>
      <c r="J2043" s="41" t="s">
        <v>37</v>
      </c>
      <c r="K2043" s="42">
        <f ca="1">VLOOKUP(A2043,排屋工程量清单!$A$104:$D$106,4,)</f>
        <v>55.95</v>
      </c>
      <c r="L2043" s="43"/>
      <c r="M2043" s="44"/>
      <c r="N2043" s="44"/>
      <c r="O2043" s="44"/>
      <c r="P2043" s="45"/>
      <c r="Q2043" s="44"/>
      <c r="R2043" s="46"/>
      <c r="S2043" s="47"/>
      <c r="T2043" s="47"/>
    </row>
    <row r="2044" s="27" customFormat="1" ht="25" customHeight="1" spans="1:20">
      <c r="A2044" s="34"/>
      <c r="B2044" s="48">
        <v>1</v>
      </c>
      <c r="C2044" s="49" t="s">
        <v>390</v>
      </c>
      <c r="D2044" s="48" t="s">
        <v>391</v>
      </c>
      <c r="E2044" s="48"/>
      <c r="F2044" s="50"/>
      <c r="G2044" s="48"/>
      <c r="H2044" s="51"/>
      <c r="I2044" s="52">
        <f>J2056</f>
        <v>210</v>
      </c>
      <c r="J2044" s="53" t="s">
        <v>392</v>
      </c>
      <c r="K2044" s="54"/>
      <c r="L2044" s="55"/>
      <c r="M2044" s="56"/>
      <c r="N2044" s="57"/>
      <c r="O2044" s="57">
        <v>6.45</v>
      </c>
      <c r="P2044" s="57">
        <v>3</v>
      </c>
      <c r="Q2044" s="57">
        <v>1</v>
      </c>
      <c r="R2044" s="58">
        <f>+Q2044*P2044*O2044</f>
        <v>19.35</v>
      </c>
      <c r="S2044" s="47"/>
      <c r="T2044" s="47"/>
    </row>
    <row r="2045" s="27" customFormat="1" ht="18" customHeight="1" spans="1:20">
      <c r="A2045" s="34"/>
      <c r="B2045" s="48">
        <v>2</v>
      </c>
      <c r="C2045" s="59"/>
      <c r="D2045" s="48" t="s">
        <v>394</v>
      </c>
      <c r="E2045" s="48"/>
      <c r="F2045" s="50"/>
      <c r="G2045" s="48"/>
      <c r="H2045" s="51"/>
      <c r="I2045" s="52">
        <f>J2081</f>
        <v>387.092905909597</v>
      </c>
      <c r="J2045" s="53" t="s">
        <v>392</v>
      </c>
      <c r="K2045" s="60"/>
      <c r="L2045" s="61"/>
      <c r="M2045" s="44"/>
      <c r="N2045" s="44"/>
      <c r="O2045" s="44"/>
      <c r="P2045" s="44"/>
      <c r="Q2045" s="44"/>
      <c r="R2045" s="62"/>
      <c r="S2045" s="47"/>
      <c r="T2045" s="47"/>
    </row>
    <row r="2046" s="27" customFormat="1" ht="18" customHeight="1" spans="1:20">
      <c r="A2046" s="34"/>
      <c r="B2046" s="48">
        <v>3</v>
      </c>
      <c r="C2046" s="63"/>
      <c r="D2046" s="48" t="s">
        <v>395</v>
      </c>
      <c r="E2046" s="48"/>
      <c r="F2046" s="50"/>
      <c r="G2046" s="48"/>
      <c r="H2046" s="51"/>
      <c r="I2046" s="52">
        <f>J2082</f>
        <v>5</v>
      </c>
      <c r="J2046" s="53" t="s">
        <v>392</v>
      </c>
      <c r="K2046" s="60"/>
      <c r="L2046" s="60"/>
      <c r="M2046" s="65" t="s">
        <v>396</v>
      </c>
      <c r="N2046" s="65" t="s">
        <v>397</v>
      </c>
      <c r="O2046" s="65" t="s">
        <v>398</v>
      </c>
      <c r="P2046" s="65" t="s">
        <v>399</v>
      </c>
      <c r="Q2046" s="65" t="s">
        <v>400</v>
      </c>
      <c r="R2046" s="66" t="s">
        <v>401</v>
      </c>
      <c r="S2046" s="47"/>
      <c r="T2046" s="47"/>
    </row>
    <row r="2047" s="27" customFormat="1" ht="18" customHeight="1" spans="1:20">
      <c r="A2047" s="34"/>
      <c r="B2047" s="48">
        <v>4</v>
      </c>
      <c r="C2047" s="48" t="s">
        <v>402</v>
      </c>
      <c r="D2047" s="67" t="s">
        <v>403</v>
      </c>
      <c r="E2047" s="67"/>
      <c r="F2047" s="50"/>
      <c r="G2047" s="67"/>
      <c r="H2047" s="68"/>
      <c r="I2047" s="52">
        <f>SUM(I2044:I2046)</f>
        <v>602.092905909597</v>
      </c>
      <c r="J2047" s="53" t="s">
        <v>392</v>
      </c>
      <c r="K2047" s="60"/>
      <c r="L2047" s="69" t="s">
        <v>431</v>
      </c>
      <c r="M2047" s="34" t="s">
        <v>570</v>
      </c>
      <c r="N2047" s="34">
        <v>11.78</v>
      </c>
      <c r="O2047" s="34">
        <f>P2044</f>
        <v>3</v>
      </c>
      <c r="P2047" s="34">
        <v>7</v>
      </c>
      <c r="Q2047" s="44">
        <f t="shared" ref="Q2047:Q2054" si="220">+P2047*O2047*N2047</f>
        <v>247.38</v>
      </c>
      <c r="R2047" s="71">
        <f>+Q2047/R2044</f>
        <v>12.784496124031</v>
      </c>
      <c r="S2047" s="47">
        <v>0.32</v>
      </c>
      <c r="T2047" s="47">
        <f>S2047*O2047*P2047</f>
        <v>6.72</v>
      </c>
    </row>
    <row r="2048" s="27" customFormat="1" ht="28" customHeight="1" spans="1:20">
      <c r="A2048" s="34"/>
      <c r="B2048" s="48">
        <v>5</v>
      </c>
      <c r="C2048" s="72" t="s">
        <v>406</v>
      </c>
      <c r="D2048" s="48" t="s">
        <v>407</v>
      </c>
      <c r="E2048" s="48"/>
      <c r="F2048" s="50"/>
      <c r="G2048" s="48"/>
      <c r="H2048" s="73">
        <f>+'材料表 '!$E$178</f>
        <v>0</v>
      </c>
      <c r="I2048" s="52">
        <f>H2048*I2047</f>
        <v>0</v>
      </c>
      <c r="J2048" s="53" t="s">
        <v>392</v>
      </c>
      <c r="K2048" s="60"/>
      <c r="L2048" s="69" t="s">
        <v>431</v>
      </c>
      <c r="M2048" s="34" t="s">
        <v>570</v>
      </c>
      <c r="N2048" s="34">
        <v>11.78</v>
      </c>
      <c r="O2048" s="34">
        <f>O2044</f>
        <v>6.45</v>
      </c>
      <c r="P2048" s="34">
        <v>2</v>
      </c>
      <c r="Q2048" s="44">
        <f t="shared" si="220"/>
        <v>151.962</v>
      </c>
      <c r="R2048" s="71">
        <f>+Q2048/R2044</f>
        <v>7.85333333333333</v>
      </c>
      <c r="S2048" s="47">
        <f>0.32</f>
        <v>0.32</v>
      </c>
      <c r="T2048" s="47">
        <f>S2048*O2048*P2048</f>
        <v>4.128</v>
      </c>
    </row>
    <row r="2049" s="27" customFormat="1" ht="18" customHeight="1" spans="1:20">
      <c r="A2049" s="34"/>
      <c r="B2049" s="48">
        <v>6</v>
      </c>
      <c r="C2049" s="48" t="s">
        <v>409</v>
      </c>
      <c r="D2049" s="48" t="s">
        <v>410</v>
      </c>
      <c r="E2049" s="48"/>
      <c r="F2049" s="50"/>
      <c r="G2049" s="48"/>
      <c r="H2049" s="73">
        <f>+'材料表 '!$E$179</f>
        <v>0</v>
      </c>
      <c r="I2049" s="52">
        <f>H2049*I2047</f>
        <v>0</v>
      </c>
      <c r="J2049" s="53" t="s">
        <v>392</v>
      </c>
      <c r="K2049" s="60"/>
      <c r="L2049" s="69" t="s">
        <v>461</v>
      </c>
      <c r="M2049" s="34" t="s">
        <v>546</v>
      </c>
      <c r="N2049" s="34">
        <v>4.81</v>
      </c>
      <c r="O2049" s="34">
        <f>O2044</f>
        <v>6.45</v>
      </c>
      <c r="P2049" s="34">
        <v>0</v>
      </c>
      <c r="Q2049" s="44">
        <f t="shared" si="220"/>
        <v>0</v>
      </c>
      <c r="R2049" s="71">
        <f>+Q2049/R2044</f>
        <v>0</v>
      </c>
      <c r="S2049" s="47"/>
      <c r="T2049" s="47"/>
    </row>
    <row r="2050" s="27" customFormat="1" ht="18" customHeight="1" spans="1:20">
      <c r="A2050" s="34"/>
      <c r="B2050" s="48">
        <v>7</v>
      </c>
      <c r="C2050" s="48" t="s">
        <v>412</v>
      </c>
      <c r="D2050" s="72" t="s">
        <v>413</v>
      </c>
      <c r="E2050" s="72"/>
      <c r="F2050" s="77"/>
      <c r="G2050" s="72"/>
      <c r="H2050" s="73">
        <f>+'材料表 '!$E$180</f>
        <v>0.09</v>
      </c>
      <c r="I2050" s="52">
        <f>(I2047+I2048+I2049)*H2050</f>
        <v>54.1883615318638</v>
      </c>
      <c r="J2050" s="53" t="s">
        <v>392</v>
      </c>
      <c r="K2050" s="60"/>
      <c r="L2050" s="69" t="s">
        <v>463</v>
      </c>
      <c r="M2050" s="34" t="s">
        <v>464</v>
      </c>
      <c r="N2050" s="34">
        <f>0.15*0.2*7.85*10</f>
        <v>2.355</v>
      </c>
      <c r="O2050" s="34">
        <v>5</v>
      </c>
      <c r="P2050" s="34">
        <v>0</v>
      </c>
      <c r="Q2050" s="44">
        <f t="shared" si="220"/>
        <v>0</v>
      </c>
      <c r="R2050" s="71">
        <f>+Q2050/R2044</f>
        <v>0</v>
      </c>
      <c r="S2050" s="47"/>
      <c r="T2050" s="47"/>
    </row>
    <row r="2051" s="27" customFormat="1" ht="18" customHeight="1" spans="1:20">
      <c r="A2051" s="105" t="s">
        <v>571</v>
      </c>
      <c r="B2051" s="48">
        <v>8</v>
      </c>
      <c r="C2051" s="48" t="s">
        <v>363</v>
      </c>
      <c r="D2051" s="106" t="s">
        <v>415</v>
      </c>
      <c r="E2051" s="107"/>
      <c r="F2051" s="108"/>
      <c r="G2051" s="107"/>
      <c r="H2051" s="51"/>
      <c r="I2051" s="74">
        <f>SUM(I2047:I2050)</f>
        <v>656.281267441461</v>
      </c>
      <c r="J2051" s="53" t="s">
        <v>416</v>
      </c>
      <c r="K2051" s="60"/>
      <c r="L2051" s="69" t="s">
        <v>465</v>
      </c>
      <c r="M2051" s="34" t="s">
        <v>572</v>
      </c>
      <c r="N2051" s="34">
        <v>11.78</v>
      </c>
      <c r="O2051" s="34">
        <f>287/1000</f>
        <v>0.287</v>
      </c>
      <c r="P2051" s="44">
        <f>7*P2047</f>
        <v>49</v>
      </c>
      <c r="Q2051" s="44">
        <f t="shared" si="220"/>
        <v>165.66214</v>
      </c>
      <c r="R2051" s="84">
        <f>+Q2051/R2044</f>
        <v>8.56135090439276</v>
      </c>
      <c r="S2051" s="47">
        <f>0.32</f>
        <v>0.32</v>
      </c>
      <c r="T2051" s="47">
        <f>S2051*O2051*P2051</f>
        <v>4.50016</v>
      </c>
    </row>
    <row r="2052" s="27" customFormat="1" ht="18" customHeight="1" spans="1:20">
      <c r="A2052" s="34"/>
      <c r="B2052" s="109" t="s">
        <v>418</v>
      </c>
      <c r="C2052" s="110"/>
      <c r="D2052" s="110"/>
      <c r="E2052" s="110"/>
      <c r="F2052" s="110"/>
      <c r="G2052" s="110"/>
      <c r="H2052" s="110"/>
      <c r="I2052" s="110"/>
      <c r="J2052" s="110"/>
      <c r="K2052" s="80"/>
      <c r="L2052" s="69" t="s">
        <v>433</v>
      </c>
      <c r="M2052" s="44" t="s">
        <v>573</v>
      </c>
      <c r="N2052" s="82">
        <f>0.116*2.71</f>
        <v>0.31436</v>
      </c>
      <c r="O2052" s="44">
        <f>P2044*12+O2044*2</f>
        <v>48.9</v>
      </c>
      <c r="P2052" s="44">
        <v>1</v>
      </c>
      <c r="Q2052" s="44">
        <f t="shared" si="220"/>
        <v>15.372204</v>
      </c>
      <c r="R2052" s="84">
        <f>+Q2052/R2044</f>
        <v>0.794429147286822</v>
      </c>
      <c r="S2052" s="47"/>
      <c r="T2052" s="47">
        <f>SUM(T2047:T2051)</f>
        <v>15.34816</v>
      </c>
    </row>
    <row r="2053" s="27" customFormat="1" ht="18" customHeight="1" spans="1:20">
      <c r="A2053" s="34"/>
      <c r="B2053" s="48">
        <v>1</v>
      </c>
      <c r="C2053" s="48" t="s">
        <v>391</v>
      </c>
      <c r="D2053" s="48" t="s">
        <v>396</v>
      </c>
      <c r="E2053" s="48" t="s">
        <v>37</v>
      </c>
      <c r="F2053" s="50"/>
      <c r="G2053" s="48"/>
      <c r="H2053" s="51" t="s">
        <v>399</v>
      </c>
      <c r="I2053" s="51" t="s">
        <v>420</v>
      </c>
      <c r="J2053" s="95" t="s">
        <v>421</v>
      </c>
      <c r="K2053" s="92"/>
      <c r="L2053" s="69" t="s">
        <v>433</v>
      </c>
      <c r="M2053" s="44" t="s">
        <v>574</v>
      </c>
      <c r="N2053" s="82">
        <f>0.158*2.71</f>
        <v>0.42818</v>
      </c>
      <c r="O2053" s="44">
        <f>O2052/0.3*0.05</f>
        <v>8.15</v>
      </c>
      <c r="P2053" s="44">
        <v>1</v>
      </c>
      <c r="Q2053" s="44">
        <f t="shared" si="220"/>
        <v>3.489667</v>
      </c>
      <c r="R2053" s="84">
        <f>+Q2053/R2044</f>
        <v>0.180344547803618</v>
      </c>
      <c r="S2053" s="47"/>
      <c r="T2053" s="47"/>
    </row>
    <row r="2054" s="27" customFormat="1" ht="18" customHeight="1" spans="1:20">
      <c r="A2054" s="34"/>
      <c r="B2054" s="48">
        <v>2</v>
      </c>
      <c r="C2054" s="48"/>
      <c r="D2054" s="111" t="s">
        <v>575</v>
      </c>
      <c r="E2054" s="49" t="s">
        <v>423</v>
      </c>
      <c r="F2054" s="112"/>
      <c r="G2054" s="111"/>
      <c r="H2054" s="113">
        <v>1</v>
      </c>
      <c r="I2054" s="113">
        <f>+辅材及安装费!$G$13</f>
        <v>210</v>
      </c>
      <c r="J2054" s="114">
        <f t="shared" ref="J2054:J2068" si="221">H2054*I2054</f>
        <v>210</v>
      </c>
      <c r="K2054" s="92"/>
      <c r="L2054" s="69" t="s">
        <v>433</v>
      </c>
      <c r="M2054" s="44"/>
      <c r="N2054" s="82"/>
      <c r="O2054" s="44">
        <f>O2044</f>
        <v>6.45</v>
      </c>
      <c r="P2054" s="44">
        <v>0</v>
      </c>
      <c r="Q2054" s="44">
        <f t="shared" si="220"/>
        <v>0</v>
      </c>
      <c r="R2054" s="84">
        <f>Q2054/R2044</f>
        <v>0</v>
      </c>
      <c r="S2054" s="47"/>
      <c r="T2054" s="47"/>
    </row>
    <row r="2055" s="27" customFormat="1" ht="18" customHeight="1" spans="1:20">
      <c r="A2055" s="34"/>
      <c r="B2055" s="48">
        <v>3</v>
      </c>
      <c r="C2055" s="48"/>
      <c r="D2055" s="115"/>
      <c r="E2055" s="63"/>
      <c r="F2055" s="116"/>
      <c r="G2055" s="115"/>
      <c r="H2055" s="117"/>
      <c r="I2055" s="117"/>
      <c r="J2055" s="118"/>
      <c r="K2055" s="92"/>
      <c r="L2055" s="90" t="s">
        <v>472</v>
      </c>
      <c r="M2055" s="44"/>
      <c r="N2055" s="82"/>
      <c r="O2055" s="44"/>
      <c r="P2055" s="44">
        <f>O2050*P2050*0</f>
        <v>0</v>
      </c>
      <c r="Q2055" s="44">
        <f>+P2055</f>
        <v>0</v>
      </c>
      <c r="R2055" s="84">
        <f>+Q2055/R2044</f>
        <v>0</v>
      </c>
      <c r="S2055" s="47"/>
      <c r="T2055" s="47"/>
    </row>
    <row r="2056" s="27" customFormat="1" ht="18" customHeight="1" spans="1:20">
      <c r="A2056" s="34"/>
      <c r="B2056" s="48">
        <v>4</v>
      </c>
      <c r="C2056" s="48"/>
      <c r="D2056" s="85" t="s">
        <v>426</v>
      </c>
      <c r="E2056" s="48" t="s">
        <v>392</v>
      </c>
      <c r="F2056" s="50"/>
      <c r="G2056" s="48"/>
      <c r="H2056" s="86"/>
      <c r="I2056" s="86"/>
      <c r="J2056" s="95">
        <f>SUM(J2054:J2054)</f>
        <v>210</v>
      </c>
      <c r="K2056" s="92"/>
      <c r="L2056" s="90"/>
      <c r="M2056" s="44"/>
      <c r="N2056" s="82"/>
      <c r="O2056" s="44"/>
      <c r="P2056" s="44"/>
      <c r="Q2056" s="44"/>
      <c r="R2056" s="84"/>
      <c r="S2056" s="47"/>
      <c r="T2056" s="47"/>
    </row>
    <row r="2057" s="27" customFormat="1" ht="22" customHeight="1" spans="1:20">
      <c r="A2057" s="34"/>
      <c r="B2057" s="48">
        <v>1</v>
      </c>
      <c r="C2057" s="48" t="s">
        <v>394</v>
      </c>
      <c r="D2057" s="88" t="s">
        <v>431</v>
      </c>
      <c r="E2057" s="72" t="str">
        <f>+VLOOKUP(D2057,'材料表 '!C:F,2,0)</f>
        <v>kg</v>
      </c>
      <c r="F2057" s="77">
        <f>+SUMIF($L$2044:$L$2082,D2057,$R$2044:$R$2082)</f>
        <v>20.6378294573643</v>
      </c>
      <c r="G2057" s="89">
        <f>+VLOOKUP(D2057,'材料表 '!C:F,4,0)</f>
        <v>0.03</v>
      </c>
      <c r="H2057" s="74">
        <f t="shared" ref="H2057:H2068" si="222">F2057*(G2057+1)</f>
        <v>21.2569643410852</v>
      </c>
      <c r="I2057" s="74">
        <f>+VLOOKUP(D2057,'材料表 '!C:F,3,0)</f>
        <v>3.80530973451327</v>
      </c>
      <c r="J2057" s="95">
        <f t="shared" si="221"/>
        <v>80.8893333333331</v>
      </c>
      <c r="K2057" s="92">
        <f ca="1">H2057*K2043</f>
        <v>1189.32715488372</v>
      </c>
      <c r="L2057" s="90"/>
      <c r="M2057" s="44"/>
      <c r="N2057" s="82"/>
      <c r="O2057" s="44"/>
      <c r="P2057" s="44"/>
      <c r="Q2057" s="44"/>
      <c r="R2057" s="84"/>
      <c r="S2057" s="47"/>
      <c r="T2057" s="47"/>
    </row>
    <row r="2058" s="27" customFormat="1" ht="18" customHeight="1" spans="1:20">
      <c r="A2058" s="34"/>
      <c r="B2058" s="48">
        <v>2</v>
      </c>
      <c r="C2058" s="48"/>
      <c r="D2058" s="88" t="s">
        <v>461</v>
      </c>
      <c r="E2058" s="72" t="str">
        <f>+VLOOKUP(D2058,'材料表 '!C:F,2,0)</f>
        <v>kg</v>
      </c>
      <c r="F2058" s="77">
        <f t="shared" ref="F2058:F2067" si="223">+SUMIF($L$2044:$L$2082,D2058,$R$2044:$R$2082)</f>
        <v>0</v>
      </c>
      <c r="G2058" s="89">
        <f>+VLOOKUP(D2058,'材料表 '!C:F,4,0)</f>
        <v>0.03</v>
      </c>
      <c r="H2058" s="74">
        <f t="shared" si="222"/>
        <v>0</v>
      </c>
      <c r="I2058" s="74">
        <f>+VLOOKUP(D2058,'材料表 '!C:F,3,0)</f>
        <v>3.53982300884956</v>
      </c>
      <c r="J2058" s="95">
        <f t="shared" si="221"/>
        <v>0</v>
      </c>
      <c r="K2058" s="92">
        <f ca="1">H2058*K2043</f>
        <v>0</v>
      </c>
      <c r="L2058" s="90"/>
      <c r="M2058" s="44"/>
      <c r="N2058" s="82"/>
      <c r="O2058" s="44"/>
      <c r="P2058" s="44"/>
      <c r="Q2058" s="44"/>
      <c r="R2058" s="84"/>
      <c r="S2058" s="47"/>
      <c r="T2058" s="47"/>
    </row>
    <row r="2059" s="27" customFormat="1" ht="18" customHeight="1" spans="1:20">
      <c r="A2059" s="34"/>
      <c r="B2059" s="48">
        <v>3</v>
      </c>
      <c r="C2059" s="48"/>
      <c r="D2059" s="88" t="s">
        <v>465</v>
      </c>
      <c r="E2059" s="72" t="str">
        <f>+VLOOKUP(D2059,'材料表 '!C:F,2,0)</f>
        <v>kg</v>
      </c>
      <c r="F2059" s="77">
        <f t="shared" si="223"/>
        <v>8.56135090439276</v>
      </c>
      <c r="G2059" s="89">
        <f>+VLOOKUP(D2059,'材料表 '!C:F,4,0)</f>
        <v>0.03</v>
      </c>
      <c r="H2059" s="74">
        <f t="shared" si="222"/>
        <v>8.81819143152454</v>
      </c>
      <c r="I2059" s="74">
        <f>+VLOOKUP(D2059,'材料表 '!C:F,3,0)</f>
        <v>6.01769911504425</v>
      </c>
      <c r="J2059" s="95">
        <f t="shared" si="221"/>
        <v>53.065222773776</v>
      </c>
      <c r="K2059" s="92">
        <f ca="1">H2059*K2043</f>
        <v>493.377810593798</v>
      </c>
      <c r="L2059" s="90"/>
      <c r="M2059" s="44"/>
      <c r="N2059" s="82"/>
      <c r="O2059" s="44"/>
      <c r="P2059" s="44"/>
      <c r="Q2059" s="44">
        <f>+P2059*O2059</f>
        <v>0</v>
      </c>
      <c r="R2059" s="84">
        <f>+Q2059/R2044</f>
        <v>0</v>
      </c>
      <c r="S2059" s="47"/>
      <c r="T2059" s="47"/>
    </row>
    <row r="2060" s="27" customFormat="1" ht="18" customHeight="1" spans="1:20">
      <c r="A2060" s="34"/>
      <c r="B2060" s="48">
        <v>4</v>
      </c>
      <c r="C2060" s="48"/>
      <c r="D2060" s="88" t="s">
        <v>463</v>
      </c>
      <c r="E2060" s="72" t="str">
        <f>+VLOOKUP(D2060,'材料表 '!C:F,2,0)</f>
        <v>kg</v>
      </c>
      <c r="F2060" s="77">
        <f t="shared" si="223"/>
        <v>0</v>
      </c>
      <c r="G2060" s="89">
        <f>+VLOOKUP(D2060,'材料表 '!C:F,4,0)</f>
        <v>0.03</v>
      </c>
      <c r="H2060" s="74">
        <f t="shared" si="222"/>
        <v>0</v>
      </c>
      <c r="I2060" s="74">
        <f>+VLOOKUP(D2060,'材料表 '!C:F,3,0)</f>
        <v>6.01769911504425</v>
      </c>
      <c r="J2060" s="95">
        <f t="shared" si="221"/>
        <v>0</v>
      </c>
      <c r="K2060" s="92">
        <f ca="1">H2060*K2043</f>
        <v>0</v>
      </c>
      <c r="L2060" s="90" t="s">
        <v>474</v>
      </c>
      <c r="M2060" s="44"/>
      <c r="N2060" s="82"/>
      <c r="O2060" s="44"/>
      <c r="P2060" s="44"/>
      <c r="Q2060" s="44">
        <f>+O2050*P2050*4</f>
        <v>0</v>
      </c>
      <c r="R2060" s="84">
        <f>+Q2060/R2044</f>
        <v>0</v>
      </c>
      <c r="S2060" s="47"/>
      <c r="T2060" s="47"/>
    </row>
    <row r="2061" s="27" customFormat="1" ht="18" customHeight="1" spans="1:20">
      <c r="A2061" s="34"/>
      <c r="B2061" s="48">
        <v>5</v>
      </c>
      <c r="C2061" s="48"/>
      <c r="D2061" s="88" t="s">
        <v>433</v>
      </c>
      <c r="E2061" s="72" t="str">
        <f>+VLOOKUP(D2061,'材料表 '!C:F,2,0)</f>
        <v>kg</v>
      </c>
      <c r="F2061" s="77">
        <f t="shared" si="223"/>
        <v>0.974773695090439</v>
      </c>
      <c r="G2061" s="89">
        <f>+VLOOKUP(D2061,'材料表 '!C:F,4,0)</f>
        <v>0.03</v>
      </c>
      <c r="H2061" s="74">
        <f t="shared" si="222"/>
        <v>1.00401690594315</v>
      </c>
      <c r="I2061" s="74">
        <f>+VLOOKUP(D2061,'材料表 '!C:F,3,0)</f>
        <v>26.1150442477876</v>
      </c>
      <c r="J2061" s="95">
        <f t="shared" si="221"/>
        <v>26.2199459242322</v>
      </c>
      <c r="K2061" s="92">
        <f ca="1">H2061*K2043</f>
        <v>56.1747458875192</v>
      </c>
      <c r="L2061" s="92" t="s">
        <v>476</v>
      </c>
      <c r="M2061" s="44"/>
      <c r="N2061" s="82"/>
      <c r="O2061" s="44"/>
      <c r="P2061" s="44"/>
      <c r="Q2061" s="44">
        <f>16*10*(O2044*2+P2044*7)/500</f>
        <v>10.848</v>
      </c>
      <c r="R2061" s="84">
        <f>+Q2061/R2044</f>
        <v>0.56062015503876</v>
      </c>
      <c r="S2061" s="47"/>
      <c r="T2061" s="47"/>
    </row>
    <row r="2062" s="27" customFormat="1" ht="18" customHeight="1" spans="1:20">
      <c r="A2062" s="34"/>
      <c r="B2062" s="48">
        <v>6</v>
      </c>
      <c r="C2062" s="48"/>
      <c r="D2062" s="88" t="s">
        <v>434</v>
      </c>
      <c r="E2062" s="72" t="str">
        <f>+VLOOKUP(D2062,'材料表 '!C:F,2,0)</f>
        <v>m2</v>
      </c>
      <c r="F2062" s="77">
        <f t="shared" si="223"/>
        <v>0</v>
      </c>
      <c r="G2062" s="89">
        <f>+VLOOKUP(D2062,'材料表 '!C:F,4,0)</f>
        <v>0</v>
      </c>
      <c r="H2062" s="74">
        <f t="shared" si="222"/>
        <v>0</v>
      </c>
      <c r="I2062" s="74">
        <f>+VLOOKUP(D2062,'材料表 '!C:F,3,0)</f>
        <v>49.5575221238938</v>
      </c>
      <c r="J2062" s="95">
        <f t="shared" si="221"/>
        <v>0</v>
      </c>
      <c r="K2062" s="92">
        <f ca="1">H2062*K2043</f>
        <v>0</v>
      </c>
      <c r="L2062" s="92" t="s">
        <v>499</v>
      </c>
      <c r="M2062" s="44"/>
      <c r="N2062" s="82"/>
      <c r="O2062" s="44"/>
      <c r="P2062" s="44"/>
      <c r="Q2062" s="44">
        <v>0</v>
      </c>
      <c r="R2062" s="84">
        <f>Q2062/R2044</f>
        <v>0</v>
      </c>
      <c r="S2062" s="47"/>
      <c r="T2062" s="47"/>
    </row>
    <row r="2063" s="27" customFormat="1" ht="18" customHeight="1" spans="1:20">
      <c r="A2063" s="34"/>
      <c r="B2063" s="48">
        <v>7</v>
      </c>
      <c r="C2063" s="48"/>
      <c r="D2063" s="88" t="s">
        <v>472</v>
      </c>
      <c r="E2063" s="72" t="str">
        <f>+VLOOKUP(D2063,'材料表 '!C:F,2,0)</f>
        <v>套</v>
      </c>
      <c r="F2063" s="77">
        <f t="shared" si="223"/>
        <v>0</v>
      </c>
      <c r="G2063" s="89">
        <f>+VLOOKUP(D2063,'材料表 '!C:F,4,0)</f>
        <v>0</v>
      </c>
      <c r="H2063" s="74">
        <f t="shared" si="222"/>
        <v>0</v>
      </c>
      <c r="I2063" s="74">
        <f>+VLOOKUP(D2063,'材料表 '!C:F,3,0)</f>
        <v>2.47787610619469</v>
      </c>
      <c r="J2063" s="95">
        <f t="shared" si="221"/>
        <v>0</v>
      </c>
      <c r="K2063" s="92">
        <f ca="1">H2063*K2043</f>
        <v>0</v>
      </c>
      <c r="L2063" s="92"/>
      <c r="M2063" s="44"/>
      <c r="N2063" s="82"/>
      <c r="O2063" s="44"/>
      <c r="P2063" s="44"/>
      <c r="Q2063" s="44"/>
      <c r="R2063" s="84"/>
      <c r="S2063" s="47"/>
      <c r="T2063" s="47"/>
    </row>
    <row r="2064" s="27" customFormat="1" ht="18" customHeight="1" spans="1:20">
      <c r="A2064" s="34"/>
      <c r="B2064" s="48">
        <v>8</v>
      </c>
      <c r="C2064" s="48"/>
      <c r="D2064" s="88" t="s">
        <v>474</v>
      </c>
      <c r="E2064" s="72" t="str">
        <f>+VLOOKUP(D2064,'材料表 '!C:F,2,0)</f>
        <v>套</v>
      </c>
      <c r="F2064" s="77">
        <f t="shared" si="223"/>
        <v>0</v>
      </c>
      <c r="G2064" s="89">
        <f>+VLOOKUP(D2064,'材料表 '!C:F,4,0)</f>
        <v>0</v>
      </c>
      <c r="H2064" s="74">
        <f t="shared" si="222"/>
        <v>0</v>
      </c>
      <c r="I2064" s="74">
        <f>+VLOOKUP(D2064,'材料表 '!C:F,3,0)</f>
        <v>2.21238938053097</v>
      </c>
      <c r="J2064" s="95">
        <f t="shared" si="221"/>
        <v>0</v>
      </c>
      <c r="K2064" s="92">
        <f ca="1">H2064*K2043</f>
        <v>0</v>
      </c>
      <c r="L2064" s="92"/>
      <c r="M2064" s="44"/>
      <c r="N2064" s="82"/>
      <c r="O2064" s="44"/>
      <c r="P2064" s="44"/>
      <c r="Q2064" s="44"/>
      <c r="R2064" s="84"/>
      <c r="S2064" s="47"/>
      <c r="T2064" s="47"/>
    </row>
    <row r="2065" s="27" customFormat="1" ht="18" customHeight="1" spans="1:20">
      <c r="A2065" s="34"/>
      <c r="B2065" s="48">
        <v>9</v>
      </c>
      <c r="C2065" s="48"/>
      <c r="D2065" s="88" t="s">
        <v>476</v>
      </c>
      <c r="E2065" s="72" t="str">
        <f>+VLOOKUP(D2065,'材料表 '!C:F,2,0)</f>
        <v>支</v>
      </c>
      <c r="F2065" s="77">
        <f t="shared" si="223"/>
        <v>0.56062015503876</v>
      </c>
      <c r="G2065" s="89">
        <f>+VLOOKUP(D2065,'材料表 '!C:F,4,0)</f>
        <v>0.15</v>
      </c>
      <c r="H2065" s="74">
        <f t="shared" si="222"/>
        <v>0.644713178294574</v>
      </c>
      <c r="I2065" s="74">
        <f>+VLOOKUP(D2065,'材料表 '!C:F,3,0)</f>
        <v>11.5044247787611</v>
      </c>
      <c r="J2065" s="95">
        <f t="shared" si="221"/>
        <v>7.41705426356592</v>
      </c>
      <c r="K2065" s="92">
        <f ca="1">H2065*K2043</f>
        <v>36.0717023255814</v>
      </c>
      <c r="L2065" s="90"/>
      <c r="M2065" s="44"/>
      <c r="N2065" s="82"/>
      <c r="O2065" s="34"/>
      <c r="P2065" s="44"/>
      <c r="Q2065" s="44"/>
      <c r="R2065" s="119"/>
      <c r="S2065" s="47"/>
      <c r="T2065" s="47"/>
    </row>
    <row r="2066" s="27" customFormat="1" ht="23" customHeight="1" spans="1:20">
      <c r="A2066" s="34"/>
      <c r="B2066" s="48">
        <v>10</v>
      </c>
      <c r="C2066" s="48"/>
      <c r="D2066" s="88" t="s">
        <v>576</v>
      </c>
      <c r="E2066" s="72" t="str">
        <f>+VLOOKUP(D2066,'材料表 '!C:F,2,0)</f>
        <v>支</v>
      </c>
      <c r="F2066" s="77">
        <f>16*8*(P2044*12+O2044*2)/500/R2044</f>
        <v>0.646945736434108</v>
      </c>
      <c r="G2066" s="89">
        <f>+VLOOKUP(D2066,'材料表 '!C:F,4,0)</f>
        <v>0.15</v>
      </c>
      <c r="H2066" s="74">
        <f t="shared" si="222"/>
        <v>0.743987596899224</v>
      </c>
      <c r="I2066" s="74">
        <f>+VLOOKUP(D2066,'材料表 '!C:F,3,0)</f>
        <v>14.1592920353982</v>
      </c>
      <c r="J2066" s="95">
        <f t="shared" si="221"/>
        <v>10.5343376552102</v>
      </c>
      <c r="K2066" s="92">
        <f ca="1">H2066*K2043</f>
        <v>41.6261060465116</v>
      </c>
      <c r="L2066" s="92"/>
      <c r="M2066" s="120"/>
      <c r="N2066" s="82"/>
      <c r="O2066" s="44"/>
      <c r="P2066" s="44"/>
      <c r="Q2066" s="44"/>
      <c r="R2066" s="84"/>
      <c r="S2066" s="47"/>
      <c r="T2066" s="47"/>
    </row>
    <row r="2067" s="27" customFormat="1" ht="20" customHeight="1" spans="1:20">
      <c r="A2067" s="34"/>
      <c r="B2067" s="48">
        <v>11</v>
      </c>
      <c r="C2067" s="48"/>
      <c r="D2067" s="88" t="s">
        <v>517</v>
      </c>
      <c r="E2067" s="72" t="str">
        <f>+VLOOKUP(D2067,'材料表 '!C:F,2,0)</f>
        <v>m2</v>
      </c>
      <c r="F2067" s="77">
        <f>T2052/R2044</f>
        <v>0.793186563307493</v>
      </c>
      <c r="G2067" s="89">
        <f>+VLOOKUP(D2067,'材料表 '!C:F,4,0)</f>
        <v>0</v>
      </c>
      <c r="H2067" s="74">
        <f t="shared" si="222"/>
        <v>0.793186563307493</v>
      </c>
      <c r="I2067" s="74">
        <f>+VLOOKUP(D2067,'材料表 '!C:F,3,0)</f>
        <v>84.070796460177</v>
      </c>
      <c r="J2067" s="95">
        <f t="shared" si="221"/>
        <v>66.6838261187715</v>
      </c>
      <c r="K2067" s="92">
        <f ca="1">H2067*K2043</f>
        <v>44.3787882170542</v>
      </c>
      <c r="L2067" s="92"/>
      <c r="M2067" s="44"/>
      <c r="N2067" s="82"/>
      <c r="O2067" s="44"/>
      <c r="P2067" s="44"/>
      <c r="Q2067" s="44"/>
      <c r="R2067" s="84"/>
      <c r="S2067" s="47"/>
      <c r="T2067" s="47"/>
    </row>
    <row r="2068" s="27" customFormat="1" ht="24" customHeight="1" spans="1:20">
      <c r="A2068" s="34"/>
      <c r="B2068" s="48">
        <v>12</v>
      </c>
      <c r="C2068" s="48"/>
      <c r="D2068" s="127" t="s">
        <v>577</v>
      </c>
      <c r="E2068" s="72" t="str">
        <f>+VLOOKUP(D2068,'材料表 '!C:F,2,0)</f>
        <v>m2</v>
      </c>
      <c r="F2068" s="128">
        <v>1</v>
      </c>
      <c r="G2068" s="89">
        <f>+VLOOKUP(D2068,'材料表 '!C:F,4,0)</f>
        <v>0.01</v>
      </c>
      <c r="H2068" s="74">
        <f t="shared" si="222"/>
        <v>1.01</v>
      </c>
      <c r="I2068" s="74">
        <f>+VLOOKUP(D2068,'材料表 '!C:F,3,0)</f>
        <v>130.973451327434</v>
      </c>
      <c r="J2068" s="95">
        <f t="shared" si="221"/>
        <v>132.283185840708</v>
      </c>
      <c r="K2068" s="92">
        <f ca="1">H2068*K2043</f>
        <v>56.5095</v>
      </c>
      <c r="L2068" s="92"/>
      <c r="M2068" s="44"/>
      <c r="N2068" s="44"/>
      <c r="O2068" s="44"/>
      <c r="P2068" s="44"/>
      <c r="Q2068" s="44"/>
      <c r="R2068" s="84"/>
      <c r="S2068" s="47"/>
      <c r="T2068" s="47"/>
    </row>
    <row r="2069" s="27" customFormat="1" ht="18" customHeight="1" spans="1:20">
      <c r="A2069" s="34"/>
      <c r="B2069" s="48">
        <v>13</v>
      </c>
      <c r="C2069" s="48"/>
      <c r="D2069" s="88"/>
      <c r="E2069" s="72"/>
      <c r="F2069" s="77"/>
      <c r="G2069" s="89"/>
      <c r="H2069" s="74"/>
      <c r="I2069" s="74"/>
      <c r="J2069" s="95"/>
      <c r="K2069" s="92">
        <f ca="1">H2069*K2043</f>
        <v>0</v>
      </c>
      <c r="L2069" s="92"/>
      <c r="M2069" s="44"/>
      <c r="N2069" s="44"/>
      <c r="O2069" s="44"/>
      <c r="P2069" s="44"/>
      <c r="Q2069" s="44"/>
      <c r="R2069" s="84"/>
      <c r="S2069" s="47"/>
      <c r="T2069" s="47"/>
    </row>
    <row r="2070" s="27" customFormat="1" ht="24" customHeight="1" spans="1:20">
      <c r="A2070" s="34"/>
      <c r="B2070" s="48">
        <v>14</v>
      </c>
      <c r="C2070" s="48"/>
      <c r="D2070" s="88"/>
      <c r="E2070" s="72"/>
      <c r="F2070" s="77"/>
      <c r="G2070" s="89"/>
      <c r="H2070" s="74"/>
      <c r="I2070" s="74"/>
      <c r="J2070" s="95"/>
      <c r="K2070" s="92">
        <f ca="1">H2070*K2043</f>
        <v>0</v>
      </c>
      <c r="L2070" s="92"/>
      <c r="M2070" s="44"/>
      <c r="N2070" s="44"/>
      <c r="O2070" s="44"/>
      <c r="P2070" s="44"/>
      <c r="Q2070" s="44"/>
      <c r="R2070" s="84"/>
      <c r="S2070" s="47"/>
      <c r="T2070" s="47"/>
    </row>
    <row r="2071" s="27" customFormat="1" ht="18" customHeight="1" spans="1:20">
      <c r="A2071" s="34"/>
      <c r="B2071" s="48">
        <v>15</v>
      </c>
      <c r="C2071" s="48"/>
      <c r="D2071" s="88"/>
      <c r="E2071" s="72"/>
      <c r="F2071" s="77"/>
      <c r="G2071" s="89"/>
      <c r="H2071" s="74"/>
      <c r="I2071" s="74"/>
      <c r="J2071" s="95"/>
      <c r="K2071" s="92"/>
      <c r="L2071" s="92"/>
      <c r="M2071" s="44"/>
      <c r="N2071" s="44"/>
      <c r="O2071" s="44"/>
      <c r="P2071" s="44"/>
      <c r="Q2071" s="44"/>
      <c r="R2071" s="84"/>
      <c r="S2071" s="47"/>
      <c r="T2071" s="47"/>
    </row>
    <row r="2072" s="27" customFormat="1" ht="18" customHeight="1" spans="1:20">
      <c r="A2072" s="34"/>
      <c r="B2072" s="48">
        <v>16</v>
      </c>
      <c r="C2072" s="48"/>
      <c r="D2072" s="88"/>
      <c r="E2072" s="72"/>
      <c r="F2072" s="77"/>
      <c r="G2072" s="89"/>
      <c r="H2072" s="74"/>
      <c r="I2072" s="74"/>
      <c r="J2072" s="95"/>
      <c r="K2072" s="92"/>
      <c r="L2072" s="92"/>
      <c r="M2072" s="44"/>
      <c r="N2072" s="44"/>
      <c r="O2072" s="44"/>
      <c r="P2072" s="44"/>
      <c r="Q2072" s="44"/>
      <c r="R2072" s="84"/>
      <c r="S2072" s="47"/>
      <c r="T2072" s="47"/>
    </row>
    <row r="2073" s="27" customFormat="1" ht="18" customHeight="1" spans="1:20">
      <c r="A2073" s="34"/>
      <c r="B2073" s="48">
        <v>17</v>
      </c>
      <c r="C2073" s="48"/>
      <c r="D2073" s="121"/>
      <c r="E2073" s="72"/>
      <c r="F2073" s="77"/>
      <c r="G2073" s="89"/>
      <c r="H2073" s="74"/>
      <c r="I2073" s="74"/>
      <c r="J2073" s="95"/>
      <c r="K2073" s="92"/>
      <c r="L2073" s="92"/>
      <c r="M2073" s="44"/>
      <c r="N2073" s="44"/>
      <c r="O2073" s="44"/>
      <c r="P2073" s="44"/>
      <c r="Q2073" s="101"/>
      <c r="R2073" s="84"/>
      <c r="S2073" s="47"/>
      <c r="T2073" s="47"/>
    </row>
    <row r="2074" s="27" customFormat="1" ht="18" customHeight="1" spans="1:20">
      <c r="A2074" s="34"/>
      <c r="B2074" s="48">
        <v>18</v>
      </c>
      <c r="C2074" s="48"/>
      <c r="D2074" s="88"/>
      <c r="E2074" s="72"/>
      <c r="F2074" s="77"/>
      <c r="G2074" s="89"/>
      <c r="H2074" s="74"/>
      <c r="I2074" s="74"/>
      <c r="J2074" s="95"/>
      <c r="K2074" s="92"/>
      <c r="L2074" s="92"/>
      <c r="M2074" s="44"/>
      <c r="N2074" s="44"/>
      <c r="O2074" s="44"/>
      <c r="P2074" s="44"/>
      <c r="Q2074" s="44"/>
      <c r="R2074" s="84"/>
      <c r="S2074" s="47"/>
      <c r="T2074" s="47"/>
    </row>
    <row r="2075" s="27" customFormat="1" ht="18" customHeight="1" spans="1:20">
      <c r="A2075" s="34"/>
      <c r="B2075" s="48">
        <v>19</v>
      </c>
      <c r="C2075" s="48"/>
      <c r="D2075" s="27"/>
      <c r="E2075" s="72"/>
      <c r="F2075" s="77"/>
      <c r="G2075" s="89"/>
      <c r="H2075" s="74"/>
      <c r="I2075" s="74"/>
      <c r="J2075" s="95"/>
      <c r="K2075" s="92"/>
      <c r="L2075" s="92"/>
      <c r="M2075" s="44"/>
      <c r="N2075" s="44"/>
      <c r="O2075" s="44"/>
      <c r="P2075" s="44"/>
      <c r="Q2075" s="44"/>
      <c r="R2075" s="84"/>
      <c r="S2075" s="47"/>
      <c r="T2075" s="47"/>
    </row>
    <row r="2076" s="27" customFormat="1" ht="18" customHeight="1" spans="1:20">
      <c r="A2076" s="34"/>
      <c r="B2076" s="48">
        <v>20</v>
      </c>
      <c r="C2076" s="48"/>
      <c r="D2076" s="88"/>
      <c r="E2076" s="72"/>
      <c r="F2076" s="77"/>
      <c r="G2076" s="89"/>
      <c r="H2076" s="74"/>
      <c r="I2076" s="74"/>
      <c r="J2076" s="95"/>
      <c r="K2076" s="92"/>
      <c r="L2076" s="92"/>
      <c r="M2076" s="44"/>
      <c r="N2076" s="44"/>
      <c r="O2076" s="44"/>
      <c r="P2076" s="44"/>
      <c r="Q2076" s="44"/>
      <c r="R2076" s="84"/>
      <c r="S2076" s="47"/>
      <c r="T2076" s="47"/>
    </row>
    <row r="2077" s="27" customFormat="1" ht="18" customHeight="1" spans="1:20">
      <c r="A2077" s="34"/>
      <c r="B2077" s="48">
        <v>21</v>
      </c>
      <c r="C2077" s="48"/>
      <c r="D2077" s="88"/>
      <c r="E2077" s="72"/>
      <c r="F2077" s="77"/>
      <c r="G2077" s="89"/>
      <c r="H2077" s="74"/>
      <c r="I2077" s="74"/>
      <c r="J2077" s="95"/>
      <c r="K2077" s="92"/>
      <c r="L2077" s="92"/>
      <c r="M2077" s="44"/>
      <c r="N2077" s="44"/>
      <c r="O2077" s="44"/>
      <c r="P2077" s="44"/>
      <c r="Q2077" s="44"/>
      <c r="R2077" s="84"/>
      <c r="S2077" s="47"/>
      <c r="T2077" s="47"/>
    </row>
    <row r="2078" s="27" customFormat="1" ht="18" customHeight="1" spans="1:20">
      <c r="A2078" s="34"/>
      <c r="B2078" s="48">
        <v>22</v>
      </c>
      <c r="C2078" s="48"/>
      <c r="D2078" s="27"/>
      <c r="E2078" s="72"/>
      <c r="F2078" s="77"/>
      <c r="G2078" s="72"/>
      <c r="H2078" s="74"/>
      <c r="I2078" s="74"/>
      <c r="J2078" s="95"/>
      <c r="K2078" s="92"/>
      <c r="L2078" s="92"/>
      <c r="M2078" s="44"/>
      <c r="N2078" s="44"/>
      <c r="O2078" s="44"/>
      <c r="P2078" s="44"/>
      <c r="Q2078" s="44"/>
      <c r="R2078" s="62"/>
      <c r="S2078" s="47"/>
      <c r="T2078" s="47"/>
    </row>
    <row r="2079" s="27" customFormat="1" ht="18" customHeight="1" spans="1:20">
      <c r="A2079" s="34"/>
      <c r="B2079" s="48">
        <v>23</v>
      </c>
      <c r="C2079" s="48"/>
      <c r="D2079" s="88"/>
      <c r="E2079" s="72"/>
      <c r="F2079" s="77"/>
      <c r="G2079" s="89"/>
      <c r="H2079" s="74"/>
      <c r="I2079" s="74"/>
      <c r="J2079" s="95"/>
      <c r="K2079" s="92"/>
      <c r="L2079" s="92"/>
      <c r="M2079" s="44"/>
      <c r="N2079" s="44"/>
      <c r="O2079" s="44"/>
      <c r="P2079" s="44"/>
      <c r="Q2079" s="44"/>
      <c r="R2079" s="62"/>
      <c r="S2079" s="47"/>
      <c r="T2079" s="47"/>
    </row>
    <row r="2080" s="27" customFormat="1" ht="18" customHeight="1" spans="1:20">
      <c r="A2080" s="34"/>
      <c r="B2080" s="48">
        <v>24</v>
      </c>
      <c r="C2080" s="48"/>
      <c r="D2080" s="88" t="s">
        <v>478</v>
      </c>
      <c r="E2080" s="72" t="s">
        <v>43</v>
      </c>
      <c r="F2080" s="77"/>
      <c r="G2080" s="72">
        <v>1</v>
      </c>
      <c r="H2080" s="74">
        <v>1</v>
      </c>
      <c r="I2080" s="74">
        <f>+辅材及安装费!$E$13</f>
        <v>10</v>
      </c>
      <c r="J2080" s="95">
        <f>H2080*I2080</f>
        <v>10</v>
      </c>
      <c r="K2080" s="92"/>
      <c r="L2080" s="92"/>
      <c r="M2080" s="44"/>
      <c r="N2080" s="44"/>
      <c r="O2080" s="44"/>
      <c r="P2080" s="44"/>
      <c r="Q2080" s="44"/>
      <c r="R2080" s="62"/>
      <c r="S2080" s="47"/>
      <c r="T2080" s="47"/>
    </row>
    <row r="2081" s="27" customFormat="1" ht="18" customHeight="1" spans="1:20">
      <c r="A2081" s="34"/>
      <c r="B2081" s="48">
        <v>25</v>
      </c>
      <c r="C2081" s="48"/>
      <c r="D2081" s="93" t="s">
        <v>442</v>
      </c>
      <c r="E2081" s="72"/>
      <c r="F2081" s="77"/>
      <c r="G2081" s="72"/>
      <c r="H2081" s="74"/>
      <c r="I2081" s="74"/>
      <c r="J2081" s="95">
        <f>SUM(J2057:J2080)</f>
        <v>387.092905909597</v>
      </c>
      <c r="K2081" s="92"/>
      <c r="L2081" s="94"/>
      <c r="M2081" s="27"/>
      <c r="N2081" s="83"/>
      <c r="O2081" s="83"/>
      <c r="P2081" s="83"/>
      <c r="Q2081" s="83"/>
      <c r="R2081" s="87"/>
      <c r="S2081" s="47"/>
      <c r="T2081" s="47"/>
    </row>
    <row r="2082" s="27" customFormat="1" ht="18" customHeight="1" spans="1:20">
      <c r="A2082" s="34"/>
      <c r="B2082" s="48">
        <v>1</v>
      </c>
      <c r="C2082" s="48" t="s">
        <v>443</v>
      </c>
      <c r="D2082" s="48" t="s">
        <v>444</v>
      </c>
      <c r="E2082" s="72" t="s">
        <v>43</v>
      </c>
      <c r="F2082" s="50"/>
      <c r="G2082" s="48"/>
      <c r="H2082" s="51">
        <v>1</v>
      </c>
      <c r="I2082" s="74">
        <f>+辅材及安装费!$F$13</f>
        <v>5</v>
      </c>
      <c r="J2082" s="95">
        <f>H2082*I2082</f>
        <v>5</v>
      </c>
      <c r="K2082" s="118"/>
      <c r="L2082" s="96"/>
      <c r="M2082" s="97"/>
      <c r="N2082" s="98"/>
      <c r="O2082" s="98"/>
      <c r="P2082" s="98"/>
      <c r="Q2082" s="98"/>
      <c r="R2082" s="99"/>
      <c r="S2082" s="47"/>
      <c r="T2082" s="47"/>
    </row>
    <row r="2083" s="26" customFormat="1" ht="30" customHeight="1" spans="1:20">
      <c r="A2083" s="28"/>
      <c r="B2083" s="29" t="s">
        <v>386</v>
      </c>
      <c r="C2083" s="29"/>
      <c r="D2083" s="29"/>
      <c r="E2083" s="29"/>
      <c r="F2083" s="29"/>
      <c r="G2083" s="29"/>
      <c r="H2083" s="29"/>
      <c r="I2083" s="29"/>
      <c r="J2083" s="29"/>
      <c r="K2083" s="29"/>
      <c r="L2083" s="30"/>
      <c r="M2083" s="31"/>
      <c r="N2083" s="31"/>
      <c r="O2083" s="31"/>
      <c r="P2083" s="31"/>
      <c r="Q2083" s="31"/>
      <c r="R2083" s="32"/>
      <c r="S2083" s="33"/>
      <c r="T2083" s="33"/>
    </row>
    <row r="2084" s="27" customFormat="1" ht="33.75" customHeight="1" spans="1:20">
      <c r="A2084" s="34">
        <v>2</v>
      </c>
      <c r="B2084" s="35" t="s">
        <v>1</v>
      </c>
      <c r="C2084" s="35" t="s">
        <v>387</v>
      </c>
      <c r="D2084" s="36" t="str">
        <f>+A2092</f>
        <v>一层采光顶25纳米水晶硅+1.52PVB+6钢化夹层玻璃</v>
      </c>
      <c r="E2084" s="37"/>
      <c r="F2084" s="38"/>
      <c r="G2084" s="39"/>
      <c r="H2084" s="35" t="s">
        <v>388</v>
      </c>
      <c r="I2084" s="40" t="s">
        <v>389</v>
      </c>
      <c r="J2084" s="41" t="s">
        <v>37</v>
      </c>
      <c r="K2084" s="42">
        <f ca="1">VLOOKUP(A2084,排屋工程量清单!$A$104:$D$106,4,)</f>
        <v>43.09</v>
      </c>
      <c r="L2084" s="43"/>
      <c r="M2084" s="44"/>
      <c r="N2084" s="44"/>
      <c r="O2084" s="44"/>
      <c r="P2084" s="45"/>
      <c r="Q2084" s="44"/>
      <c r="R2084" s="46"/>
      <c r="S2084" s="47"/>
      <c r="T2084" s="47"/>
    </row>
    <row r="2085" s="27" customFormat="1" ht="25" customHeight="1" spans="1:20">
      <c r="A2085" s="34"/>
      <c r="B2085" s="48">
        <v>1</v>
      </c>
      <c r="C2085" s="49" t="s">
        <v>390</v>
      </c>
      <c r="D2085" s="48" t="s">
        <v>391</v>
      </c>
      <c r="E2085" s="48"/>
      <c r="F2085" s="50"/>
      <c r="G2085" s="48"/>
      <c r="H2085" s="51"/>
      <c r="I2085" s="52">
        <f>J2097</f>
        <v>210</v>
      </c>
      <c r="J2085" s="53" t="s">
        <v>392</v>
      </c>
      <c r="K2085" s="54"/>
      <c r="L2085" s="55"/>
      <c r="M2085" s="56" t="s">
        <v>217</v>
      </c>
      <c r="N2085" s="57"/>
      <c r="O2085" s="57">
        <v>5.35</v>
      </c>
      <c r="P2085" s="57">
        <v>1.55</v>
      </c>
      <c r="Q2085" s="57">
        <v>1</v>
      </c>
      <c r="R2085" s="58">
        <f>+Q2085*P2085*O2085</f>
        <v>8.2925</v>
      </c>
      <c r="S2085" s="47"/>
      <c r="T2085" s="47"/>
    </row>
    <row r="2086" s="27" customFormat="1" ht="18" customHeight="1" spans="1:20">
      <c r="A2086" s="34"/>
      <c r="B2086" s="48">
        <v>2</v>
      </c>
      <c r="C2086" s="59"/>
      <c r="D2086" s="48" t="s">
        <v>394</v>
      </c>
      <c r="E2086" s="48"/>
      <c r="F2086" s="50"/>
      <c r="G2086" s="48"/>
      <c r="H2086" s="51"/>
      <c r="I2086" s="52">
        <f ca="1">J2122</f>
        <v>758.817950873641</v>
      </c>
      <c r="J2086" s="53" t="s">
        <v>392</v>
      </c>
      <c r="K2086" s="60"/>
      <c r="L2086" s="61"/>
      <c r="M2086" s="44"/>
      <c r="N2086" s="44"/>
      <c r="O2086" s="44"/>
      <c r="P2086" s="44"/>
      <c r="Q2086" s="44"/>
      <c r="R2086" s="62"/>
      <c r="S2086" s="47"/>
      <c r="T2086" s="47"/>
    </row>
    <row r="2087" s="27" customFormat="1" ht="18" customHeight="1" spans="1:20">
      <c r="A2087" s="34"/>
      <c r="B2087" s="48">
        <v>3</v>
      </c>
      <c r="C2087" s="63"/>
      <c r="D2087" s="48" t="s">
        <v>395</v>
      </c>
      <c r="E2087" s="48"/>
      <c r="F2087" s="50"/>
      <c r="G2087" s="48"/>
      <c r="H2087" s="51"/>
      <c r="I2087" s="52">
        <f>J2123</f>
        <v>5</v>
      </c>
      <c r="J2087" s="53" t="s">
        <v>392</v>
      </c>
      <c r="K2087" s="60"/>
      <c r="L2087" s="60"/>
      <c r="M2087" s="65" t="s">
        <v>396</v>
      </c>
      <c r="N2087" s="65" t="s">
        <v>397</v>
      </c>
      <c r="O2087" s="65" t="s">
        <v>398</v>
      </c>
      <c r="P2087" s="65" t="s">
        <v>399</v>
      </c>
      <c r="Q2087" s="65" t="s">
        <v>400</v>
      </c>
      <c r="R2087" s="66" t="s">
        <v>401</v>
      </c>
      <c r="S2087" s="47"/>
      <c r="T2087" s="47"/>
    </row>
    <row r="2088" s="27" customFormat="1" ht="18" customHeight="1" spans="1:20">
      <c r="A2088" s="34"/>
      <c r="B2088" s="48">
        <v>4</v>
      </c>
      <c r="C2088" s="48" t="s">
        <v>402</v>
      </c>
      <c r="D2088" s="67" t="s">
        <v>403</v>
      </c>
      <c r="E2088" s="67"/>
      <c r="F2088" s="50"/>
      <c r="G2088" s="67"/>
      <c r="H2088" s="68"/>
      <c r="I2088" s="52">
        <f ca="1">SUM(I2085:I2087)</f>
        <v>973.817950873641</v>
      </c>
      <c r="J2088" s="53" t="s">
        <v>392</v>
      </c>
      <c r="K2088" s="60"/>
      <c r="L2088" s="69" t="s">
        <v>431</v>
      </c>
      <c r="M2088" s="34" t="s">
        <v>570</v>
      </c>
      <c r="N2088" s="34">
        <v>11.78</v>
      </c>
      <c r="O2088" s="34">
        <f>P2085</f>
        <v>1.55</v>
      </c>
      <c r="P2088" s="34">
        <v>6</v>
      </c>
      <c r="Q2088" s="44">
        <f t="shared" ref="Q2088:Q2095" si="224">+P2088*O2088*N2088</f>
        <v>109.554</v>
      </c>
      <c r="R2088" s="71">
        <f>+Q2088/R2085</f>
        <v>13.211214953271</v>
      </c>
      <c r="S2088" s="47">
        <v>0.32</v>
      </c>
      <c r="T2088" s="47">
        <f t="shared" ref="T2088:T2092" si="225">S2088*O2088*P2088</f>
        <v>2.976</v>
      </c>
    </row>
    <row r="2089" s="27" customFormat="1" ht="24" customHeight="1" spans="1:20">
      <c r="A2089" s="34"/>
      <c r="B2089" s="48">
        <v>5</v>
      </c>
      <c r="C2089" s="72" t="s">
        <v>406</v>
      </c>
      <c r="D2089" s="48" t="s">
        <v>407</v>
      </c>
      <c r="E2089" s="48"/>
      <c r="F2089" s="50"/>
      <c r="G2089" s="48"/>
      <c r="H2089" s="73">
        <f>+'材料表 '!$E$178</f>
        <v>0</v>
      </c>
      <c r="I2089" s="52">
        <f ca="1">H2089*I2088</f>
        <v>0</v>
      </c>
      <c r="J2089" s="53" t="s">
        <v>392</v>
      </c>
      <c r="K2089" s="60"/>
      <c r="L2089" s="69" t="s">
        <v>431</v>
      </c>
      <c r="M2089" s="34" t="s">
        <v>570</v>
      </c>
      <c r="N2089" s="34">
        <v>11.78</v>
      </c>
      <c r="O2089" s="34">
        <f>O2085</f>
        <v>5.35</v>
      </c>
      <c r="P2089" s="34">
        <v>2</v>
      </c>
      <c r="Q2089" s="44">
        <f t="shared" si="224"/>
        <v>126.046</v>
      </c>
      <c r="R2089" s="71">
        <f>+Q2089/R2085</f>
        <v>15.2</v>
      </c>
      <c r="S2089" s="47">
        <f>0.32</f>
        <v>0.32</v>
      </c>
      <c r="T2089" s="47">
        <f t="shared" si="225"/>
        <v>3.424</v>
      </c>
    </row>
    <row r="2090" s="27" customFormat="1" ht="18" customHeight="1" spans="1:20">
      <c r="A2090" s="34"/>
      <c r="B2090" s="48">
        <v>6</v>
      </c>
      <c r="C2090" s="48" t="s">
        <v>409</v>
      </c>
      <c r="D2090" s="48" t="s">
        <v>410</v>
      </c>
      <c r="E2090" s="48"/>
      <c r="F2090" s="50"/>
      <c r="G2090" s="48"/>
      <c r="H2090" s="73">
        <f>+'材料表 '!$E$179</f>
        <v>0</v>
      </c>
      <c r="I2090" s="52">
        <f ca="1">H2090*I2088</f>
        <v>0</v>
      </c>
      <c r="J2090" s="53" t="s">
        <v>392</v>
      </c>
      <c r="K2090" s="60"/>
      <c r="L2090" s="69" t="s">
        <v>578</v>
      </c>
      <c r="M2090" s="34" t="s">
        <v>579</v>
      </c>
      <c r="N2090" s="34">
        <f>0.056*3*1*7.85</f>
        <v>1.3188</v>
      </c>
      <c r="O2090" s="34">
        <f>P2085*P2088+O2089*1</f>
        <v>14.65</v>
      </c>
      <c r="P2090" s="34">
        <v>1</v>
      </c>
      <c r="Q2090" s="44">
        <f t="shared" si="224"/>
        <v>19.32042</v>
      </c>
      <c r="R2090" s="71">
        <f>+Q2090/R2085</f>
        <v>2.3298667470606</v>
      </c>
      <c r="S2090" s="47"/>
      <c r="T2090" s="47"/>
    </row>
    <row r="2091" s="27" customFormat="1" ht="18" customHeight="1" spans="1:20">
      <c r="A2091" s="34"/>
      <c r="B2091" s="48">
        <v>7</v>
      </c>
      <c r="C2091" s="48" t="s">
        <v>412</v>
      </c>
      <c r="D2091" s="72" t="s">
        <v>413</v>
      </c>
      <c r="E2091" s="72"/>
      <c r="F2091" s="77"/>
      <c r="G2091" s="72"/>
      <c r="H2091" s="73">
        <f>+'材料表 '!$E$180</f>
        <v>0.09</v>
      </c>
      <c r="I2091" s="52">
        <f ca="1">(I2088+I2089+I2090)*H2091</f>
        <v>87.6436155786277</v>
      </c>
      <c r="J2091" s="53" t="s">
        <v>392</v>
      </c>
      <c r="K2091" s="60"/>
      <c r="L2091" s="69" t="s">
        <v>463</v>
      </c>
      <c r="M2091" s="34" t="s">
        <v>464</v>
      </c>
      <c r="N2091" s="34">
        <f>0.15*0.2*7.85*10</f>
        <v>2.355</v>
      </c>
      <c r="O2091" s="34">
        <v>2</v>
      </c>
      <c r="P2091" s="34">
        <f>P2088</f>
        <v>6</v>
      </c>
      <c r="Q2091" s="44">
        <f t="shared" si="224"/>
        <v>28.26</v>
      </c>
      <c r="R2091" s="71">
        <f>+Q2091/R2085</f>
        <v>3.40789870364787</v>
      </c>
      <c r="S2091" s="47"/>
      <c r="T2091" s="47"/>
    </row>
    <row r="2092" s="27" customFormat="1" ht="18" customHeight="1" spans="1:20">
      <c r="A2092" s="105" t="s">
        <v>200</v>
      </c>
      <c r="B2092" s="48">
        <v>8</v>
      </c>
      <c r="C2092" s="48" t="s">
        <v>363</v>
      </c>
      <c r="D2092" s="106" t="s">
        <v>415</v>
      </c>
      <c r="E2092" s="107"/>
      <c r="F2092" s="108"/>
      <c r="G2092" s="107"/>
      <c r="H2092" s="51"/>
      <c r="I2092" s="74">
        <f ca="1">SUM(I2088:I2091)</f>
        <v>1061.46156645227</v>
      </c>
      <c r="J2092" s="53" t="s">
        <v>416</v>
      </c>
      <c r="K2092" s="60"/>
      <c r="L2092" s="69" t="s">
        <v>465</v>
      </c>
      <c r="M2092" s="34" t="s">
        <v>572</v>
      </c>
      <c r="N2092" s="34">
        <v>11.78</v>
      </c>
      <c r="O2092" s="34">
        <f>287/1000</f>
        <v>0.287</v>
      </c>
      <c r="P2092" s="44">
        <v>0</v>
      </c>
      <c r="Q2092" s="44">
        <f t="shared" si="224"/>
        <v>0</v>
      </c>
      <c r="R2092" s="84">
        <f>+Q2092/R2085</f>
        <v>0</v>
      </c>
      <c r="S2092" s="47">
        <f>0.32</f>
        <v>0.32</v>
      </c>
      <c r="T2092" s="47">
        <f t="shared" si="225"/>
        <v>0</v>
      </c>
    </row>
    <row r="2093" s="27" customFormat="1" ht="18" customHeight="1" spans="1:20">
      <c r="A2093" s="34"/>
      <c r="B2093" s="109" t="s">
        <v>418</v>
      </c>
      <c r="C2093" s="110"/>
      <c r="D2093" s="110"/>
      <c r="E2093" s="110"/>
      <c r="F2093" s="110"/>
      <c r="G2093" s="110"/>
      <c r="H2093" s="110"/>
      <c r="I2093" s="110"/>
      <c r="J2093" s="110"/>
      <c r="K2093" s="80"/>
      <c r="L2093" s="69" t="s">
        <v>447</v>
      </c>
      <c r="M2093" s="44"/>
      <c r="N2093" s="82"/>
      <c r="O2093" s="44"/>
      <c r="P2093" s="44"/>
      <c r="Q2093" s="44"/>
      <c r="R2093" s="84">
        <f>+Q2093/R2085</f>
        <v>0</v>
      </c>
      <c r="S2093" s="47"/>
      <c r="T2093" s="47">
        <f>SUM(T2088:T2092)</f>
        <v>6.4</v>
      </c>
    </row>
    <row r="2094" s="27" customFormat="1" ht="18" customHeight="1" spans="1:20">
      <c r="A2094" s="34"/>
      <c r="B2094" s="48">
        <v>1</v>
      </c>
      <c r="C2094" s="48" t="s">
        <v>391</v>
      </c>
      <c r="D2094" s="48" t="s">
        <v>396</v>
      </c>
      <c r="E2094" s="48" t="s">
        <v>37</v>
      </c>
      <c r="F2094" s="50"/>
      <c r="G2094" s="48"/>
      <c r="H2094" s="51" t="s">
        <v>399</v>
      </c>
      <c r="I2094" s="51" t="s">
        <v>420</v>
      </c>
      <c r="J2094" s="95" t="s">
        <v>421</v>
      </c>
      <c r="K2094" s="92"/>
      <c r="L2094" s="69" t="s">
        <v>447</v>
      </c>
      <c r="M2094" s="44" t="s">
        <v>580</v>
      </c>
      <c r="N2094" s="82">
        <f>0.162*2.71</f>
        <v>0.43902</v>
      </c>
      <c r="O2094" s="44">
        <f>O2089*P2089+O2090*P2090</f>
        <v>25.35</v>
      </c>
      <c r="P2094" s="44">
        <v>1</v>
      </c>
      <c r="Q2094" s="44">
        <f t="shared" si="224"/>
        <v>11.129157</v>
      </c>
      <c r="R2094" s="84">
        <f>+Q2094/R2085</f>
        <v>1.34207500753693</v>
      </c>
      <c r="S2094" s="47">
        <v>0.093</v>
      </c>
      <c r="T2094" s="47">
        <f>S2094*O2094*P2094</f>
        <v>2.35755</v>
      </c>
    </row>
    <row r="2095" s="27" customFormat="1" ht="18" customHeight="1" spans="1:20">
      <c r="A2095" s="34"/>
      <c r="B2095" s="48">
        <v>2</v>
      </c>
      <c r="C2095" s="48"/>
      <c r="D2095" s="111" t="s">
        <v>575</v>
      </c>
      <c r="E2095" s="49" t="s">
        <v>423</v>
      </c>
      <c r="F2095" s="112"/>
      <c r="G2095" s="111"/>
      <c r="H2095" s="113">
        <v>1</v>
      </c>
      <c r="I2095" s="113">
        <f>+辅材及安装费!$G$13</f>
        <v>210</v>
      </c>
      <c r="J2095" s="114">
        <f t="shared" ref="J2095:J2111" si="226">H2095*I2095</f>
        <v>210</v>
      </c>
      <c r="K2095" s="92"/>
      <c r="L2095" s="69" t="s">
        <v>433</v>
      </c>
      <c r="M2095" s="44"/>
      <c r="N2095" s="82"/>
      <c r="O2095" s="44">
        <f>O2085</f>
        <v>5.35</v>
      </c>
      <c r="P2095" s="44">
        <v>0</v>
      </c>
      <c r="Q2095" s="44">
        <f t="shared" si="224"/>
        <v>0</v>
      </c>
      <c r="R2095" s="84">
        <f>Q2095/R2085</f>
        <v>0</v>
      </c>
      <c r="S2095" s="47"/>
      <c r="T2095" s="47"/>
    </row>
    <row r="2096" s="27" customFormat="1" ht="18" customHeight="1" spans="1:20">
      <c r="A2096" s="34"/>
      <c r="B2096" s="48">
        <v>3</v>
      </c>
      <c r="C2096" s="48"/>
      <c r="D2096" s="115"/>
      <c r="E2096" s="63"/>
      <c r="F2096" s="116"/>
      <c r="G2096" s="115"/>
      <c r="H2096" s="117"/>
      <c r="I2096" s="117"/>
      <c r="J2096" s="118"/>
      <c r="K2096" s="92"/>
      <c r="L2096" s="90" t="s">
        <v>472</v>
      </c>
      <c r="M2096" s="44"/>
      <c r="N2096" s="82"/>
      <c r="O2096" s="44"/>
      <c r="P2096" s="44">
        <f>O2091*P2091*0</f>
        <v>0</v>
      </c>
      <c r="Q2096" s="44">
        <f>+P2096</f>
        <v>0</v>
      </c>
      <c r="R2096" s="84">
        <f>+Q2096/R2085</f>
        <v>0</v>
      </c>
      <c r="S2096" s="47"/>
      <c r="T2096" s="47"/>
    </row>
    <row r="2097" s="27" customFormat="1" ht="18" customHeight="1" spans="1:20">
      <c r="A2097" s="34"/>
      <c r="B2097" s="48">
        <v>4</v>
      </c>
      <c r="C2097" s="48"/>
      <c r="D2097" s="85" t="s">
        <v>426</v>
      </c>
      <c r="E2097" s="48" t="s">
        <v>392</v>
      </c>
      <c r="F2097" s="50"/>
      <c r="G2097" s="48"/>
      <c r="H2097" s="86"/>
      <c r="I2097" s="86"/>
      <c r="J2097" s="95">
        <f>SUM(J2095:J2095)</f>
        <v>210</v>
      </c>
      <c r="K2097" s="92"/>
      <c r="L2097" s="90"/>
      <c r="M2097" s="44"/>
      <c r="N2097" s="82"/>
      <c r="O2097" s="44"/>
      <c r="P2097" s="44"/>
      <c r="Q2097" s="44"/>
      <c r="R2097" s="84"/>
      <c r="S2097" s="47"/>
      <c r="T2097" s="47"/>
    </row>
    <row r="2098" s="27" customFormat="1" ht="22" customHeight="1" spans="1:20">
      <c r="A2098" s="34"/>
      <c r="B2098" s="48">
        <v>1</v>
      </c>
      <c r="C2098" s="48" t="s">
        <v>394</v>
      </c>
      <c r="D2098" s="88" t="s">
        <v>431</v>
      </c>
      <c r="E2098" s="72" t="str">
        <f>+VLOOKUP(D2098,'材料表 '!C:F,2,0)</f>
        <v>kg</v>
      </c>
      <c r="F2098" s="77">
        <f>+SUMIF($L$2085:$L$2123,D2098,$R$2085:$R$2123)</f>
        <v>28.411214953271</v>
      </c>
      <c r="G2098" s="89">
        <f>+VLOOKUP(D2098,'材料表 '!C:F,4,0)</f>
        <v>0.03</v>
      </c>
      <c r="H2098" s="74">
        <f t="shared" ref="H2098:H2111" si="227">F2098*(G2098+1)</f>
        <v>29.2635514018691</v>
      </c>
      <c r="I2098" s="74">
        <f>+VLOOKUP(D2098,'材料表 '!C:F,3,0)</f>
        <v>3.80530973451327</v>
      </c>
      <c r="J2098" s="95">
        <f t="shared" si="226"/>
        <v>111.356877015962</v>
      </c>
      <c r="K2098" s="92">
        <f ca="1">H2098*K2084</f>
        <v>1260.96642990654</v>
      </c>
      <c r="L2098" s="90"/>
      <c r="M2098" s="44"/>
      <c r="N2098" s="82"/>
      <c r="O2098" s="44"/>
      <c r="P2098" s="44"/>
      <c r="Q2098" s="44"/>
      <c r="R2098" s="84"/>
      <c r="S2098" s="47"/>
      <c r="T2098" s="47"/>
    </row>
    <row r="2099" s="27" customFormat="1" ht="18" customHeight="1" spans="1:20">
      <c r="A2099" s="34"/>
      <c r="B2099" s="48">
        <v>2</v>
      </c>
      <c r="C2099" s="48"/>
      <c r="D2099" s="88" t="s">
        <v>461</v>
      </c>
      <c r="E2099" s="72" t="str">
        <f>+VLOOKUP(D2099,'材料表 '!C:F,2,0)</f>
        <v>kg</v>
      </c>
      <c r="F2099" s="77">
        <f t="shared" ref="F2099:F2106" si="228">+SUMIF($L$2085:$L$2123,D2099,$R$2085:$R$2123)</f>
        <v>0</v>
      </c>
      <c r="G2099" s="89">
        <f>+VLOOKUP(D2099,'材料表 '!C:F,4,0)</f>
        <v>0.03</v>
      </c>
      <c r="H2099" s="74">
        <f t="shared" si="227"/>
        <v>0</v>
      </c>
      <c r="I2099" s="74">
        <f>+VLOOKUP(D2099,'材料表 '!C:F,3,0)</f>
        <v>3.53982300884956</v>
      </c>
      <c r="J2099" s="95">
        <f t="shared" si="226"/>
        <v>0</v>
      </c>
      <c r="K2099" s="92">
        <f ca="1">H2099*K2084</f>
        <v>0</v>
      </c>
      <c r="L2099" s="90"/>
      <c r="M2099" s="44"/>
      <c r="N2099" s="82"/>
      <c r="O2099" s="44"/>
      <c r="P2099" s="44"/>
      <c r="Q2099" s="44"/>
      <c r="R2099" s="84"/>
      <c r="S2099" s="47"/>
      <c r="T2099" s="47"/>
    </row>
    <row r="2100" s="27" customFormat="1" ht="18" customHeight="1" spans="1:20">
      <c r="A2100" s="34"/>
      <c r="B2100" s="48">
        <v>3</v>
      </c>
      <c r="C2100" s="48"/>
      <c r="D2100" s="88" t="s">
        <v>465</v>
      </c>
      <c r="E2100" s="72" t="str">
        <f>+VLOOKUP(D2100,'材料表 '!C:F,2,0)</f>
        <v>kg</v>
      </c>
      <c r="F2100" s="77">
        <f t="shared" si="228"/>
        <v>0</v>
      </c>
      <c r="G2100" s="89">
        <f>+VLOOKUP(D2100,'材料表 '!C:F,4,0)</f>
        <v>0.03</v>
      </c>
      <c r="H2100" s="74">
        <f t="shared" si="227"/>
        <v>0</v>
      </c>
      <c r="I2100" s="74">
        <f>+VLOOKUP(D2100,'材料表 '!C:F,3,0)</f>
        <v>6.01769911504425</v>
      </c>
      <c r="J2100" s="95">
        <f t="shared" si="226"/>
        <v>0</v>
      </c>
      <c r="K2100" s="92">
        <f ca="1">H2100*K2084</f>
        <v>0</v>
      </c>
      <c r="L2100" s="90"/>
      <c r="M2100" s="44"/>
      <c r="N2100" s="82"/>
      <c r="O2100" s="44"/>
      <c r="P2100" s="44"/>
      <c r="Q2100" s="44">
        <f>+P2100*O2100</f>
        <v>0</v>
      </c>
      <c r="R2100" s="84">
        <f>+Q2100/R2085</f>
        <v>0</v>
      </c>
      <c r="S2100" s="47"/>
      <c r="T2100" s="47"/>
    </row>
    <row r="2101" s="27" customFormat="1" ht="18" customHeight="1" spans="1:20">
      <c r="A2101" s="34"/>
      <c r="B2101" s="48">
        <v>4</v>
      </c>
      <c r="C2101" s="48"/>
      <c r="D2101" s="88" t="s">
        <v>463</v>
      </c>
      <c r="E2101" s="72" t="str">
        <f>+VLOOKUP(D2101,'材料表 '!C:F,2,0)</f>
        <v>kg</v>
      </c>
      <c r="F2101" s="77">
        <f t="shared" si="228"/>
        <v>3.40789870364787</v>
      </c>
      <c r="G2101" s="89">
        <f>+VLOOKUP(D2101,'材料表 '!C:F,4,0)</f>
        <v>0.03</v>
      </c>
      <c r="H2101" s="74">
        <f t="shared" si="227"/>
        <v>3.51013566475731</v>
      </c>
      <c r="I2101" s="74">
        <f>+VLOOKUP(D2101,'材料表 '!C:F,3,0)</f>
        <v>6.01769911504425</v>
      </c>
      <c r="J2101" s="95">
        <f t="shared" si="226"/>
        <v>21.1229402834953</v>
      </c>
      <c r="K2101" s="92">
        <f ca="1">H2101*K2084</f>
        <v>151.251745794392</v>
      </c>
      <c r="L2101" s="90" t="s">
        <v>474</v>
      </c>
      <c r="M2101" s="44"/>
      <c r="N2101" s="82"/>
      <c r="O2101" s="44"/>
      <c r="P2101" s="44"/>
      <c r="Q2101" s="44">
        <f>+O2091*P2091*4</f>
        <v>48</v>
      </c>
      <c r="R2101" s="84">
        <f>+Q2101/R2085</f>
        <v>5.78836297859512</v>
      </c>
      <c r="S2101" s="47"/>
      <c r="T2101" s="47"/>
    </row>
    <row r="2102" s="27" customFormat="1" ht="18" customHeight="1" spans="1:20">
      <c r="A2102" s="34"/>
      <c r="B2102" s="48">
        <v>5</v>
      </c>
      <c r="C2102" s="48"/>
      <c r="D2102" s="88" t="s">
        <v>447</v>
      </c>
      <c r="E2102" s="72" t="str">
        <f>+VLOOKUP(D2102,'材料表 '!C:F,2,0)</f>
        <v>kg</v>
      </c>
      <c r="F2102" s="77">
        <f t="shared" si="228"/>
        <v>1.34207500753693</v>
      </c>
      <c r="G2102" s="89">
        <f>+VLOOKUP(D2102,'材料表 '!C:F,4,0)</f>
        <v>0.03</v>
      </c>
      <c r="H2102" s="74">
        <f t="shared" si="227"/>
        <v>1.38233725776304</v>
      </c>
      <c r="I2102" s="74">
        <f>+VLOOKUP(D2102,'材料表 '!C:F,3,0)</f>
        <v>24.4336283185841</v>
      </c>
      <c r="J2102" s="95">
        <f t="shared" si="226"/>
        <v>33.7755147671129</v>
      </c>
      <c r="K2102" s="92">
        <f ca="1">H2102*K2084</f>
        <v>59.5649124370094</v>
      </c>
      <c r="L2102" s="92" t="s">
        <v>476</v>
      </c>
      <c r="M2102" s="44"/>
      <c r="N2102" s="82"/>
      <c r="O2102" s="44"/>
      <c r="P2102" s="44"/>
      <c r="Q2102" s="44">
        <f>16*10*(O2085*2+P2085*6)/500</f>
        <v>6.4</v>
      </c>
      <c r="R2102" s="84">
        <f>+Q2102/R2085</f>
        <v>0.771781730479349</v>
      </c>
      <c r="S2102" s="47"/>
      <c r="T2102" s="47"/>
    </row>
    <row r="2103" s="27" customFormat="1" ht="18" customHeight="1" spans="1:20">
      <c r="A2103" s="34"/>
      <c r="B2103" s="48">
        <v>6</v>
      </c>
      <c r="C2103" s="48"/>
      <c r="D2103" s="88" t="s">
        <v>434</v>
      </c>
      <c r="E2103" s="72" t="str">
        <f>+VLOOKUP(D2103,'材料表 '!C:F,2,0)</f>
        <v>m2</v>
      </c>
      <c r="F2103" s="77">
        <f>T2094/R2085</f>
        <v>0.284299065420561</v>
      </c>
      <c r="G2103" s="89">
        <f>+VLOOKUP(D2103,'材料表 '!C:F,4,0)</f>
        <v>0</v>
      </c>
      <c r="H2103" s="74">
        <f t="shared" si="227"/>
        <v>0.284299065420561</v>
      </c>
      <c r="I2103" s="74">
        <f>+VLOOKUP(D2103,'材料表 '!C:F,3,0)</f>
        <v>49.5575221238938</v>
      </c>
      <c r="J2103" s="95">
        <f t="shared" si="226"/>
        <v>14.0891572243818</v>
      </c>
      <c r="K2103" s="92">
        <f ca="1">H2103*K2084</f>
        <v>12.250446728972</v>
      </c>
      <c r="L2103" s="92" t="s">
        <v>499</v>
      </c>
      <c r="M2103" s="44"/>
      <c r="N2103" s="82"/>
      <c r="O2103" s="44"/>
      <c r="P2103" s="44"/>
      <c r="Q2103" s="44">
        <v>0</v>
      </c>
      <c r="R2103" s="84">
        <f>Q2103/R2085</f>
        <v>0</v>
      </c>
      <c r="S2103" s="47"/>
      <c r="T2103" s="47"/>
    </row>
    <row r="2104" s="27" customFormat="1" ht="18" customHeight="1" spans="1:20">
      <c r="A2104" s="34"/>
      <c r="B2104" s="48">
        <v>7</v>
      </c>
      <c r="C2104" s="48"/>
      <c r="D2104" s="88" t="s">
        <v>472</v>
      </c>
      <c r="E2104" s="72" t="str">
        <f>+VLOOKUP(D2104,'材料表 '!C:F,2,0)</f>
        <v>套</v>
      </c>
      <c r="F2104" s="77">
        <f t="shared" si="228"/>
        <v>0</v>
      </c>
      <c r="G2104" s="89">
        <f>+VLOOKUP(D2104,'材料表 '!C:F,4,0)</f>
        <v>0</v>
      </c>
      <c r="H2104" s="74">
        <f t="shared" si="227"/>
        <v>0</v>
      </c>
      <c r="I2104" s="74">
        <f>+VLOOKUP(D2104,'材料表 '!C:F,3,0)</f>
        <v>2.47787610619469</v>
      </c>
      <c r="J2104" s="95">
        <f t="shared" si="226"/>
        <v>0</v>
      </c>
      <c r="K2104" s="92">
        <f ca="1">H2104*K2084</f>
        <v>0</v>
      </c>
      <c r="L2104" s="92"/>
      <c r="M2104" s="44"/>
      <c r="N2104" s="82"/>
      <c r="O2104" s="44"/>
      <c r="P2104" s="44"/>
      <c r="Q2104" s="44"/>
      <c r="R2104" s="84"/>
      <c r="S2104" s="47"/>
      <c r="T2104" s="47"/>
    </row>
    <row r="2105" s="27" customFormat="1" ht="18" customHeight="1" spans="1:20">
      <c r="A2105" s="34"/>
      <c r="B2105" s="48">
        <v>8</v>
      </c>
      <c r="C2105" s="48"/>
      <c r="D2105" s="88" t="s">
        <v>474</v>
      </c>
      <c r="E2105" s="72" t="str">
        <f>+VLOOKUP(D2105,'材料表 '!C:F,2,0)</f>
        <v>套</v>
      </c>
      <c r="F2105" s="77">
        <f t="shared" si="228"/>
        <v>5.78836297859512</v>
      </c>
      <c r="G2105" s="89">
        <f>+VLOOKUP(D2105,'材料表 '!C:F,4,0)</f>
        <v>0</v>
      </c>
      <c r="H2105" s="74">
        <f t="shared" si="227"/>
        <v>5.78836297859512</v>
      </c>
      <c r="I2105" s="74">
        <f>+VLOOKUP(D2105,'材料表 '!C:F,3,0)</f>
        <v>2.21238938053097</v>
      </c>
      <c r="J2105" s="95">
        <f t="shared" si="226"/>
        <v>12.8061127845025</v>
      </c>
      <c r="K2105" s="92">
        <f ca="1">H2105*K2084</f>
        <v>249.420560747664</v>
      </c>
      <c r="L2105" s="92"/>
      <c r="M2105" s="44"/>
      <c r="N2105" s="82"/>
      <c r="O2105" s="44"/>
      <c r="P2105" s="44"/>
      <c r="Q2105" s="44"/>
      <c r="R2105" s="84"/>
      <c r="S2105" s="47"/>
      <c r="T2105" s="47"/>
    </row>
    <row r="2106" s="27" customFormat="1" ht="18" customHeight="1" spans="1:20">
      <c r="A2106" s="34"/>
      <c r="B2106" s="48">
        <v>9</v>
      </c>
      <c r="C2106" s="48"/>
      <c r="D2106" s="88" t="s">
        <v>476</v>
      </c>
      <c r="E2106" s="72" t="str">
        <f>+VLOOKUP(D2106,'材料表 '!C:F,2,0)</f>
        <v>支</v>
      </c>
      <c r="F2106" s="77">
        <f t="shared" si="228"/>
        <v>0.771781730479349</v>
      </c>
      <c r="G2106" s="89">
        <f>+VLOOKUP(D2106,'材料表 '!C:F,4,0)</f>
        <v>0.15</v>
      </c>
      <c r="H2106" s="74">
        <f t="shared" si="227"/>
        <v>0.887548990051251</v>
      </c>
      <c r="I2106" s="74">
        <f>+VLOOKUP(D2106,'材料表 '!C:F,3,0)</f>
        <v>11.5044247787611</v>
      </c>
      <c r="J2106" s="95">
        <f t="shared" si="226"/>
        <v>10.21074059351</v>
      </c>
      <c r="K2106" s="92">
        <f ca="1">H2106*K2084</f>
        <v>38.2444859813084</v>
      </c>
      <c r="L2106" s="90"/>
      <c r="M2106" s="44"/>
      <c r="N2106" s="82"/>
      <c r="O2106" s="34"/>
      <c r="P2106" s="44"/>
      <c r="Q2106" s="44"/>
      <c r="R2106" s="119"/>
      <c r="S2106" s="47"/>
      <c r="T2106" s="47"/>
    </row>
    <row r="2107" s="27" customFormat="1" ht="23" customHeight="1" spans="1:20">
      <c r="A2107" s="34"/>
      <c r="B2107" s="48">
        <v>10</v>
      </c>
      <c r="C2107" s="48"/>
      <c r="D2107" s="88" t="s">
        <v>576</v>
      </c>
      <c r="E2107" s="72" t="str">
        <f>+VLOOKUP(D2107,'材料表 '!C:F,2,0)</f>
        <v>支</v>
      </c>
      <c r="F2107" s="77">
        <f>16*8*(P2085*10+O2085*2)/500/R2085</f>
        <v>0.808827253542357</v>
      </c>
      <c r="G2107" s="89">
        <f>+VLOOKUP(D2107,'材料表 '!C:F,4,0)</f>
        <v>0.15</v>
      </c>
      <c r="H2107" s="74">
        <f t="shared" si="227"/>
        <v>0.93015134157371</v>
      </c>
      <c r="I2107" s="74">
        <f>+VLOOKUP(D2107,'材料表 '!C:F,3,0)</f>
        <v>14.1592920353982</v>
      </c>
      <c r="J2107" s="95">
        <f t="shared" si="226"/>
        <v>13.1702844824596</v>
      </c>
      <c r="K2107" s="92">
        <f ca="1">H2107*K2084</f>
        <v>40.0802213084112</v>
      </c>
      <c r="L2107" s="92"/>
      <c r="M2107" s="120"/>
      <c r="N2107" s="82"/>
      <c r="O2107" s="44"/>
      <c r="P2107" s="44"/>
      <c r="Q2107" s="44"/>
      <c r="R2107" s="84"/>
      <c r="S2107" s="47"/>
      <c r="T2107" s="47"/>
    </row>
    <row r="2108" s="27" customFormat="1" ht="20" customHeight="1" spans="1:20">
      <c r="A2108" s="34"/>
      <c r="B2108" s="48">
        <v>11</v>
      </c>
      <c r="C2108" s="48"/>
      <c r="D2108" s="88" t="s">
        <v>517</v>
      </c>
      <c r="E2108" s="72" t="str">
        <f>+VLOOKUP(D2108,'材料表 '!C:F,2,0)</f>
        <v>m2</v>
      </c>
      <c r="F2108" s="77">
        <f>T2093/R2085</f>
        <v>0.771781730479349</v>
      </c>
      <c r="G2108" s="89">
        <f>+VLOOKUP(D2108,'材料表 '!C:F,4,0)</f>
        <v>0</v>
      </c>
      <c r="H2108" s="74">
        <f t="shared" si="227"/>
        <v>0.771781730479349</v>
      </c>
      <c r="I2108" s="74">
        <f>+VLOOKUP(D2108,'材料表 '!C:F,3,0)</f>
        <v>84.070796460177</v>
      </c>
      <c r="J2108" s="95">
        <f t="shared" si="226"/>
        <v>64.8843047748125</v>
      </c>
      <c r="K2108" s="92">
        <f ca="1">H2108*K2084</f>
        <v>33.2560747663551</v>
      </c>
      <c r="L2108" s="92"/>
      <c r="M2108" s="44"/>
      <c r="N2108" s="82"/>
      <c r="O2108" s="44"/>
      <c r="P2108" s="44"/>
      <c r="Q2108" s="44"/>
      <c r="R2108" s="84"/>
      <c r="S2108" s="47"/>
      <c r="T2108" s="47"/>
    </row>
    <row r="2109" s="27" customFormat="1" ht="24" customHeight="1" spans="1:20">
      <c r="A2109" s="34"/>
      <c r="B2109" s="48">
        <v>12</v>
      </c>
      <c r="C2109" s="48"/>
      <c r="D2109" s="127" t="s">
        <v>581</v>
      </c>
      <c r="E2109" s="72" t="str">
        <f>+VLOOKUP(D2109,'材料表 '!C:F,2,0)</f>
        <v>m2</v>
      </c>
      <c r="F2109" s="128">
        <v>1</v>
      </c>
      <c r="G2109" s="89">
        <f>+VLOOKUP(D2109,'材料表 '!C:F,4,0)</f>
        <v>0.01</v>
      </c>
      <c r="H2109" s="74">
        <f t="shared" si="227"/>
        <v>1.01</v>
      </c>
      <c r="I2109" s="74">
        <f>+VLOOKUP(D2109,'材料表 '!C:F,3,0)</f>
        <v>323.893805309735</v>
      </c>
      <c r="J2109" s="95">
        <f t="shared" si="226"/>
        <v>327.132743362832</v>
      </c>
      <c r="K2109" s="92">
        <f ca="1">H2109*K2084</f>
        <v>43.5209</v>
      </c>
      <c r="L2109" s="92"/>
      <c r="M2109" s="44"/>
      <c r="N2109" s="44"/>
      <c r="O2109" s="44"/>
      <c r="P2109" s="44"/>
      <c r="Q2109" s="44"/>
      <c r="R2109" s="84"/>
      <c r="S2109" s="47"/>
      <c r="T2109" s="47"/>
    </row>
    <row r="2110" s="27" customFormat="1" ht="18" customHeight="1" spans="1:20">
      <c r="A2110" s="34"/>
      <c r="B2110" s="48">
        <v>13</v>
      </c>
      <c r="C2110" s="48"/>
      <c r="D2110" s="88" t="s">
        <v>582</v>
      </c>
      <c r="E2110" s="72" t="str">
        <f>+VLOOKUP(D2110,'材料表 '!C:F,2,0)</f>
        <v>m2</v>
      </c>
      <c r="F2110" s="77">
        <f>F2108</f>
        <v>0.771781730479349</v>
      </c>
      <c r="G2110" s="89">
        <f>+VLOOKUP(D2110,'材料表 '!C:F,4,0)</f>
        <v>0</v>
      </c>
      <c r="H2110" s="74">
        <f t="shared" si="227"/>
        <v>0.771781730479349</v>
      </c>
      <c r="I2110" s="74">
        <f>+VLOOKUP(D2110,'材料表 '!C:F,3,0)</f>
        <v>53.0973451327434</v>
      </c>
      <c r="J2110" s="95">
        <f t="shared" si="226"/>
        <v>40.9795609104079</v>
      </c>
      <c r="K2110" s="92">
        <f ca="1">H2110*K2084</f>
        <v>33.2560747663551</v>
      </c>
      <c r="L2110" s="92"/>
      <c r="M2110" s="44"/>
      <c r="N2110" s="44"/>
      <c r="O2110" s="44"/>
      <c r="P2110" s="44"/>
      <c r="Q2110" s="44"/>
      <c r="R2110" s="84"/>
      <c r="S2110" s="47"/>
      <c r="T2110" s="47"/>
    </row>
    <row r="2111" s="27" customFormat="1" ht="24" customHeight="1" spans="1:20">
      <c r="A2111" s="34"/>
      <c r="B2111" s="48">
        <v>14</v>
      </c>
      <c r="C2111" s="48"/>
      <c r="D2111" s="88" t="s">
        <v>583</v>
      </c>
      <c r="E2111" s="72" t="str">
        <f>+VLOOKUP(D2111,'材料表 '!C:F,2,0)</f>
        <v>套</v>
      </c>
      <c r="F2111" s="77">
        <f ca="1">2/K2084</f>
        <v>0.0464144813181713</v>
      </c>
      <c r="G2111" s="89">
        <f>+VLOOKUP(D2111,'材料表 '!C:F,4,0)</f>
        <v>0</v>
      </c>
      <c r="H2111" s="74">
        <f ca="1" t="shared" si="227"/>
        <v>0.0464144813181713</v>
      </c>
      <c r="I2111" s="74">
        <f>+VLOOKUP(D2111,'材料表 '!C:F,3,0)</f>
        <v>1061.94690265487</v>
      </c>
      <c r="J2111" s="95">
        <f ca="1" t="shared" si="226"/>
        <v>49.2897146741643</v>
      </c>
      <c r="K2111" s="92">
        <f ca="1">H2111*K2084</f>
        <v>2</v>
      </c>
      <c r="L2111" s="92"/>
      <c r="M2111" s="44"/>
      <c r="N2111" s="44"/>
      <c r="O2111" s="44"/>
      <c r="P2111" s="44"/>
      <c r="Q2111" s="44"/>
      <c r="R2111" s="84"/>
      <c r="S2111" s="47"/>
      <c r="T2111" s="47"/>
    </row>
    <row r="2112" s="27" customFormat="1" ht="18" customHeight="1" spans="1:20">
      <c r="A2112" s="34"/>
      <c r="B2112" s="48">
        <v>15</v>
      </c>
      <c r="C2112" s="48"/>
      <c r="D2112" s="88"/>
      <c r="E2112" s="72"/>
      <c r="F2112" s="77"/>
      <c r="G2112" s="89"/>
      <c r="H2112" s="74"/>
      <c r="I2112" s="74"/>
      <c r="J2112" s="95"/>
      <c r="K2112" s="92"/>
      <c r="L2112" s="92"/>
      <c r="M2112" s="44"/>
      <c r="N2112" s="44"/>
      <c r="O2112" s="44"/>
      <c r="P2112" s="44"/>
      <c r="Q2112" s="44"/>
      <c r="R2112" s="84"/>
      <c r="S2112" s="47"/>
      <c r="T2112" s="47"/>
    </row>
    <row r="2113" s="27" customFormat="1" ht="18" customHeight="1" spans="1:20">
      <c r="A2113" s="34"/>
      <c r="B2113" s="48">
        <v>16</v>
      </c>
      <c r="C2113" s="48"/>
      <c r="D2113" s="88"/>
      <c r="E2113" s="72"/>
      <c r="F2113" s="77"/>
      <c r="G2113" s="89"/>
      <c r="H2113" s="74"/>
      <c r="I2113" s="74"/>
      <c r="J2113" s="95"/>
      <c r="K2113" s="92"/>
      <c r="L2113" s="92"/>
      <c r="M2113" s="44"/>
      <c r="N2113" s="44"/>
      <c r="O2113" s="44"/>
      <c r="P2113" s="44"/>
      <c r="Q2113" s="44"/>
      <c r="R2113" s="84"/>
      <c r="S2113" s="47"/>
      <c r="T2113" s="47"/>
    </row>
    <row r="2114" s="27" customFormat="1" ht="18" customHeight="1" spans="1:20">
      <c r="A2114" s="34"/>
      <c r="B2114" s="48">
        <v>17</v>
      </c>
      <c r="C2114" s="48"/>
      <c r="D2114" s="121"/>
      <c r="E2114" s="72"/>
      <c r="F2114" s="77"/>
      <c r="G2114" s="89"/>
      <c r="H2114" s="74"/>
      <c r="I2114" s="74"/>
      <c r="J2114" s="95"/>
      <c r="K2114" s="92"/>
      <c r="L2114" s="92"/>
      <c r="M2114" s="44"/>
      <c r="N2114" s="44"/>
      <c r="O2114" s="44"/>
      <c r="P2114" s="44"/>
      <c r="Q2114" s="101"/>
      <c r="R2114" s="84"/>
      <c r="S2114" s="47"/>
      <c r="T2114" s="47"/>
    </row>
    <row r="2115" s="27" customFormat="1" ht="18" customHeight="1" spans="1:20">
      <c r="A2115" s="34"/>
      <c r="B2115" s="48">
        <v>18</v>
      </c>
      <c r="C2115" s="48"/>
      <c r="D2115" s="88"/>
      <c r="E2115" s="72"/>
      <c r="F2115" s="77"/>
      <c r="G2115" s="89"/>
      <c r="H2115" s="74"/>
      <c r="I2115" s="74"/>
      <c r="J2115" s="95"/>
      <c r="K2115" s="92"/>
      <c r="L2115" s="92"/>
      <c r="M2115" s="44"/>
      <c r="N2115" s="44"/>
      <c r="O2115" s="44"/>
      <c r="P2115" s="44"/>
      <c r="Q2115" s="44"/>
      <c r="R2115" s="84"/>
      <c r="S2115" s="47"/>
      <c r="T2115" s="47"/>
    </row>
    <row r="2116" s="27" customFormat="1" ht="18" customHeight="1" spans="1:20">
      <c r="A2116" s="34"/>
      <c r="B2116" s="48">
        <v>19</v>
      </c>
      <c r="C2116" s="48"/>
      <c r="D2116" s="27"/>
      <c r="E2116" s="72"/>
      <c r="F2116" s="77"/>
      <c r="G2116" s="89"/>
      <c r="H2116" s="74"/>
      <c r="I2116" s="74"/>
      <c r="J2116" s="95"/>
      <c r="K2116" s="92"/>
      <c r="L2116" s="92"/>
      <c r="M2116" s="44"/>
      <c r="N2116" s="44"/>
      <c r="O2116" s="44"/>
      <c r="P2116" s="44"/>
      <c r="Q2116" s="44"/>
      <c r="R2116" s="84"/>
      <c r="S2116" s="47"/>
      <c r="T2116" s="47"/>
    </row>
    <row r="2117" s="27" customFormat="1" ht="18" customHeight="1" spans="1:20">
      <c r="A2117" s="34"/>
      <c r="B2117" s="48">
        <v>20</v>
      </c>
      <c r="C2117" s="48"/>
      <c r="D2117" s="88"/>
      <c r="E2117" s="72"/>
      <c r="F2117" s="77"/>
      <c r="G2117" s="89"/>
      <c r="H2117" s="74"/>
      <c r="I2117" s="74"/>
      <c r="J2117" s="95"/>
      <c r="K2117" s="92"/>
      <c r="L2117" s="92"/>
      <c r="M2117" s="44"/>
      <c r="N2117" s="44"/>
      <c r="O2117" s="44"/>
      <c r="P2117" s="44"/>
      <c r="Q2117" s="44"/>
      <c r="R2117" s="84"/>
      <c r="S2117" s="47"/>
      <c r="T2117" s="47"/>
    </row>
    <row r="2118" s="27" customFormat="1" ht="18" customHeight="1" spans="1:20">
      <c r="A2118" s="34"/>
      <c r="B2118" s="48">
        <v>21</v>
      </c>
      <c r="C2118" s="48"/>
      <c r="D2118" s="88"/>
      <c r="E2118" s="72"/>
      <c r="F2118" s="77"/>
      <c r="G2118" s="89"/>
      <c r="H2118" s="74"/>
      <c r="I2118" s="74"/>
      <c r="J2118" s="95"/>
      <c r="K2118" s="92"/>
      <c r="L2118" s="92"/>
      <c r="M2118" s="44"/>
      <c r="N2118" s="44"/>
      <c r="O2118" s="44"/>
      <c r="P2118" s="44"/>
      <c r="Q2118" s="44"/>
      <c r="R2118" s="84"/>
      <c r="S2118" s="47"/>
      <c r="T2118" s="47"/>
    </row>
    <row r="2119" s="27" customFormat="1" ht="18" customHeight="1" spans="1:20">
      <c r="A2119" s="34"/>
      <c r="B2119" s="48">
        <v>22</v>
      </c>
      <c r="C2119" s="48"/>
      <c r="D2119" s="27"/>
      <c r="E2119" s="72"/>
      <c r="F2119" s="77"/>
      <c r="G2119" s="72"/>
      <c r="H2119" s="74"/>
      <c r="I2119" s="74"/>
      <c r="J2119" s="95"/>
      <c r="K2119" s="92"/>
      <c r="L2119" s="92"/>
      <c r="M2119" s="44"/>
      <c r="N2119" s="44"/>
      <c r="O2119" s="44"/>
      <c r="P2119" s="44"/>
      <c r="Q2119" s="44"/>
      <c r="R2119" s="62"/>
      <c r="S2119" s="47"/>
      <c r="T2119" s="47"/>
    </row>
    <row r="2120" s="27" customFormat="1" ht="18" customHeight="1" spans="1:20">
      <c r="A2120" s="34"/>
      <c r="B2120" s="48">
        <v>23</v>
      </c>
      <c r="C2120" s="48"/>
      <c r="D2120" s="88"/>
      <c r="E2120" s="72"/>
      <c r="F2120" s="77"/>
      <c r="G2120" s="89"/>
      <c r="H2120" s="74"/>
      <c r="I2120" s="74"/>
      <c r="J2120" s="95"/>
      <c r="K2120" s="92"/>
      <c r="L2120" s="92"/>
      <c r="M2120" s="44"/>
      <c r="N2120" s="44"/>
      <c r="O2120" s="44"/>
      <c r="P2120" s="44"/>
      <c r="Q2120" s="44"/>
      <c r="R2120" s="62"/>
      <c r="S2120" s="47"/>
      <c r="T2120" s="47"/>
    </row>
    <row r="2121" s="27" customFormat="1" ht="18" customHeight="1" spans="1:20">
      <c r="A2121" s="34"/>
      <c r="B2121" s="48">
        <v>24</v>
      </c>
      <c r="C2121" s="48"/>
      <c r="D2121" s="88" t="s">
        <v>478</v>
      </c>
      <c r="E2121" s="72" t="s">
        <v>43</v>
      </c>
      <c r="F2121" s="77"/>
      <c r="G2121" s="72">
        <v>1</v>
      </c>
      <c r="H2121" s="74">
        <v>1</v>
      </c>
      <c r="I2121" s="74">
        <f>+辅材及安装费!$E$13+50</f>
        <v>60</v>
      </c>
      <c r="J2121" s="95">
        <f>H2121*I2121</f>
        <v>60</v>
      </c>
      <c r="K2121" s="92"/>
      <c r="L2121" s="92"/>
      <c r="M2121" s="44"/>
      <c r="N2121" s="44"/>
      <c r="O2121" s="44"/>
      <c r="P2121" s="44"/>
      <c r="Q2121" s="44"/>
      <c r="R2121" s="62"/>
      <c r="S2121" s="47"/>
      <c r="T2121" s="47"/>
    </row>
    <row r="2122" s="27" customFormat="1" ht="18" customHeight="1" spans="1:20">
      <c r="A2122" s="34"/>
      <c r="B2122" s="48">
        <v>25</v>
      </c>
      <c r="C2122" s="48"/>
      <c r="D2122" s="93" t="s">
        <v>442</v>
      </c>
      <c r="E2122" s="72"/>
      <c r="F2122" s="77"/>
      <c r="G2122" s="72"/>
      <c r="H2122" s="74"/>
      <c r="I2122" s="74"/>
      <c r="J2122" s="95">
        <f ca="1">SUM(J2098:J2121)</f>
        <v>758.817950873641</v>
      </c>
      <c r="K2122" s="92"/>
      <c r="L2122" s="94"/>
      <c r="M2122" s="27"/>
      <c r="N2122" s="83"/>
      <c r="O2122" s="83"/>
      <c r="P2122" s="83"/>
      <c r="Q2122" s="83"/>
      <c r="R2122" s="87"/>
      <c r="S2122" s="47"/>
      <c r="T2122" s="47"/>
    </row>
    <row r="2123" s="27" customFormat="1" ht="18" customHeight="1" spans="1:20">
      <c r="A2123" s="34"/>
      <c r="B2123" s="48">
        <v>1</v>
      </c>
      <c r="C2123" s="48" t="s">
        <v>443</v>
      </c>
      <c r="D2123" s="48" t="s">
        <v>444</v>
      </c>
      <c r="E2123" s="72" t="s">
        <v>43</v>
      </c>
      <c r="F2123" s="50"/>
      <c r="G2123" s="48"/>
      <c r="H2123" s="51">
        <v>1</v>
      </c>
      <c r="I2123" s="74">
        <f>+辅材及安装费!$F$13</f>
        <v>5</v>
      </c>
      <c r="J2123" s="95">
        <f>H2123*I2123</f>
        <v>5</v>
      </c>
      <c r="K2123" s="118"/>
      <c r="L2123" s="96"/>
      <c r="M2123" s="97"/>
      <c r="N2123" s="98"/>
      <c r="O2123" s="98"/>
      <c r="P2123" s="98"/>
      <c r="Q2123" s="98"/>
      <c r="R2123" s="99"/>
      <c r="S2123" s="47"/>
      <c r="T2123" s="47"/>
    </row>
    <row r="2124" s="26" customFormat="1" ht="30" customHeight="1" spans="1:20">
      <c r="A2124" s="28"/>
      <c r="B2124" s="29" t="s">
        <v>386</v>
      </c>
      <c r="C2124" s="29"/>
      <c r="D2124" s="29"/>
      <c r="E2124" s="29"/>
      <c r="F2124" s="29"/>
      <c r="G2124" s="29"/>
      <c r="H2124" s="29"/>
      <c r="I2124" s="29"/>
      <c r="J2124" s="29"/>
      <c r="K2124" s="29"/>
      <c r="L2124" s="30"/>
      <c r="M2124" s="31"/>
      <c r="N2124" s="31"/>
      <c r="O2124" s="31"/>
      <c r="P2124" s="31"/>
      <c r="Q2124" s="31"/>
      <c r="R2124" s="32"/>
      <c r="S2124" s="33"/>
      <c r="T2124" s="33"/>
    </row>
    <row r="2125" s="27" customFormat="1" ht="33.75" customHeight="1" spans="1:20">
      <c r="A2125" s="34">
        <v>1</v>
      </c>
      <c r="B2125" s="35" t="s">
        <v>1</v>
      </c>
      <c r="C2125" s="35" t="s">
        <v>387</v>
      </c>
      <c r="D2125" s="36" t="str">
        <f>+A2133</f>
        <v>6+1.14PVB+6㎜超白钢化夹层玻璃栏杆</v>
      </c>
      <c r="E2125" s="37"/>
      <c r="F2125" s="38"/>
      <c r="G2125" s="39"/>
      <c r="H2125" s="35" t="s">
        <v>388</v>
      </c>
      <c r="I2125" s="40" t="s">
        <v>389</v>
      </c>
      <c r="J2125" s="41" t="s">
        <v>37</v>
      </c>
      <c r="K2125" s="42">
        <f ca="1">VLOOKUP(A2125,排屋工程量清单!$A$107:$D$110,4,)</f>
        <v>92.282</v>
      </c>
      <c r="L2125" s="43"/>
      <c r="M2125" s="44"/>
      <c r="N2125" s="44"/>
      <c r="O2125" s="44"/>
      <c r="P2125" s="45"/>
      <c r="Q2125" s="44"/>
      <c r="R2125" s="46"/>
      <c r="S2125" s="47"/>
      <c r="T2125" s="47"/>
    </row>
    <row r="2126" s="27" customFormat="1" ht="25" customHeight="1" spans="1:20">
      <c r="A2126" s="34"/>
      <c r="B2126" s="48">
        <v>1</v>
      </c>
      <c r="C2126" s="49" t="s">
        <v>390</v>
      </c>
      <c r="D2126" s="48" t="s">
        <v>391</v>
      </c>
      <c r="E2126" s="48"/>
      <c r="F2126" s="50"/>
      <c r="G2126" s="48"/>
      <c r="H2126" s="51"/>
      <c r="I2126" s="52">
        <f>J2138</f>
        <v>135</v>
      </c>
      <c r="J2126" s="53" t="s">
        <v>392</v>
      </c>
      <c r="K2126" s="54"/>
      <c r="L2126" s="55" t="s">
        <v>584</v>
      </c>
      <c r="M2126" s="56" t="s">
        <v>585</v>
      </c>
      <c r="N2126" s="57"/>
      <c r="O2126" s="57">
        <f>6.2+2.45</f>
        <v>8.65</v>
      </c>
      <c r="P2126" s="57">
        <v>1.2</v>
      </c>
      <c r="Q2126" s="57">
        <v>1</v>
      </c>
      <c r="R2126" s="58">
        <f>O2126</f>
        <v>8.65</v>
      </c>
      <c r="S2126" s="47"/>
      <c r="T2126" s="47"/>
    </row>
    <row r="2127" s="27" customFormat="1" ht="18" customHeight="1" spans="1:20">
      <c r="A2127" s="34"/>
      <c r="B2127" s="48">
        <v>2</v>
      </c>
      <c r="C2127" s="59"/>
      <c r="D2127" s="48" t="s">
        <v>394</v>
      </c>
      <c r="E2127" s="48"/>
      <c r="F2127" s="50"/>
      <c r="G2127" s="48"/>
      <c r="H2127" s="51"/>
      <c r="I2127" s="52">
        <f>J2163</f>
        <v>657.719102509591</v>
      </c>
      <c r="J2127" s="53" t="s">
        <v>392</v>
      </c>
      <c r="K2127" s="60"/>
      <c r="L2127" s="61" t="s">
        <v>203</v>
      </c>
      <c r="M2127" s="44"/>
      <c r="N2127" s="44"/>
      <c r="O2127" s="44"/>
      <c r="P2127" s="44"/>
      <c r="Q2127" s="44"/>
      <c r="R2127" s="62"/>
      <c r="S2127" s="47"/>
      <c r="T2127" s="47"/>
    </row>
    <row r="2128" s="27" customFormat="1" ht="18" customHeight="1" spans="1:20">
      <c r="A2128" s="34"/>
      <c r="B2128" s="48">
        <v>3</v>
      </c>
      <c r="C2128" s="63"/>
      <c r="D2128" s="48" t="s">
        <v>395</v>
      </c>
      <c r="E2128" s="48"/>
      <c r="F2128" s="50"/>
      <c r="G2128" s="48"/>
      <c r="H2128" s="51"/>
      <c r="I2128" s="52">
        <f>J2164</f>
        <v>5</v>
      </c>
      <c r="J2128" s="53" t="s">
        <v>392</v>
      </c>
      <c r="K2128" s="60"/>
      <c r="L2128" s="60"/>
      <c r="M2128" s="64" t="s">
        <v>396</v>
      </c>
      <c r="N2128" s="65" t="s">
        <v>397</v>
      </c>
      <c r="O2128" s="65" t="s">
        <v>398</v>
      </c>
      <c r="P2128" s="65" t="s">
        <v>399</v>
      </c>
      <c r="Q2128" s="65" t="s">
        <v>400</v>
      </c>
      <c r="R2128" s="66" t="s">
        <v>401</v>
      </c>
      <c r="S2128" s="47"/>
      <c r="T2128" s="47"/>
    </row>
    <row r="2129" s="27" customFormat="1" ht="18" customHeight="1" spans="1:20">
      <c r="A2129" s="34"/>
      <c r="B2129" s="48">
        <v>4</v>
      </c>
      <c r="C2129" s="48" t="s">
        <v>402</v>
      </c>
      <c r="D2129" s="67" t="s">
        <v>403</v>
      </c>
      <c r="E2129" s="67"/>
      <c r="F2129" s="50"/>
      <c r="G2129" s="67"/>
      <c r="H2129" s="68"/>
      <c r="I2129" s="52">
        <f>SUM(I2126:I2128)</f>
        <v>797.719102509591</v>
      </c>
      <c r="J2129" s="53" t="s">
        <v>392</v>
      </c>
      <c r="K2129" s="60"/>
      <c r="L2129" s="69" t="s">
        <v>586</v>
      </c>
      <c r="M2129" s="34" t="s">
        <v>587</v>
      </c>
      <c r="N2129" s="34">
        <f>0.075*30*1*7.95</f>
        <v>17.8875</v>
      </c>
      <c r="O2129" s="34">
        <f>+P2126</f>
        <v>1.2</v>
      </c>
      <c r="P2129" s="34">
        <v>6</v>
      </c>
      <c r="Q2129" s="44">
        <f t="shared" ref="Q2129:Q2136" si="229">+P2129*O2129*N2129</f>
        <v>128.79</v>
      </c>
      <c r="R2129" s="71">
        <f>+Q2129/R2126</f>
        <v>14.8890173410405</v>
      </c>
      <c r="S2129" s="47"/>
      <c r="T2129" s="47"/>
    </row>
    <row r="2130" s="27" customFormat="1" ht="28" customHeight="1" spans="1:20">
      <c r="A2130" s="34"/>
      <c r="B2130" s="48">
        <v>5</v>
      </c>
      <c r="C2130" s="72" t="s">
        <v>406</v>
      </c>
      <c r="D2130" s="48" t="s">
        <v>407</v>
      </c>
      <c r="E2130" s="48"/>
      <c r="F2130" s="50"/>
      <c r="G2130" s="48"/>
      <c r="H2130" s="73">
        <f>+'材料表 '!$E$178</f>
        <v>0</v>
      </c>
      <c r="I2130" s="52">
        <f>H2130*I2129</f>
        <v>0</v>
      </c>
      <c r="J2130" s="53" t="s">
        <v>392</v>
      </c>
      <c r="K2130" s="60"/>
      <c r="L2130" s="69" t="s">
        <v>465</v>
      </c>
      <c r="M2130" s="34" t="s">
        <v>588</v>
      </c>
      <c r="N2130" s="34">
        <f>0.098*5*7.85</f>
        <v>3.8465</v>
      </c>
      <c r="O2130" s="34">
        <f>+O2126</f>
        <v>8.65</v>
      </c>
      <c r="P2130" s="34">
        <v>1</v>
      </c>
      <c r="Q2130" s="44">
        <f t="shared" si="229"/>
        <v>33.272225</v>
      </c>
      <c r="R2130" s="71">
        <f>+Q2130/R2126</f>
        <v>3.8465</v>
      </c>
      <c r="S2130" s="47"/>
      <c r="T2130" s="47"/>
    </row>
    <row r="2131" s="27" customFormat="1" ht="18" customHeight="1" spans="1:20">
      <c r="A2131" s="34"/>
      <c r="B2131" s="48">
        <v>6</v>
      </c>
      <c r="C2131" s="48" t="s">
        <v>409</v>
      </c>
      <c r="D2131" s="48" t="s">
        <v>410</v>
      </c>
      <c r="E2131" s="48"/>
      <c r="F2131" s="50"/>
      <c r="G2131" s="48"/>
      <c r="H2131" s="73">
        <f>+'材料表 '!$E$179</f>
        <v>0</v>
      </c>
      <c r="I2131" s="52">
        <f>H2131*I2129</f>
        <v>0</v>
      </c>
      <c r="J2131" s="53" t="s">
        <v>392</v>
      </c>
      <c r="K2131" s="60"/>
      <c r="L2131" s="69" t="s">
        <v>461</v>
      </c>
      <c r="M2131" s="34" t="s">
        <v>462</v>
      </c>
      <c r="N2131" s="34">
        <v>3.77</v>
      </c>
      <c r="O2131" s="34">
        <v>0.165</v>
      </c>
      <c r="P2131" s="34">
        <f>2*6</f>
        <v>12</v>
      </c>
      <c r="Q2131" s="44">
        <f t="shared" si="229"/>
        <v>7.4646</v>
      </c>
      <c r="R2131" s="71">
        <f>+Q2131/R2126</f>
        <v>0.862959537572254</v>
      </c>
      <c r="S2131" s="47"/>
      <c r="T2131" s="47"/>
    </row>
    <row r="2132" s="27" customFormat="1" ht="18" customHeight="1" spans="1:20">
      <c r="A2132" s="34"/>
      <c r="B2132" s="48">
        <v>7</v>
      </c>
      <c r="C2132" s="48" t="s">
        <v>412</v>
      </c>
      <c r="D2132" s="72" t="s">
        <v>413</v>
      </c>
      <c r="E2132" s="72"/>
      <c r="F2132" s="77"/>
      <c r="G2132" s="72"/>
      <c r="H2132" s="73">
        <f>+'材料表 '!$E$180</f>
        <v>0.09</v>
      </c>
      <c r="I2132" s="52">
        <f>(I2129+I2130+I2131)*H2132</f>
        <v>71.7947192258632</v>
      </c>
      <c r="J2132" s="53" t="s">
        <v>392</v>
      </c>
      <c r="K2132" s="60"/>
      <c r="L2132" s="69" t="s">
        <v>463</v>
      </c>
      <c r="M2132" s="34" t="s">
        <v>589</v>
      </c>
      <c r="N2132" s="34">
        <f>0.18*0.2*7.85*10</f>
        <v>2.826</v>
      </c>
      <c r="O2132" s="34">
        <v>1</v>
      </c>
      <c r="P2132" s="34">
        <f>P2129</f>
        <v>6</v>
      </c>
      <c r="Q2132" s="44">
        <f t="shared" si="229"/>
        <v>16.956</v>
      </c>
      <c r="R2132" s="71">
        <f>+Q2132/R2126</f>
        <v>1.96023121387283</v>
      </c>
      <c r="S2132" s="47"/>
      <c r="T2132" s="47"/>
    </row>
    <row r="2133" s="27" customFormat="1" ht="18" customHeight="1" spans="1:20">
      <c r="A2133" s="34" t="s">
        <v>590</v>
      </c>
      <c r="B2133" s="48">
        <v>8</v>
      </c>
      <c r="C2133" s="48" t="s">
        <v>363</v>
      </c>
      <c r="D2133" s="106" t="s">
        <v>415</v>
      </c>
      <c r="E2133" s="107"/>
      <c r="F2133" s="108"/>
      <c r="G2133" s="107"/>
      <c r="H2133" s="51"/>
      <c r="I2133" s="74">
        <f>SUM(I2129:I2132)</f>
        <v>869.513821735454</v>
      </c>
      <c r="J2133" s="53" t="s">
        <v>484</v>
      </c>
      <c r="K2133" s="60"/>
      <c r="L2133" s="69" t="s">
        <v>465</v>
      </c>
      <c r="M2133" s="34" t="s">
        <v>466</v>
      </c>
      <c r="N2133" s="100">
        <f>1.2789*7.85</f>
        <v>10.039365</v>
      </c>
      <c r="O2133" s="34">
        <v>0.105</v>
      </c>
      <c r="P2133" s="44"/>
      <c r="Q2133" s="44">
        <f t="shared" si="229"/>
        <v>0</v>
      </c>
      <c r="R2133" s="84">
        <f>+Q2133/R2126</f>
        <v>0</v>
      </c>
      <c r="S2133" s="79"/>
      <c r="T2133" s="47"/>
    </row>
    <row r="2134" s="27" customFormat="1" ht="18" customHeight="1" spans="1:20">
      <c r="A2134" s="34"/>
      <c r="B2134" s="109" t="s">
        <v>418</v>
      </c>
      <c r="C2134" s="110"/>
      <c r="D2134" s="110"/>
      <c r="E2134" s="110"/>
      <c r="F2134" s="110"/>
      <c r="G2134" s="110"/>
      <c r="H2134" s="110"/>
      <c r="I2134" s="110"/>
      <c r="J2134" s="110"/>
      <c r="K2134" s="80"/>
      <c r="L2134" s="69" t="s">
        <v>430</v>
      </c>
      <c r="M2134" s="44" t="s">
        <v>591</v>
      </c>
      <c r="N2134" s="82">
        <v>4.185</v>
      </c>
      <c r="O2134" s="44">
        <f>+O2126</f>
        <v>8.65</v>
      </c>
      <c r="P2134" s="44">
        <v>1</v>
      </c>
      <c r="Q2134" s="44">
        <f t="shared" si="229"/>
        <v>36.20025</v>
      </c>
      <c r="R2134" s="84">
        <f>+Q2134/R2126</f>
        <v>4.185</v>
      </c>
      <c r="S2134" s="47">
        <f>0.356</f>
        <v>0.356</v>
      </c>
      <c r="T2134" s="47">
        <f>S2134*P2134*O2134</f>
        <v>3.0794</v>
      </c>
    </row>
    <row r="2135" s="27" customFormat="1" ht="18" customHeight="1" spans="1:20">
      <c r="A2135" s="34"/>
      <c r="B2135" s="48">
        <v>1</v>
      </c>
      <c r="C2135" s="48" t="s">
        <v>391</v>
      </c>
      <c r="D2135" s="48" t="s">
        <v>396</v>
      </c>
      <c r="E2135" s="48" t="s">
        <v>37</v>
      </c>
      <c r="F2135" s="50"/>
      <c r="G2135" s="48"/>
      <c r="H2135" s="51" t="s">
        <v>399</v>
      </c>
      <c r="I2135" s="51" t="s">
        <v>420</v>
      </c>
      <c r="J2135" s="95" t="s">
        <v>421</v>
      </c>
      <c r="K2135" s="92"/>
      <c r="L2135" s="69" t="s">
        <v>447</v>
      </c>
      <c r="M2135" s="44" t="s">
        <v>592</v>
      </c>
      <c r="N2135" s="82">
        <v>0.319</v>
      </c>
      <c r="O2135" s="44">
        <f>+O2134</f>
        <v>8.65</v>
      </c>
      <c r="P2135" s="44">
        <v>1</v>
      </c>
      <c r="Q2135" s="44">
        <f t="shared" si="229"/>
        <v>2.75935</v>
      </c>
      <c r="R2135" s="84">
        <f>+Q2135/R2126</f>
        <v>0.319</v>
      </c>
      <c r="S2135" s="47"/>
      <c r="T2135" s="47"/>
    </row>
    <row r="2136" s="27" customFormat="1" ht="18" customHeight="1" spans="1:20">
      <c r="A2136" s="34"/>
      <c r="B2136" s="48">
        <v>2</v>
      </c>
      <c r="C2136" s="48"/>
      <c r="D2136" s="111" t="s">
        <v>593</v>
      </c>
      <c r="E2136" s="49" t="s">
        <v>109</v>
      </c>
      <c r="F2136" s="112"/>
      <c r="G2136" s="111"/>
      <c r="H2136" s="113">
        <v>1</v>
      </c>
      <c r="I2136" s="113">
        <f>+辅材及安装费!$G$6</f>
        <v>135</v>
      </c>
      <c r="J2136" s="114">
        <f t="shared" ref="J2136:J2148" si="230">H2136*I2136</f>
        <v>135</v>
      </c>
      <c r="K2136" s="92"/>
      <c r="L2136" s="69" t="s">
        <v>447</v>
      </c>
      <c r="M2136" s="44"/>
      <c r="N2136" s="82"/>
      <c r="O2136" s="44"/>
      <c r="P2136" s="44"/>
      <c r="Q2136" s="44"/>
      <c r="R2136" s="84"/>
      <c r="S2136" s="47"/>
      <c r="T2136" s="47"/>
    </row>
    <row r="2137" s="27" customFormat="1" ht="18" customHeight="1" spans="1:20">
      <c r="A2137" s="34"/>
      <c r="B2137" s="48">
        <v>3</v>
      </c>
      <c r="C2137" s="48"/>
      <c r="D2137" s="115"/>
      <c r="E2137" s="63"/>
      <c r="F2137" s="116"/>
      <c r="G2137" s="115"/>
      <c r="H2137" s="117"/>
      <c r="I2137" s="117"/>
      <c r="J2137" s="118"/>
      <c r="K2137" s="92"/>
      <c r="L2137" s="69" t="s">
        <v>447</v>
      </c>
      <c r="M2137" s="44" t="s">
        <v>594</v>
      </c>
      <c r="N2137" s="82">
        <f>0.535+0.316</f>
        <v>0.851</v>
      </c>
      <c r="O2137" s="44">
        <f>O2129</f>
        <v>1.2</v>
      </c>
      <c r="P2137" s="44">
        <f>P2129</f>
        <v>6</v>
      </c>
      <c r="Q2137" s="44">
        <f>+P2137</f>
        <v>6</v>
      </c>
      <c r="R2137" s="84">
        <f>+Q2137/R2126</f>
        <v>0.69364161849711</v>
      </c>
      <c r="S2137" s="47">
        <f>0.245</f>
        <v>0.245</v>
      </c>
      <c r="T2137" s="47">
        <f>S2137*P2137*O2137</f>
        <v>1.764</v>
      </c>
    </row>
    <row r="2138" s="27" customFormat="1" ht="18" customHeight="1" spans="1:20">
      <c r="A2138" s="34"/>
      <c r="B2138" s="48">
        <v>4</v>
      </c>
      <c r="C2138" s="48"/>
      <c r="D2138" s="85" t="s">
        <v>426</v>
      </c>
      <c r="E2138" s="48" t="s">
        <v>392</v>
      </c>
      <c r="F2138" s="50"/>
      <c r="G2138" s="48"/>
      <c r="H2138" s="86"/>
      <c r="I2138" s="86"/>
      <c r="J2138" s="95">
        <f>SUM(J2136:J2136)</f>
        <v>135</v>
      </c>
      <c r="K2138" s="92"/>
      <c r="L2138" s="90"/>
      <c r="M2138" s="44"/>
      <c r="N2138" s="82"/>
      <c r="O2138" s="44"/>
      <c r="P2138" s="44"/>
      <c r="Q2138" s="44">
        <v>0</v>
      </c>
      <c r="R2138" s="84">
        <f>+Q2138/R2126</f>
        <v>0</v>
      </c>
      <c r="S2138" s="47"/>
      <c r="T2138" s="47"/>
    </row>
    <row r="2139" s="27" customFormat="1" ht="20" customHeight="1" spans="1:20">
      <c r="A2139" s="34"/>
      <c r="B2139" s="48">
        <v>1</v>
      </c>
      <c r="C2139" s="48" t="s">
        <v>394</v>
      </c>
      <c r="D2139" s="88" t="s">
        <v>586</v>
      </c>
      <c r="E2139" s="72" t="str">
        <f>+VLOOKUP(D2139,'材料表 '!C:F,2,0)</f>
        <v>kg</v>
      </c>
      <c r="F2139" s="77">
        <f t="shared" ref="F2139:F2142" si="231">+SUMIF($L$2129:$L$2164,D2139,$R$2129:$R$2164)</f>
        <v>14.8890173410405</v>
      </c>
      <c r="G2139" s="89">
        <f>+VLOOKUP(D2139,'材料表 '!C:F,4,0)</f>
        <v>0.03</v>
      </c>
      <c r="H2139" s="74">
        <f t="shared" ref="H2139:H2148" si="232">F2139*(G2139+1)</f>
        <v>15.3356878612717</v>
      </c>
      <c r="I2139" s="74">
        <f>+VLOOKUP(D2139,'材料表 '!C:F,3,0)</f>
        <v>13.2743362831858</v>
      </c>
      <c r="J2139" s="95">
        <f t="shared" si="230"/>
        <v>203.571077804491</v>
      </c>
      <c r="K2139" s="92">
        <f ca="1">H2139*K2125</f>
        <v>1415.20794721388</v>
      </c>
      <c r="L2139" s="90"/>
      <c r="M2139" s="44"/>
      <c r="N2139" s="82"/>
      <c r="O2139" s="44"/>
      <c r="P2139" s="44"/>
      <c r="Q2139" s="44">
        <v>0</v>
      </c>
      <c r="R2139" s="84">
        <f>+Q2139/R2126</f>
        <v>0</v>
      </c>
      <c r="S2139" s="47"/>
      <c r="T2139" s="47"/>
    </row>
    <row r="2140" s="27" customFormat="1" ht="18" customHeight="1" spans="1:20">
      <c r="A2140" s="34"/>
      <c r="B2140" s="48">
        <v>2</v>
      </c>
      <c r="C2140" s="48"/>
      <c r="D2140" s="88" t="s">
        <v>465</v>
      </c>
      <c r="E2140" s="72" t="str">
        <f>+VLOOKUP(D2140,'材料表 '!C:F,2,0)</f>
        <v>kg</v>
      </c>
      <c r="F2140" s="77">
        <f t="shared" si="231"/>
        <v>3.8465</v>
      </c>
      <c r="G2140" s="89">
        <f>+VLOOKUP(D2140,'材料表 '!C:F,4,0)</f>
        <v>0.03</v>
      </c>
      <c r="H2140" s="74">
        <f t="shared" si="232"/>
        <v>3.961895</v>
      </c>
      <c r="I2140" s="74">
        <f>+VLOOKUP(D2140,'材料表 '!C:F,3,0)</f>
        <v>6.01769911504425</v>
      </c>
      <c r="J2140" s="95">
        <f t="shared" si="230"/>
        <v>23.8414920353982</v>
      </c>
      <c r="K2140" s="92">
        <f ca="1">H2140*K2125</f>
        <v>365.61159439</v>
      </c>
      <c r="L2140" s="90" t="s">
        <v>595</v>
      </c>
      <c r="M2140" s="44"/>
      <c r="N2140" s="82"/>
      <c r="O2140" s="44">
        <f>+O2126</f>
        <v>8.65</v>
      </c>
      <c r="P2140" s="44">
        <f>+P2126</f>
        <v>1.2</v>
      </c>
      <c r="Q2140" s="44">
        <f>+P2140*O2140</f>
        <v>10.38</v>
      </c>
      <c r="R2140" s="84">
        <f>+Q2140/R2126</f>
        <v>1.2</v>
      </c>
      <c r="S2140" s="47"/>
      <c r="T2140" s="47"/>
    </row>
    <row r="2141" s="27" customFormat="1" ht="18" customHeight="1" spans="1:20">
      <c r="A2141" s="34"/>
      <c r="B2141" s="48">
        <v>3</v>
      </c>
      <c r="C2141" s="48"/>
      <c r="D2141" s="88" t="s">
        <v>430</v>
      </c>
      <c r="E2141" s="72" t="str">
        <f>+VLOOKUP(D2141,'材料表 '!C:F,2,0)</f>
        <v>kg</v>
      </c>
      <c r="F2141" s="77">
        <f t="shared" ref="F2141:F2147" si="233">+SUMIF($L$2129:$L$2164,D2141,$R$2129:$R$2164)</f>
        <v>4.185</v>
      </c>
      <c r="G2141" s="89">
        <f>+VLOOKUP(D2141,'材料表 '!C:F,4,0)</f>
        <v>0.03</v>
      </c>
      <c r="H2141" s="74">
        <f t="shared" si="232"/>
        <v>4.31055</v>
      </c>
      <c r="I2141" s="74">
        <f>+VLOOKUP(D2141,'材料表 '!C:F,3,0)</f>
        <v>24.6106194690265</v>
      </c>
      <c r="J2141" s="95">
        <f t="shared" si="230"/>
        <v>106.085305752212</v>
      </c>
      <c r="K2141" s="92">
        <f ca="1">H2141*K2125</f>
        <v>397.7861751</v>
      </c>
      <c r="L2141" s="90"/>
      <c r="M2141" s="44"/>
      <c r="N2141" s="82"/>
      <c r="O2141" s="44"/>
      <c r="P2141" s="44"/>
      <c r="Q2141" s="44">
        <f>+P2141*O2141</f>
        <v>0</v>
      </c>
      <c r="R2141" s="84">
        <f>+Q2141/R2126</f>
        <v>0</v>
      </c>
      <c r="S2141" s="47"/>
      <c r="T2141" s="47"/>
    </row>
    <row r="2142" s="27" customFormat="1" ht="18" customHeight="1" spans="1:20">
      <c r="A2142" s="34"/>
      <c r="B2142" s="48">
        <v>4</v>
      </c>
      <c r="C2142" s="48"/>
      <c r="D2142" s="88" t="s">
        <v>447</v>
      </c>
      <c r="E2142" s="72" t="str">
        <f>+VLOOKUP(D2142,'材料表 '!C:F,2,0)</f>
        <v>kg</v>
      </c>
      <c r="F2142" s="77">
        <f t="shared" si="231"/>
        <v>1.01264161849711</v>
      </c>
      <c r="G2142" s="89">
        <f>+VLOOKUP(D2142,'材料表 '!C:F,4,0)</f>
        <v>0.03</v>
      </c>
      <c r="H2142" s="74">
        <f t="shared" si="232"/>
        <v>1.04302086705202</v>
      </c>
      <c r="I2142" s="74">
        <f>+VLOOKUP(D2142,'材料表 '!C:F,3,0)</f>
        <v>24.4336283185841</v>
      </c>
      <c r="J2142" s="95">
        <f t="shared" si="230"/>
        <v>25.4847841940765</v>
      </c>
      <c r="K2142" s="92">
        <f ca="1">H2142*K2125</f>
        <v>96.2520516532945</v>
      </c>
      <c r="L2142" s="90" t="s">
        <v>474</v>
      </c>
      <c r="M2142" s="44"/>
      <c r="N2142" s="82"/>
      <c r="O2142" s="44"/>
      <c r="P2142" s="44"/>
      <c r="Q2142" s="44">
        <f>+O2132*P2132*4</f>
        <v>24</v>
      </c>
      <c r="R2142" s="84">
        <f>+Q2142/R2126</f>
        <v>2.77456647398844</v>
      </c>
      <c r="S2142" s="47"/>
      <c r="T2142" s="47"/>
    </row>
    <row r="2143" s="27" customFormat="1" ht="18" customHeight="1" spans="1:20">
      <c r="A2143" s="34"/>
      <c r="B2143" s="48">
        <v>5</v>
      </c>
      <c r="C2143" s="48"/>
      <c r="D2143" s="88" t="s">
        <v>434</v>
      </c>
      <c r="E2143" s="72" t="str">
        <f>+VLOOKUP(D2143,'材料表 '!C:F,2,0)</f>
        <v>m2</v>
      </c>
      <c r="F2143" s="77">
        <f>(T2137+T2134)/R2126</f>
        <v>0.55993063583815</v>
      </c>
      <c r="G2143" s="89">
        <f>+VLOOKUP(D2143,'材料表 '!C:F,4,0)</f>
        <v>0</v>
      </c>
      <c r="H2143" s="74">
        <f t="shared" si="232"/>
        <v>0.55993063583815</v>
      </c>
      <c r="I2143" s="74">
        <f>+VLOOKUP(D2143,'材料表 '!C:F,3,0)</f>
        <v>49.5575221238938</v>
      </c>
      <c r="J2143" s="95">
        <f t="shared" si="230"/>
        <v>27.748774873395</v>
      </c>
      <c r="K2143" s="92">
        <f ca="1">H2143*K2125</f>
        <v>51.6715189364162</v>
      </c>
      <c r="L2143" s="92" t="s">
        <v>476</v>
      </c>
      <c r="M2143" s="44"/>
      <c r="N2143" s="82"/>
      <c r="O2143" s="44"/>
      <c r="P2143" s="44">
        <f>8*6*(N2126*2+O2126*6*2)/500+18*22*(O2129*P2129)/500</f>
        <v>15.6672</v>
      </c>
      <c r="Q2143" s="44">
        <f>+P2143/Q2126</f>
        <v>15.6672</v>
      </c>
      <c r="R2143" s="84">
        <f>+Q2143/R2126</f>
        <v>1.81123699421965</v>
      </c>
      <c r="S2143" s="47"/>
      <c r="T2143" s="47"/>
    </row>
    <row r="2144" s="27" customFormat="1" ht="18" customHeight="1" spans="1:20">
      <c r="A2144" s="34"/>
      <c r="B2144" s="48">
        <v>6</v>
      </c>
      <c r="C2144" s="48"/>
      <c r="D2144" s="88" t="s">
        <v>476</v>
      </c>
      <c r="E2144" s="72" t="str">
        <f>+VLOOKUP(D2144,'材料表 '!C:F,2,0)</f>
        <v>支</v>
      </c>
      <c r="F2144" s="77">
        <f t="shared" si="233"/>
        <v>1.81123699421965</v>
      </c>
      <c r="G2144" s="89">
        <f>+VLOOKUP(D2144,'材料表 '!C:F,4,0)</f>
        <v>0.15</v>
      </c>
      <c r="H2144" s="74">
        <f t="shared" si="232"/>
        <v>2.0829225433526</v>
      </c>
      <c r="I2144" s="74">
        <f>+VLOOKUP(D2144,'材料表 '!C:F,3,0)</f>
        <v>11.5044247787611</v>
      </c>
      <c r="J2144" s="95">
        <f t="shared" si="230"/>
        <v>23.9628257199857</v>
      </c>
      <c r="K2144" s="92">
        <f ca="1">H2144*K2125</f>
        <v>192.216258145665</v>
      </c>
      <c r="L2144" s="92"/>
      <c r="M2144" s="44"/>
      <c r="N2144" s="82"/>
      <c r="O2144" s="44"/>
      <c r="P2144" s="44"/>
      <c r="Q2144" s="44"/>
      <c r="R2144" s="84"/>
      <c r="S2144" s="47"/>
      <c r="T2144" s="47"/>
    </row>
    <row r="2145" s="27" customFormat="1" ht="18" customHeight="1" spans="1:20">
      <c r="A2145" s="34"/>
      <c r="B2145" s="48">
        <v>7</v>
      </c>
      <c r="C2145" s="48"/>
      <c r="D2145" s="88" t="s">
        <v>595</v>
      </c>
      <c r="E2145" s="72" t="str">
        <f>+VLOOKUP(D2145,'材料表 '!C:F,2,0)</f>
        <v>m2</v>
      </c>
      <c r="F2145" s="77">
        <f t="shared" si="233"/>
        <v>1.2</v>
      </c>
      <c r="G2145" s="89">
        <f>+VLOOKUP(D2145,'材料表 '!C:F,4,0)</f>
        <v>0.01</v>
      </c>
      <c r="H2145" s="74">
        <f t="shared" si="232"/>
        <v>1.212</v>
      </c>
      <c r="I2145" s="74">
        <f>+VLOOKUP(D2145,'材料表 '!C:F,3,0)</f>
        <v>176.991150442478</v>
      </c>
      <c r="J2145" s="95">
        <f t="shared" si="230"/>
        <v>214.513274336283</v>
      </c>
      <c r="K2145" s="92">
        <f ca="1">H2145*K2125</f>
        <v>111.845784</v>
      </c>
      <c r="L2145" s="92"/>
      <c r="M2145" s="44"/>
      <c r="N2145" s="82"/>
      <c r="O2145" s="44"/>
      <c r="P2145" s="44"/>
      <c r="Q2145" s="44"/>
      <c r="R2145" s="84"/>
      <c r="S2145" s="47"/>
      <c r="T2145" s="47"/>
    </row>
    <row r="2146" s="27" customFormat="1" ht="18" customHeight="1" spans="1:20">
      <c r="A2146" s="34"/>
      <c r="B2146" s="48">
        <v>8</v>
      </c>
      <c r="C2146" s="48"/>
      <c r="D2146" s="88" t="s">
        <v>474</v>
      </c>
      <c r="E2146" s="72" t="str">
        <f>+VLOOKUP(D2146,'材料表 '!C:F,2,0)</f>
        <v>套</v>
      </c>
      <c r="F2146" s="77">
        <f t="shared" si="233"/>
        <v>2.77456647398844</v>
      </c>
      <c r="G2146" s="89">
        <f>+VLOOKUP(D2146,'材料表 '!C:F,4,0)</f>
        <v>0</v>
      </c>
      <c r="H2146" s="74">
        <f t="shared" si="232"/>
        <v>2.77456647398844</v>
      </c>
      <c r="I2146" s="74">
        <f>+VLOOKUP(D2146,'材料表 '!C:F,3,0)</f>
        <v>2.21238938053097</v>
      </c>
      <c r="J2146" s="95">
        <f t="shared" si="230"/>
        <v>6.13842140262928</v>
      </c>
      <c r="K2146" s="92">
        <f ca="1">H2146*K2125</f>
        <v>256.042543352601</v>
      </c>
      <c r="L2146" s="92"/>
      <c r="M2146" s="44"/>
      <c r="N2146" s="82"/>
      <c r="O2146" s="44"/>
      <c r="P2146" s="44"/>
      <c r="Q2146" s="44"/>
      <c r="R2146" s="84"/>
      <c r="S2146" s="47"/>
      <c r="T2146" s="47"/>
    </row>
    <row r="2147" s="27" customFormat="1" ht="18" customHeight="1" spans="1:20">
      <c r="A2147" s="34"/>
      <c r="B2147" s="48">
        <v>9</v>
      </c>
      <c r="C2147" s="48"/>
      <c r="D2147" s="88" t="s">
        <v>435</v>
      </c>
      <c r="E2147" s="72" t="str">
        <f>+VLOOKUP(D2147,'材料表 '!C:F,2,0)</f>
        <v>kg</v>
      </c>
      <c r="F2147" s="77">
        <f>0.078*1.35*(O2126*2)/R2126</f>
        <v>0.2106</v>
      </c>
      <c r="G2147" s="89">
        <f>+VLOOKUP(D2147,'材料表 '!C:F,4,0)</f>
        <v>0.03</v>
      </c>
      <c r="H2147" s="74">
        <f t="shared" si="232"/>
        <v>0.216918</v>
      </c>
      <c r="I2147" s="74">
        <f>+VLOOKUP(D2147,'材料表 '!C:F,3,0)</f>
        <v>19.4690265486726</v>
      </c>
      <c r="J2147" s="95">
        <f t="shared" si="230"/>
        <v>4.22318230088496</v>
      </c>
      <c r="K2147" s="92">
        <f ca="1">H2147*K2125</f>
        <v>20.017626876</v>
      </c>
      <c r="L2147" s="90"/>
      <c r="M2147" s="44"/>
      <c r="N2147" s="82"/>
      <c r="O2147" s="34"/>
      <c r="P2147" s="44"/>
      <c r="Q2147" s="44"/>
      <c r="R2147" s="119"/>
      <c r="S2147" s="47"/>
      <c r="T2147" s="47"/>
    </row>
    <row r="2148" s="27" customFormat="1" ht="18" customHeight="1" spans="1:20">
      <c r="A2148" s="34"/>
      <c r="B2148" s="48">
        <v>10</v>
      </c>
      <c r="C2148" s="48"/>
      <c r="D2148" s="88" t="s">
        <v>463</v>
      </c>
      <c r="E2148" s="72" t="str">
        <f>+VLOOKUP(D2148,'材料表 '!C:F,2,0)</f>
        <v>kg</v>
      </c>
      <c r="F2148" s="77">
        <f>+SUMIF($L$2129:$L$2164,D2148,$R$2129:$R$2164)</f>
        <v>1.96023121387283</v>
      </c>
      <c r="G2148" s="89">
        <f>+VLOOKUP(D2148,'材料表 '!C:F,4,0)</f>
        <v>0.03</v>
      </c>
      <c r="H2148" s="74">
        <f t="shared" si="232"/>
        <v>2.01903815028901</v>
      </c>
      <c r="I2148" s="74">
        <f>+VLOOKUP(D2148,'材料表 '!C:F,3,0)</f>
        <v>6.01769911504425</v>
      </c>
      <c r="J2148" s="95">
        <f t="shared" si="230"/>
        <v>12.1499640902348</v>
      </c>
      <c r="K2148" s="92">
        <f ca="1">H2148*K2125</f>
        <v>186.32087858497</v>
      </c>
      <c r="L2148" s="92"/>
      <c r="M2148" s="120"/>
      <c r="N2148" s="82"/>
      <c r="O2148" s="44"/>
      <c r="P2148" s="44"/>
      <c r="Q2148" s="44"/>
      <c r="R2148" s="84"/>
      <c r="S2148" s="47"/>
      <c r="T2148" s="47"/>
    </row>
    <row r="2149" s="27" customFormat="1" ht="18" customHeight="1" spans="1:20">
      <c r="A2149" s="34"/>
      <c r="B2149" s="48">
        <v>11</v>
      </c>
      <c r="C2149" s="48"/>
      <c r="D2149" s="88"/>
      <c r="E2149" s="72"/>
      <c r="F2149" s="77"/>
      <c r="G2149" s="89"/>
      <c r="H2149" s="74"/>
      <c r="I2149" s="74"/>
      <c r="J2149" s="95"/>
      <c r="K2149" s="92">
        <f ca="1">H2149*K2125</f>
        <v>0</v>
      </c>
      <c r="L2149" s="92"/>
      <c r="M2149" s="44"/>
      <c r="N2149" s="82"/>
      <c r="O2149" s="44"/>
      <c r="P2149" s="44"/>
      <c r="Q2149" s="44"/>
      <c r="R2149" s="84"/>
      <c r="S2149" s="47"/>
      <c r="T2149" s="47"/>
    </row>
    <row r="2150" s="27" customFormat="1" ht="18" customHeight="1" spans="1:20">
      <c r="A2150" s="34"/>
      <c r="B2150" s="48">
        <v>12</v>
      </c>
      <c r="C2150" s="48"/>
      <c r="D2150" s="88"/>
      <c r="E2150" s="72"/>
      <c r="F2150" s="77"/>
      <c r="G2150" s="89"/>
      <c r="H2150" s="74"/>
      <c r="I2150" s="74"/>
      <c r="J2150" s="95"/>
      <c r="K2150" s="92"/>
      <c r="L2150" s="92"/>
      <c r="M2150" s="44"/>
      <c r="N2150" s="44"/>
      <c r="O2150" s="44"/>
      <c r="P2150" s="44"/>
      <c r="Q2150" s="44"/>
      <c r="R2150" s="84"/>
      <c r="S2150" s="47"/>
      <c r="T2150" s="47"/>
    </row>
    <row r="2151" s="27" customFormat="1" ht="18" customHeight="1" spans="1:20">
      <c r="A2151" s="34"/>
      <c r="B2151" s="48">
        <v>13</v>
      </c>
      <c r="C2151" s="48"/>
      <c r="D2151" s="88"/>
      <c r="E2151" s="72"/>
      <c r="F2151" s="77"/>
      <c r="G2151" s="89"/>
      <c r="H2151" s="74"/>
      <c r="I2151" s="74"/>
      <c r="J2151" s="95"/>
      <c r="K2151" s="92"/>
      <c r="L2151" s="92"/>
      <c r="M2151" s="44"/>
      <c r="N2151" s="44"/>
      <c r="O2151" s="44"/>
      <c r="P2151" s="44"/>
      <c r="Q2151" s="44"/>
      <c r="R2151" s="84"/>
      <c r="S2151" s="47"/>
      <c r="T2151" s="47"/>
    </row>
    <row r="2152" s="27" customFormat="1" ht="24" customHeight="1" spans="1:20">
      <c r="A2152" s="34"/>
      <c r="B2152" s="48">
        <v>14</v>
      </c>
      <c r="C2152" s="48"/>
      <c r="D2152" s="88"/>
      <c r="E2152" s="72"/>
      <c r="F2152" s="77"/>
      <c r="G2152" s="89"/>
      <c r="H2152" s="74"/>
      <c r="I2152" s="74"/>
      <c r="J2152" s="95"/>
      <c r="K2152" s="92"/>
      <c r="L2152" s="92"/>
      <c r="M2152" s="44"/>
      <c r="N2152" s="44"/>
      <c r="O2152" s="44"/>
      <c r="P2152" s="44"/>
      <c r="Q2152" s="44"/>
      <c r="R2152" s="84"/>
      <c r="S2152" s="47"/>
      <c r="T2152" s="47"/>
    </row>
    <row r="2153" s="27" customFormat="1" ht="18" customHeight="1" spans="1:20">
      <c r="A2153" s="34"/>
      <c r="B2153" s="48">
        <v>15</v>
      </c>
      <c r="C2153" s="48"/>
      <c r="D2153" s="88"/>
      <c r="E2153" s="72"/>
      <c r="F2153" s="77"/>
      <c r="G2153" s="89"/>
      <c r="H2153" s="74"/>
      <c r="I2153" s="74"/>
      <c r="J2153" s="95"/>
      <c r="K2153" s="92"/>
      <c r="L2153" s="92"/>
      <c r="M2153" s="44"/>
      <c r="N2153" s="44"/>
      <c r="O2153" s="44"/>
      <c r="P2153" s="44"/>
      <c r="Q2153" s="44"/>
      <c r="R2153" s="84"/>
      <c r="S2153" s="47"/>
      <c r="T2153" s="47"/>
    </row>
    <row r="2154" s="27" customFormat="1" ht="18" customHeight="1" spans="1:20">
      <c r="A2154" s="34"/>
      <c r="B2154" s="48">
        <v>16</v>
      </c>
      <c r="C2154" s="48"/>
      <c r="D2154" s="88"/>
      <c r="E2154" s="72"/>
      <c r="F2154" s="77"/>
      <c r="G2154" s="89"/>
      <c r="H2154" s="74"/>
      <c r="I2154" s="74"/>
      <c r="J2154" s="95"/>
      <c r="K2154" s="92"/>
      <c r="L2154" s="92"/>
      <c r="M2154" s="44"/>
      <c r="N2154" s="44"/>
      <c r="O2154" s="44"/>
      <c r="P2154" s="44"/>
      <c r="Q2154" s="44"/>
      <c r="R2154" s="84"/>
      <c r="S2154" s="47"/>
      <c r="T2154" s="47"/>
    </row>
    <row r="2155" s="27" customFormat="1" ht="18" customHeight="1" spans="1:20">
      <c r="A2155" s="34"/>
      <c r="B2155" s="48">
        <v>17</v>
      </c>
      <c r="C2155" s="48"/>
      <c r="D2155" s="121"/>
      <c r="E2155" s="72"/>
      <c r="F2155" s="77"/>
      <c r="G2155" s="89"/>
      <c r="H2155" s="74"/>
      <c r="I2155" s="74"/>
      <c r="J2155" s="95"/>
      <c r="K2155" s="92"/>
      <c r="L2155" s="92"/>
      <c r="M2155" s="44"/>
      <c r="N2155" s="44"/>
      <c r="O2155" s="44"/>
      <c r="P2155" s="44"/>
      <c r="Q2155" s="101"/>
      <c r="R2155" s="84"/>
      <c r="S2155" s="47"/>
      <c r="T2155" s="47"/>
    </row>
    <row r="2156" s="27" customFormat="1" ht="18" customHeight="1" spans="1:20">
      <c r="A2156" s="34"/>
      <c r="B2156" s="48">
        <v>18</v>
      </c>
      <c r="C2156" s="48"/>
      <c r="D2156" s="88"/>
      <c r="E2156" s="72"/>
      <c r="F2156" s="77"/>
      <c r="G2156" s="89"/>
      <c r="H2156" s="74"/>
      <c r="I2156" s="74"/>
      <c r="J2156" s="95"/>
      <c r="K2156" s="92"/>
      <c r="L2156" s="92"/>
      <c r="M2156" s="44"/>
      <c r="N2156" s="44"/>
      <c r="O2156" s="44"/>
      <c r="P2156" s="44"/>
      <c r="Q2156" s="44"/>
      <c r="R2156" s="84"/>
      <c r="S2156" s="47"/>
      <c r="T2156" s="47"/>
    </row>
    <row r="2157" s="27" customFormat="1" ht="18" customHeight="1" spans="1:20">
      <c r="A2157" s="34"/>
      <c r="B2157" s="48">
        <v>19</v>
      </c>
      <c r="C2157" s="48"/>
      <c r="E2157" s="72"/>
      <c r="F2157" s="77"/>
      <c r="G2157" s="89"/>
      <c r="H2157" s="74"/>
      <c r="I2157" s="74"/>
      <c r="J2157" s="95"/>
      <c r="K2157" s="92"/>
      <c r="L2157" s="92"/>
      <c r="M2157" s="44"/>
      <c r="N2157" s="44"/>
      <c r="O2157" s="44"/>
      <c r="P2157" s="44"/>
      <c r="Q2157" s="44"/>
      <c r="R2157" s="84"/>
      <c r="S2157" s="47"/>
      <c r="T2157" s="47"/>
    </row>
    <row r="2158" s="27" customFormat="1" ht="18" customHeight="1" spans="1:20">
      <c r="A2158" s="34"/>
      <c r="B2158" s="48">
        <v>20</v>
      </c>
      <c r="C2158" s="48"/>
      <c r="D2158" s="88"/>
      <c r="E2158" s="72"/>
      <c r="F2158" s="77"/>
      <c r="G2158" s="89"/>
      <c r="H2158" s="74"/>
      <c r="I2158" s="74"/>
      <c r="J2158" s="95"/>
      <c r="K2158" s="92"/>
      <c r="L2158" s="92"/>
      <c r="M2158" s="44"/>
      <c r="N2158" s="44"/>
      <c r="O2158" s="44"/>
      <c r="P2158" s="44"/>
      <c r="Q2158" s="44"/>
      <c r="R2158" s="84"/>
      <c r="S2158" s="47"/>
      <c r="T2158" s="47"/>
    </row>
    <row r="2159" s="27" customFormat="1" ht="18" customHeight="1" spans="1:20">
      <c r="A2159" s="34"/>
      <c r="B2159" s="48">
        <v>21</v>
      </c>
      <c r="C2159" s="48"/>
      <c r="D2159" s="88"/>
      <c r="E2159" s="72"/>
      <c r="F2159" s="77"/>
      <c r="G2159" s="89"/>
      <c r="H2159" s="74"/>
      <c r="I2159" s="74"/>
      <c r="J2159" s="95"/>
      <c r="K2159" s="92"/>
      <c r="L2159" s="92"/>
      <c r="M2159" s="44"/>
      <c r="N2159" s="44"/>
      <c r="O2159" s="44"/>
      <c r="P2159" s="44"/>
      <c r="Q2159" s="44"/>
      <c r="R2159" s="84"/>
      <c r="S2159" s="47"/>
      <c r="T2159" s="47"/>
    </row>
    <row r="2160" s="27" customFormat="1" ht="18" customHeight="1" spans="1:20">
      <c r="A2160" s="34"/>
      <c r="B2160" s="48">
        <v>22</v>
      </c>
      <c r="C2160" s="48"/>
      <c r="E2160" s="72"/>
      <c r="F2160" s="77"/>
      <c r="G2160" s="72"/>
      <c r="H2160" s="74"/>
      <c r="I2160" s="74"/>
      <c r="J2160" s="95"/>
      <c r="K2160" s="92"/>
      <c r="L2160" s="92"/>
      <c r="M2160" s="44"/>
      <c r="N2160" s="44"/>
      <c r="O2160" s="44"/>
      <c r="P2160" s="44"/>
      <c r="Q2160" s="44"/>
      <c r="R2160" s="62"/>
      <c r="S2160" s="47"/>
      <c r="T2160" s="47"/>
    </row>
    <row r="2161" s="27" customFormat="1" ht="18" customHeight="1" spans="1:20">
      <c r="A2161" s="34"/>
      <c r="B2161" s="48">
        <v>23</v>
      </c>
      <c r="C2161" s="48"/>
      <c r="D2161" s="88"/>
      <c r="E2161" s="72"/>
      <c r="F2161" s="77"/>
      <c r="G2161" s="89"/>
      <c r="H2161" s="74"/>
      <c r="I2161" s="74"/>
      <c r="J2161" s="95"/>
      <c r="K2161" s="92"/>
      <c r="L2161" s="92"/>
      <c r="M2161" s="44"/>
      <c r="N2161" s="44"/>
      <c r="O2161" s="44"/>
      <c r="P2161" s="44"/>
      <c r="Q2161" s="44"/>
      <c r="R2161" s="62"/>
      <c r="S2161" s="47"/>
      <c r="T2161" s="47"/>
    </row>
    <row r="2162" s="27" customFormat="1" ht="18" customHeight="1" spans="1:20">
      <c r="A2162" s="34"/>
      <c r="B2162" s="48">
        <v>24</v>
      </c>
      <c r="C2162" s="48"/>
      <c r="D2162" s="88" t="s">
        <v>478</v>
      </c>
      <c r="E2162" s="72" t="s">
        <v>43</v>
      </c>
      <c r="F2162" s="77"/>
      <c r="G2162" s="72">
        <v>1</v>
      </c>
      <c r="H2162" s="74">
        <v>1</v>
      </c>
      <c r="I2162" s="74">
        <f>+辅材及安装费!$E$6</f>
        <v>10</v>
      </c>
      <c r="J2162" s="95">
        <f t="shared" ref="J2161:J2164" si="234">H2162*I2162</f>
        <v>10</v>
      </c>
      <c r="K2162" s="92"/>
      <c r="L2162" s="92"/>
      <c r="M2162" s="44"/>
      <c r="N2162" s="44"/>
      <c r="O2162" s="44"/>
      <c r="P2162" s="44"/>
      <c r="Q2162" s="44"/>
      <c r="R2162" s="62"/>
      <c r="S2162" s="47"/>
      <c r="T2162" s="47"/>
    </row>
    <row r="2163" s="27" customFormat="1" ht="18" customHeight="1" spans="1:20">
      <c r="A2163" s="34"/>
      <c r="B2163" s="48">
        <v>25</v>
      </c>
      <c r="C2163" s="48"/>
      <c r="D2163" s="93" t="s">
        <v>442</v>
      </c>
      <c r="E2163" s="72"/>
      <c r="F2163" s="77"/>
      <c r="G2163" s="72"/>
      <c r="H2163" s="74"/>
      <c r="I2163" s="74"/>
      <c r="J2163" s="95">
        <f>SUM(J2139:J2162)</f>
        <v>657.719102509591</v>
      </c>
      <c r="K2163" s="92"/>
      <c r="L2163" s="94"/>
      <c r="N2163" s="83"/>
      <c r="O2163" s="83"/>
      <c r="P2163" s="83"/>
      <c r="Q2163" s="83"/>
      <c r="R2163" s="87"/>
      <c r="S2163" s="47"/>
      <c r="T2163" s="47"/>
    </row>
    <row r="2164" s="27" customFormat="1" ht="18" customHeight="1" spans="1:20">
      <c r="A2164" s="34"/>
      <c r="B2164" s="48">
        <v>1</v>
      </c>
      <c r="C2164" s="48" t="s">
        <v>443</v>
      </c>
      <c r="D2164" s="48" t="s">
        <v>444</v>
      </c>
      <c r="E2164" s="72" t="s">
        <v>43</v>
      </c>
      <c r="F2164" s="50"/>
      <c r="G2164" s="48"/>
      <c r="H2164" s="51">
        <v>1</v>
      </c>
      <c r="I2164" s="74">
        <f>+辅材及安装费!$F$6</f>
        <v>5</v>
      </c>
      <c r="J2164" s="95">
        <f t="shared" si="234"/>
        <v>5</v>
      </c>
      <c r="K2164" s="118"/>
      <c r="L2164" s="96"/>
      <c r="M2164" s="97"/>
      <c r="N2164" s="98"/>
      <c r="O2164" s="98"/>
      <c r="P2164" s="98"/>
      <c r="Q2164" s="98"/>
      <c r="R2164" s="99"/>
      <c r="S2164" s="47"/>
      <c r="T2164" s="47"/>
    </row>
    <row r="2165" s="26" customFormat="1" ht="30" customHeight="1" spans="1:20">
      <c r="A2165" s="28"/>
      <c r="B2165" s="29" t="s">
        <v>386</v>
      </c>
      <c r="C2165" s="29"/>
      <c r="D2165" s="29"/>
      <c r="E2165" s="29"/>
      <c r="F2165" s="29"/>
      <c r="G2165" s="29"/>
      <c r="H2165" s="29"/>
      <c r="I2165" s="29"/>
      <c r="J2165" s="29"/>
      <c r="K2165" s="29"/>
      <c r="L2165" s="30"/>
      <c r="M2165" s="31"/>
      <c r="N2165" s="31"/>
      <c r="O2165" s="31"/>
      <c r="P2165" s="31"/>
      <c r="Q2165" s="31"/>
      <c r="R2165" s="32"/>
      <c r="S2165" s="33"/>
      <c r="T2165" s="33"/>
    </row>
    <row r="2166" s="27" customFormat="1" ht="33.75" customHeight="1" spans="1:20">
      <c r="A2166" s="34">
        <v>2</v>
      </c>
      <c r="B2166" s="35" t="s">
        <v>1</v>
      </c>
      <c r="C2166" s="35" t="s">
        <v>387</v>
      </c>
      <c r="D2166" s="36" t="str">
        <f>+A2174</f>
        <v>6+1.14PVB+6㎜超白钢化夹层玻璃栏杆（弧形）</v>
      </c>
      <c r="E2166" s="37"/>
      <c r="F2166" s="38"/>
      <c r="G2166" s="39"/>
      <c r="H2166" s="35" t="s">
        <v>388</v>
      </c>
      <c r="I2166" s="40" t="s">
        <v>389</v>
      </c>
      <c r="J2166" s="41" t="s">
        <v>37</v>
      </c>
      <c r="K2166" s="42">
        <f ca="1">VLOOKUP(A2166,排屋工程量清单!$A$107:$D$110,4,)</f>
        <v>8.478</v>
      </c>
      <c r="L2166" s="43"/>
      <c r="M2166" s="44"/>
      <c r="N2166" s="44"/>
      <c r="O2166" s="44"/>
      <c r="P2166" s="45"/>
      <c r="Q2166" s="44"/>
      <c r="R2166" s="46"/>
      <c r="S2166" s="47"/>
      <c r="T2166" s="47"/>
    </row>
    <row r="2167" s="27" customFormat="1" ht="25" customHeight="1" spans="1:20">
      <c r="A2167" s="34"/>
      <c r="B2167" s="48">
        <v>1</v>
      </c>
      <c r="C2167" s="49" t="s">
        <v>390</v>
      </c>
      <c r="D2167" s="48" t="s">
        <v>391</v>
      </c>
      <c r="E2167" s="48"/>
      <c r="F2167" s="50"/>
      <c r="G2167" s="48"/>
      <c r="H2167" s="51"/>
      <c r="I2167" s="52">
        <f>J2179</f>
        <v>135</v>
      </c>
      <c r="J2167" s="53" t="s">
        <v>392</v>
      </c>
      <c r="K2167" s="54"/>
      <c r="L2167" s="55" t="s">
        <v>584</v>
      </c>
      <c r="M2167" s="56" t="s">
        <v>585</v>
      </c>
      <c r="N2167" s="57"/>
      <c r="O2167" s="57">
        <f>6.2+2.45</f>
        <v>8.65</v>
      </c>
      <c r="P2167" s="57">
        <v>1.2</v>
      </c>
      <c r="Q2167" s="57">
        <v>1</v>
      </c>
      <c r="R2167" s="58">
        <f>O2167</f>
        <v>8.65</v>
      </c>
      <c r="S2167" s="47"/>
      <c r="T2167" s="47"/>
    </row>
    <row r="2168" s="27" customFormat="1" ht="18" customHeight="1" spans="1:20">
      <c r="A2168" s="34"/>
      <c r="B2168" s="48">
        <v>2</v>
      </c>
      <c r="C2168" s="59"/>
      <c r="D2168" s="48" t="s">
        <v>394</v>
      </c>
      <c r="E2168" s="48"/>
      <c r="F2168" s="50"/>
      <c r="G2168" s="48"/>
      <c r="H2168" s="51"/>
      <c r="I2168" s="52">
        <f>J2204</f>
        <v>705.773100974986</v>
      </c>
      <c r="J2168" s="53" t="s">
        <v>392</v>
      </c>
      <c r="K2168" s="60"/>
      <c r="L2168" s="61" t="s">
        <v>203</v>
      </c>
      <c r="M2168" s="44"/>
      <c r="N2168" s="44"/>
      <c r="O2168" s="44"/>
      <c r="P2168" s="44"/>
      <c r="Q2168" s="44"/>
      <c r="R2168" s="62"/>
      <c r="S2168" s="47"/>
      <c r="T2168" s="47"/>
    </row>
    <row r="2169" s="27" customFormat="1" ht="18" customHeight="1" spans="1:20">
      <c r="A2169" s="34"/>
      <c r="B2169" s="48">
        <v>3</v>
      </c>
      <c r="C2169" s="63"/>
      <c r="D2169" s="48" t="s">
        <v>395</v>
      </c>
      <c r="E2169" s="48"/>
      <c r="F2169" s="50"/>
      <c r="G2169" s="48"/>
      <c r="H2169" s="51"/>
      <c r="I2169" s="52">
        <f>J2205</f>
        <v>5</v>
      </c>
      <c r="J2169" s="53" t="s">
        <v>392</v>
      </c>
      <c r="K2169" s="60"/>
      <c r="L2169" s="60"/>
      <c r="M2169" s="64" t="s">
        <v>396</v>
      </c>
      <c r="N2169" s="65" t="s">
        <v>397</v>
      </c>
      <c r="O2169" s="65" t="s">
        <v>398</v>
      </c>
      <c r="P2169" s="65" t="s">
        <v>399</v>
      </c>
      <c r="Q2169" s="65" t="s">
        <v>400</v>
      </c>
      <c r="R2169" s="66" t="s">
        <v>401</v>
      </c>
      <c r="S2169" s="47"/>
      <c r="T2169" s="47"/>
    </row>
    <row r="2170" s="27" customFormat="1" ht="18" customHeight="1" spans="1:20">
      <c r="A2170" s="34"/>
      <c r="B2170" s="48">
        <v>4</v>
      </c>
      <c r="C2170" s="48" t="s">
        <v>402</v>
      </c>
      <c r="D2170" s="67" t="s">
        <v>403</v>
      </c>
      <c r="E2170" s="67"/>
      <c r="F2170" s="50"/>
      <c r="G2170" s="67"/>
      <c r="H2170" s="68"/>
      <c r="I2170" s="52">
        <f>SUM(I2167:I2169)</f>
        <v>845.773100974986</v>
      </c>
      <c r="J2170" s="53" t="s">
        <v>392</v>
      </c>
      <c r="K2170" s="60"/>
      <c r="L2170" s="69" t="s">
        <v>586</v>
      </c>
      <c r="M2170" s="34" t="s">
        <v>587</v>
      </c>
      <c r="N2170" s="34">
        <f>0.075*30*1*7.95</f>
        <v>17.8875</v>
      </c>
      <c r="O2170" s="34">
        <f>+P2167</f>
        <v>1.2</v>
      </c>
      <c r="P2170" s="34">
        <v>6</v>
      </c>
      <c r="Q2170" s="44">
        <f t="shared" ref="Q2170:Q2176" si="235">+P2170*O2170*N2170</f>
        <v>128.79</v>
      </c>
      <c r="R2170" s="71">
        <f>+Q2170/R2167</f>
        <v>14.8890173410405</v>
      </c>
      <c r="S2170" s="47"/>
      <c r="T2170" s="47"/>
    </row>
    <row r="2171" s="27" customFormat="1" ht="28" customHeight="1" spans="1:20">
      <c r="A2171" s="34"/>
      <c r="B2171" s="48">
        <v>5</v>
      </c>
      <c r="C2171" s="72" t="s">
        <v>406</v>
      </c>
      <c r="D2171" s="48" t="s">
        <v>407</v>
      </c>
      <c r="E2171" s="48"/>
      <c r="F2171" s="50"/>
      <c r="G2171" s="48"/>
      <c r="H2171" s="73">
        <f>+'材料表 '!$E$178</f>
        <v>0</v>
      </c>
      <c r="I2171" s="52">
        <f>H2171*I2170</f>
        <v>0</v>
      </c>
      <c r="J2171" s="53" t="s">
        <v>392</v>
      </c>
      <c r="K2171" s="60"/>
      <c r="L2171" s="69" t="s">
        <v>465</v>
      </c>
      <c r="M2171" s="34" t="s">
        <v>588</v>
      </c>
      <c r="N2171" s="34">
        <f>0.098*5*7.85</f>
        <v>3.8465</v>
      </c>
      <c r="O2171" s="34">
        <f>+O2167</f>
        <v>8.65</v>
      </c>
      <c r="P2171" s="34">
        <v>1</v>
      </c>
      <c r="Q2171" s="44">
        <f t="shared" si="235"/>
        <v>33.272225</v>
      </c>
      <c r="R2171" s="71">
        <f>+Q2171/R2167</f>
        <v>3.8465</v>
      </c>
      <c r="S2171" s="47"/>
      <c r="T2171" s="47"/>
    </row>
    <row r="2172" s="27" customFormat="1" ht="18" customHeight="1" spans="1:20">
      <c r="A2172" s="34"/>
      <c r="B2172" s="48">
        <v>6</v>
      </c>
      <c r="C2172" s="48" t="s">
        <v>409</v>
      </c>
      <c r="D2172" s="48" t="s">
        <v>410</v>
      </c>
      <c r="E2172" s="48"/>
      <c r="F2172" s="50"/>
      <c r="G2172" s="48"/>
      <c r="H2172" s="73">
        <f>+'材料表 '!$E$179</f>
        <v>0</v>
      </c>
      <c r="I2172" s="52">
        <f>H2172*I2170</f>
        <v>0</v>
      </c>
      <c r="J2172" s="53" t="s">
        <v>392</v>
      </c>
      <c r="K2172" s="60"/>
      <c r="L2172" s="69" t="s">
        <v>461</v>
      </c>
      <c r="M2172" s="34" t="s">
        <v>462</v>
      </c>
      <c r="N2172" s="34">
        <v>3.77</v>
      </c>
      <c r="O2172" s="34">
        <v>0.165</v>
      </c>
      <c r="P2172" s="34">
        <f>2*6</f>
        <v>12</v>
      </c>
      <c r="Q2172" s="44">
        <f t="shared" si="235"/>
        <v>7.4646</v>
      </c>
      <c r="R2172" s="71">
        <f>+Q2172/R2167</f>
        <v>0.862959537572254</v>
      </c>
      <c r="S2172" s="47"/>
      <c r="T2172" s="47"/>
    </row>
    <row r="2173" s="27" customFormat="1" ht="18" customHeight="1" spans="1:20">
      <c r="A2173" s="34"/>
      <c r="B2173" s="48">
        <v>7</v>
      </c>
      <c r="C2173" s="48" t="s">
        <v>412</v>
      </c>
      <c r="D2173" s="72" t="s">
        <v>413</v>
      </c>
      <c r="E2173" s="72"/>
      <c r="F2173" s="77"/>
      <c r="G2173" s="72"/>
      <c r="H2173" s="73">
        <f>+'材料表 '!$E$180</f>
        <v>0.09</v>
      </c>
      <c r="I2173" s="52">
        <f>(I2170+I2171+I2172)*H2173</f>
        <v>76.1195790877487</v>
      </c>
      <c r="J2173" s="53" t="s">
        <v>392</v>
      </c>
      <c r="K2173" s="60"/>
      <c r="L2173" s="69" t="s">
        <v>463</v>
      </c>
      <c r="M2173" s="34" t="s">
        <v>589</v>
      </c>
      <c r="N2173" s="34">
        <f>0.18*0.2*7.85*10</f>
        <v>2.826</v>
      </c>
      <c r="O2173" s="34">
        <v>1</v>
      </c>
      <c r="P2173" s="34">
        <f>P2170</f>
        <v>6</v>
      </c>
      <c r="Q2173" s="44">
        <f t="shared" si="235"/>
        <v>16.956</v>
      </c>
      <c r="R2173" s="71">
        <f>+Q2173/R2167</f>
        <v>1.96023121387283</v>
      </c>
      <c r="S2173" s="47"/>
      <c r="T2173" s="47"/>
    </row>
    <row r="2174" s="27" customFormat="1" ht="18" customHeight="1" spans="1:20">
      <c r="A2174" s="34" t="s">
        <v>358</v>
      </c>
      <c r="B2174" s="48">
        <v>8</v>
      </c>
      <c r="C2174" s="48" t="s">
        <v>363</v>
      </c>
      <c r="D2174" s="106" t="s">
        <v>415</v>
      </c>
      <c r="E2174" s="107"/>
      <c r="F2174" s="108"/>
      <c r="G2174" s="107"/>
      <c r="H2174" s="51"/>
      <c r="I2174" s="74">
        <f>SUM(I2170:I2173)</f>
        <v>921.892680062734</v>
      </c>
      <c r="J2174" s="53" t="s">
        <v>484</v>
      </c>
      <c r="K2174" s="60"/>
      <c r="L2174" s="69" t="s">
        <v>465</v>
      </c>
      <c r="M2174" s="34" t="s">
        <v>466</v>
      </c>
      <c r="N2174" s="100">
        <f>1.2789*7.85</f>
        <v>10.039365</v>
      </c>
      <c r="O2174" s="34">
        <v>0.105</v>
      </c>
      <c r="P2174" s="44"/>
      <c r="Q2174" s="44">
        <f t="shared" si="235"/>
        <v>0</v>
      </c>
      <c r="R2174" s="84">
        <f>+Q2174/R2167</f>
        <v>0</v>
      </c>
      <c r="S2174" s="79"/>
      <c r="T2174" s="47"/>
    </row>
    <row r="2175" s="27" customFormat="1" ht="18" customHeight="1" spans="1:20">
      <c r="A2175" s="34"/>
      <c r="B2175" s="109" t="s">
        <v>418</v>
      </c>
      <c r="C2175" s="110"/>
      <c r="D2175" s="110"/>
      <c r="E2175" s="110"/>
      <c r="F2175" s="110"/>
      <c r="G2175" s="110"/>
      <c r="H2175" s="110"/>
      <c r="I2175" s="110"/>
      <c r="J2175" s="110"/>
      <c r="K2175" s="80"/>
      <c r="L2175" s="69" t="s">
        <v>430</v>
      </c>
      <c r="M2175" s="44" t="s">
        <v>591</v>
      </c>
      <c r="N2175" s="82">
        <v>4.185</v>
      </c>
      <c r="O2175" s="44">
        <f>+O2167</f>
        <v>8.65</v>
      </c>
      <c r="P2175" s="44">
        <v>1</v>
      </c>
      <c r="Q2175" s="44">
        <f t="shared" si="235"/>
        <v>36.20025</v>
      </c>
      <c r="R2175" s="84">
        <f>+Q2175/R2167</f>
        <v>4.185</v>
      </c>
      <c r="S2175" s="47">
        <f>0.356</f>
        <v>0.356</v>
      </c>
      <c r="T2175" s="47">
        <f>S2175*P2175*O2175</f>
        <v>3.0794</v>
      </c>
    </row>
    <row r="2176" s="27" customFormat="1" ht="18" customHeight="1" spans="1:20">
      <c r="A2176" s="34"/>
      <c r="B2176" s="48">
        <v>1</v>
      </c>
      <c r="C2176" s="48" t="s">
        <v>391</v>
      </c>
      <c r="D2176" s="48" t="s">
        <v>396</v>
      </c>
      <c r="E2176" s="48" t="s">
        <v>37</v>
      </c>
      <c r="F2176" s="50"/>
      <c r="G2176" s="48"/>
      <c r="H2176" s="51" t="s">
        <v>399</v>
      </c>
      <c r="I2176" s="51" t="s">
        <v>420</v>
      </c>
      <c r="J2176" s="95" t="s">
        <v>421</v>
      </c>
      <c r="K2176" s="92"/>
      <c r="L2176" s="69" t="s">
        <v>447</v>
      </c>
      <c r="M2176" s="44" t="s">
        <v>592</v>
      </c>
      <c r="N2176" s="82">
        <v>0.319</v>
      </c>
      <c r="O2176" s="44">
        <f>+O2175</f>
        <v>8.65</v>
      </c>
      <c r="P2176" s="44">
        <v>1</v>
      </c>
      <c r="Q2176" s="44">
        <f t="shared" si="235"/>
        <v>2.75935</v>
      </c>
      <c r="R2176" s="84">
        <f>+Q2176/R2167</f>
        <v>0.319</v>
      </c>
      <c r="S2176" s="47"/>
      <c r="T2176" s="47"/>
    </row>
    <row r="2177" s="27" customFormat="1" ht="18" customHeight="1" spans="1:20">
      <c r="A2177" s="34"/>
      <c r="B2177" s="48">
        <v>2</v>
      </c>
      <c r="C2177" s="48"/>
      <c r="D2177" s="111" t="s">
        <v>593</v>
      </c>
      <c r="E2177" s="49" t="s">
        <v>109</v>
      </c>
      <c r="F2177" s="112"/>
      <c r="G2177" s="111"/>
      <c r="H2177" s="113">
        <v>1</v>
      </c>
      <c r="I2177" s="113">
        <f>+辅材及安装费!$G$6</f>
        <v>135</v>
      </c>
      <c r="J2177" s="114">
        <f t="shared" ref="J2177:J2190" si="236">H2177*I2177</f>
        <v>135</v>
      </c>
      <c r="K2177" s="92"/>
      <c r="L2177" s="69" t="s">
        <v>447</v>
      </c>
      <c r="M2177" s="44"/>
      <c r="N2177" s="82"/>
      <c r="O2177" s="44"/>
      <c r="P2177" s="44"/>
      <c r="Q2177" s="44"/>
      <c r="R2177" s="84"/>
      <c r="S2177" s="47"/>
      <c r="T2177" s="47"/>
    </row>
    <row r="2178" s="27" customFormat="1" ht="18" customHeight="1" spans="1:20">
      <c r="A2178" s="34"/>
      <c r="B2178" s="48">
        <v>3</v>
      </c>
      <c r="C2178" s="48"/>
      <c r="D2178" s="115"/>
      <c r="E2178" s="63"/>
      <c r="F2178" s="116"/>
      <c r="G2178" s="115"/>
      <c r="H2178" s="117"/>
      <c r="I2178" s="117"/>
      <c r="J2178" s="118"/>
      <c r="K2178" s="92"/>
      <c r="L2178" s="69" t="s">
        <v>447</v>
      </c>
      <c r="M2178" s="44" t="s">
        <v>594</v>
      </c>
      <c r="N2178" s="82">
        <f>0.535+0.316</f>
        <v>0.851</v>
      </c>
      <c r="O2178" s="44">
        <f>O2170</f>
        <v>1.2</v>
      </c>
      <c r="P2178" s="44">
        <f>P2170</f>
        <v>6</v>
      </c>
      <c r="Q2178" s="44">
        <f>+P2178</f>
        <v>6</v>
      </c>
      <c r="R2178" s="84">
        <f>+Q2178/R2167</f>
        <v>0.69364161849711</v>
      </c>
      <c r="S2178" s="47">
        <f>0.245</f>
        <v>0.245</v>
      </c>
      <c r="T2178" s="47">
        <f>S2178*P2178*O2178</f>
        <v>1.764</v>
      </c>
    </row>
    <row r="2179" s="27" customFormat="1" ht="18" customHeight="1" spans="1:20">
      <c r="A2179" s="34"/>
      <c r="B2179" s="48">
        <v>4</v>
      </c>
      <c r="C2179" s="48"/>
      <c r="D2179" s="85" t="s">
        <v>426</v>
      </c>
      <c r="E2179" s="48" t="s">
        <v>392</v>
      </c>
      <c r="F2179" s="50"/>
      <c r="G2179" s="48"/>
      <c r="H2179" s="86"/>
      <c r="I2179" s="86"/>
      <c r="J2179" s="95">
        <f>SUM(J2177:J2177)</f>
        <v>135</v>
      </c>
      <c r="K2179" s="92"/>
      <c r="L2179" s="90"/>
      <c r="M2179" s="44"/>
      <c r="N2179" s="82"/>
      <c r="O2179" s="44"/>
      <c r="P2179" s="44"/>
      <c r="Q2179" s="44">
        <v>0</v>
      </c>
      <c r="R2179" s="84">
        <f>+Q2179/R2167</f>
        <v>0</v>
      </c>
      <c r="S2179" s="47"/>
      <c r="T2179" s="47"/>
    </row>
    <row r="2180" s="27" customFormat="1" ht="20" customHeight="1" spans="1:20">
      <c r="A2180" s="34"/>
      <c r="B2180" s="48">
        <v>1</v>
      </c>
      <c r="C2180" s="48" t="s">
        <v>394</v>
      </c>
      <c r="D2180" s="88" t="s">
        <v>586</v>
      </c>
      <c r="E2180" s="72" t="str">
        <f>+VLOOKUP(D2180,'材料表 '!C:F,2,0)</f>
        <v>kg</v>
      </c>
      <c r="F2180" s="77">
        <f>+SUMIF($L$2167:$L$2205,D2180,$R$2167:$R$2205)</f>
        <v>14.8890173410405</v>
      </c>
      <c r="G2180" s="89">
        <f>+VLOOKUP(D2180,'材料表 '!C:F,4,0)</f>
        <v>0.03</v>
      </c>
      <c r="H2180" s="74">
        <f t="shared" ref="H2180:H2190" si="237">F2180*(G2180+1)</f>
        <v>15.3356878612717</v>
      </c>
      <c r="I2180" s="74">
        <f>+VLOOKUP(D2180,'材料表 '!C:F,3,0)</f>
        <v>13.2743362831858</v>
      </c>
      <c r="J2180" s="95">
        <f t="shared" si="236"/>
        <v>203.571077804491</v>
      </c>
      <c r="K2180" s="92">
        <f ca="1">H2180*K2166</f>
        <v>130.015961687861</v>
      </c>
      <c r="L2180" s="90"/>
      <c r="M2180" s="44"/>
      <c r="N2180" s="82"/>
      <c r="O2180" s="44"/>
      <c r="P2180" s="44"/>
      <c r="Q2180" s="44">
        <v>0</v>
      </c>
      <c r="R2180" s="84">
        <f>+Q2180/R2167</f>
        <v>0</v>
      </c>
      <c r="S2180" s="47"/>
      <c r="T2180" s="47"/>
    </row>
    <row r="2181" s="27" customFormat="1" ht="18" customHeight="1" spans="1:20">
      <c r="A2181" s="34"/>
      <c r="B2181" s="48">
        <v>2</v>
      </c>
      <c r="C2181" s="48"/>
      <c r="D2181" s="88" t="s">
        <v>465</v>
      </c>
      <c r="E2181" s="72" t="str">
        <f>+VLOOKUP(D2181,'材料表 '!C:F,2,0)</f>
        <v>kg</v>
      </c>
      <c r="F2181" s="77">
        <f t="shared" ref="F2181:F2187" si="238">+SUMIF($L$2167:$L$2205,D2181,$R$2167:$R$2205)</f>
        <v>3.8465</v>
      </c>
      <c r="G2181" s="89">
        <f>+VLOOKUP(D2181,'材料表 '!C:F,4,0)</f>
        <v>0.03</v>
      </c>
      <c r="H2181" s="74">
        <f t="shared" si="237"/>
        <v>3.961895</v>
      </c>
      <c r="I2181" s="74">
        <f>+VLOOKUP(D2181,'材料表 '!C:F,3,0)</f>
        <v>6.01769911504425</v>
      </c>
      <c r="J2181" s="95">
        <f t="shared" si="236"/>
        <v>23.8414920353982</v>
      </c>
      <c r="K2181" s="92">
        <f ca="1">H2181*K2166</f>
        <v>33.58894581</v>
      </c>
      <c r="L2181" s="90" t="s">
        <v>596</v>
      </c>
      <c r="M2181" s="44"/>
      <c r="N2181" s="82"/>
      <c r="O2181" s="44">
        <f>+O2167</f>
        <v>8.65</v>
      </c>
      <c r="P2181" s="44">
        <f>+P2167</f>
        <v>1.2</v>
      </c>
      <c r="Q2181" s="44">
        <f>+P2181*O2181</f>
        <v>10.38</v>
      </c>
      <c r="R2181" s="84">
        <f>+Q2181/R2167</f>
        <v>1.2</v>
      </c>
      <c r="S2181" s="47"/>
      <c r="T2181" s="47"/>
    </row>
    <row r="2182" s="27" customFormat="1" ht="18" customHeight="1" spans="1:20">
      <c r="A2182" s="34"/>
      <c r="B2182" s="48">
        <v>3</v>
      </c>
      <c r="C2182" s="48"/>
      <c r="D2182" s="88" t="s">
        <v>430</v>
      </c>
      <c r="E2182" s="72" t="str">
        <f>+VLOOKUP(D2182,'材料表 '!C:F,2,0)</f>
        <v>kg</v>
      </c>
      <c r="F2182" s="77">
        <f t="shared" si="238"/>
        <v>4.185</v>
      </c>
      <c r="G2182" s="89">
        <f>+VLOOKUP(D2182,'材料表 '!C:F,4,0)</f>
        <v>0.03</v>
      </c>
      <c r="H2182" s="74">
        <f t="shared" si="237"/>
        <v>4.31055</v>
      </c>
      <c r="I2182" s="74">
        <f>+VLOOKUP(D2182,'材料表 '!C:F,3,0)</f>
        <v>24.6106194690265</v>
      </c>
      <c r="J2182" s="95">
        <f t="shared" si="236"/>
        <v>106.085305752212</v>
      </c>
      <c r="K2182" s="92">
        <f ca="1">H2182*K2166</f>
        <v>36.5448429</v>
      </c>
      <c r="L2182" s="90"/>
      <c r="M2182" s="44"/>
      <c r="N2182" s="82"/>
      <c r="O2182" s="44"/>
      <c r="P2182" s="44"/>
      <c r="Q2182" s="44">
        <f>+P2182*O2182</f>
        <v>0</v>
      </c>
      <c r="R2182" s="84">
        <f>+Q2182/R2167</f>
        <v>0</v>
      </c>
      <c r="S2182" s="47"/>
      <c r="T2182" s="47"/>
    </row>
    <row r="2183" s="27" customFormat="1" ht="18" customHeight="1" spans="1:20">
      <c r="A2183" s="34"/>
      <c r="B2183" s="48">
        <v>4</v>
      </c>
      <c r="C2183" s="48"/>
      <c r="D2183" s="88" t="s">
        <v>447</v>
      </c>
      <c r="E2183" s="72" t="str">
        <f>+VLOOKUP(D2183,'材料表 '!C:F,2,0)</f>
        <v>kg</v>
      </c>
      <c r="F2183" s="77">
        <f t="shared" si="238"/>
        <v>1.01264161849711</v>
      </c>
      <c r="G2183" s="89">
        <f>+VLOOKUP(D2183,'材料表 '!C:F,4,0)</f>
        <v>0.03</v>
      </c>
      <c r="H2183" s="74">
        <f t="shared" si="237"/>
        <v>1.04302086705202</v>
      </c>
      <c r="I2183" s="74">
        <f>+VLOOKUP(D2183,'材料表 '!C:F,3,0)</f>
        <v>24.4336283185841</v>
      </c>
      <c r="J2183" s="95">
        <f t="shared" si="236"/>
        <v>25.4847841940765</v>
      </c>
      <c r="K2183" s="92">
        <f ca="1">H2183*K2166</f>
        <v>8.84273091086703</v>
      </c>
      <c r="L2183" s="90" t="s">
        <v>474</v>
      </c>
      <c r="M2183" s="44"/>
      <c r="N2183" s="82"/>
      <c r="O2183" s="44"/>
      <c r="P2183" s="44"/>
      <c r="Q2183" s="44">
        <f>+O2173*P2173*4</f>
        <v>24</v>
      </c>
      <c r="R2183" s="84">
        <f>+Q2183/R2167</f>
        <v>2.77456647398844</v>
      </c>
      <c r="S2183" s="47"/>
      <c r="T2183" s="47"/>
    </row>
    <row r="2184" s="27" customFormat="1" ht="18" customHeight="1" spans="1:20">
      <c r="A2184" s="34"/>
      <c r="B2184" s="48">
        <v>5</v>
      </c>
      <c r="C2184" s="48"/>
      <c r="D2184" s="88" t="s">
        <v>434</v>
      </c>
      <c r="E2184" s="72" t="str">
        <f>+VLOOKUP(D2184,'材料表 '!C:F,2,0)</f>
        <v>m2</v>
      </c>
      <c r="F2184" s="77">
        <f t="shared" si="238"/>
        <v>0</v>
      </c>
      <c r="G2184" s="89">
        <f>+VLOOKUP(D2184,'材料表 '!C:F,4,0)</f>
        <v>0</v>
      </c>
      <c r="H2184" s="74">
        <f t="shared" si="237"/>
        <v>0</v>
      </c>
      <c r="I2184" s="74">
        <f>+VLOOKUP(D2184,'材料表 '!C:F,3,0)</f>
        <v>49.5575221238938</v>
      </c>
      <c r="J2184" s="95">
        <f t="shared" si="236"/>
        <v>0</v>
      </c>
      <c r="K2184" s="92">
        <f ca="1">H2184*K2166</f>
        <v>0</v>
      </c>
      <c r="L2184" s="92" t="s">
        <v>476</v>
      </c>
      <c r="M2184" s="44"/>
      <c r="N2184" s="82"/>
      <c r="O2184" s="44"/>
      <c r="P2184" s="44">
        <f>8*6*(N2167*2+O2167*6*2)/500+18*22*(O2170*P2170)/500</f>
        <v>15.6672</v>
      </c>
      <c r="Q2184" s="44">
        <f>+P2184/Q2167</f>
        <v>15.6672</v>
      </c>
      <c r="R2184" s="84">
        <f>+Q2184/R2167</f>
        <v>1.81123699421965</v>
      </c>
      <c r="S2184" s="47"/>
      <c r="T2184" s="47"/>
    </row>
    <row r="2185" s="27" customFormat="1" ht="18" customHeight="1" spans="1:20">
      <c r="A2185" s="34"/>
      <c r="B2185" s="48">
        <v>6</v>
      </c>
      <c r="C2185" s="48"/>
      <c r="D2185" s="88" t="s">
        <v>476</v>
      </c>
      <c r="E2185" s="72" t="str">
        <f>+VLOOKUP(D2185,'材料表 '!C:F,2,0)</f>
        <v>支</v>
      </c>
      <c r="F2185" s="77">
        <f t="shared" si="238"/>
        <v>1.81123699421965</v>
      </c>
      <c r="G2185" s="89">
        <f>+VLOOKUP(D2185,'材料表 '!C:F,4,0)</f>
        <v>0.15</v>
      </c>
      <c r="H2185" s="74">
        <f t="shared" si="237"/>
        <v>2.0829225433526</v>
      </c>
      <c r="I2185" s="74">
        <f>+VLOOKUP(D2185,'材料表 '!C:F,3,0)</f>
        <v>11.5044247787611</v>
      </c>
      <c r="J2185" s="95">
        <f t="shared" si="236"/>
        <v>23.9628257199857</v>
      </c>
      <c r="K2185" s="92">
        <f ca="1">H2185*K2166</f>
        <v>17.6590173225433</v>
      </c>
      <c r="L2185" s="92"/>
      <c r="M2185" s="44"/>
      <c r="N2185" s="82"/>
      <c r="O2185" s="44"/>
      <c r="P2185" s="44"/>
      <c r="Q2185" s="44"/>
      <c r="R2185" s="84"/>
      <c r="S2185" s="47"/>
      <c r="T2185" s="47"/>
    </row>
    <row r="2186" s="27" customFormat="1" ht="18" customHeight="1" spans="1:20">
      <c r="A2186" s="34"/>
      <c r="B2186" s="48">
        <v>7</v>
      </c>
      <c r="C2186" s="48"/>
      <c r="D2186" s="88" t="s">
        <v>596</v>
      </c>
      <c r="E2186" s="72" t="str">
        <f>+VLOOKUP(D2186,'材料表 '!C:F,2,0)</f>
        <v>m2</v>
      </c>
      <c r="F2186" s="77">
        <f t="shared" si="238"/>
        <v>1.2</v>
      </c>
      <c r="G2186" s="89">
        <f>+VLOOKUP(D2186,'材料表 '!C:F,4,0)</f>
        <v>0.01</v>
      </c>
      <c r="H2186" s="74">
        <f t="shared" si="237"/>
        <v>1.212</v>
      </c>
      <c r="I2186" s="74">
        <f>+VLOOKUP(D2186,'材料表 '!C:F,3,0)</f>
        <v>176.991150442478</v>
      </c>
      <c r="J2186" s="95">
        <f t="shared" si="236"/>
        <v>214.513274336283</v>
      </c>
      <c r="K2186" s="92">
        <f ca="1">H2186*K2166</f>
        <v>10.275336</v>
      </c>
      <c r="L2186" s="92"/>
      <c r="M2186" s="44"/>
      <c r="N2186" s="82"/>
      <c r="O2186" s="44"/>
      <c r="P2186" s="44"/>
      <c r="Q2186" s="44"/>
      <c r="R2186" s="84"/>
      <c r="S2186" s="47"/>
      <c r="T2186" s="47"/>
    </row>
    <row r="2187" s="27" customFormat="1" ht="18" customHeight="1" spans="1:20">
      <c r="A2187" s="34"/>
      <c r="B2187" s="48">
        <v>8</v>
      </c>
      <c r="C2187" s="48"/>
      <c r="D2187" s="88" t="s">
        <v>474</v>
      </c>
      <c r="E2187" s="72" t="str">
        <f>+VLOOKUP(D2187,'材料表 '!C:F,2,0)</f>
        <v>套</v>
      </c>
      <c r="F2187" s="77">
        <f t="shared" si="238"/>
        <v>2.77456647398844</v>
      </c>
      <c r="G2187" s="89">
        <f>+VLOOKUP(D2187,'材料表 '!C:F,4,0)</f>
        <v>0</v>
      </c>
      <c r="H2187" s="74">
        <f t="shared" si="237"/>
        <v>2.77456647398844</v>
      </c>
      <c r="I2187" s="74">
        <f>+VLOOKUP(D2187,'材料表 '!C:F,3,0)</f>
        <v>2.21238938053097</v>
      </c>
      <c r="J2187" s="95">
        <f t="shared" si="236"/>
        <v>6.13842140262928</v>
      </c>
      <c r="K2187" s="92">
        <f ca="1">H2187*K2166</f>
        <v>23.522774566474</v>
      </c>
      <c r="L2187" s="92"/>
      <c r="M2187" s="44"/>
      <c r="N2187" s="82"/>
      <c r="O2187" s="44"/>
      <c r="P2187" s="44"/>
      <c r="Q2187" s="44"/>
      <c r="R2187" s="84"/>
      <c r="S2187" s="47"/>
      <c r="T2187" s="47"/>
    </row>
    <row r="2188" s="27" customFormat="1" ht="18" customHeight="1" spans="1:20">
      <c r="A2188" s="34"/>
      <c r="B2188" s="48">
        <v>9</v>
      </c>
      <c r="C2188" s="48"/>
      <c r="D2188" s="88" t="s">
        <v>435</v>
      </c>
      <c r="E2188" s="72" t="str">
        <f>+VLOOKUP(D2188,'材料表 '!C:F,2,0)</f>
        <v>kg</v>
      </c>
      <c r="F2188" s="77">
        <f>0.078*1.35*(O2167*2)/R2167</f>
        <v>0.2106</v>
      </c>
      <c r="G2188" s="89">
        <f>+VLOOKUP(D2188,'材料表 '!C:F,4,0)</f>
        <v>0.03</v>
      </c>
      <c r="H2188" s="74">
        <f t="shared" si="237"/>
        <v>0.216918</v>
      </c>
      <c r="I2188" s="74">
        <f>+VLOOKUP(D2188,'材料表 '!C:F,3,0)</f>
        <v>19.4690265486726</v>
      </c>
      <c r="J2188" s="95">
        <f t="shared" si="236"/>
        <v>4.22318230088496</v>
      </c>
      <c r="K2188" s="92">
        <f ca="1">H2188*K2166</f>
        <v>1.839030804</v>
      </c>
      <c r="L2188" s="90"/>
      <c r="M2188" s="44"/>
      <c r="N2188" s="82"/>
      <c r="O2188" s="34"/>
      <c r="P2188" s="44"/>
      <c r="Q2188" s="44"/>
      <c r="R2188" s="119"/>
      <c r="S2188" s="47"/>
      <c r="T2188" s="47"/>
    </row>
    <row r="2189" s="27" customFormat="1" ht="18" customHeight="1" spans="1:20">
      <c r="A2189" s="34"/>
      <c r="B2189" s="48">
        <v>10</v>
      </c>
      <c r="C2189" s="48"/>
      <c r="D2189" s="88" t="s">
        <v>463</v>
      </c>
      <c r="E2189" s="72" t="str">
        <f>+VLOOKUP(D2189,'材料表 '!C:F,2,0)</f>
        <v>kg</v>
      </c>
      <c r="F2189" s="77">
        <f>+SUMIF($L$2167:$L$2205,D2189,$R$2167:$R$2205)</f>
        <v>1.96023121387283</v>
      </c>
      <c r="G2189" s="89">
        <f>+VLOOKUP(D2189,'材料表 '!C:F,4,0)</f>
        <v>0.03</v>
      </c>
      <c r="H2189" s="74">
        <f t="shared" si="237"/>
        <v>2.01903815028901</v>
      </c>
      <c r="I2189" s="74">
        <f>+VLOOKUP(D2189,'材料表 '!C:F,3,0)</f>
        <v>6.01769911504425</v>
      </c>
      <c r="J2189" s="95">
        <f t="shared" si="236"/>
        <v>12.1499640902348</v>
      </c>
      <c r="K2189" s="92">
        <f ca="1">H2189*K2166</f>
        <v>17.1174054381502</v>
      </c>
      <c r="L2189" s="92"/>
      <c r="M2189" s="120"/>
      <c r="N2189" s="82"/>
      <c r="O2189" s="44"/>
      <c r="P2189" s="44"/>
      <c r="Q2189" s="44"/>
      <c r="R2189" s="84"/>
      <c r="S2189" s="47"/>
      <c r="T2189" s="47"/>
    </row>
    <row r="2190" s="27" customFormat="1" ht="18" customHeight="1" spans="1:20">
      <c r="A2190" s="34"/>
      <c r="B2190" s="48">
        <v>11</v>
      </c>
      <c r="C2190" s="48"/>
      <c r="D2190" s="88" t="s">
        <v>500</v>
      </c>
      <c r="E2190" s="72" t="str">
        <f>+VLOOKUP(D2190,'材料表 '!C:F,2,0)</f>
        <v>kg</v>
      </c>
      <c r="F2190" s="77">
        <f>F2182+F2183</f>
        <v>5.19764161849711</v>
      </c>
      <c r="G2190" s="89">
        <f>+VLOOKUP(D2190,'材料表 '!C:F,4,0)</f>
        <v>0.03</v>
      </c>
      <c r="H2190" s="74">
        <f t="shared" si="237"/>
        <v>5.35357086705202</v>
      </c>
      <c r="I2190" s="74">
        <f>+VLOOKUP(D2190,'材料表 '!C:F,3,0)</f>
        <v>14.1592920353982</v>
      </c>
      <c r="J2190" s="95">
        <f t="shared" si="236"/>
        <v>75.8027733387895</v>
      </c>
      <c r="K2190" s="92">
        <f ca="1">H2190*K2166</f>
        <v>45.387573810867</v>
      </c>
      <c r="L2190" s="92"/>
      <c r="M2190" s="44"/>
      <c r="N2190" s="82"/>
      <c r="O2190" s="44"/>
      <c r="P2190" s="44"/>
      <c r="Q2190" s="44"/>
      <c r="R2190" s="84"/>
      <c r="S2190" s="47"/>
      <c r="T2190" s="47"/>
    </row>
    <row r="2191" s="27" customFormat="1" ht="18" customHeight="1" spans="1:20">
      <c r="A2191" s="34"/>
      <c r="B2191" s="48">
        <v>12</v>
      </c>
      <c r="C2191" s="48"/>
      <c r="D2191" s="88"/>
      <c r="E2191" s="72"/>
      <c r="F2191" s="77"/>
      <c r="G2191" s="89"/>
      <c r="H2191" s="74"/>
      <c r="I2191" s="74"/>
      <c r="J2191" s="95"/>
      <c r="K2191" s="92"/>
      <c r="L2191" s="92"/>
      <c r="M2191" s="44"/>
      <c r="N2191" s="44"/>
      <c r="O2191" s="44"/>
      <c r="P2191" s="44"/>
      <c r="Q2191" s="44"/>
      <c r="R2191" s="84"/>
      <c r="S2191" s="47"/>
      <c r="T2191" s="47"/>
    </row>
    <row r="2192" s="27" customFormat="1" ht="18" customHeight="1" spans="1:20">
      <c r="A2192" s="34"/>
      <c r="B2192" s="48">
        <v>13</v>
      </c>
      <c r="C2192" s="48"/>
      <c r="D2192" s="88"/>
      <c r="E2192" s="72"/>
      <c r="F2192" s="77"/>
      <c r="G2192" s="89"/>
      <c r="H2192" s="74"/>
      <c r="I2192" s="74"/>
      <c r="J2192" s="95"/>
      <c r="K2192" s="92"/>
      <c r="L2192" s="92"/>
      <c r="M2192" s="44"/>
      <c r="N2192" s="44"/>
      <c r="O2192" s="44"/>
      <c r="P2192" s="44"/>
      <c r="Q2192" s="44"/>
      <c r="R2192" s="84"/>
      <c r="S2192" s="47"/>
      <c r="T2192" s="47"/>
    </row>
    <row r="2193" s="27" customFormat="1" ht="24" customHeight="1" spans="1:20">
      <c r="A2193" s="34"/>
      <c r="B2193" s="48">
        <v>14</v>
      </c>
      <c r="C2193" s="48"/>
      <c r="D2193" s="88"/>
      <c r="E2193" s="72"/>
      <c r="F2193" s="77"/>
      <c r="G2193" s="89"/>
      <c r="H2193" s="74"/>
      <c r="I2193" s="74"/>
      <c r="J2193" s="95"/>
      <c r="K2193" s="92"/>
      <c r="L2193" s="92"/>
      <c r="M2193" s="44"/>
      <c r="N2193" s="44"/>
      <c r="O2193" s="44"/>
      <c r="P2193" s="44"/>
      <c r="Q2193" s="44"/>
      <c r="R2193" s="84"/>
      <c r="S2193" s="47"/>
      <c r="T2193" s="47"/>
    </row>
    <row r="2194" s="27" customFormat="1" ht="18" customHeight="1" spans="1:20">
      <c r="A2194" s="34"/>
      <c r="B2194" s="48">
        <v>15</v>
      </c>
      <c r="C2194" s="48"/>
      <c r="D2194" s="88"/>
      <c r="E2194" s="72"/>
      <c r="F2194" s="77"/>
      <c r="G2194" s="89"/>
      <c r="H2194" s="74"/>
      <c r="I2194" s="74"/>
      <c r="J2194" s="95"/>
      <c r="K2194" s="92"/>
      <c r="L2194" s="92"/>
      <c r="M2194" s="44"/>
      <c r="N2194" s="44"/>
      <c r="O2194" s="44"/>
      <c r="P2194" s="44"/>
      <c r="Q2194" s="44"/>
      <c r="R2194" s="84"/>
      <c r="S2194" s="47"/>
      <c r="T2194" s="47"/>
    </row>
    <row r="2195" s="27" customFormat="1" ht="18" customHeight="1" spans="1:20">
      <c r="A2195" s="34"/>
      <c r="B2195" s="48">
        <v>16</v>
      </c>
      <c r="C2195" s="48"/>
      <c r="D2195" s="88"/>
      <c r="E2195" s="72"/>
      <c r="F2195" s="77"/>
      <c r="G2195" s="89"/>
      <c r="H2195" s="74"/>
      <c r="I2195" s="74"/>
      <c r="J2195" s="95"/>
      <c r="K2195" s="92"/>
      <c r="L2195" s="92"/>
      <c r="M2195" s="44"/>
      <c r="N2195" s="44"/>
      <c r="O2195" s="44"/>
      <c r="P2195" s="44"/>
      <c r="Q2195" s="44"/>
      <c r="R2195" s="84"/>
      <c r="S2195" s="47"/>
      <c r="T2195" s="47"/>
    </row>
    <row r="2196" s="27" customFormat="1" ht="18" customHeight="1" spans="1:20">
      <c r="A2196" s="34"/>
      <c r="B2196" s="48">
        <v>17</v>
      </c>
      <c r="C2196" s="48"/>
      <c r="D2196" s="121"/>
      <c r="E2196" s="72"/>
      <c r="F2196" s="77"/>
      <c r="G2196" s="89"/>
      <c r="H2196" s="74"/>
      <c r="I2196" s="74"/>
      <c r="J2196" s="95"/>
      <c r="K2196" s="92"/>
      <c r="L2196" s="92"/>
      <c r="M2196" s="44"/>
      <c r="N2196" s="44"/>
      <c r="O2196" s="44"/>
      <c r="P2196" s="44"/>
      <c r="Q2196" s="101"/>
      <c r="R2196" s="84"/>
      <c r="S2196" s="47"/>
      <c r="T2196" s="47"/>
    </row>
    <row r="2197" s="27" customFormat="1" ht="18" customHeight="1" spans="1:20">
      <c r="A2197" s="34"/>
      <c r="B2197" s="48">
        <v>18</v>
      </c>
      <c r="C2197" s="48"/>
      <c r="D2197" s="88"/>
      <c r="E2197" s="72"/>
      <c r="F2197" s="77"/>
      <c r="G2197" s="89"/>
      <c r="H2197" s="74"/>
      <c r="I2197" s="74"/>
      <c r="J2197" s="95"/>
      <c r="K2197" s="92"/>
      <c r="L2197" s="92"/>
      <c r="M2197" s="44"/>
      <c r="N2197" s="44"/>
      <c r="O2197" s="44"/>
      <c r="P2197" s="44"/>
      <c r="Q2197" s="44"/>
      <c r="R2197" s="84"/>
      <c r="S2197" s="47"/>
      <c r="T2197" s="47"/>
    </row>
    <row r="2198" s="27" customFormat="1" ht="18" customHeight="1" spans="1:20">
      <c r="A2198" s="34"/>
      <c r="B2198" s="48">
        <v>19</v>
      </c>
      <c r="C2198" s="48"/>
      <c r="D2198" s="27"/>
      <c r="E2198" s="72"/>
      <c r="F2198" s="77"/>
      <c r="G2198" s="89"/>
      <c r="H2198" s="74"/>
      <c r="I2198" s="74"/>
      <c r="J2198" s="95"/>
      <c r="K2198" s="92"/>
      <c r="L2198" s="92"/>
      <c r="M2198" s="44"/>
      <c r="N2198" s="44"/>
      <c r="O2198" s="44"/>
      <c r="P2198" s="44"/>
      <c r="Q2198" s="44"/>
      <c r="R2198" s="84"/>
      <c r="S2198" s="47"/>
      <c r="T2198" s="47"/>
    </row>
    <row r="2199" s="27" customFormat="1" ht="18" customHeight="1" spans="1:20">
      <c r="A2199" s="34"/>
      <c r="B2199" s="48">
        <v>20</v>
      </c>
      <c r="C2199" s="48"/>
      <c r="D2199" s="88"/>
      <c r="E2199" s="72"/>
      <c r="F2199" s="77"/>
      <c r="G2199" s="89"/>
      <c r="H2199" s="74"/>
      <c r="I2199" s="74"/>
      <c r="J2199" s="95"/>
      <c r="K2199" s="92"/>
      <c r="L2199" s="92"/>
      <c r="M2199" s="44"/>
      <c r="N2199" s="44"/>
      <c r="O2199" s="44"/>
      <c r="P2199" s="44"/>
      <c r="Q2199" s="44"/>
      <c r="R2199" s="84"/>
      <c r="S2199" s="47"/>
      <c r="T2199" s="47"/>
    </row>
    <row r="2200" s="27" customFormat="1" ht="18" customHeight="1" spans="1:20">
      <c r="A2200" s="34"/>
      <c r="B2200" s="48">
        <v>21</v>
      </c>
      <c r="C2200" s="48"/>
      <c r="D2200" s="88"/>
      <c r="E2200" s="72"/>
      <c r="F2200" s="77"/>
      <c r="G2200" s="89"/>
      <c r="H2200" s="74"/>
      <c r="I2200" s="74"/>
      <c r="J2200" s="95"/>
      <c r="K2200" s="92"/>
      <c r="L2200" s="92"/>
      <c r="M2200" s="44"/>
      <c r="N2200" s="44"/>
      <c r="O2200" s="44"/>
      <c r="P2200" s="44"/>
      <c r="Q2200" s="44"/>
      <c r="R2200" s="84"/>
      <c r="S2200" s="47"/>
      <c r="T2200" s="47"/>
    </row>
    <row r="2201" s="27" customFormat="1" ht="18" customHeight="1" spans="1:20">
      <c r="A2201" s="34"/>
      <c r="B2201" s="48">
        <v>22</v>
      </c>
      <c r="C2201" s="48"/>
      <c r="D2201" s="27"/>
      <c r="E2201" s="72"/>
      <c r="F2201" s="77"/>
      <c r="G2201" s="72"/>
      <c r="H2201" s="74"/>
      <c r="I2201" s="74"/>
      <c r="J2201" s="95"/>
      <c r="K2201" s="92"/>
      <c r="L2201" s="92"/>
      <c r="M2201" s="44"/>
      <c r="N2201" s="44"/>
      <c r="O2201" s="44"/>
      <c r="P2201" s="44"/>
      <c r="Q2201" s="44"/>
      <c r="R2201" s="62"/>
      <c r="S2201" s="47"/>
      <c r="T2201" s="47"/>
    </row>
    <row r="2202" s="27" customFormat="1" ht="18" customHeight="1" spans="1:20">
      <c r="A2202" s="34"/>
      <c r="B2202" s="48">
        <v>23</v>
      </c>
      <c r="C2202" s="48"/>
      <c r="D2202" s="88"/>
      <c r="E2202" s="72"/>
      <c r="F2202" s="77"/>
      <c r="G2202" s="89"/>
      <c r="H2202" s="74"/>
      <c r="I2202" s="74"/>
      <c r="J2202" s="95"/>
      <c r="K2202" s="92"/>
      <c r="L2202" s="92"/>
      <c r="M2202" s="44"/>
      <c r="N2202" s="44"/>
      <c r="O2202" s="44"/>
      <c r="P2202" s="44"/>
      <c r="Q2202" s="44"/>
      <c r="R2202" s="62"/>
      <c r="S2202" s="47"/>
      <c r="T2202" s="47"/>
    </row>
    <row r="2203" s="27" customFormat="1" ht="18" customHeight="1" spans="1:20">
      <c r="A2203" s="34"/>
      <c r="B2203" s="48">
        <v>24</v>
      </c>
      <c r="C2203" s="48"/>
      <c r="D2203" s="88" t="s">
        <v>478</v>
      </c>
      <c r="E2203" s="72" t="s">
        <v>43</v>
      </c>
      <c r="F2203" s="77"/>
      <c r="G2203" s="72">
        <v>1</v>
      </c>
      <c r="H2203" s="74">
        <v>1</v>
      </c>
      <c r="I2203" s="74">
        <f>+辅材及安装费!$E$6</f>
        <v>10</v>
      </c>
      <c r="J2203" s="95">
        <f>H2203*I2203</f>
        <v>10</v>
      </c>
      <c r="K2203" s="92"/>
      <c r="L2203" s="92"/>
      <c r="M2203" s="44"/>
      <c r="N2203" s="44"/>
      <c r="O2203" s="44"/>
      <c r="P2203" s="44"/>
      <c r="Q2203" s="44"/>
      <c r="R2203" s="62"/>
      <c r="S2203" s="47"/>
      <c r="T2203" s="47"/>
    </row>
    <row r="2204" s="27" customFormat="1" ht="18" customHeight="1" spans="1:20">
      <c r="A2204" s="34"/>
      <c r="B2204" s="48">
        <v>25</v>
      </c>
      <c r="C2204" s="48"/>
      <c r="D2204" s="93" t="s">
        <v>442</v>
      </c>
      <c r="E2204" s="72"/>
      <c r="F2204" s="77"/>
      <c r="G2204" s="72"/>
      <c r="H2204" s="74"/>
      <c r="I2204" s="74"/>
      <c r="J2204" s="95">
        <f>SUM(J2180:J2203)</f>
        <v>705.773100974986</v>
      </c>
      <c r="K2204" s="92"/>
      <c r="L2204" s="94"/>
      <c r="M2204" s="27"/>
      <c r="N2204" s="83"/>
      <c r="O2204" s="83"/>
      <c r="P2204" s="83"/>
      <c r="Q2204" s="83"/>
      <c r="R2204" s="87"/>
      <c r="S2204" s="47"/>
      <c r="T2204" s="47"/>
    </row>
    <row r="2205" s="27" customFormat="1" ht="18" customHeight="1" spans="1:20">
      <c r="A2205" s="34"/>
      <c r="B2205" s="48">
        <v>1</v>
      </c>
      <c r="C2205" s="48" t="s">
        <v>443</v>
      </c>
      <c r="D2205" s="48" t="s">
        <v>444</v>
      </c>
      <c r="E2205" s="72" t="s">
        <v>43</v>
      </c>
      <c r="F2205" s="50"/>
      <c r="G2205" s="48"/>
      <c r="H2205" s="51">
        <v>1</v>
      </c>
      <c r="I2205" s="74">
        <f>+辅材及安装费!$F$6</f>
        <v>5</v>
      </c>
      <c r="J2205" s="95">
        <f>H2205*I2205</f>
        <v>5</v>
      </c>
      <c r="K2205" s="118"/>
      <c r="L2205" s="96"/>
      <c r="M2205" s="97"/>
      <c r="N2205" s="98"/>
      <c r="O2205" s="98"/>
      <c r="P2205" s="98"/>
      <c r="Q2205" s="98"/>
      <c r="R2205" s="99"/>
      <c r="S2205" s="47"/>
      <c r="T2205" s="47"/>
    </row>
    <row r="2206" s="26" customFormat="1" ht="30" customHeight="1" spans="1:20">
      <c r="A2206" s="28"/>
      <c r="B2206" s="29" t="s">
        <v>386</v>
      </c>
      <c r="C2206" s="29"/>
      <c r="D2206" s="29"/>
      <c r="E2206" s="29"/>
      <c r="F2206" s="29"/>
      <c r="G2206" s="29"/>
      <c r="H2206" s="29"/>
      <c r="I2206" s="29"/>
      <c r="J2206" s="29"/>
      <c r="K2206" s="29"/>
      <c r="L2206" s="30"/>
      <c r="M2206" s="31"/>
      <c r="N2206" s="31"/>
      <c r="O2206" s="31"/>
      <c r="P2206" s="31"/>
      <c r="Q2206" s="31"/>
      <c r="R2206" s="32"/>
      <c r="S2206" s="33"/>
      <c r="T2206" s="33"/>
    </row>
    <row r="2207" s="27" customFormat="1" ht="33.75" customHeight="1" spans="1:20">
      <c r="A2207" s="34">
        <v>3</v>
      </c>
      <c r="B2207" s="35" t="s">
        <v>1</v>
      </c>
      <c r="C2207" s="35" t="s">
        <v>387</v>
      </c>
      <c r="D2207" s="36" t="str">
        <f>+A2215</f>
        <v>8+1.52SGP+8㎜超白钢化夹层玻璃栏杆</v>
      </c>
      <c r="E2207" s="37"/>
      <c r="F2207" s="38"/>
      <c r="G2207" s="39"/>
      <c r="H2207" s="35" t="s">
        <v>388</v>
      </c>
      <c r="I2207" s="40" t="s">
        <v>389</v>
      </c>
      <c r="J2207" s="41" t="s">
        <v>37</v>
      </c>
      <c r="K2207" s="42">
        <f ca="1">VLOOKUP(A2207,排屋工程量清单!$A$107:$D$110,4,)</f>
        <v>20.181</v>
      </c>
      <c r="L2207" s="43"/>
      <c r="M2207" s="44"/>
      <c r="N2207" s="44"/>
      <c r="O2207" s="44"/>
      <c r="P2207" s="45"/>
      <c r="Q2207" s="44"/>
      <c r="R2207" s="46"/>
      <c r="S2207" s="47"/>
      <c r="T2207" s="47"/>
    </row>
    <row r="2208" s="27" customFormat="1" ht="25" customHeight="1" spans="1:20">
      <c r="A2208" s="34"/>
      <c r="B2208" s="48">
        <v>1</v>
      </c>
      <c r="C2208" s="49" t="s">
        <v>390</v>
      </c>
      <c r="D2208" s="48" t="s">
        <v>391</v>
      </c>
      <c r="E2208" s="48"/>
      <c r="F2208" s="50"/>
      <c r="G2208" s="48"/>
      <c r="H2208" s="51"/>
      <c r="I2208" s="52">
        <f>J2220</f>
        <v>135</v>
      </c>
      <c r="J2208" s="53" t="s">
        <v>392</v>
      </c>
      <c r="K2208" s="54"/>
      <c r="L2208" s="55" t="s">
        <v>584</v>
      </c>
      <c r="M2208" s="56" t="s">
        <v>585</v>
      </c>
      <c r="N2208" s="57"/>
      <c r="O2208" s="57">
        <v>3.23</v>
      </c>
      <c r="P2208" s="57">
        <v>1.2</v>
      </c>
      <c r="Q2208" s="57">
        <v>1</v>
      </c>
      <c r="R2208" s="58">
        <f>O2208</f>
        <v>3.23</v>
      </c>
      <c r="S2208" s="47"/>
      <c r="T2208" s="47"/>
    </row>
    <row r="2209" s="27" customFormat="1" ht="18" customHeight="1" spans="1:20">
      <c r="A2209" s="34"/>
      <c r="B2209" s="48">
        <v>2</v>
      </c>
      <c r="C2209" s="59"/>
      <c r="D2209" s="48" t="s">
        <v>394</v>
      </c>
      <c r="E2209" s="48"/>
      <c r="F2209" s="50"/>
      <c r="G2209" s="48"/>
      <c r="H2209" s="51"/>
      <c r="I2209" s="52">
        <f>J2245</f>
        <v>542.903988898326</v>
      </c>
      <c r="J2209" s="53" t="s">
        <v>392</v>
      </c>
      <c r="K2209" s="60"/>
      <c r="L2209" s="61" t="s">
        <v>203</v>
      </c>
      <c r="M2209" s="44"/>
      <c r="N2209" s="44"/>
      <c r="O2209" s="44"/>
      <c r="P2209" s="44"/>
      <c r="Q2209" s="44"/>
      <c r="R2209" s="62"/>
      <c r="S2209" s="47"/>
      <c r="T2209" s="47"/>
    </row>
    <row r="2210" s="27" customFormat="1" ht="18" customHeight="1" spans="1:20">
      <c r="A2210" s="34"/>
      <c r="B2210" s="48">
        <v>3</v>
      </c>
      <c r="C2210" s="63"/>
      <c r="D2210" s="48" t="s">
        <v>395</v>
      </c>
      <c r="E2210" s="48"/>
      <c r="F2210" s="50"/>
      <c r="G2210" s="48"/>
      <c r="H2210" s="51"/>
      <c r="I2210" s="52">
        <f>J2246</f>
        <v>5</v>
      </c>
      <c r="J2210" s="53" t="s">
        <v>392</v>
      </c>
      <c r="K2210" s="60"/>
      <c r="L2210" s="60"/>
      <c r="M2210" s="64" t="s">
        <v>396</v>
      </c>
      <c r="N2210" s="65" t="s">
        <v>397</v>
      </c>
      <c r="O2210" s="65" t="s">
        <v>398</v>
      </c>
      <c r="P2210" s="65" t="s">
        <v>399</v>
      </c>
      <c r="Q2210" s="65" t="s">
        <v>400</v>
      </c>
      <c r="R2210" s="66" t="s">
        <v>401</v>
      </c>
      <c r="S2210" s="47"/>
      <c r="T2210" s="47"/>
    </row>
    <row r="2211" s="27" customFormat="1" ht="18" customHeight="1" spans="1:20">
      <c r="A2211" s="34"/>
      <c r="B2211" s="48">
        <v>4</v>
      </c>
      <c r="C2211" s="48" t="s">
        <v>402</v>
      </c>
      <c r="D2211" s="67" t="s">
        <v>403</v>
      </c>
      <c r="E2211" s="67"/>
      <c r="F2211" s="50"/>
      <c r="G2211" s="67"/>
      <c r="H2211" s="68"/>
      <c r="I2211" s="52">
        <f>SUM(I2208:I2210)</f>
        <v>682.903988898326</v>
      </c>
      <c r="J2211" s="53" t="s">
        <v>392</v>
      </c>
      <c r="K2211" s="60"/>
      <c r="L2211" s="69" t="s">
        <v>586</v>
      </c>
      <c r="M2211" s="34" t="s">
        <v>587</v>
      </c>
      <c r="N2211" s="34">
        <f>0.075*30*1*7.95</f>
        <v>17.8875</v>
      </c>
      <c r="O2211" s="34">
        <f>+P2208</f>
        <v>1.2</v>
      </c>
      <c r="P2211" s="34">
        <v>0</v>
      </c>
      <c r="Q2211" s="44">
        <f t="shared" ref="Q2211:Q2217" si="239">+P2211*O2211*N2211</f>
        <v>0</v>
      </c>
      <c r="R2211" s="71">
        <f>+Q2211/R2208</f>
        <v>0</v>
      </c>
      <c r="S2211" s="47"/>
      <c r="T2211" s="47"/>
    </row>
    <row r="2212" s="27" customFormat="1" ht="28" customHeight="1" spans="1:20">
      <c r="A2212" s="34"/>
      <c r="B2212" s="48">
        <v>5</v>
      </c>
      <c r="C2212" s="72" t="s">
        <v>406</v>
      </c>
      <c r="D2212" s="48" t="s">
        <v>407</v>
      </c>
      <c r="E2212" s="48"/>
      <c r="F2212" s="50"/>
      <c r="G2212" s="48"/>
      <c r="H2212" s="73">
        <f>+'材料表 '!$E$178</f>
        <v>0</v>
      </c>
      <c r="I2212" s="52">
        <f>H2212*I2211</f>
        <v>0</v>
      </c>
      <c r="J2212" s="53" t="s">
        <v>392</v>
      </c>
      <c r="K2212" s="60"/>
      <c r="L2212" s="69" t="s">
        <v>465</v>
      </c>
      <c r="M2212" s="34" t="s">
        <v>588</v>
      </c>
      <c r="N2212" s="34">
        <f>0.5*4*7.85</f>
        <v>15.7</v>
      </c>
      <c r="O2212" s="34">
        <f>+O2208</f>
        <v>3.23</v>
      </c>
      <c r="P2212" s="34">
        <v>1</v>
      </c>
      <c r="Q2212" s="44">
        <f t="shared" si="239"/>
        <v>50.711</v>
      </c>
      <c r="R2212" s="71">
        <f>+Q2212/R2208</f>
        <v>15.7</v>
      </c>
      <c r="S2212" s="47"/>
      <c r="T2212" s="47"/>
    </row>
    <row r="2213" s="27" customFormat="1" ht="18" customHeight="1" spans="1:20">
      <c r="A2213" s="34"/>
      <c r="B2213" s="48">
        <v>6</v>
      </c>
      <c r="C2213" s="48" t="s">
        <v>409</v>
      </c>
      <c r="D2213" s="48" t="s">
        <v>410</v>
      </c>
      <c r="E2213" s="48"/>
      <c r="F2213" s="50"/>
      <c r="G2213" s="48"/>
      <c r="H2213" s="73">
        <f>+'材料表 '!$E$179</f>
        <v>0</v>
      </c>
      <c r="I2213" s="52">
        <f>H2213*I2211</f>
        <v>0</v>
      </c>
      <c r="J2213" s="53" t="s">
        <v>392</v>
      </c>
      <c r="K2213" s="60"/>
      <c r="L2213" s="69" t="s">
        <v>461</v>
      </c>
      <c r="M2213" s="34" t="s">
        <v>462</v>
      </c>
      <c r="N2213" s="34">
        <v>3.77</v>
      </c>
      <c r="O2213" s="34">
        <v>0.165</v>
      </c>
      <c r="P2213" s="34">
        <v>0</v>
      </c>
      <c r="Q2213" s="44">
        <f t="shared" si="239"/>
        <v>0</v>
      </c>
      <c r="R2213" s="71">
        <f>+Q2213/R2208</f>
        <v>0</v>
      </c>
      <c r="S2213" s="47"/>
      <c r="T2213" s="47"/>
    </row>
    <row r="2214" s="27" customFormat="1" ht="18" customHeight="1" spans="1:20">
      <c r="A2214" s="34"/>
      <c r="B2214" s="48">
        <v>7</v>
      </c>
      <c r="C2214" s="48" t="s">
        <v>412</v>
      </c>
      <c r="D2214" s="72" t="s">
        <v>413</v>
      </c>
      <c r="E2214" s="72"/>
      <c r="F2214" s="77"/>
      <c r="G2214" s="72"/>
      <c r="H2214" s="73">
        <f>+'材料表 '!$E$180</f>
        <v>0.09</v>
      </c>
      <c r="I2214" s="52">
        <f>(I2211+I2212+I2213)*H2214</f>
        <v>61.4613590008494</v>
      </c>
      <c r="J2214" s="53" t="s">
        <v>392</v>
      </c>
      <c r="K2214" s="60"/>
      <c r="L2214" s="69" t="s">
        <v>463</v>
      </c>
      <c r="M2214" s="34" t="s">
        <v>597</v>
      </c>
      <c r="N2214" s="34">
        <f>0.25*0.2*7.85*10</f>
        <v>3.925</v>
      </c>
      <c r="O2214" s="34">
        <v>1</v>
      </c>
      <c r="P2214" s="34">
        <v>4</v>
      </c>
      <c r="Q2214" s="44">
        <f t="shared" si="239"/>
        <v>15.7</v>
      </c>
      <c r="R2214" s="71">
        <f>+Q2214/R2208</f>
        <v>4.86068111455108</v>
      </c>
      <c r="S2214" s="47"/>
      <c r="T2214" s="47"/>
    </row>
    <row r="2215" s="27" customFormat="1" ht="18" customHeight="1" spans="1:20">
      <c r="A2215" s="34" t="s">
        <v>598</v>
      </c>
      <c r="B2215" s="48">
        <v>8</v>
      </c>
      <c r="C2215" s="48" t="s">
        <v>363</v>
      </c>
      <c r="D2215" s="106" t="s">
        <v>415</v>
      </c>
      <c r="E2215" s="107"/>
      <c r="F2215" s="108"/>
      <c r="G2215" s="107"/>
      <c r="H2215" s="51"/>
      <c r="I2215" s="74">
        <f>SUM(I2211:I2214)</f>
        <v>744.365347899176</v>
      </c>
      <c r="J2215" s="53" t="s">
        <v>484</v>
      </c>
      <c r="K2215" s="60"/>
      <c r="L2215" s="69" t="s">
        <v>465</v>
      </c>
      <c r="M2215" s="34" t="s">
        <v>466</v>
      </c>
      <c r="N2215" s="100">
        <f>1.2789*7.85</f>
        <v>10.039365</v>
      </c>
      <c r="O2215" s="34">
        <v>0.105</v>
      </c>
      <c r="P2215" s="44"/>
      <c r="Q2215" s="44">
        <f t="shared" si="239"/>
        <v>0</v>
      </c>
      <c r="R2215" s="84">
        <f>+Q2215/R2208</f>
        <v>0</v>
      </c>
      <c r="S2215" s="79"/>
      <c r="T2215" s="47"/>
    </row>
    <row r="2216" s="27" customFormat="1" ht="18" customHeight="1" spans="1:20">
      <c r="A2216" s="34"/>
      <c r="B2216" s="109" t="s">
        <v>418</v>
      </c>
      <c r="C2216" s="110"/>
      <c r="D2216" s="110"/>
      <c r="E2216" s="110"/>
      <c r="F2216" s="110"/>
      <c r="G2216" s="110"/>
      <c r="H2216" s="110"/>
      <c r="I2216" s="110"/>
      <c r="J2216" s="110"/>
      <c r="K2216" s="80"/>
      <c r="L2216" s="69" t="s">
        <v>430</v>
      </c>
      <c r="M2216" s="44" t="s">
        <v>591</v>
      </c>
      <c r="N2216" s="82">
        <v>4.185</v>
      </c>
      <c r="O2216" s="44">
        <f>+O2208</f>
        <v>3.23</v>
      </c>
      <c r="P2216" s="44">
        <v>0</v>
      </c>
      <c r="Q2216" s="44">
        <f t="shared" si="239"/>
        <v>0</v>
      </c>
      <c r="R2216" s="84">
        <f>+Q2216/R2208</f>
        <v>0</v>
      </c>
      <c r="S2216" s="47">
        <f>0.356</f>
        <v>0.356</v>
      </c>
      <c r="T2216" s="47">
        <f>S2216*P2216*O2216</f>
        <v>0</v>
      </c>
    </row>
    <row r="2217" s="27" customFormat="1" ht="18" customHeight="1" spans="1:20">
      <c r="A2217" s="34"/>
      <c r="B2217" s="48">
        <v>1</v>
      </c>
      <c r="C2217" s="48" t="s">
        <v>391</v>
      </c>
      <c r="D2217" s="48" t="s">
        <v>396</v>
      </c>
      <c r="E2217" s="48" t="s">
        <v>37</v>
      </c>
      <c r="F2217" s="50"/>
      <c r="G2217" s="48"/>
      <c r="H2217" s="51" t="s">
        <v>399</v>
      </c>
      <c r="I2217" s="51" t="s">
        <v>420</v>
      </c>
      <c r="J2217" s="95" t="s">
        <v>421</v>
      </c>
      <c r="K2217" s="92"/>
      <c r="L2217" s="69" t="s">
        <v>447</v>
      </c>
      <c r="M2217" s="44" t="s">
        <v>592</v>
      </c>
      <c r="N2217" s="82">
        <v>0.319</v>
      </c>
      <c r="O2217" s="44">
        <f>+O2216</f>
        <v>3.23</v>
      </c>
      <c r="P2217" s="44">
        <v>0</v>
      </c>
      <c r="Q2217" s="44">
        <f t="shared" si="239"/>
        <v>0</v>
      </c>
      <c r="R2217" s="84">
        <f>+Q2217/R2208</f>
        <v>0</v>
      </c>
      <c r="S2217" s="47"/>
      <c r="T2217" s="47"/>
    </row>
    <row r="2218" s="27" customFormat="1" ht="18" customHeight="1" spans="1:20">
      <c r="A2218" s="34"/>
      <c r="B2218" s="48">
        <v>2</v>
      </c>
      <c r="C2218" s="48"/>
      <c r="D2218" s="111" t="s">
        <v>593</v>
      </c>
      <c r="E2218" s="49" t="s">
        <v>109</v>
      </c>
      <c r="F2218" s="112"/>
      <c r="G2218" s="111"/>
      <c r="H2218" s="113">
        <v>1</v>
      </c>
      <c r="I2218" s="113">
        <f>+辅材及安装费!$G$6</f>
        <v>135</v>
      </c>
      <c r="J2218" s="114">
        <f t="shared" ref="J2218:J2230" si="240">H2218*I2218</f>
        <v>135</v>
      </c>
      <c r="K2218" s="92"/>
      <c r="L2218" s="69" t="s">
        <v>447</v>
      </c>
      <c r="M2218" s="44"/>
      <c r="N2218" s="82"/>
      <c r="O2218" s="44"/>
      <c r="P2218" s="44"/>
      <c r="Q2218" s="44"/>
      <c r="R2218" s="84"/>
      <c r="S2218" s="47"/>
      <c r="T2218" s="47"/>
    </row>
    <row r="2219" s="27" customFormat="1" ht="18" customHeight="1" spans="1:20">
      <c r="A2219" s="34"/>
      <c r="B2219" s="48">
        <v>3</v>
      </c>
      <c r="C2219" s="48"/>
      <c r="D2219" s="115"/>
      <c r="E2219" s="63"/>
      <c r="F2219" s="116"/>
      <c r="G2219" s="115"/>
      <c r="H2219" s="117"/>
      <c r="I2219" s="117"/>
      <c r="J2219" s="118"/>
      <c r="K2219" s="92"/>
      <c r="L2219" s="69" t="s">
        <v>447</v>
      </c>
      <c r="M2219" s="44" t="s">
        <v>594</v>
      </c>
      <c r="N2219" s="82">
        <f>0.535+0.316</f>
        <v>0.851</v>
      </c>
      <c r="O2219" s="44">
        <f>O2211</f>
        <v>1.2</v>
      </c>
      <c r="P2219" s="44">
        <f>P2211</f>
        <v>0</v>
      </c>
      <c r="Q2219" s="44">
        <f>+P2219</f>
        <v>0</v>
      </c>
      <c r="R2219" s="84">
        <f>+Q2219/R2208</f>
        <v>0</v>
      </c>
      <c r="S2219" s="47">
        <f>0.245</f>
        <v>0.245</v>
      </c>
      <c r="T2219" s="47">
        <f>S2219*P2219*O2219</f>
        <v>0</v>
      </c>
    </row>
    <row r="2220" s="27" customFormat="1" ht="18" customHeight="1" spans="1:20">
      <c r="A2220" s="34"/>
      <c r="B2220" s="48">
        <v>4</v>
      </c>
      <c r="C2220" s="48"/>
      <c r="D2220" s="85" t="s">
        <v>426</v>
      </c>
      <c r="E2220" s="48" t="s">
        <v>392</v>
      </c>
      <c r="F2220" s="50"/>
      <c r="G2220" s="48"/>
      <c r="H2220" s="86"/>
      <c r="I2220" s="86"/>
      <c r="J2220" s="95">
        <f>SUM(J2218:J2218)</f>
        <v>135</v>
      </c>
      <c r="K2220" s="92"/>
      <c r="L2220" s="90"/>
      <c r="M2220" s="44"/>
      <c r="N2220" s="82"/>
      <c r="O2220" s="44"/>
      <c r="P2220" s="44"/>
      <c r="Q2220" s="44">
        <v>0</v>
      </c>
      <c r="R2220" s="84">
        <f>+Q2220/R2208</f>
        <v>0</v>
      </c>
      <c r="S2220" s="47"/>
      <c r="T2220" s="47"/>
    </row>
    <row r="2221" s="27" customFormat="1" ht="20" customHeight="1" spans="1:20">
      <c r="A2221" s="34"/>
      <c r="B2221" s="48">
        <v>1</v>
      </c>
      <c r="C2221" s="48" t="s">
        <v>394</v>
      </c>
      <c r="D2221" s="88" t="s">
        <v>463</v>
      </c>
      <c r="E2221" s="72" t="str">
        <f>+VLOOKUP(D2221,'材料表 '!C:F,2,0)</f>
        <v>kg</v>
      </c>
      <c r="F2221" s="77">
        <f>+SUMIF($L$2208:$L$2246,D2221,$R$2208:$R$2246)</f>
        <v>4.86068111455108</v>
      </c>
      <c r="G2221" s="89">
        <f>+VLOOKUP(D2221,'材料表 '!C:F,4,0)</f>
        <v>0.03</v>
      </c>
      <c r="H2221" s="74">
        <f t="shared" ref="H2221:H2230" si="241">F2221*(G2221+1)</f>
        <v>5.00650154798761</v>
      </c>
      <c r="I2221" s="74">
        <f>+VLOOKUP(D2221,'材料表 '!C:F,3,0)</f>
        <v>6.01769911504425</v>
      </c>
      <c r="J2221" s="95">
        <f t="shared" si="240"/>
        <v>30.1276199347927</v>
      </c>
      <c r="K2221" s="92">
        <f ca="1">H2221*K2207</f>
        <v>101.036207739938</v>
      </c>
      <c r="L2221" s="90"/>
      <c r="M2221" s="44"/>
      <c r="N2221" s="82"/>
      <c r="O2221" s="44"/>
      <c r="P2221" s="44"/>
      <c r="Q2221" s="44">
        <v>0</v>
      </c>
      <c r="R2221" s="84">
        <f>+Q2221/R2208</f>
        <v>0</v>
      </c>
      <c r="S2221" s="47"/>
      <c r="T2221" s="47"/>
    </row>
    <row r="2222" s="27" customFormat="1" ht="18" customHeight="1" spans="1:20">
      <c r="A2222" s="34"/>
      <c r="B2222" s="48">
        <v>2</v>
      </c>
      <c r="C2222" s="48"/>
      <c r="D2222" s="88" t="s">
        <v>465</v>
      </c>
      <c r="E2222" s="72" t="str">
        <f>+VLOOKUP(D2222,'材料表 '!C:F,2,0)</f>
        <v>kg</v>
      </c>
      <c r="F2222" s="77">
        <f t="shared" ref="F2221:F2228" si="242">+SUMIF($L$2208:$L$2246,D2222,$R$2208:$R$2246)</f>
        <v>15.7</v>
      </c>
      <c r="G2222" s="89">
        <f>+VLOOKUP(D2222,'材料表 '!C:F,4,0)</f>
        <v>0.03</v>
      </c>
      <c r="H2222" s="74">
        <f t="shared" si="241"/>
        <v>16.171</v>
      </c>
      <c r="I2222" s="74">
        <f>+VLOOKUP(D2222,'材料表 '!C:F,3,0)</f>
        <v>6.01769911504425</v>
      </c>
      <c r="J2222" s="95">
        <f t="shared" si="240"/>
        <v>97.3122123893806</v>
      </c>
      <c r="K2222" s="92">
        <f ca="1">H2222*K2207</f>
        <v>326.346951</v>
      </c>
      <c r="L2222" s="90" t="s">
        <v>599</v>
      </c>
      <c r="M2222" s="44"/>
      <c r="N2222" s="82"/>
      <c r="O2222" s="44">
        <f>+O2208</f>
        <v>3.23</v>
      </c>
      <c r="P2222" s="44">
        <v>0.923</v>
      </c>
      <c r="Q2222" s="44">
        <f>+P2222*O2222</f>
        <v>2.98129</v>
      </c>
      <c r="R2222" s="84">
        <f>+Q2222/R2208</f>
        <v>0.923</v>
      </c>
      <c r="S2222" s="47"/>
      <c r="T2222" s="47"/>
    </row>
    <row r="2223" s="27" customFormat="1" ht="18" customHeight="1" spans="1:20">
      <c r="A2223" s="34"/>
      <c r="B2223" s="48">
        <v>3</v>
      </c>
      <c r="C2223" s="48"/>
      <c r="D2223" s="88" t="s">
        <v>430</v>
      </c>
      <c r="E2223" s="72" t="str">
        <f>+VLOOKUP(D2223,'材料表 '!C:F,2,0)</f>
        <v>kg</v>
      </c>
      <c r="F2223" s="77">
        <f t="shared" si="242"/>
        <v>0</v>
      </c>
      <c r="G2223" s="89">
        <f>+VLOOKUP(D2223,'材料表 '!C:F,4,0)</f>
        <v>0.03</v>
      </c>
      <c r="H2223" s="74">
        <f t="shared" si="241"/>
        <v>0</v>
      </c>
      <c r="I2223" s="74">
        <f>+VLOOKUP(D2223,'材料表 '!C:F,3,0)</f>
        <v>24.6106194690265</v>
      </c>
      <c r="J2223" s="95">
        <f t="shared" si="240"/>
        <v>0</v>
      </c>
      <c r="K2223" s="92">
        <f ca="1">H2223*K2207</f>
        <v>0</v>
      </c>
      <c r="L2223" s="90"/>
      <c r="M2223" s="44"/>
      <c r="N2223" s="82"/>
      <c r="O2223" s="44"/>
      <c r="P2223" s="44"/>
      <c r="Q2223" s="44">
        <f>+P2223*O2223</f>
        <v>0</v>
      </c>
      <c r="R2223" s="84">
        <f>+Q2223/R2208</f>
        <v>0</v>
      </c>
      <c r="S2223" s="47"/>
      <c r="T2223" s="47"/>
    </row>
    <row r="2224" s="27" customFormat="1" ht="18" customHeight="1" spans="1:20">
      <c r="A2224" s="34"/>
      <c r="B2224" s="48">
        <v>4</v>
      </c>
      <c r="C2224" s="48"/>
      <c r="D2224" s="88" t="s">
        <v>447</v>
      </c>
      <c r="E2224" s="72" t="str">
        <f>+VLOOKUP(D2224,'材料表 '!C:F,2,0)</f>
        <v>kg</v>
      </c>
      <c r="F2224" s="77">
        <f t="shared" si="242"/>
        <v>0</v>
      </c>
      <c r="G2224" s="89">
        <f>+VLOOKUP(D2224,'材料表 '!C:F,4,0)</f>
        <v>0.03</v>
      </c>
      <c r="H2224" s="74">
        <f t="shared" si="241"/>
        <v>0</v>
      </c>
      <c r="I2224" s="74">
        <f>+VLOOKUP(D2224,'材料表 '!C:F,3,0)</f>
        <v>24.4336283185841</v>
      </c>
      <c r="J2224" s="95">
        <f t="shared" si="240"/>
        <v>0</v>
      </c>
      <c r="K2224" s="92">
        <f ca="1">H2224*K2207</f>
        <v>0</v>
      </c>
      <c r="L2224" s="90" t="s">
        <v>474</v>
      </c>
      <c r="M2224" s="44"/>
      <c r="N2224" s="82"/>
      <c r="O2224" s="44"/>
      <c r="P2224" s="44"/>
      <c r="Q2224" s="44">
        <f>+O2214*P2214*4</f>
        <v>16</v>
      </c>
      <c r="R2224" s="84">
        <f>+Q2224/R2208</f>
        <v>4.95356037151703</v>
      </c>
      <c r="S2224" s="47"/>
      <c r="T2224" s="47"/>
    </row>
    <row r="2225" s="27" customFormat="1" ht="18" customHeight="1" spans="1:20">
      <c r="A2225" s="34"/>
      <c r="B2225" s="48">
        <v>5</v>
      </c>
      <c r="C2225" s="48"/>
      <c r="D2225" s="88" t="s">
        <v>434</v>
      </c>
      <c r="E2225" s="72" t="str">
        <f>+VLOOKUP(D2225,'材料表 '!C:F,2,0)</f>
        <v>m2</v>
      </c>
      <c r="F2225" s="77">
        <f t="shared" si="242"/>
        <v>0</v>
      </c>
      <c r="G2225" s="89">
        <f>+VLOOKUP(D2225,'材料表 '!C:F,4,0)</f>
        <v>0</v>
      </c>
      <c r="H2225" s="74">
        <f t="shared" si="241"/>
        <v>0</v>
      </c>
      <c r="I2225" s="74">
        <f>+VLOOKUP(D2225,'材料表 '!C:F,3,0)</f>
        <v>49.5575221238938</v>
      </c>
      <c r="J2225" s="95">
        <f t="shared" si="240"/>
        <v>0</v>
      </c>
      <c r="K2225" s="92">
        <f ca="1">H2225*K2207</f>
        <v>0</v>
      </c>
      <c r="L2225" s="92" t="s">
        <v>476</v>
      </c>
      <c r="M2225" s="44"/>
      <c r="N2225" s="82"/>
      <c r="O2225" s="44"/>
      <c r="P2225" s="44">
        <f>8*6*(N2208*2+O2208*6*2)/500+18*22*(O2211*P2211)/500</f>
        <v>3.72096</v>
      </c>
      <c r="Q2225" s="44">
        <f>+P2225/Q2208</f>
        <v>3.72096</v>
      </c>
      <c r="R2225" s="84">
        <f>+Q2225/R2208</f>
        <v>1.152</v>
      </c>
      <c r="S2225" s="47"/>
      <c r="T2225" s="47"/>
    </row>
    <row r="2226" s="27" customFormat="1" ht="18" customHeight="1" spans="1:20">
      <c r="A2226" s="34"/>
      <c r="B2226" s="48">
        <v>6</v>
      </c>
      <c r="C2226" s="48"/>
      <c r="D2226" s="88" t="s">
        <v>476</v>
      </c>
      <c r="E2226" s="72" t="str">
        <f>+VLOOKUP(D2226,'材料表 '!C:F,2,0)</f>
        <v>支</v>
      </c>
      <c r="F2226" s="77">
        <f t="shared" si="242"/>
        <v>1.152</v>
      </c>
      <c r="G2226" s="89">
        <f>+VLOOKUP(D2226,'材料表 '!C:F,4,0)</f>
        <v>0.15</v>
      </c>
      <c r="H2226" s="74">
        <f t="shared" si="241"/>
        <v>1.3248</v>
      </c>
      <c r="I2226" s="74">
        <f>+VLOOKUP(D2226,'材料表 '!C:F,3,0)</f>
        <v>11.5044247787611</v>
      </c>
      <c r="J2226" s="95">
        <f t="shared" si="240"/>
        <v>15.2410619469027</v>
      </c>
      <c r="K2226" s="92">
        <f ca="1">H2226*K2207</f>
        <v>26.7357888</v>
      </c>
      <c r="L2226" s="92"/>
      <c r="M2226" s="44"/>
      <c r="N2226" s="82"/>
      <c r="O2226" s="44"/>
      <c r="P2226" s="44"/>
      <c r="Q2226" s="44"/>
      <c r="R2226" s="84"/>
      <c r="S2226" s="47"/>
      <c r="T2226" s="47"/>
    </row>
    <row r="2227" s="27" customFormat="1" ht="18" customHeight="1" spans="1:20">
      <c r="A2227" s="34"/>
      <c r="B2227" s="48">
        <v>7</v>
      </c>
      <c r="C2227" s="48"/>
      <c r="D2227" s="88" t="s">
        <v>599</v>
      </c>
      <c r="E2227" s="72" t="str">
        <f>+VLOOKUP(D2227,'材料表 '!C:F,2,0)</f>
        <v>m2</v>
      </c>
      <c r="F2227" s="77">
        <f t="shared" si="242"/>
        <v>0.923</v>
      </c>
      <c r="G2227" s="89">
        <f>+VLOOKUP(D2227,'材料表 '!C:F,4,0)</f>
        <v>0.01</v>
      </c>
      <c r="H2227" s="74">
        <f t="shared" si="241"/>
        <v>0.93223</v>
      </c>
      <c r="I2227" s="74">
        <f>+VLOOKUP(D2227,'材料表 '!C:F,3,0)</f>
        <v>353.982300884956</v>
      </c>
      <c r="J2227" s="95">
        <f t="shared" si="240"/>
        <v>329.992920353983</v>
      </c>
      <c r="K2227" s="92">
        <f ca="1">H2227*K2207</f>
        <v>18.81333363</v>
      </c>
      <c r="L2227" s="92"/>
      <c r="M2227" s="44"/>
      <c r="N2227" s="82"/>
      <c r="O2227" s="44"/>
      <c r="P2227" s="44"/>
      <c r="Q2227" s="44"/>
      <c r="R2227" s="84"/>
      <c r="S2227" s="47"/>
      <c r="T2227" s="47"/>
    </row>
    <row r="2228" s="27" customFormat="1" ht="18" customHeight="1" spans="1:20">
      <c r="A2228" s="34"/>
      <c r="B2228" s="48">
        <v>8</v>
      </c>
      <c r="C2228" s="48"/>
      <c r="D2228" s="88" t="s">
        <v>474</v>
      </c>
      <c r="E2228" s="72" t="str">
        <f>+VLOOKUP(D2228,'材料表 '!C:F,2,0)</f>
        <v>套</v>
      </c>
      <c r="F2228" s="77">
        <f t="shared" si="242"/>
        <v>4.95356037151703</v>
      </c>
      <c r="G2228" s="89">
        <f>+VLOOKUP(D2228,'材料表 '!C:F,4,0)</f>
        <v>0</v>
      </c>
      <c r="H2228" s="74">
        <f t="shared" si="241"/>
        <v>4.95356037151703</v>
      </c>
      <c r="I2228" s="74">
        <f>+VLOOKUP(D2228,'材料表 '!C:F,3,0)</f>
        <v>2.21238938053097</v>
      </c>
      <c r="J2228" s="95">
        <f t="shared" si="240"/>
        <v>10.9592043617633</v>
      </c>
      <c r="K2228" s="92">
        <f ca="1">H2228*K2207</f>
        <v>99.9678018575852</v>
      </c>
      <c r="L2228" s="92"/>
      <c r="M2228" s="44"/>
      <c r="N2228" s="82"/>
      <c r="O2228" s="44"/>
      <c r="P2228" s="44"/>
      <c r="Q2228" s="44"/>
      <c r="R2228" s="84"/>
      <c r="S2228" s="47"/>
      <c r="T2228" s="47"/>
    </row>
    <row r="2229" s="27" customFormat="1" ht="18" customHeight="1" spans="1:20">
      <c r="A2229" s="34"/>
      <c r="B2229" s="48">
        <v>9</v>
      </c>
      <c r="C2229" s="48"/>
      <c r="D2229" s="88" t="s">
        <v>435</v>
      </c>
      <c r="E2229" s="72" t="str">
        <f>+VLOOKUP(D2229,'材料表 '!C:F,2,0)</f>
        <v>kg</v>
      </c>
      <c r="F2229" s="77">
        <f>0.078*1.35*(O2208*2)/R2208</f>
        <v>0.2106</v>
      </c>
      <c r="G2229" s="89">
        <f>+VLOOKUP(D2229,'材料表 '!C:F,4,0)</f>
        <v>0.03</v>
      </c>
      <c r="H2229" s="74">
        <f t="shared" si="241"/>
        <v>0.216918</v>
      </c>
      <c r="I2229" s="74">
        <f>+VLOOKUP(D2229,'材料表 '!C:F,3,0)</f>
        <v>19.4690265486726</v>
      </c>
      <c r="J2229" s="95">
        <f t="shared" si="240"/>
        <v>4.22318230088496</v>
      </c>
      <c r="K2229" s="92">
        <f ca="1">H2229*K2207</f>
        <v>4.377622158</v>
      </c>
      <c r="L2229" s="90"/>
      <c r="M2229" s="44"/>
      <c r="N2229" s="82"/>
      <c r="O2229" s="34"/>
      <c r="P2229" s="44"/>
      <c r="Q2229" s="44"/>
      <c r="R2229" s="119"/>
      <c r="S2229" s="47"/>
      <c r="T2229" s="47"/>
    </row>
    <row r="2230" s="27" customFormat="1" ht="18" customHeight="1" spans="1:20">
      <c r="A2230" s="34"/>
      <c r="B2230" s="48">
        <v>10</v>
      </c>
      <c r="C2230" s="48"/>
      <c r="D2230" s="88" t="s">
        <v>600</v>
      </c>
      <c r="E2230" s="72" t="str">
        <f>+VLOOKUP(D2230,'材料表 '!C:F,2,0)</f>
        <v>m2</v>
      </c>
      <c r="F2230" s="77">
        <f>0.07*(O2208*2)/R2208</f>
        <v>0.14</v>
      </c>
      <c r="G2230" s="89">
        <f>+VLOOKUP(D2230,'材料表 '!C:F,4,0)</f>
        <v>0.01</v>
      </c>
      <c r="H2230" s="74">
        <f t="shared" si="241"/>
        <v>0.1414</v>
      </c>
      <c r="I2230" s="74">
        <f>+VLOOKUP(D2230,'材料表 '!C:F,3,0)</f>
        <v>318.58407079646</v>
      </c>
      <c r="J2230" s="95">
        <f t="shared" si="240"/>
        <v>45.0477876106195</v>
      </c>
      <c r="K2230" s="92">
        <f ca="1">H2230*K2207</f>
        <v>2.8535934</v>
      </c>
      <c r="L2230" s="92"/>
      <c r="M2230" s="120"/>
      <c r="N2230" s="82"/>
      <c r="O2230" s="44"/>
      <c r="P2230" s="44"/>
      <c r="Q2230" s="44"/>
      <c r="R2230" s="84"/>
      <c r="S2230" s="47"/>
      <c r="T2230" s="47"/>
    </row>
    <row r="2231" s="27" customFormat="1" ht="18" customHeight="1" spans="1:20">
      <c r="A2231" s="34"/>
      <c r="B2231" s="48">
        <v>11</v>
      </c>
      <c r="C2231" s="48"/>
      <c r="D2231" s="88"/>
      <c r="E2231" s="72"/>
      <c r="F2231" s="77"/>
      <c r="G2231" s="89"/>
      <c r="H2231" s="74"/>
      <c r="I2231" s="74"/>
      <c r="J2231" s="95"/>
      <c r="K2231" s="92">
        <f ca="1">H2231*K2207</f>
        <v>0</v>
      </c>
      <c r="L2231" s="92"/>
      <c r="M2231" s="44"/>
      <c r="N2231" s="82"/>
      <c r="O2231" s="44"/>
      <c r="P2231" s="44"/>
      <c r="Q2231" s="44"/>
      <c r="R2231" s="84"/>
      <c r="S2231" s="47"/>
      <c r="T2231" s="47"/>
    </row>
    <row r="2232" s="27" customFormat="1" ht="18" customHeight="1" spans="1:20">
      <c r="A2232" s="34"/>
      <c r="B2232" s="48">
        <v>12</v>
      </c>
      <c r="C2232" s="48"/>
      <c r="D2232" s="88"/>
      <c r="E2232" s="72"/>
      <c r="F2232" s="77"/>
      <c r="G2232" s="89"/>
      <c r="H2232" s="74"/>
      <c r="I2232" s="74"/>
      <c r="J2232" s="95"/>
      <c r="K2232" s="92"/>
      <c r="L2232" s="92"/>
      <c r="M2232" s="44"/>
      <c r="N2232" s="44"/>
      <c r="O2232" s="44"/>
      <c r="P2232" s="44"/>
      <c r="Q2232" s="44"/>
      <c r="R2232" s="84"/>
      <c r="S2232" s="47"/>
      <c r="T2232" s="47"/>
    </row>
    <row r="2233" s="27" customFormat="1" ht="18" customHeight="1" spans="1:20">
      <c r="A2233" s="34"/>
      <c r="B2233" s="48">
        <v>13</v>
      </c>
      <c r="C2233" s="48"/>
      <c r="D2233" s="88"/>
      <c r="E2233" s="72"/>
      <c r="F2233" s="77"/>
      <c r="G2233" s="89"/>
      <c r="H2233" s="74"/>
      <c r="I2233" s="74"/>
      <c r="J2233" s="95"/>
      <c r="K2233" s="92"/>
      <c r="L2233" s="92"/>
      <c r="M2233" s="44"/>
      <c r="N2233" s="44"/>
      <c r="O2233" s="44"/>
      <c r="P2233" s="44"/>
      <c r="Q2233" s="44"/>
      <c r="R2233" s="84"/>
      <c r="S2233" s="47"/>
      <c r="T2233" s="47"/>
    </row>
    <row r="2234" s="27" customFormat="1" ht="24" customHeight="1" spans="1:20">
      <c r="A2234" s="34"/>
      <c r="B2234" s="48">
        <v>14</v>
      </c>
      <c r="C2234" s="48"/>
      <c r="D2234" s="88"/>
      <c r="E2234" s="72"/>
      <c r="F2234" s="77"/>
      <c r="G2234" s="89"/>
      <c r="H2234" s="74"/>
      <c r="I2234" s="74"/>
      <c r="J2234" s="95"/>
      <c r="K2234" s="92"/>
      <c r="L2234" s="92"/>
      <c r="M2234" s="44"/>
      <c r="N2234" s="44"/>
      <c r="O2234" s="44"/>
      <c r="P2234" s="44"/>
      <c r="Q2234" s="44"/>
      <c r="R2234" s="84"/>
      <c r="S2234" s="47"/>
      <c r="T2234" s="47"/>
    </row>
    <row r="2235" s="27" customFormat="1" ht="18" customHeight="1" spans="1:20">
      <c r="A2235" s="34"/>
      <c r="B2235" s="48">
        <v>15</v>
      </c>
      <c r="C2235" s="48"/>
      <c r="D2235" s="88"/>
      <c r="E2235" s="72"/>
      <c r="F2235" s="77"/>
      <c r="G2235" s="89"/>
      <c r="H2235" s="74"/>
      <c r="I2235" s="74"/>
      <c r="J2235" s="95"/>
      <c r="K2235" s="92"/>
      <c r="L2235" s="92"/>
      <c r="M2235" s="44"/>
      <c r="N2235" s="44"/>
      <c r="O2235" s="44"/>
      <c r="P2235" s="44"/>
      <c r="Q2235" s="44"/>
      <c r="R2235" s="84"/>
      <c r="S2235" s="47"/>
      <c r="T2235" s="47"/>
    </row>
    <row r="2236" s="27" customFormat="1" ht="18" customHeight="1" spans="1:20">
      <c r="A2236" s="34"/>
      <c r="B2236" s="48">
        <v>16</v>
      </c>
      <c r="C2236" s="48"/>
      <c r="D2236" s="88"/>
      <c r="E2236" s="72"/>
      <c r="F2236" s="77"/>
      <c r="G2236" s="89"/>
      <c r="H2236" s="74"/>
      <c r="I2236" s="74"/>
      <c r="J2236" s="95"/>
      <c r="K2236" s="92"/>
      <c r="L2236" s="92"/>
      <c r="M2236" s="44"/>
      <c r="N2236" s="44"/>
      <c r="O2236" s="44"/>
      <c r="P2236" s="44"/>
      <c r="Q2236" s="44"/>
      <c r="R2236" s="84"/>
      <c r="S2236" s="47"/>
      <c r="T2236" s="47"/>
    </row>
    <row r="2237" s="27" customFormat="1" ht="18" customHeight="1" spans="1:20">
      <c r="A2237" s="34"/>
      <c r="B2237" s="48">
        <v>17</v>
      </c>
      <c r="C2237" s="48"/>
      <c r="D2237" s="121"/>
      <c r="E2237" s="72"/>
      <c r="F2237" s="77"/>
      <c r="G2237" s="89"/>
      <c r="H2237" s="74"/>
      <c r="I2237" s="74"/>
      <c r="J2237" s="95"/>
      <c r="K2237" s="92"/>
      <c r="L2237" s="92"/>
      <c r="M2237" s="44"/>
      <c r="N2237" s="44"/>
      <c r="O2237" s="44"/>
      <c r="P2237" s="44"/>
      <c r="Q2237" s="101"/>
      <c r="R2237" s="84"/>
      <c r="S2237" s="47"/>
      <c r="T2237" s="47"/>
    </row>
    <row r="2238" s="27" customFormat="1" ht="18" customHeight="1" spans="1:20">
      <c r="A2238" s="34"/>
      <c r="B2238" s="48">
        <v>18</v>
      </c>
      <c r="C2238" s="48"/>
      <c r="D2238" s="88"/>
      <c r="E2238" s="72"/>
      <c r="F2238" s="77"/>
      <c r="G2238" s="89"/>
      <c r="H2238" s="74"/>
      <c r="I2238" s="74"/>
      <c r="J2238" s="95"/>
      <c r="K2238" s="92"/>
      <c r="L2238" s="92"/>
      <c r="M2238" s="44"/>
      <c r="N2238" s="44"/>
      <c r="O2238" s="44"/>
      <c r="P2238" s="44"/>
      <c r="Q2238" s="44"/>
      <c r="R2238" s="84"/>
      <c r="S2238" s="47"/>
      <c r="T2238" s="47"/>
    </row>
    <row r="2239" s="27" customFormat="1" ht="18" customHeight="1" spans="1:20">
      <c r="A2239" s="34"/>
      <c r="B2239" s="48">
        <v>19</v>
      </c>
      <c r="C2239" s="48"/>
      <c r="D2239" s="27"/>
      <c r="E2239" s="72"/>
      <c r="F2239" s="77"/>
      <c r="G2239" s="89"/>
      <c r="H2239" s="74"/>
      <c r="I2239" s="74"/>
      <c r="J2239" s="95"/>
      <c r="K2239" s="92"/>
      <c r="L2239" s="92"/>
      <c r="M2239" s="44"/>
      <c r="N2239" s="44"/>
      <c r="O2239" s="44"/>
      <c r="P2239" s="44"/>
      <c r="Q2239" s="44"/>
      <c r="R2239" s="84"/>
      <c r="S2239" s="47"/>
      <c r="T2239" s="47"/>
    </row>
    <row r="2240" s="27" customFormat="1" ht="18" customHeight="1" spans="1:20">
      <c r="A2240" s="34"/>
      <c r="B2240" s="48">
        <v>20</v>
      </c>
      <c r="C2240" s="48"/>
      <c r="D2240" s="88"/>
      <c r="E2240" s="72"/>
      <c r="F2240" s="77"/>
      <c r="G2240" s="89"/>
      <c r="H2240" s="74"/>
      <c r="I2240" s="74"/>
      <c r="J2240" s="95"/>
      <c r="K2240" s="92"/>
      <c r="L2240" s="92"/>
      <c r="M2240" s="44"/>
      <c r="N2240" s="44"/>
      <c r="O2240" s="44"/>
      <c r="P2240" s="44"/>
      <c r="Q2240" s="44"/>
      <c r="R2240" s="84"/>
      <c r="S2240" s="47"/>
      <c r="T2240" s="47"/>
    </row>
    <row r="2241" s="27" customFormat="1" ht="18" customHeight="1" spans="1:20">
      <c r="A2241" s="34"/>
      <c r="B2241" s="48">
        <v>21</v>
      </c>
      <c r="C2241" s="48"/>
      <c r="D2241" s="88"/>
      <c r="E2241" s="72"/>
      <c r="F2241" s="77"/>
      <c r="G2241" s="89"/>
      <c r="H2241" s="74"/>
      <c r="I2241" s="74"/>
      <c r="J2241" s="95"/>
      <c r="K2241" s="92"/>
      <c r="L2241" s="92"/>
      <c r="M2241" s="44"/>
      <c r="N2241" s="44"/>
      <c r="O2241" s="44"/>
      <c r="P2241" s="44"/>
      <c r="Q2241" s="44"/>
      <c r="R2241" s="84"/>
      <c r="S2241" s="47"/>
      <c r="T2241" s="47"/>
    </row>
    <row r="2242" s="27" customFormat="1" ht="18" customHeight="1" spans="1:20">
      <c r="A2242" s="34"/>
      <c r="B2242" s="48">
        <v>22</v>
      </c>
      <c r="C2242" s="48"/>
      <c r="D2242" s="27"/>
      <c r="E2242" s="72"/>
      <c r="F2242" s="77"/>
      <c r="G2242" s="72"/>
      <c r="H2242" s="74"/>
      <c r="I2242" s="74"/>
      <c r="J2242" s="95"/>
      <c r="K2242" s="92"/>
      <c r="L2242" s="92"/>
      <c r="M2242" s="44"/>
      <c r="N2242" s="44"/>
      <c r="O2242" s="44"/>
      <c r="P2242" s="44"/>
      <c r="Q2242" s="44"/>
      <c r="R2242" s="62"/>
      <c r="S2242" s="47"/>
      <c r="T2242" s="47"/>
    </row>
    <row r="2243" s="27" customFormat="1" ht="18" customHeight="1" spans="1:20">
      <c r="A2243" s="34"/>
      <c r="B2243" s="48">
        <v>23</v>
      </c>
      <c r="C2243" s="48"/>
      <c r="D2243" s="88"/>
      <c r="E2243" s="72"/>
      <c r="F2243" s="77"/>
      <c r="G2243" s="89"/>
      <c r="H2243" s="74"/>
      <c r="I2243" s="74"/>
      <c r="J2243" s="95"/>
      <c r="K2243" s="92"/>
      <c r="L2243" s="92"/>
      <c r="M2243" s="44"/>
      <c r="N2243" s="44"/>
      <c r="O2243" s="44"/>
      <c r="P2243" s="44"/>
      <c r="Q2243" s="44"/>
      <c r="R2243" s="62"/>
      <c r="S2243" s="47"/>
      <c r="T2243" s="47"/>
    </row>
    <row r="2244" s="27" customFormat="1" ht="18" customHeight="1" spans="1:20">
      <c r="A2244" s="34"/>
      <c r="B2244" s="48">
        <v>24</v>
      </c>
      <c r="C2244" s="48"/>
      <c r="D2244" s="88" t="s">
        <v>478</v>
      </c>
      <c r="E2244" s="72" t="s">
        <v>43</v>
      </c>
      <c r="F2244" s="77"/>
      <c r="G2244" s="72">
        <v>1</v>
      </c>
      <c r="H2244" s="74">
        <v>1</v>
      </c>
      <c r="I2244" s="74">
        <f>+辅材及安装费!$E$6</f>
        <v>10</v>
      </c>
      <c r="J2244" s="95">
        <f>H2244*I2244</f>
        <v>10</v>
      </c>
      <c r="K2244" s="92"/>
      <c r="L2244" s="92"/>
      <c r="M2244" s="44"/>
      <c r="N2244" s="44"/>
      <c r="O2244" s="44"/>
      <c r="P2244" s="44"/>
      <c r="Q2244" s="44"/>
      <c r="R2244" s="62"/>
      <c r="S2244" s="47"/>
      <c r="T2244" s="47"/>
    </row>
    <row r="2245" s="27" customFormat="1" ht="18" customHeight="1" spans="1:20">
      <c r="A2245" s="34"/>
      <c r="B2245" s="48">
        <v>25</v>
      </c>
      <c r="C2245" s="48"/>
      <c r="D2245" s="93" t="s">
        <v>442</v>
      </c>
      <c r="E2245" s="72"/>
      <c r="F2245" s="77"/>
      <c r="G2245" s="72"/>
      <c r="H2245" s="74"/>
      <c r="I2245" s="74"/>
      <c r="J2245" s="95">
        <f>SUM(J2221:J2244)</f>
        <v>542.903988898326</v>
      </c>
      <c r="K2245" s="92"/>
      <c r="L2245" s="94"/>
      <c r="N2245" s="83"/>
      <c r="O2245" s="83"/>
      <c r="P2245" s="83"/>
      <c r="Q2245" s="83"/>
      <c r="R2245" s="87"/>
      <c r="S2245" s="47"/>
      <c r="T2245" s="47"/>
    </row>
    <row r="2246" s="27" customFormat="1" ht="18" customHeight="1" spans="1:20">
      <c r="A2246" s="34"/>
      <c r="B2246" s="48">
        <v>1</v>
      </c>
      <c r="C2246" s="48" t="s">
        <v>443</v>
      </c>
      <c r="D2246" s="48" t="s">
        <v>444</v>
      </c>
      <c r="E2246" s="72" t="s">
        <v>43</v>
      </c>
      <c r="F2246" s="50"/>
      <c r="G2246" s="48"/>
      <c r="H2246" s="51">
        <v>1</v>
      </c>
      <c r="I2246" s="74">
        <f>+辅材及安装费!$F$6</f>
        <v>5</v>
      </c>
      <c r="J2246" s="95">
        <f>H2246*I2246</f>
        <v>5</v>
      </c>
      <c r="K2246" s="118"/>
      <c r="L2246" s="96"/>
      <c r="M2246" s="97"/>
      <c r="N2246" s="98"/>
      <c r="O2246" s="98"/>
      <c r="P2246" s="98"/>
      <c r="Q2246" s="98"/>
      <c r="R2246" s="99"/>
      <c r="S2246" s="47"/>
      <c r="T2246" s="47"/>
    </row>
    <row r="2247" s="26" customFormat="1" ht="30" customHeight="1" spans="1:20">
      <c r="A2247" s="28"/>
      <c r="B2247" s="29" t="s">
        <v>386</v>
      </c>
      <c r="C2247" s="29"/>
      <c r="D2247" s="29"/>
      <c r="E2247" s="29"/>
      <c r="F2247" s="29"/>
      <c r="G2247" s="29"/>
      <c r="H2247" s="29"/>
      <c r="I2247" s="29"/>
      <c r="J2247" s="29"/>
      <c r="K2247" s="29"/>
      <c r="L2247" s="30"/>
      <c r="M2247" s="31"/>
      <c r="N2247" s="31"/>
      <c r="O2247" s="31"/>
      <c r="P2247" s="31"/>
      <c r="Q2247" s="31"/>
      <c r="R2247" s="32"/>
      <c r="S2247" s="33"/>
      <c r="T2247" s="33"/>
    </row>
    <row r="2248" s="27" customFormat="1" ht="33.75" customHeight="1" spans="1:20">
      <c r="A2248" s="34">
        <v>2</v>
      </c>
      <c r="B2248" s="35" t="s">
        <v>1</v>
      </c>
      <c r="C2248" s="35" t="s">
        <v>387</v>
      </c>
      <c r="D2248" s="36" t="str">
        <f>+A2256</f>
        <v>防火隔断</v>
      </c>
      <c r="E2248" s="37"/>
      <c r="F2248" s="38"/>
      <c r="G2248" s="39"/>
      <c r="H2248" s="35" t="s">
        <v>388</v>
      </c>
      <c r="I2248" s="40" t="s">
        <v>389</v>
      </c>
      <c r="J2248" s="41" t="s">
        <v>37</v>
      </c>
      <c r="K2248" s="42">
        <f ca="1">VLOOKUP(A2248,排屋工程量清单!$A$111:$D$116,4,)</f>
        <v>480.4</v>
      </c>
      <c r="L2248" s="43"/>
      <c r="M2248" s="44"/>
      <c r="N2248" s="44"/>
      <c r="O2248" s="44"/>
      <c r="P2248" s="45"/>
      <c r="Q2248" s="44"/>
      <c r="R2248" s="46"/>
      <c r="S2248" s="47"/>
      <c r="T2248" s="47"/>
    </row>
    <row r="2249" s="27" customFormat="1" ht="25" customHeight="1" spans="1:20">
      <c r="A2249" s="34"/>
      <c r="B2249" s="48">
        <v>1</v>
      </c>
      <c r="C2249" s="49" t="s">
        <v>390</v>
      </c>
      <c r="D2249" s="48" t="s">
        <v>391</v>
      </c>
      <c r="E2249" s="48"/>
      <c r="F2249" s="50"/>
      <c r="G2249" s="48"/>
      <c r="H2249" s="51"/>
      <c r="I2249" s="52">
        <f>J2261</f>
        <v>25</v>
      </c>
      <c r="J2249" s="53" t="s">
        <v>392</v>
      </c>
      <c r="K2249" s="54"/>
      <c r="L2249" s="55" t="s">
        <v>584</v>
      </c>
      <c r="M2249" s="56" t="s">
        <v>585</v>
      </c>
      <c r="N2249" s="57"/>
      <c r="O2249" s="57">
        <v>3.23</v>
      </c>
      <c r="P2249" s="57">
        <v>1.2</v>
      </c>
      <c r="Q2249" s="57">
        <v>1</v>
      </c>
      <c r="R2249" s="58">
        <f>O2249</f>
        <v>3.23</v>
      </c>
      <c r="S2249" s="47"/>
      <c r="T2249" s="47"/>
    </row>
    <row r="2250" s="27" customFormat="1" ht="18" customHeight="1" spans="1:20">
      <c r="A2250" s="34"/>
      <c r="B2250" s="48">
        <v>2</v>
      </c>
      <c r="C2250" s="59"/>
      <c r="D2250" s="48" t="s">
        <v>394</v>
      </c>
      <c r="E2250" s="48"/>
      <c r="F2250" s="50"/>
      <c r="G2250" s="48"/>
      <c r="H2250" s="51"/>
      <c r="I2250" s="52">
        <f>J2286</f>
        <v>27.3849557522124</v>
      </c>
      <c r="J2250" s="53" t="s">
        <v>392</v>
      </c>
      <c r="K2250" s="60"/>
      <c r="L2250" s="61" t="s">
        <v>203</v>
      </c>
      <c r="M2250" s="44"/>
      <c r="N2250" s="44"/>
      <c r="O2250" s="44"/>
      <c r="P2250" s="44"/>
      <c r="Q2250" s="44"/>
      <c r="R2250" s="62"/>
      <c r="S2250" s="47"/>
      <c r="T2250" s="47"/>
    </row>
    <row r="2251" s="27" customFormat="1" ht="18" customHeight="1" spans="1:20">
      <c r="A2251" s="34"/>
      <c r="B2251" s="48">
        <v>3</v>
      </c>
      <c r="C2251" s="63"/>
      <c r="D2251" s="48" t="s">
        <v>395</v>
      </c>
      <c r="E2251" s="48"/>
      <c r="F2251" s="50"/>
      <c r="G2251" s="48"/>
      <c r="H2251" s="51"/>
      <c r="I2251" s="52">
        <f>J2287</f>
        <v>2</v>
      </c>
      <c r="J2251" s="53" t="s">
        <v>392</v>
      </c>
      <c r="K2251" s="60"/>
      <c r="L2251" s="60"/>
      <c r="M2251" s="64" t="s">
        <v>396</v>
      </c>
      <c r="N2251" s="65" t="s">
        <v>397</v>
      </c>
      <c r="O2251" s="65" t="s">
        <v>398</v>
      </c>
      <c r="P2251" s="65" t="s">
        <v>399</v>
      </c>
      <c r="Q2251" s="65" t="s">
        <v>400</v>
      </c>
      <c r="R2251" s="66" t="s">
        <v>401</v>
      </c>
      <c r="S2251" s="47"/>
      <c r="T2251" s="47"/>
    </row>
    <row r="2252" s="27" customFormat="1" ht="18" customHeight="1" spans="1:20">
      <c r="A2252" s="34"/>
      <c r="B2252" s="48">
        <v>4</v>
      </c>
      <c r="C2252" s="48" t="s">
        <v>402</v>
      </c>
      <c r="D2252" s="67" t="s">
        <v>403</v>
      </c>
      <c r="E2252" s="67"/>
      <c r="F2252" s="50"/>
      <c r="G2252" s="67"/>
      <c r="H2252" s="68"/>
      <c r="I2252" s="52">
        <f>SUM(I2249:I2251)</f>
        <v>54.3849557522124</v>
      </c>
      <c r="J2252" s="53" t="s">
        <v>392</v>
      </c>
      <c r="K2252" s="60"/>
      <c r="L2252" s="69"/>
      <c r="M2252" s="34"/>
      <c r="N2252" s="34"/>
      <c r="O2252" s="34"/>
      <c r="P2252" s="34"/>
      <c r="Q2252" s="44"/>
      <c r="R2252" s="71"/>
      <c r="S2252" s="47"/>
      <c r="T2252" s="47"/>
    </row>
    <row r="2253" s="27" customFormat="1" ht="28" customHeight="1" spans="1:20">
      <c r="A2253" s="34"/>
      <c r="B2253" s="48">
        <v>5</v>
      </c>
      <c r="C2253" s="72" t="s">
        <v>406</v>
      </c>
      <c r="D2253" s="48" t="s">
        <v>407</v>
      </c>
      <c r="E2253" s="48"/>
      <c r="F2253" s="50"/>
      <c r="G2253" s="48"/>
      <c r="H2253" s="73">
        <f>+'材料表 '!$E$178</f>
        <v>0</v>
      </c>
      <c r="I2253" s="52">
        <f>H2253*I2252</f>
        <v>0</v>
      </c>
      <c r="J2253" s="53" t="s">
        <v>392</v>
      </c>
      <c r="K2253" s="60"/>
      <c r="L2253" s="69"/>
      <c r="M2253" s="34"/>
      <c r="N2253" s="34"/>
      <c r="O2253" s="34"/>
      <c r="P2253" s="34"/>
      <c r="Q2253" s="44"/>
      <c r="R2253" s="71"/>
      <c r="S2253" s="47"/>
      <c r="T2253" s="47"/>
    </row>
    <row r="2254" s="27" customFormat="1" ht="18" customHeight="1" spans="1:20">
      <c r="A2254" s="34"/>
      <c r="B2254" s="48">
        <v>6</v>
      </c>
      <c r="C2254" s="48" t="s">
        <v>409</v>
      </c>
      <c r="D2254" s="48" t="s">
        <v>410</v>
      </c>
      <c r="E2254" s="48"/>
      <c r="F2254" s="50"/>
      <c r="G2254" s="48"/>
      <c r="H2254" s="73">
        <f>+'材料表 '!$E$179</f>
        <v>0</v>
      </c>
      <c r="I2254" s="52">
        <f>H2254*I2252</f>
        <v>0</v>
      </c>
      <c r="J2254" s="53" t="s">
        <v>392</v>
      </c>
      <c r="K2254" s="60"/>
      <c r="L2254" s="69"/>
      <c r="M2254" s="34"/>
      <c r="N2254" s="34"/>
      <c r="O2254" s="34"/>
      <c r="P2254" s="34"/>
      <c r="Q2254" s="44"/>
      <c r="R2254" s="71"/>
      <c r="S2254" s="47"/>
      <c r="T2254" s="47"/>
    </row>
    <row r="2255" s="27" customFormat="1" ht="18" customHeight="1" spans="1:20">
      <c r="A2255" s="34"/>
      <c r="B2255" s="48">
        <v>7</v>
      </c>
      <c r="C2255" s="48" t="s">
        <v>412</v>
      </c>
      <c r="D2255" s="72" t="s">
        <v>413</v>
      </c>
      <c r="E2255" s="72"/>
      <c r="F2255" s="77"/>
      <c r="G2255" s="72"/>
      <c r="H2255" s="73">
        <f>+'材料表 '!$E$180</f>
        <v>0.09</v>
      </c>
      <c r="I2255" s="52">
        <f>(I2252+I2253+I2254)*H2255</f>
        <v>4.89464601769911</v>
      </c>
      <c r="J2255" s="53" t="s">
        <v>392</v>
      </c>
      <c r="K2255" s="60"/>
      <c r="L2255" s="69"/>
      <c r="M2255" s="34"/>
      <c r="N2255" s="34"/>
      <c r="O2255" s="34"/>
      <c r="P2255" s="34"/>
      <c r="Q2255" s="44"/>
      <c r="R2255" s="71"/>
      <c r="S2255" s="47"/>
      <c r="T2255" s="47"/>
    </row>
    <row r="2256" s="27" customFormat="1" ht="18" customHeight="1" spans="1:20">
      <c r="A2256" s="34" t="s">
        <v>213</v>
      </c>
      <c r="B2256" s="48">
        <v>8</v>
      </c>
      <c r="C2256" s="48" t="s">
        <v>363</v>
      </c>
      <c r="D2256" s="106" t="s">
        <v>415</v>
      </c>
      <c r="E2256" s="107"/>
      <c r="F2256" s="108"/>
      <c r="G2256" s="107"/>
      <c r="H2256" s="51"/>
      <c r="I2256" s="74">
        <f>SUM(I2252:I2255)</f>
        <v>59.2796017699115</v>
      </c>
      <c r="J2256" s="53" t="s">
        <v>484</v>
      </c>
      <c r="K2256" s="60"/>
      <c r="L2256" s="69"/>
      <c r="M2256" s="34"/>
      <c r="N2256" s="100"/>
      <c r="O2256" s="34"/>
      <c r="P2256" s="44"/>
      <c r="Q2256" s="44"/>
      <c r="R2256" s="84"/>
      <c r="S2256" s="79"/>
      <c r="T2256" s="47"/>
    </row>
    <row r="2257" s="27" customFormat="1" ht="18" customHeight="1" spans="1:20">
      <c r="A2257" s="34"/>
      <c r="B2257" s="109" t="s">
        <v>418</v>
      </c>
      <c r="C2257" s="110"/>
      <c r="D2257" s="110"/>
      <c r="E2257" s="110"/>
      <c r="F2257" s="110"/>
      <c r="G2257" s="110"/>
      <c r="H2257" s="110"/>
      <c r="I2257" s="110"/>
      <c r="J2257" s="110"/>
      <c r="K2257" s="80"/>
      <c r="L2257" s="69"/>
      <c r="M2257" s="44"/>
      <c r="N2257" s="82"/>
      <c r="O2257" s="44"/>
      <c r="P2257" s="44"/>
      <c r="Q2257" s="44"/>
      <c r="R2257" s="84"/>
      <c r="S2257" s="47">
        <f>0.356</f>
        <v>0.356</v>
      </c>
      <c r="T2257" s="47">
        <f>S2257*P2257*O2257</f>
        <v>0</v>
      </c>
    </row>
    <row r="2258" s="27" customFormat="1" ht="18" customHeight="1" spans="1:20">
      <c r="A2258" s="34"/>
      <c r="B2258" s="48">
        <v>1</v>
      </c>
      <c r="C2258" s="48" t="s">
        <v>391</v>
      </c>
      <c r="D2258" s="48" t="s">
        <v>396</v>
      </c>
      <c r="E2258" s="48" t="s">
        <v>37</v>
      </c>
      <c r="F2258" s="50"/>
      <c r="G2258" s="48"/>
      <c r="H2258" s="51" t="s">
        <v>399</v>
      </c>
      <c r="I2258" s="51" t="s">
        <v>420</v>
      </c>
      <c r="J2258" s="95" t="s">
        <v>421</v>
      </c>
      <c r="K2258" s="92"/>
      <c r="L2258" s="69"/>
      <c r="M2258" s="44"/>
      <c r="N2258" s="82"/>
      <c r="O2258" s="44"/>
      <c r="P2258" s="44"/>
      <c r="Q2258" s="44"/>
      <c r="R2258" s="84"/>
      <c r="S2258" s="47"/>
      <c r="T2258" s="47"/>
    </row>
    <row r="2259" s="27" customFormat="1" ht="18" customHeight="1" spans="1:20">
      <c r="A2259" s="34"/>
      <c r="B2259" s="48">
        <v>2</v>
      </c>
      <c r="C2259" s="48"/>
      <c r="D2259" s="111" t="s">
        <v>601</v>
      </c>
      <c r="E2259" s="49" t="s">
        <v>109</v>
      </c>
      <c r="F2259" s="112"/>
      <c r="G2259" s="111"/>
      <c r="H2259" s="113">
        <v>1</v>
      </c>
      <c r="I2259" s="113">
        <f>+辅材及安装费!$G$14</f>
        <v>25</v>
      </c>
      <c r="J2259" s="114">
        <f t="shared" ref="J2259:J2264" si="243">H2259*I2259</f>
        <v>25</v>
      </c>
      <c r="K2259" s="92"/>
      <c r="L2259" s="69"/>
      <c r="M2259" s="44"/>
      <c r="N2259" s="82"/>
      <c r="O2259" s="44"/>
      <c r="P2259" s="44"/>
      <c r="Q2259" s="44"/>
      <c r="R2259" s="84"/>
      <c r="S2259" s="47"/>
      <c r="T2259" s="47"/>
    </row>
    <row r="2260" s="27" customFormat="1" ht="18" customHeight="1" spans="1:20">
      <c r="A2260" s="34"/>
      <c r="B2260" s="48">
        <v>3</v>
      </c>
      <c r="C2260" s="48"/>
      <c r="D2260" s="115"/>
      <c r="E2260" s="63"/>
      <c r="F2260" s="116"/>
      <c r="G2260" s="115"/>
      <c r="H2260" s="117"/>
      <c r="I2260" s="117"/>
      <c r="J2260" s="118"/>
      <c r="K2260" s="92"/>
      <c r="L2260" s="69"/>
      <c r="M2260" s="44"/>
      <c r="N2260" s="82"/>
      <c r="O2260" s="44"/>
      <c r="P2260" s="44"/>
      <c r="Q2260" s="44"/>
      <c r="R2260" s="84"/>
      <c r="S2260" s="47">
        <f>0.245</f>
        <v>0.245</v>
      </c>
      <c r="T2260" s="47">
        <f>S2260*P2260*O2260</f>
        <v>0</v>
      </c>
    </row>
    <row r="2261" s="27" customFormat="1" ht="18" customHeight="1" spans="1:20">
      <c r="A2261" s="34"/>
      <c r="B2261" s="48">
        <v>4</v>
      </c>
      <c r="C2261" s="48"/>
      <c r="D2261" s="85" t="s">
        <v>426</v>
      </c>
      <c r="E2261" s="48" t="s">
        <v>392</v>
      </c>
      <c r="F2261" s="50"/>
      <c r="G2261" s="48"/>
      <c r="H2261" s="86"/>
      <c r="I2261" s="86"/>
      <c r="J2261" s="95">
        <f>SUM(J2259:J2259)</f>
        <v>25</v>
      </c>
      <c r="K2261" s="92"/>
      <c r="L2261" s="90"/>
      <c r="M2261" s="44"/>
      <c r="N2261" s="82"/>
      <c r="O2261" s="44"/>
      <c r="P2261" s="44"/>
      <c r="Q2261" s="44"/>
      <c r="R2261" s="84"/>
      <c r="S2261" s="47"/>
      <c r="T2261" s="47"/>
    </row>
    <row r="2262" s="27" customFormat="1" ht="20" customHeight="1" spans="1:20">
      <c r="A2262" s="34"/>
      <c r="B2262" s="48">
        <v>1</v>
      </c>
      <c r="C2262" s="48" t="s">
        <v>394</v>
      </c>
      <c r="D2262" s="88" t="s">
        <v>602</v>
      </c>
      <c r="E2262" s="72" t="str">
        <f>+VLOOKUP(D2262,'材料表 '!C:F,2,0)</f>
        <v>㎡</v>
      </c>
      <c r="F2262" s="77">
        <v>0.2</v>
      </c>
      <c r="G2262" s="89">
        <f>+VLOOKUP(D2262,'材料表 '!C:F,4,0)</f>
        <v>0</v>
      </c>
      <c r="H2262" s="74">
        <f t="shared" ref="H2262:H2264" si="244">F2262*(G2262+1)</f>
        <v>0.2</v>
      </c>
      <c r="I2262" s="74">
        <f>+VLOOKUP(D2262,'材料表 '!C:F,3,0)</f>
        <v>30.9734513274336</v>
      </c>
      <c r="J2262" s="95">
        <f t="shared" si="243"/>
        <v>6.19469026548672</v>
      </c>
      <c r="K2262" s="92">
        <f ca="1">H2262*K2248</f>
        <v>96.08</v>
      </c>
      <c r="L2262" s="90"/>
      <c r="M2262" s="44"/>
      <c r="N2262" s="82"/>
      <c r="O2262" s="44"/>
      <c r="P2262" s="44"/>
      <c r="Q2262" s="44"/>
      <c r="R2262" s="84"/>
      <c r="S2262" s="47"/>
      <c r="T2262" s="47"/>
    </row>
    <row r="2263" s="27" customFormat="1" ht="18" customHeight="1" spans="1:20">
      <c r="A2263" s="34"/>
      <c r="B2263" s="48">
        <v>2</v>
      </c>
      <c r="C2263" s="48"/>
      <c r="D2263" s="88" t="s">
        <v>475</v>
      </c>
      <c r="E2263" s="72" t="str">
        <f>+VLOOKUP(D2263,'材料表 '!C:F,2,0)</f>
        <v>m2</v>
      </c>
      <c r="F2263" s="77">
        <v>0.27</v>
      </c>
      <c r="G2263" s="89">
        <f>+VLOOKUP(D2263,'材料表 '!C:F,4,0)</f>
        <v>0.01</v>
      </c>
      <c r="H2263" s="74">
        <f t="shared" si="244"/>
        <v>0.2727</v>
      </c>
      <c r="I2263" s="74">
        <f>+VLOOKUP(D2263,'材料表 '!C:F,3,0)</f>
        <v>44.2477876106195</v>
      </c>
      <c r="J2263" s="95">
        <f t="shared" si="243"/>
        <v>12.0663716814159</v>
      </c>
      <c r="K2263" s="92">
        <f ca="1">H2263*K2248</f>
        <v>131.00508</v>
      </c>
      <c r="L2263" s="90"/>
      <c r="M2263" s="44"/>
      <c r="N2263" s="82"/>
      <c r="O2263" s="44"/>
      <c r="P2263" s="44"/>
      <c r="Q2263" s="44"/>
      <c r="R2263" s="84"/>
      <c r="S2263" s="47"/>
      <c r="T2263" s="47"/>
    </row>
    <row r="2264" s="27" customFormat="1" ht="18" customHeight="1" spans="1:20">
      <c r="A2264" s="34"/>
      <c r="B2264" s="48">
        <v>3</v>
      </c>
      <c r="C2264" s="48"/>
      <c r="D2264" s="88" t="s">
        <v>603</v>
      </c>
      <c r="E2264" s="72" t="str">
        <f>+VLOOKUP(D2264,'材料表 '!C:F,2,0)</f>
        <v>支</v>
      </c>
      <c r="F2264" s="77">
        <v>0.2</v>
      </c>
      <c r="G2264" s="89">
        <f>+VLOOKUP(D2264,'材料表 '!C:F,4,0)</f>
        <v>0.15</v>
      </c>
      <c r="H2264" s="74">
        <f t="shared" si="244"/>
        <v>0.23</v>
      </c>
      <c r="I2264" s="74">
        <f>+VLOOKUP(D2264,'材料表 '!C:F,3,0)</f>
        <v>30.9734513274336</v>
      </c>
      <c r="J2264" s="95">
        <f t="shared" si="243"/>
        <v>7.12389380530973</v>
      </c>
      <c r="K2264" s="92">
        <f ca="1">H2264*K2248</f>
        <v>110.492</v>
      </c>
      <c r="L2264" s="90"/>
      <c r="M2264" s="44"/>
      <c r="N2264" s="82"/>
      <c r="O2264" s="44"/>
      <c r="P2264" s="44"/>
      <c r="Q2264" s="44"/>
      <c r="R2264" s="84"/>
      <c r="S2264" s="47"/>
      <c r="T2264" s="47"/>
    </row>
    <row r="2265" s="27" customFormat="1" ht="18" customHeight="1" spans="1:20">
      <c r="A2265" s="34"/>
      <c r="B2265" s="48">
        <v>4</v>
      </c>
      <c r="C2265" s="48"/>
      <c r="D2265" s="88"/>
      <c r="E2265" s="72"/>
      <c r="F2265" s="77"/>
      <c r="G2265" s="89"/>
      <c r="H2265" s="74"/>
      <c r="I2265" s="74"/>
      <c r="J2265" s="95"/>
      <c r="K2265" s="92">
        <f ca="1">H2265*K2248</f>
        <v>0</v>
      </c>
      <c r="L2265" s="90"/>
      <c r="M2265" s="44"/>
      <c r="N2265" s="82"/>
      <c r="O2265" s="44"/>
      <c r="P2265" s="44"/>
      <c r="Q2265" s="44"/>
      <c r="R2265" s="84"/>
      <c r="S2265" s="47"/>
      <c r="T2265" s="47"/>
    </row>
    <row r="2266" s="27" customFormat="1" ht="18" customHeight="1" spans="1:20">
      <c r="A2266" s="34"/>
      <c r="B2266" s="48">
        <v>5</v>
      </c>
      <c r="C2266" s="48"/>
      <c r="D2266" s="88"/>
      <c r="E2266" s="72"/>
      <c r="F2266" s="77"/>
      <c r="G2266" s="89"/>
      <c r="H2266" s="74"/>
      <c r="I2266" s="74"/>
      <c r="J2266" s="95"/>
      <c r="K2266" s="92">
        <f ca="1">H2266*K2248</f>
        <v>0</v>
      </c>
      <c r="L2266" s="92"/>
      <c r="M2266" s="44"/>
      <c r="N2266" s="82"/>
      <c r="O2266" s="44"/>
      <c r="P2266" s="44"/>
      <c r="Q2266" s="44"/>
      <c r="R2266" s="84"/>
      <c r="S2266" s="47"/>
      <c r="T2266" s="47"/>
    </row>
    <row r="2267" s="27" customFormat="1" ht="18" customHeight="1" spans="1:20">
      <c r="A2267" s="34"/>
      <c r="B2267" s="48">
        <v>6</v>
      </c>
      <c r="C2267" s="48"/>
      <c r="D2267" s="88"/>
      <c r="E2267" s="72"/>
      <c r="F2267" s="77"/>
      <c r="G2267" s="89"/>
      <c r="H2267" s="74"/>
      <c r="I2267" s="74"/>
      <c r="J2267" s="95"/>
      <c r="K2267" s="92">
        <f ca="1">H2267*K2248</f>
        <v>0</v>
      </c>
      <c r="L2267" s="92"/>
      <c r="M2267" s="44"/>
      <c r="N2267" s="82"/>
      <c r="O2267" s="44"/>
      <c r="P2267" s="44"/>
      <c r="Q2267" s="44"/>
      <c r="R2267" s="84"/>
      <c r="S2267" s="47"/>
      <c r="T2267" s="47"/>
    </row>
    <row r="2268" s="27" customFormat="1" ht="18" customHeight="1" spans="1:20">
      <c r="A2268" s="34"/>
      <c r="B2268" s="48">
        <v>7</v>
      </c>
      <c r="C2268" s="48"/>
      <c r="D2268" s="88"/>
      <c r="E2268" s="72"/>
      <c r="F2268" s="77"/>
      <c r="G2268" s="89"/>
      <c r="H2268" s="74"/>
      <c r="I2268" s="74"/>
      <c r="J2268" s="95"/>
      <c r="K2268" s="92">
        <f ca="1">H2268*K2248</f>
        <v>0</v>
      </c>
      <c r="L2268" s="92"/>
      <c r="M2268" s="44"/>
      <c r="N2268" s="82"/>
      <c r="O2268" s="44"/>
      <c r="P2268" s="44"/>
      <c r="Q2268" s="44"/>
      <c r="R2268" s="84"/>
      <c r="S2268" s="47"/>
      <c r="T2268" s="47"/>
    </row>
    <row r="2269" s="27" customFormat="1" ht="18" customHeight="1" spans="1:20">
      <c r="A2269" s="34"/>
      <c r="B2269" s="48">
        <v>8</v>
      </c>
      <c r="C2269" s="48"/>
      <c r="D2269" s="88"/>
      <c r="E2269" s="72"/>
      <c r="F2269" s="77"/>
      <c r="G2269" s="89"/>
      <c r="H2269" s="74"/>
      <c r="I2269" s="74"/>
      <c r="J2269" s="95"/>
      <c r="K2269" s="92">
        <f ca="1">H2269*K2248</f>
        <v>0</v>
      </c>
      <c r="L2269" s="92"/>
      <c r="M2269" s="44"/>
      <c r="N2269" s="82"/>
      <c r="O2269" s="44"/>
      <c r="P2269" s="44"/>
      <c r="Q2269" s="44"/>
      <c r="R2269" s="84"/>
      <c r="S2269" s="47"/>
      <c r="T2269" s="47"/>
    </row>
    <row r="2270" s="27" customFormat="1" ht="18" customHeight="1" spans="1:20">
      <c r="A2270" s="34"/>
      <c r="B2270" s="48">
        <v>9</v>
      </c>
      <c r="C2270" s="48"/>
      <c r="D2270" s="88"/>
      <c r="E2270" s="72"/>
      <c r="F2270" s="77"/>
      <c r="G2270" s="89"/>
      <c r="H2270" s="74"/>
      <c r="I2270" s="74"/>
      <c r="J2270" s="95"/>
      <c r="K2270" s="92">
        <f ca="1">H2270*K2248</f>
        <v>0</v>
      </c>
      <c r="L2270" s="90"/>
      <c r="M2270" s="44"/>
      <c r="N2270" s="82"/>
      <c r="O2270" s="34"/>
      <c r="P2270" s="44"/>
      <c r="Q2270" s="44"/>
      <c r="R2270" s="119"/>
      <c r="S2270" s="47"/>
      <c r="T2270" s="47"/>
    </row>
    <row r="2271" s="27" customFormat="1" ht="18" customHeight="1" spans="1:20">
      <c r="A2271" s="34"/>
      <c r="B2271" s="48">
        <v>10</v>
      </c>
      <c r="C2271" s="48"/>
      <c r="D2271" s="88"/>
      <c r="E2271" s="72"/>
      <c r="F2271" s="77"/>
      <c r="G2271" s="89"/>
      <c r="H2271" s="74"/>
      <c r="I2271" s="74"/>
      <c r="J2271" s="95"/>
      <c r="K2271" s="92">
        <f ca="1">H2271*K2248</f>
        <v>0</v>
      </c>
      <c r="L2271" s="92"/>
      <c r="M2271" s="120"/>
      <c r="N2271" s="82"/>
      <c r="O2271" s="44"/>
      <c r="P2271" s="44"/>
      <c r="Q2271" s="44"/>
      <c r="R2271" s="84"/>
      <c r="S2271" s="47"/>
      <c r="T2271" s="47"/>
    </row>
    <row r="2272" s="27" customFormat="1" ht="18" customHeight="1" spans="1:20">
      <c r="A2272" s="34"/>
      <c r="B2272" s="48">
        <v>11</v>
      </c>
      <c r="C2272" s="48"/>
      <c r="D2272" s="88"/>
      <c r="E2272" s="72"/>
      <c r="F2272" s="77"/>
      <c r="G2272" s="89"/>
      <c r="H2272" s="74"/>
      <c r="I2272" s="74"/>
      <c r="J2272" s="95"/>
      <c r="K2272" s="92">
        <f ca="1">H2272*K2248</f>
        <v>0</v>
      </c>
      <c r="L2272" s="92"/>
      <c r="M2272" s="44"/>
      <c r="N2272" s="82"/>
      <c r="O2272" s="44"/>
      <c r="P2272" s="44"/>
      <c r="Q2272" s="44"/>
      <c r="R2272" s="84"/>
      <c r="S2272" s="47"/>
      <c r="T2272" s="47"/>
    </row>
    <row r="2273" s="27" customFormat="1" ht="18" customHeight="1" spans="1:20">
      <c r="A2273" s="34"/>
      <c r="B2273" s="48">
        <v>12</v>
      </c>
      <c r="C2273" s="48"/>
      <c r="D2273" s="88"/>
      <c r="E2273" s="72"/>
      <c r="F2273" s="77"/>
      <c r="G2273" s="89"/>
      <c r="H2273" s="74"/>
      <c r="I2273" s="74"/>
      <c r="J2273" s="95"/>
      <c r="K2273" s="92"/>
      <c r="L2273" s="92"/>
      <c r="M2273" s="44"/>
      <c r="N2273" s="44"/>
      <c r="O2273" s="44"/>
      <c r="P2273" s="44"/>
      <c r="Q2273" s="44"/>
      <c r="R2273" s="84"/>
      <c r="S2273" s="47"/>
      <c r="T2273" s="47"/>
    </row>
    <row r="2274" s="27" customFormat="1" ht="18" customHeight="1" spans="1:20">
      <c r="A2274" s="34"/>
      <c r="B2274" s="48">
        <v>13</v>
      </c>
      <c r="C2274" s="48"/>
      <c r="D2274" s="88"/>
      <c r="E2274" s="72"/>
      <c r="F2274" s="77"/>
      <c r="G2274" s="89"/>
      <c r="H2274" s="74"/>
      <c r="I2274" s="74"/>
      <c r="J2274" s="95"/>
      <c r="K2274" s="92"/>
      <c r="L2274" s="92"/>
      <c r="M2274" s="44"/>
      <c r="N2274" s="44"/>
      <c r="O2274" s="44"/>
      <c r="P2274" s="44"/>
      <c r="Q2274" s="44"/>
      <c r="R2274" s="84"/>
      <c r="S2274" s="47"/>
      <c r="T2274" s="47"/>
    </row>
    <row r="2275" s="27" customFormat="1" ht="24" customHeight="1" spans="1:20">
      <c r="A2275" s="34"/>
      <c r="B2275" s="48">
        <v>14</v>
      </c>
      <c r="C2275" s="48"/>
      <c r="D2275" s="88"/>
      <c r="E2275" s="72"/>
      <c r="F2275" s="77"/>
      <c r="G2275" s="89"/>
      <c r="H2275" s="74"/>
      <c r="I2275" s="74"/>
      <c r="J2275" s="95"/>
      <c r="K2275" s="92"/>
      <c r="L2275" s="92"/>
      <c r="M2275" s="44"/>
      <c r="N2275" s="44"/>
      <c r="O2275" s="44"/>
      <c r="P2275" s="44"/>
      <c r="Q2275" s="44"/>
      <c r="R2275" s="84"/>
      <c r="S2275" s="47"/>
      <c r="T2275" s="47"/>
    </row>
    <row r="2276" s="27" customFormat="1" ht="18" customHeight="1" spans="1:20">
      <c r="A2276" s="34"/>
      <c r="B2276" s="48">
        <v>15</v>
      </c>
      <c r="C2276" s="48"/>
      <c r="D2276" s="88"/>
      <c r="E2276" s="72"/>
      <c r="F2276" s="77"/>
      <c r="G2276" s="89"/>
      <c r="H2276" s="74"/>
      <c r="I2276" s="74"/>
      <c r="J2276" s="95"/>
      <c r="K2276" s="92"/>
      <c r="L2276" s="92"/>
      <c r="M2276" s="44"/>
      <c r="N2276" s="44"/>
      <c r="O2276" s="44"/>
      <c r="P2276" s="44"/>
      <c r="Q2276" s="44"/>
      <c r="R2276" s="84"/>
      <c r="S2276" s="47"/>
      <c r="T2276" s="47"/>
    </row>
    <row r="2277" s="27" customFormat="1" ht="18" customHeight="1" spans="1:20">
      <c r="A2277" s="34"/>
      <c r="B2277" s="48">
        <v>16</v>
      </c>
      <c r="C2277" s="48"/>
      <c r="D2277" s="88"/>
      <c r="E2277" s="72"/>
      <c r="F2277" s="77"/>
      <c r="G2277" s="89"/>
      <c r="H2277" s="74"/>
      <c r="I2277" s="74"/>
      <c r="J2277" s="95"/>
      <c r="K2277" s="92"/>
      <c r="L2277" s="92"/>
      <c r="M2277" s="44"/>
      <c r="N2277" s="44"/>
      <c r="O2277" s="44"/>
      <c r="P2277" s="44"/>
      <c r="Q2277" s="44"/>
      <c r="R2277" s="84"/>
      <c r="S2277" s="47"/>
      <c r="T2277" s="47"/>
    </row>
    <row r="2278" s="27" customFormat="1" ht="18" customHeight="1" spans="1:20">
      <c r="A2278" s="34"/>
      <c r="B2278" s="48">
        <v>17</v>
      </c>
      <c r="C2278" s="48"/>
      <c r="D2278" s="121"/>
      <c r="E2278" s="72"/>
      <c r="F2278" s="77"/>
      <c r="G2278" s="89"/>
      <c r="H2278" s="74"/>
      <c r="I2278" s="74"/>
      <c r="J2278" s="95"/>
      <c r="K2278" s="92"/>
      <c r="L2278" s="92"/>
      <c r="M2278" s="44"/>
      <c r="N2278" s="44"/>
      <c r="O2278" s="44"/>
      <c r="P2278" s="44"/>
      <c r="Q2278" s="101"/>
      <c r="R2278" s="84"/>
      <c r="S2278" s="47"/>
      <c r="T2278" s="47"/>
    </row>
    <row r="2279" s="27" customFormat="1" ht="18" customHeight="1" spans="1:20">
      <c r="A2279" s="34"/>
      <c r="B2279" s="48">
        <v>18</v>
      </c>
      <c r="C2279" s="48"/>
      <c r="D2279" s="88"/>
      <c r="E2279" s="72"/>
      <c r="F2279" s="77"/>
      <c r="G2279" s="89"/>
      <c r="H2279" s="74"/>
      <c r="I2279" s="74"/>
      <c r="J2279" s="95"/>
      <c r="K2279" s="92"/>
      <c r="L2279" s="92"/>
      <c r="M2279" s="44"/>
      <c r="N2279" s="44"/>
      <c r="O2279" s="44"/>
      <c r="P2279" s="44"/>
      <c r="Q2279" s="44"/>
      <c r="R2279" s="84"/>
      <c r="S2279" s="47"/>
      <c r="T2279" s="47"/>
    </row>
    <row r="2280" s="27" customFormat="1" ht="18" customHeight="1" spans="1:20">
      <c r="A2280" s="34"/>
      <c r="B2280" s="48">
        <v>19</v>
      </c>
      <c r="C2280" s="48"/>
      <c r="D2280" s="27"/>
      <c r="E2280" s="72"/>
      <c r="F2280" s="77"/>
      <c r="G2280" s="89"/>
      <c r="H2280" s="74"/>
      <c r="I2280" s="74"/>
      <c r="J2280" s="95"/>
      <c r="K2280" s="92"/>
      <c r="L2280" s="92"/>
      <c r="M2280" s="44"/>
      <c r="N2280" s="44"/>
      <c r="O2280" s="44"/>
      <c r="P2280" s="44"/>
      <c r="Q2280" s="44"/>
      <c r="R2280" s="84"/>
      <c r="S2280" s="47"/>
      <c r="T2280" s="47"/>
    </row>
    <row r="2281" s="27" customFormat="1" ht="18" customHeight="1" spans="1:20">
      <c r="A2281" s="34"/>
      <c r="B2281" s="48">
        <v>20</v>
      </c>
      <c r="C2281" s="48"/>
      <c r="D2281" s="88"/>
      <c r="E2281" s="72"/>
      <c r="F2281" s="77"/>
      <c r="G2281" s="89"/>
      <c r="H2281" s="74"/>
      <c r="I2281" s="74"/>
      <c r="J2281" s="95"/>
      <c r="K2281" s="92"/>
      <c r="L2281" s="92"/>
      <c r="M2281" s="44"/>
      <c r="N2281" s="44"/>
      <c r="O2281" s="44"/>
      <c r="P2281" s="44"/>
      <c r="Q2281" s="44"/>
      <c r="R2281" s="84"/>
      <c r="S2281" s="47"/>
      <c r="T2281" s="47"/>
    </row>
    <row r="2282" s="27" customFormat="1" ht="18" customHeight="1" spans="1:20">
      <c r="A2282" s="34"/>
      <c r="B2282" s="48">
        <v>21</v>
      </c>
      <c r="C2282" s="48"/>
      <c r="D2282" s="88"/>
      <c r="E2282" s="72"/>
      <c r="F2282" s="77"/>
      <c r="G2282" s="89"/>
      <c r="H2282" s="74"/>
      <c r="I2282" s="74"/>
      <c r="J2282" s="95"/>
      <c r="K2282" s="92"/>
      <c r="L2282" s="92"/>
      <c r="M2282" s="44"/>
      <c r="N2282" s="44"/>
      <c r="O2282" s="44"/>
      <c r="P2282" s="44"/>
      <c r="Q2282" s="44"/>
      <c r="R2282" s="84"/>
      <c r="S2282" s="47"/>
      <c r="T2282" s="47"/>
    </row>
    <row r="2283" s="27" customFormat="1" ht="18" customHeight="1" spans="1:20">
      <c r="A2283" s="34"/>
      <c r="B2283" s="48">
        <v>22</v>
      </c>
      <c r="C2283" s="48"/>
      <c r="D2283" s="27"/>
      <c r="E2283" s="72"/>
      <c r="F2283" s="77"/>
      <c r="G2283" s="72"/>
      <c r="H2283" s="74"/>
      <c r="I2283" s="74"/>
      <c r="J2283" s="95"/>
      <c r="K2283" s="92"/>
      <c r="L2283" s="92"/>
      <c r="M2283" s="44"/>
      <c r="N2283" s="44"/>
      <c r="O2283" s="44"/>
      <c r="P2283" s="44"/>
      <c r="Q2283" s="44"/>
      <c r="R2283" s="62"/>
      <c r="S2283" s="47"/>
      <c r="T2283" s="47"/>
    </row>
    <row r="2284" s="27" customFormat="1" ht="18" customHeight="1" spans="1:20">
      <c r="A2284" s="34"/>
      <c r="B2284" s="48">
        <v>23</v>
      </c>
      <c r="C2284" s="48"/>
      <c r="D2284" s="88"/>
      <c r="E2284" s="72"/>
      <c r="F2284" s="77"/>
      <c r="G2284" s="89"/>
      <c r="H2284" s="74"/>
      <c r="I2284" s="74"/>
      <c r="J2284" s="95"/>
      <c r="K2284" s="92"/>
      <c r="L2284" s="92"/>
      <c r="M2284" s="44"/>
      <c r="N2284" s="44"/>
      <c r="O2284" s="44"/>
      <c r="P2284" s="44"/>
      <c r="Q2284" s="44"/>
      <c r="R2284" s="62"/>
      <c r="S2284" s="47"/>
      <c r="T2284" s="47"/>
    </row>
    <row r="2285" s="27" customFormat="1" ht="18" customHeight="1" spans="1:20">
      <c r="A2285" s="34"/>
      <c r="B2285" s="48">
        <v>24</v>
      </c>
      <c r="C2285" s="48"/>
      <c r="D2285" s="88" t="s">
        <v>478</v>
      </c>
      <c r="E2285" s="72" t="s">
        <v>109</v>
      </c>
      <c r="F2285" s="77"/>
      <c r="G2285" s="72">
        <v>1</v>
      </c>
      <c r="H2285" s="74">
        <v>1</v>
      </c>
      <c r="I2285" s="74">
        <f>+辅材及安装费!$E$14</f>
        <v>2</v>
      </c>
      <c r="J2285" s="95">
        <f>H2285*I2285</f>
        <v>2</v>
      </c>
      <c r="K2285" s="92"/>
      <c r="L2285" s="92"/>
      <c r="M2285" s="44"/>
      <c r="N2285" s="44"/>
      <c r="O2285" s="44"/>
      <c r="P2285" s="44"/>
      <c r="Q2285" s="44"/>
      <c r="R2285" s="62"/>
      <c r="S2285" s="47"/>
      <c r="T2285" s="47"/>
    </row>
    <row r="2286" s="27" customFormat="1" ht="18" customHeight="1" spans="1:20">
      <c r="A2286" s="34"/>
      <c r="B2286" s="48">
        <v>25</v>
      </c>
      <c r="C2286" s="48"/>
      <c r="D2286" s="93" t="s">
        <v>442</v>
      </c>
      <c r="E2286" s="72"/>
      <c r="F2286" s="77"/>
      <c r="G2286" s="72"/>
      <c r="H2286" s="74"/>
      <c r="I2286" s="74"/>
      <c r="J2286" s="95">
        <f>SUM(J2262:J2285)</f>
        <v>27.3849557522124</v>
      </c>
      <c r="K2286" s="92"/>
      <c r="L2286" s="94"/>
      <c r="N2286" s="83"/>
      <c r="O2286" s="83"/>
      <c r="P2286" s="83"/>
      <c r="Q2286" s="83"/>
      <c r="R2286" s="87"/>
      <c r="S2286" s="47"/>
      <c r="T2286" s="47"/>
    </row>
    <row r="2287" s="27" customFormat="1" ht="18" customHeight="1" spans="1:20">
      <c r="A2287" s="34"/>
      <c r="B2287" s="48">
        <v>1</v>
      </c>
      <c r="C2287" s="48" t="s">
        <v>443</v>
      </c>
      <c r="D2287" s="48" t="s">
        <v>444</v>
      </c>
      <c r="E2287" s="72" t="s">
        <v>109</v>
      </c>
      <c r="F2287" s="50"/>
      <c r="G2287" s="48"/>
      <c r="H2287" s="51">
        <v>1</v>
      </c>
      <c r="I2287" s="74">
        <f>+辅材及安装费!$F$14</f>
        <v>2</v>
      </c>
      <c r="J2287" s="95">
        <f>H2287*I2287</f>
        <v>2</v>
      </c>
      <c r="K2287" s="118"/>
      <c r="L2287" s="96"/>
      <c r="M2287" s="97"/>
      <c r="N2287" s="98"/>
      <c r="O2287" s="98"/>
      <c r="P2287" s="98"/>
      <c r="Q2287" s="98"/>
      <c r="R2287" s="99"/>
      <c r="S2287" s="47"/>
      <c r="T2287" s="47"/>
    </row>
    <row r="2288" s="26" customFormat="1" ht="30" customHeight="1" spans="1:20">
      <c r="A2288" s="28"/>
      <c r="B2288" s="29" t="s">
        <v>386</v>
      </c>
      <c r="C2288" s="29"/>
      <c r="D2288" s="29"/>
      <c r="E2288" s="29"/>
      <c r="F2288" s="29"/>
      <c r="G2288" s="29"/>
      <c r="H2288" s="29"/>
      <c r="I2288" s="29"/>
      <c r="J2288" s="29"/>
      <c r="K2288" s="29"/>
      <c r="L2288" s="30"/>
      <c r="M2288" s="31"/>
      <c r="N2288" s="31"/>
      <c r="O2288" s="31"/>
      <c r="P2288" s="31"/>
      <c r="Q2288" s="31"/>
      <c r="R2288" s="32"/>
      <c r="S2288" s="33"/>
      <c r="T2288" s="33"/>
    </row>
    <row r="2289" s="27" customFormat="1" ht="33.75" customHeight="1" spans="1:20">
      <c r="A2289" s="34">
        <v>3</v>
      </c>
      <c r="B2289" s="35" t="s">
        <v>1</v>
      </c>
      <c r="C2289" s="35" t="s">
        <v>387</v>
      </c>
      <c r="D2289" s="36" t="str">
        <f>+A2297</f>
        <v>2.5㎜铝单板（无龙骨）</v>
      </c>
      <c r="E2289" s="37"/>
      <c r="F2289" s="38"/>
      <c r="G2289" s="39"/>
      <c r="H2289" s="35" t="s">
        <v>388</v>
      </c>
      <c r="I2289" s="40" t="s">
        <v>389</v>
      </c>
      <c r="J2289" s="41" t="s">
        <v>37</v>
      </c>
      <c r="K2289" s="42">
        <f ca="1">VLOOKUP(A2289,排屋工程量清单!$A$111:$D$116,4,)</f>
        <v>40.89758</v>
      </c>
      <c r="L2289" s="43"/>
      <c r="M2289" s="44"/>
      <c r="N2289" s="44"/>
      <c r="O2289" s="44"/>
      <c r="P2289" s="45"/>
      <c r="Q2289" s="44"/>
      <c r="R2289" s="46"/>
      <c r="S2289" s="47"/>
      <c r="T2289" s="47"/>
    </row>
    <row r="2290" s="27" customFormat="1" ht="25" customHeight="1" spans="1:20">
      <c r="A2290" s="34"/>
      <c r="B2290" s="48">
        <v>1</v>
      </c>
      <c r="C2290" s="49" t="s">
        <v>390</v>
      </c>
      <c r="D2290" s="48" t="s">
        <v>391</v>
      </c>
      <c r="E2290" s="48"/>
      <c r="F2290" s="50"/>
      <c r="G2290" s="48"/>
      <c r="H2290" s="51"/>
      <c r="I2290" s="52">
        <f>J2302</f>
        <v>68</v>
      </c>
      <c r="J2290" s="53" t="s">
        <v>392</v>
      </c>
      <c r="K2290" s="54"/>
      <c r="L2290" s="55" t="s">
        <v>584</v>
      </c>
      <c r="M2290" s="56" t="s">
        <v>585</v>
      </c>
      <c r="N2290" s="57"/>
      <c r="O2290" s="57">
        <v>3.23</v>
      </c>
      <c r="P2290" s="57">
        <v>1.2</v>
      </c>
      <c r="Q2290" s="57">
        <v>1</v>
      </c>
      <c r="R2290" s="58">
        <f>O2290</f>
        <v>3.23</v>
      </c>
      <c r="S2290" s="47"/>
      <c r="T2290" s="47"/>
    </row>
    <row r="2291" s="27" customFormat="1" ht="18" customHeight="1" spans="1:20">
      <c r="A2291" s="34"/>
      <c r="B2291" s="48">
        <v>2</v>
      </c>
      <c r="C2291" s="59"/>
      <c r="D2291" s="48" t="s">
        <v>394</v>
      </c>
      <c r="E2291" s="48"/>
      <c r="F2291" s="50"/>
      <c r="G2291" s="48"/>
      <c r="H2291" s="51"/>
      <c r="I2291" s="52">
        <f>J2327</f>
        <v>52.3362831858407</v>
      </c>
      <c r="J2291" s="53" t="s">
        <v>392</v>
      </c>
      <c r="K2291" s="60"/>
      <c r="L2291" s="61" t="s">
        <v>203</v>
      </c>
      <c r="M2291" s="44"/>
      <c r="N2291" s="44"/>
      <c r="O2291" s="44"/>
      <c r="P2291" s="44"/>
      <c r="Q2291" s="44"/>
      <c r="R2291" s="62"/>
      <c r="S2291" s="47"/>
      <c r="T2291" s="47"/>
    </row>
    <row r="2292" s="27" customFormat="1" ht="18" customHeight="1" spans="1:20">
      <c r="A2292" s="34"/>
      <c r="B2292" s="48">
        <v>3</v>
      </c>
      <c r="C2292" s="63"/>
      <c r="D2292" s="48" t="s">
        <v>395</v>
      </c>
      <c r="E2292" s="48"/>
      <c r="F2292" s="50"/>
      <c r="G2292" s="48"/>
      <c r="H2292" s="51"/>
      <c r="I2292" s="52">
        <f>J2328</f>
        <v>5</v>
      </c>
      <c r="J2292" s="53" t="s">
        <v>392</v>
      </c>
      <c r="K2292" s="60"/>
      <c r="L2292" s="60"/>
      <c r="M2292" s="64" t="s">
        <v>396</v>
      </c>
      <c r="N2292" s="65" t="s">
        <v>397</v>
      </c>
      <c r="O2292" s="65" t="s">
        <v>398</v>
      </c>
      <c r="P2292" s="65" t="s">
        <v>399</v>
      </c>
      <c r="Q2292" s="65" t="s">
        <v>400</v>
      </c>
      <c r="R2292" s="66" t="s">
        <v>401</v>
      </c>
      <c r="S2292" s="47"/>
      <c r="T2292" s="47"/>
    </row>
    <row r="2293" s="27" customFormat="1" ht="18" customHeight="1" spans="1:20">
      <c r="A2293" s="34"/>
      <c r="B2293" s="48">
        <v>4</v>
      </c>
      <c r="C2293" s="48" t="s">
        <v>402</v>
      </c>
      <c r="D2293" s="67" t="s">
        <v>403</v>
      </c>
      <c r="E2293" s="67"/>
      <c r="F2293" s="50"/>
      <c r="G2293" s="67"/>
      <c r="H2293" s="68"/>
      <c r="I2293" s="52">
        <f>SUM(I2290:I2292)</f>
        <v>125.336283185841</v>
      </c>
      <c r="J2293" s="53" t="s">
        <v>392</v>
      </c>
      <c r="K2293" s="60"/>
      <c r="L2293" s="69"/>
      <c r="M2293" s="34"/>
      <c r="N2293" s="34"/>
      <c r="O2293" s="34"/>
      <c r="P2293" s="34"/>
      <c r="Q2293" s="44"/>
      <c r="R2293" s="71"/>
      <c r="S2293" s="47"/>
      <c r="T2293" s="47"/>
    </row>
    <row r="2294" s="27" customFormat="1" ht="28" customHeight="1" spans="1:20">
      <c r="A2294" s="34"/>
      <c r="B2294" s="48">
        <v>5</v>
      </c>
      <c r="C2294" s="72" t="s">
        <v>406</v>
      </c>
      <c r="D2294" s="48" t="s">
        <v>407</v>
      </c>
      <c r="E2294" s="48"/>
      <c r="F2294" s="50"/>
      <c r="G2294" s="48"/>
      <c r="H2294" s="73">
        <f>+'材料表 '!$E$178</f>
        <v>0</v>
      </c>
      <c r="I2294" s="52">
        <f>H2294*I2293</f>
        <v>0</v>
      </c>
      <c r="J2294" s="53" t="s">
        <v>392</v>
      </c>
      <c r="K2294" s="60"/>
      <c r="L2294" s="69"/>
      <c r="M2294" s="34"/>
      <c r="N2294" s="34"/>
      <c r="O2294" s="34"/>
      <c r="P2294" s="34"/>
      <c r="Q2294" s="44"/>
      <c r="R2294" s="71"/>
      <c r="S2294" s="47"/>
      <c r="T2294" s="47"/>
    </row>
    <row r="2295" s="27" customFormat="1" ht="18" customHeight="1" spans="1:20">
      <c r="A2295" s="34"/>
      <c r="B2295" s="48">
        <v>6</v>
      </c>
      <c r="C2295" s="48" t="s">
        <v>409</v>
      </c>
      <c r="D2295" s="48" t="s">
        <v>410</v>
      </c>
      <c r="E2295" s="48"/>
      <c r="F2295" s="50"/>
      <c r="G2295" s="48"/>
      <c r="H2295" s="73">
        <f>+'材料表 '!$E$179</f>
        <v>0</v>
      </c>
      <c r="I2295" s="52">
        <f>H2295*I2293</f>
        <v>0</v>
      </c>
      <c r="J2295" s="53" t="s">
        <v>392</v>
      </c>
      <c r="K2295" s="60"/>
      <c r="L2295" s="69"/>
      <c r="M2295" s="34"/>
      <c r="N2295" s="34"/>
      <c r="O2295" s="34"/>
      <c r="P2295" s="34"/>
      <c r="Q2295" s="44"/>
      <c r="R2295" s="71"/>
      <c r="S2295" s="47"/>
      <c r="T2295" s="47"/>
    </row>
    <row r="2296" s="27" customFormat="1" ht="18" customHeight="1" spans="1:20">
      <c r="A2296" s="34"/>
      <c r="B2296" s="48">
        <v>7</v>
      </c>
      <c r="C2296" s="48" t="s">
        <v>412</v>
      </c>
      <c r="D2296" s="72" t="s">
        <v>413</v>
      </c>
      <c r="E2296" s="72"/>
      <c r="F2296" s="77"/>
      <c r="G2296" s="72"/>
      <c r="H2296" s="73">
        <f>+'材料表 '!$E$180</f>
        <v>0.09</v>
      </c>
      <c r="I2296" s="52">
        <f>(I2293+I2294+I2295)*H2296</f>
        <v>11.2802654867257</v>
      </c>
      <c r="J2296" s="53" t="s">
        <v>392</v>
      </c>
      <c r="K2296" s="60"/>
      <c r="L2296" s="69"/>
      <c r="M2296" s="34"/>
      <c r="N2296" s="34"/>
      <c r="O2296" s="34"/>
      <c r="P2296" s="34"/>
      <c r="Q2296" s="44"/>
      <c r="R2296" s="71"/>
      <c r="S2296" s="47"/>
      <c r="T2296" s="47"/>
    </row>
    <row r="2297" s="27" customFormat="1" ht="18" customHeight="1" spans="1:20">
      <c r="A2297" s="34" t="s">
        <v>336</v>
      </c>
      <c r="B2297" s="48">
        <v>8</v>
      </c>
      <c r="C2297" s="48" t="s">
        <v>363</v>
      </c>
      <c r="D2297" s="106" t="s">
        <v>415</v>
      </c>
      <c r="E2297" s="107"/>
      <c r="F2297" s="108"/>
      <c r="G2297" s="107"/>
      <c r="H2297" s="51"/>
      <c r="I2297" s="74">
        <f>SUM(I2293:I2296)</f>
        <v>136.616548672566</v>
      </c>
      <c r="J2297" s="53" t="s">
        <v>416</v>
      </c>
      <c r="K2297" s="60"/>
      <c r="L2297" s="69"/>
      <c r="M2297" s="34"/>
      <c r="N2297" s="100"/>
      <c r="O2297" s="34"/>
      <c r="P2297" s="44"/>
      <c r="Q2297" s="44"/>
      <c r="R2297" s="84"/>
      <c r="S2297" s="79"/>
      <c r="T2297" s="47"/>
    </row>
    <row r="2298" s="27" customFormat="1" ht="18" customHeight="1" spans="1:20">
      <c r="A2298" s="34"/>
      <c r="B2298" s="109" t="s">
        <v>418</v>
      </c>
      <c r="C2298" s="110"/>
      <c r="D2298" s="110"/>
      <c r="E2298" s="110"/>
      <c r="F2298" s="110"/>
      <c r="G2298" s="110"/>
      <c r="H2298" s="110"/>
      <c r="I2298" s="110"/>
      <c r="J2298" s="110"/>
      <c r="K2298" s="80"/>
      <c r="L2298" s="69"/>
      <c r="M2298" s="44"/>
      <c r="N2298" s="82"/>
      <c r="O2298" s="44"/>
      <c r="P2298" s="44"/>
      <c r="Q2298" s="44"/>
      <c r="R2298" s="84"/>
      <c r="S2298" s="47">
        <f>0.356</f>
        <v>0.356</v>
      </c>
      <c r="T2298" s="47">
        <f>S2298*P2298*O2298</f>
        <v>0</v>
      </c>
    </row>
    <row r="2299" s="27" customFormat="1" ht="18" customHeight="1" spans="1:20">
      <c r="A2299" s="34"/>
      <c r="B2299" s="48">
        <v>1</v>
      </c>
      <c r="C2299" s="48" t="s">
        <v>391</v>
      </c>
      <c r="D2299" s="48" t="s">
        <v>396</v>
      </c>
      <c r="E2299" s="48" t="s">
        <v>37</v>
      </c>
      <c r="F2299" s="50"/>
      <c r="G2299" s="48"/>
      <c r="H2299" s="51" t="s">
        <v>399</v>
      </c>
      <c r="I2299" s="51" t="s">
        <v>420</v>
      </c>
      <c r="J2299" s="95" t="s">
        <v>421</v>
      </c>
      <c r="K2299" s="92"/>
      <c r="L2299" s="69"/>
      <c r="M2299" s="44"/>
      <c r="N2299" s="82"/>
      <c r="O2299" s="44"/>
      <c r="P2299" s="44"/>
      <c r="Q2299" s="44"/>
      <c r="R2299" s="84"/>
      <c r="S2299" s="47"/>
      <c r="T2299" s="47"/>
    </row>
    <row r="2300" s="27" customFormat="1" ht="18" customHeight="1" spans="1:20">
      <c r="A2300" s="34"/>
      <c r="B2300" s="48">
        <v>2</v>
      </c>
      <c r="C2300" s="48"/>
      <c r="D2300" s="111" t="s">
        <v>604</v>
      </c>
      <c r="E2300" s="130" t="s">
        <v>423</v>
      </c>
      <c r="F2300" s="112"/>
      <c r="G2300" s="111"/>
      <c r="H2300" s="113">
        <v>1</v>
      </c>
      <c r="I2300" s="113">
        <f>+辅材及安装费!$G$4</f>
        <v>68</v>
      </c>
      <c r="J2300" s="114">
        <f t="shared" ref="J2300:J2305" si="245">H2300*I2300</f>
        <v>68</v>
      </c>
      <c r="K2300" s="92"/>
      <c r="L2300" s="69"/>
      <c r="M2300" s="44"/>
      <c r="N2300" s="82"/>
      <c r="O2300" s="44"/>
      <c r="P2300" s="44"/>
      <c r="Q2300" s="44"/>
      <c r="R2300" s="84"/>
      <c r="S2300" s="47"/>
      <c r="T2300" s="47"/>
    </row>
    <row r="2301" s="27" customFormat="1" ht="18" customHeight="1" spans="1:20">
      <c r="A2301" s="34"/>
      <c r="B2301" s="48">
        <v>3</v>
      </c>
      <c r="C2301" s="48"/>
      <c r="D2301" s="115"/>
      <c r="E2301" s="63"/>
      <c r="F2301" s="116"/>
      <c r="G2301" s="115"/>
      <c r="H2301" s="117"/>
      <c r="I2301" s="117"/>
      <c r="J2301" s="118"/>
      <c r="K2301" s="92"/>
      <c r="L2301" s="69"/>
      <c r="M2301" s="44"/>
      <c r="N2301" s="82"/>
      <c r="O2301" s="44"/>
      <c r="P2301" s="44"/>
      <c r="Q2301" s="44"/>
      <c r="R2301" s="84"/>
      <c r="S2301" s="47">
        <f>0.245</f>
        <v>0.245</v>
      </c>
      <c r="T2301" s="47">
        <f>S2301*P2301*O2301</f>
        <v>0</v>
      </c>
    </row>
    <row r="2302" s="27" customFormat="1" ht="18" customHeight="1" spans="1:20">
      <c r="A2302" s="34"/>
      <c r="B2302" s="48">
        <v>4</v>
      </c>
      <c r="C2302" s="48"/>
      <c r="D2302" s="85" t="s">
        <v>426</v>
      </c>
      <c r="E2302" s="48" t="s">
        <v>392</v>
      </c>
      <c r="F2302" s="50"/>
      <c r="G2302" s="48"/>
      <c r="H2302" s="86"/>
      <c r="I2302" s="86"/>
      <c r="J2302" s="95">
        <f>SUM(J2300:J2300)</f>
        <v>68</v>
      </c>
      <c r="K2302" s="92"/>
      <c r="L2302" s="90"/>
      <c r="M2302" s="44"/>
      <c r="N2302" s="82"/>
      <c r="O2302" s="44"/>
      <c r="P2302" s="44"/>
      <c r="Q2302" s="44"/>
      <c r="R2302" s="84"/>
      <c r="S2302" s="47"/>
      <c r="T2302" s="47"/>
    </row>
    <row r="2303" s="27" customFormat="1" ht="20" customHeight="1" spans="1:20">
      <c r="A2303" s="34"/>
      <c r="B2303" s="48">
        <v>1</v>
      </c>
      <c r="C2303" s="48" t="s">
        <v>394</v>
      </c>
      <c r="D2303" s="88" t="s">
        <v>475</v>
      </c>
      <c r="E2303" s="72" t="str">
        <f>+VLOOKUP(D2303,'材料表 '!C:F,2,0)</f>
        <v>m2</v>
      </c>
      <c r="F2303" s="77">
        <v>1</v>
      </c>
      <c r="G2303" s="89">
        <f>+VLOOKUP(D2303,'材料表 '!C:F,4,0)</f>
        <v>0.01</v>
      </c>
      <c r="H2303" s="74">
        <f t="shared" ref="H2303:H2305" si="246">F2303*(G2303+1)</f>
        <v>1.01</v>
      </c>
      <c r="I2303" s="74">
        <f>+VLOOKUP(D2303,'材料表 '!C:F,3,0)</f>
        <v>44.2477876106195</v>
      </c>
      <c r="J2303" s="95">
        <f t="shared" si="245"/>
        <v>44.6902654867257</v>
      </c>
      <c r="K2303" s="92">
        <f ca="1">H2303*K2289</f>
        <v>41.3065558</v>
      </c>
      <c r="L2303" s="90"/>
      <c r="M2303" s="44"/>
      <c r="N2303" s="82"/>
      <c r="O2303" s="44"/>
      <c r="P2303" s="44"/>
      <c r="Q2303" s="44"/>
      <c r="R2303" s="84"/>
      <c r="S2303" s="47"/>
      <c r="T2303" s="47"/>
    </row>
    <row r="2304" s="27" customFormat="1" ht="18" customHeight="1" spans="1:20">
      <c r="A2304" s="34"/>
      <c r="B2304" s="48">
        <v>2</v>
      </c>
      <c r="C2304" s="48"/>
      <c r="D2304" s="88"/>
      <c r="E2304" s="72"/>
      <c r="F2304" s="77"/>
      <c r="G2304" s="89"/>
      <c r="H2304" s="74"/>
      <c r="I2304" s="74"/>
      <c r="J2304" s="95"/>
      <c r="K2304" s="92">
        <f ca="1">H2304*K2289</f>
        <v>0</v>
      </c>
      <c r="L2304" s="90"/>
      <c r="M2304" s="44"/>
      <c r="N2304" s="82"/>
      <c r="O2304" s="44"/>
      <c r="P2304" s="44"/>
      <c r="Q2304" s="44"/>
      <c r="R2304" s="84"/>
      <c r="S2304" s="47"/>
      <c r="T2304" s="47"/>
    </row>
    <row r="2305" s="27" customFormat="1" ht="18" customHeight="1" spans="1:20">
      <c r="A2305" s="34"/>
      <c r="B2305" s="48">
        <v>3</v>
      </c>
      <c r="C2305" s="48"/>
      <c r="D2305" s="88" t="s">
        <v>476</v>
      </c>
      <c r="E2305" s="72" t="str">
        <f>+VLOOKUP(D2305,'材料表 '!C:F,2,0)</f>
        <v>支</v>
      </c>
      <c r="F2305" s="77">
        <v>0.2</v>
      </c>
      <c r="G2305" s="89">
        <f>+VLOOKUP(D2305,'材料表 '!C:F,4,0)</f>
        <v>0.15</v>
      </c>
      <c r="H2305" s="74">
        <f t="shared" si="246"/>
        <v>0.23</v>
      </c>
      <c r="I2305" s="74">
        <f>+VLOOKUP(D2305,'材料表 '!C:F,3,0)</f>
        <v>11.5044247787611</v>
      </c>
      <c r="J2305" s="95">
        <f t="shared" si="245"/>
        <v>2.64601769911505</v>
      </c>
      <c r="K2305" s="92">
        <f ca="1">H2305*K2289</f>
        <v>9.4064434</v>
      </c>
      <c r="L2305" s="90"/>
      <c r="M2305" s="44"/>
      <c r="N2305" s="82"/>
      <c r="O2305" s="44"/>
      <c r="P2305" s="44"/>
      <c r="Q2305" s="44"/>
      <c r="R2305" s="84"/>
      <c r="S2305" s="47"/>
      <c r="T2305" s="47"/>
    </row>
    <row r="2306" s="27" customFormat="1" ht="18" customHeight="1" spans="1:20">
      <c r="A2306" s="34"/>
      <c r="B2306" s="48">
        <v>4</v>
      </c>
      <c r="C2306" s="48"/>
      <c r="D2306" s="88"/>
      <c r="E2306" s="72"/>
      <c r="F2306" s="77"/>
      <c r="G2306" s="89"/>
      <c r="H2306" s="74"/>
      <c r="I2306" s="74"/>
      <c r="J2306" s="95"/>
      <c r="K2306" s="92">
        <f ca="1">H2306*K2289</f>
        <v>0</v>
      </c>
      <c r="L2306" s="90"/>
      <c r="M2306" s="44"/>
      <c r="N2306" s="82"/>
      <c r="O2306" s="44"/>
      <c r="P2306" s="44"/>
      <c r="Q2306" s="44"/>
      <c r="R2306" s="84"/>
      <c r="S2306" s="47"/>
      <c r="T2306" s="47"/>
    </row>
    <row r="2307" s="27" customFormat="1" ht="18" customHeight="1" spans="1:20">
      <c r="A2307" s="34"/>
      <c r="B2307" s="48">
        <v>5</v>
      </c>
      <c r="C2307" s="48"/>
      <c r="D2307" s="88"/>
      <c r="E2307" s="72"/>
      <c r="F2307" s="77"/>
      <c r="G2307" s="89"/>
      <c r="H2307" s="74"/>
      <c r="I2307" s="74"/>
      <c r="J2307" s="95"/>
      <c r="K2307" s="92">
        <f ca="1">H2307*K2289</f>
        <v>0</v>
      </c>
      <c r="L2307" s="92"/>
      <c r="M2307" s="44"/>
      <c r="N2307" s="82"/>
      <c r="O2307" s="44"/>
      <c r="P2307" s="44"/>
      <c r="Q2307" s="44"/>
      <c r="R2307" s="84"/>
      <c r="S2307" s="47"/>
      <c r="T2307" s="47"/>
    </row>
    <row r="2308" s="27" customFormat="1" ht="18" customHeight="1" spans="1:20">
      <c r="A2308" s="34"/>
      <c r="B2308" s="48">
        <v>6</v>
      </c>
      <c r="C2308" s="48"/>
      <c r="D2308" s="88"/>
      <c r="E2308" s="72"/>
      <c r="F2308" s="77"/>
      <c r="G2308" s="89"/>
      <c r="H2308" s="74"/>
      <c r="I2308" s="74"/>
      <c r="J2308" s="95"/>
      <c r="K2308" s="92">
        <f ca="1">H2308*K2289</f>
        <v>0</v>
      </c>
      <c r="L2308" s="92"/>
      <c r="M2308" s="44"/>
      <c r="N2308" s="82"/>
      <c r="O2308" s="44"/>
      <c r="P2308" s="44"/>
      <c r="Q2308" s="44"/>
      <c r="R2308" s="84"/>
      <c r="S2308" s="47"/>
      <c r="T2308" s="47"/>
    </row>
    <row r="2309" s="27" customFormat="1" ht="18" customHeight="1" spans="1:20">
      <c r="A2309" s="34"/>
      <c r="B2309" s="48">
        <v>7</v>
      </c>
      <c r="C2309" s="48"/>
      <c r="D2309" s="88"/>
      <c r="E2309" s="72"/>
      <c r="F2309" s="77"/>
      <c r="G2309" s="89"/>
      <c r="H2309" s="74"/>
      <c r="I2309" s="74"/>
      <c r="J2309" s="95"/>
      <c r="K2309" s="92">
        <f ca="1">H2309*K2289</f>
        <v>0</v>
      </c>
      <c r="L2309" s="92"/>
      <c r="M2309" s="44"/>
      <c r="N2309" s="82"/>
      <c r="O2309" s="44"/>
      <c r="P2309" s="44"/>
      <c r="Q2309" s="44"/>
      <c r="R2309" s="84"/>
      <c r="S2309" s="47"/>
      <c r="T2309" s="47"/>
    </row>
    <row r="2310" s="27" customFormat="1" ht="18" customHeight="1" spans="1:20">
      <c r="A2310" s="34"/>
      <c r="B2310" s="48">
        <v>8</v>
      </c>
      <c r="C2310" s="48"/>
      <c r="D2310" s="88"/>
      <c r="E2310" s="72"/>
      <c r="F2310" s="77"/>
      <c r="G2310" s="89"/>
      <c r="H2310" s="74"/>
      <c r="I2310" s="74"/>
      <c r="J2310" s="95"/>
      <c r="K2310" s="92">
        <f ca="1">H2310*K2289</f>
        <v>0</v>
      </c>
      <c r="L2310" s="92"/>
      <c r="M2310" s="44"/>
      <c r="N2310" s="82"/>
      <c r="O2310" s="44"/>
      <c r="P2310" s="44"/>
      <c r="Q2310" s="44"/>
      <c r="R2310" s="84"/>
      <c r="S2310" s="47"/>
      <c r="T2310" s="47"/>
    </row>
    <row r="2311" s="27" customFormat="1" ht="18" customHeight="1" spans="1:20">
      <c r="A2311" s="34"/>
      <c r="B2311" s="48">
        <v>9</v>
      </c>
      <c r="C2311" s="48"/>
      <c r="D2311" s="88"/>
      <c r="E2311" s="72"/>
      <c r="F2311" s="77"/>
      <c r="G2311" s="89"/>
      <c r="H2311" s="74"/>
      <c r="I2311" s="74"/>
      <c r="J2311" s="95"/>
      <c r="K2311" s="92">
        <f ca="1">H2311*K2289</f>
        <v>0</v>
      </c>
      <c r="L2311" s="90"/>
      <c r="M2311" s="44"/>
      <c r="N2311" s="82"/>
      <c r="O2311" s="34"/>
      <c r="P2311" s="44"/>
      <c r="Q2311" s="44"/>
      <c r="R2311" s="119"/>
      <c r="S2311" s="47"/>
      <c r="T2311" s="47"/>
    </row>
    <row r="2312" s="27" customFormat="1" ht="18" customHeight="1" spans="1:20">
      <c r="A2312" s="34"/>
      <c r="B2312" s="48">
        <v>10</v>
      </c>
      <c r="C2312" s="48"/>
      <c r="D2312" s="88"/>
      <c r="E2312" s="72"/>
      <c r="F2312" s="77"/>
      <c r="G2312" s="89"/>
      <c r="H2312" s="74"/>
      <c r="I2312" s="74"/>
      <c r="J2312" s="95"/>
      <c r="K2312" s="92">
        <f ca="1">H2312*K2289</f>
        <v>0</v>
      </c>
      <c r="L2312" s="92"/>
      <c r="M2312" s="120"/>
      <c r="N2312" s="82"/>
      <c r="O2312" s="44"/>
      <c r="P2312" s="44"/>
      <c r="Q2312" s="44"/>
      <c r="R2312" s="84"/>
      <c r="S2312" s="47"/>
      <c r="T2312" s="47"/>
    </row>
    <row r="2313" s="27" customFormat="1" ht="18" customHeight="1" spans="1:20">
      <c r="A2313" s="34"/>
      <c r="B2313" s="48">
        <v>11</v>
      </c>
      <c r="C2313" s="48"/>
      <c r="D2313" s="88"/>
      <c r="E2313" s="72"/>
      <c r="F2313" s="77"/>
      <c r="G2313" s="89"/>
      <c r="H2313" s="74"/>
      <c r="I2313" s="74"/>
      <c r="J2313" s="95"/>
      <c r="K2313" s="92">
        <f ca="1">H2313*K2289</f>
        <v>0</v>
      </c>
      <c r="L2313" s="92"/>
      <c r="M2313" s="44"/>
      <c r="N2313" s="82"/>
      <c r="O2313" s="44"/>
      <c r="P2313" s="44"/>
      <c r="Q2313" s="44"/>
      <c r="R2313" s="84"/>
      <c r="S2313" s="47"/>
      <c r="T2313" s="47"/>
    </row>
    <row r="2314" s="27" customFormat="1" ht="18" customHeight="1" spans="1:20">
      <c r="A2314" s="34"/>
      <c r="B2314" s="48">
        <v>12</v>
      </c>
      <c r="C2314" s="48"/>
      <c r="D2314" s="88"/>
      <c r="E2314" s="72"/>
      <c r="F2314" s="77"/>
      <c r="G2314" s="89"/>
      <c r="H2314" s="74"/>
      <c r="I2314" s="74"/>
      <c r="J2314" s="95"/>
      <c r="K2314" s="92"/>
      <c r="L2314" s="92"/>
      <c r="M2314" s="44"/>
      <c r="N2314" s="44"/>
      <c r="O2314" s="44"/>
      <c r="P2314" s="44"/>
      <c r="Q2314" s="44"/>
      <c r="R2314" s="84"/>
      <c r="S2314" s="47"/>
      <c r="T2314" s="47"/>
    </row>
    <row r="2315" s="27" customFormat="1" ht="18" customHeight="1" spans="1:20">
      <c r="A2315" s="34"/>
      <c r="B2315" s="48">
        <v>13</v>
      </c>
      <c r="C2315" s="48"/>
      <c r="D2315" s="88"/>
      <c r="E2315" s="72"/>
      <c r="F2315" s="77"/>
      <c r="G2315" s="89"/>
      <c r="H2315" s="74"/>
      <c r="I2315" s="74"/>
      <c r="J2315" s="95"/>
      <c r="K2315" s="92"/>
      <c r="L2315" s="92"/>
      <c r="M2315" s="44"/>
      <c r="N2315" s="44"/>
      <c r="O2315" s="44"/>
      <c r="P2315" s="44"/>
      <c r="Q2315" s="44"/>
      <c r="R2315" s="84"/>
      <c r="S2315" s="47"/>
      <c r="T2315" s="47"/>
    </row>
    <row r="2316" s="27" customFormat="1" ht="24" customHeight="1" spans="1:20">
      <c r="A2316" s="34"/>
      <c r="B2316" s="48">
        <v>14</v>
      </c>
      <c r="C2316" s="48"/>
      <c r="D2316" s="88"/>
      <c r="E2316" s="72"/>
      <c r="F2316" s="77"/>
      <c r="G2316" s="89"/>
      <c r="H2316" s="74"/>
      <c r="I2316" s="74"/>
      <c r="J2316" s="95"/>
      <c r="K2316" s="92"/>
      <c r="L2316" s="92"/>
      <c r="M2316" s="44"/>
      <c r="N2316" s="44"/>
      <c r="O2316" s="44"/>
      <c r="P2316" s="44"/>
      <c r="Q2316" s="44"/>
      <c r="R2316" s="84"/>
      <c r="S2316" s="47"/>
      <c r="T2316" s="47"/>
    </row>
    <row r="2317" s="27" customFormat="1" ht="18" customHeight="1" spans="1:20">
      <c r="A2317" s="34"/>
      <c r="B2317" s="48">
        <v>15</v>
      </c>
      <c r="C2317" s="48"/>
      <c r="D2317" s="88"/>
      <c r="E2317" s="72"/>
      <c r="F2317" s="77"/>
      <c r="G2317" s="89"/>
      <c r="H2317" s="74"/>
      <c r="I2317" s="74"/>
      <c r="J2317" s="95"/>
      <c r="K2317" s="92"/>
      <c r="L2317" s="92"/>
      <c r="M2317" s="44"/>
      <c r="N2317" s="44"/>
      <c r="O2317" s="44"/>
      <c r="P2317" s="44"/>
      <c r="Q2317" s="44"/>
      <c r="R2317" s="84"/>
      <c r="S2317" s="47"/>
      <c r="T2317" s="47"/>
    </row>
    <row r="2318" s="27" customFormat="1" ht="18" customHeight="1" spans="1:20">
      <c r="A2318" s="34"/>
      <c r="B2318" s="48">
        <v>16</v>
      </c>
      <c r="C2318" s="48"/>
      <c r="D2318" s="88"/>
      <c r="E2318" s="72"/>
      <c r="F2318" s="77"/>
      <c r="G2318" s="89"/>
      <c r="H2318" s="74"/>
      <c r="I2318" s="74"/>
      <c r="J2318" s="95"/>
      <c r="K2318" s="92"/>
      <c r="L2318" s="92"/>
      <c r="M2318" s="44"/>
      <c r="N2318" s="44"/>
      <c r="O2318" s="44"/>
      <c r="P2318" s="44"/>
      <c r="Q2318" s="44"/>
      <c r="R2318" s="84"/>
      <c r="S2318" s="47"/>
      <c r="T2318" s="47"/>
    </row>
    <row r="2319" s="27" customFormat="1" ht="18" customHeight="1" spans="1:20">
      <c r="A2319" s="34"/>
      <c r="B2319" s="48">
        <v>17</v>
      </c>
      <c r="C2319" s="48"/>
      <c r="D2319" s="121"/>
      <c r="E2319" s="72"/>
      <c r="F2319" s="77"/>
      <c r="G2319" s="89"/>
      <c r="H2319" s="74"/>
      <c r="I2319" s="74"/>
      <c r="J2319" s="95"/>
      <c r="K2319" s="92"/>
      <c r="L2319" s="92"/>
      <c r="M2319" s="44"/>
      <c r="N2319" s="44"/>
      <c r="O2319" s="44"/>
      <c r="P2319" s="44"/>
      <c r="Q2319" s="101"/>
      <c r="R2319" s="84"/>
      <c r="S2319" s="47"/>
      <c r="T2319" s="47"/>
    </row>
    <row r="2320" s="27" customFormat="1" ht="18" customHeight="1" spans="1:20">
      <c r="A2320" s="34"/>
      <c r="B2320" s="48">
        <v>18</v>
      </c>
      <c r="C2320" s="48"/>
      <c r="D2320" s="88"/>
      <c r="E2320" s="72"/>
      <c r="F2320" s="77"/>
      <c r="G2320" s="89"/>
      <c r="H2320" s="74"/>
      <c r="I2320" s="74"/>
      <c r="J2320" s="95"/>
      <c r="K2320" s="92"/>
      <c r="L2320" s="92"/>
      <c r="M2320" s="44"/>
      <c r="N2320" s="44"/>
      <c r="O2320" s="44"/>
      <c r="P2320" s="44"/>
      <c r="Q2320" s="44"/>
      <c r="R2320" s="84"/>
      <c r="S2320" s="47"/>
      <c r="T2320" s="47"/>
    </row>
    <row r="2321" s="27" customFormat="1" ht="18" customHeight="1" spans="1:20">
      <c r="A2321" s="34"/>
      <c r="B2321" s="48">
        <v>19</v>
      </c>
      <c r="C2321" s="48"/>
      <c r="D2321" s="27"/>
      <c r="E2321" s="72"/>
      <c r="F2321" s="77"/>
      <c r="G2321" s="89"/>
      <c r="H2321" s="74"/>
      <c r="I2321" s="74"/>
      <c r="J2321" s="95"/>
      <c r="K2321" s="92"/>
      <c r="L2321" s="92"/>
      <c r="M2321" s="44"/>
      <c r="N2321" s="44"/>
      <c r="O2321" s="44"/>
      <c r="P2321" s="44"/>
      <c r="Q2321" s="44"/>
      <c r="R2321" s="84"/>
      <c r="S2321" s="47"/>
      <c r="T2321" s="47"/>
    </row>
    <row r="2322" s="27" customFormat="1" ht="18" customHeight="1" spans="1:20">
      <c r="A2322" s="34"/>
      <c r="B2322" s="48">
        <v>20</v>
      </c>
      <c r="C2322" s="48"/>
      <c r="D2322" s="88"/>
      <c r="E2322" s="72"/>
      <c r="F2322" s="77"/>
      <c r="G2322" s="89"/>
      <c r="H2322" s="74"/>
      <c r="I2322" s="74"/>
      <c r="J2322" s="95"/>
      <c r="K2322" s="92"/>
      <c r="L2322" s="92"/>
      <c r="M2322" s="44"/>
      <c r="N2322" s="44"/>
      <c r="O2322" s="44"/>
      <c r="P2322" s="44"/>
      <c r="Q2322" s="44"/>
      <c r="R2322" s="84"/>
      <c r="S2322" s="47"/>
      <c r="T2322" s="47"/>
    </row>
    <row r="2323" s="27" customFormat="1" ht="18" customHeight="1" spans="1:20">
      <c r="A2323" s="34"/>
      <c r="B2323" s="48">
        <v>21</v>
      </c>
      <c r="C2323" s="48"/>
      <c r="D2323" s="88"/>
      <c r="E2323" s="72"/>
      <c r="F2323" s="77"/>
      <c r="G2323" s="89"/>
      <c r="H2323" s="74"/>
      <c r="I2323" s="74"/>
      <c r="J2323" s="95"/>
      <c r="K2323" s="92"/>
      <c r="L2323" s="92"/>
      <c r="M2323" s="44"/>
      <c r="N2323" s="44"/>
      <c r="O2323" s="44"/>
      <c r="P2323" s="44"/>
      <c r="Q2323" s="44"/>
      <c r="R2323" s="84"/>
      <c r="S2323" s="47"/>
      <c r="T2323" s="47"/>
    </row>
    <row r="2324" s="27" customFormat="1" ht="18" customHeight="1" spans="1:20">
      <c r="A2324" s="34"/>
      <c r="B2324" s="48">
        <v>22</v>
      </c>
      <c r="C2324" s="48"/>
      <c r="D2324" s="27"/>
      <c r="E2324" s="72"/>
      <c r="F2324" s="77"/>
      <c r="G2324" s="72"/>
      <c r="H2324" s="74"/>
      <c r="I2324" s="74"/>
      <c r="J2324" s="95"/>
      <c r="K2324" s="92"/>
      <c r="L2324" s="92"/>
      <c r="M2324" s="44"/>
      <c r="N2324" s="44"/>
      <c r="O2324" s="44"/>
      <c r="P2324" s="44"/>
      <c r="Q2324" s="44"/>
      <c r="R2324" s="62"/>
      <c r="S2324" s="47"/>
      <c r="T2324" s="47"/>
    </row>
    <row r="2325" s="27" customFormat="1" ht="18" customHeight="1" spans="1:20">
      <c r="A2325" s="34"/>
      <c r="B2325" s="48">
        <v>23</v>
      </c>
      <c r="C2325" s="48"/>
      <c r="D2325" s="88"/>
      <c r="E2325" s="72"/>
      <c r="F2325" s="77"/>
      <c r="G2325" s="89"/>
      <c r="H2325" s="74"/>
      <c r="I2325" s="74"/>
      <c r="J2325" s="95"/>
      <c r="K2325" s="92"/>
      <c r="L2325" s="92"/>
      <c r="M2325" s="44"/>
      <c r="N2325" s="44"/>
      <c r="O2325" s="44"/>
      <c r="P2325" s="44"/>
      <c r="Q2325" s="44"/>
      <c r="R2325" s="62"/>
      <c r="S2325" s="47"/>
      <c r="T2325" s="47"/>
    </row>
    <row r="2326" s="27" customFormat="1" ht="18" customHeight="1" spans="1:20">
      <c r="A2326" s="34"/>
      <c r="B2326" s="48">
        <v>24</v>
      </c>
      <c r="C2326" s="48"/>
      <c r="D2326" s="88" t="s">
        <v>478</v>
      </c>
      <c r="E2326" s="132" t="s">
        <v>423</v>
      </c>
      <c r="F2326" s="77"/>
      <c r="G2326" s="72">
        <v>1</v>
      </c>
      <c r="H2326" s="74">
        <v>1</v>
      </c>
      <c r="I2326" s="74">
        <f>+辅材及安装费!$E$4</f>
        <v>5</v>
      </c>
      <c r="J2326" s="95">
        <f>H2326*I2326</f>
        <v>5</v>
      </c>
      <c r="K2326" s="92"/>
      <c r="L2326" s="92"/>
      <c r="M2326" s="44"/>
      <c r="N2326" s="44"/>
      <c r="O2326" s="44"/>
      <c r="P2326" s="44"/>
      <c r="Q2326" s="44"/>
      <c r="R2326" s="62"/>
      <c r="S2326" s="47"/>
      <c r="T2326" s="47"/>
    </row>
    <row r="2327" s="27" customFormat="1" ht="18" customHeight="1" spans="1:20">
      <c r="A2327" s="34"/>
      <c r="B2327" s="48">
        <v>25</v>
      </c>
      <c r="C2327" s="48"/>
      <c r="D2327" s="93" t="s">
        <v>442</v>
      </c>
      <c r="E2327" s="72"/>
      <c r="F2327" s="77"/>
      <c r="G2327" s="72"/>
      <c r="H2327" s="74"/>
      <c r="I2327" s="74"/>
      <c r="J2327" s="95">
        <f>SUM(J2303:J2326)</f>
        <v>52.3362831858407</v>
      </c>
      <c r="K2327" s="92"/>
      <c r="L2327" s="94"/>
      <c r="N2327" s="83"/>
      <c r="O2327" s="83"/>
      <c r="P2327" s="83"/>
      <c r="Q2327" s="83"/>
      <c r="R2327" s="87"/>
      <c r="S2327" s="47"/>
      <c r="T2327" s="47"/>
    </row>
    <row r="2328" s="27" customFormat="1" ht="18" customHeight="1" spans="1:20">
      <c r="A2328" s="34"/>
      <c r="B2328" s="48">
        <v>1</v>
      </c>
      <c r="C2328" s="48" t="s">
        <v>443</v>
      </c>
      <c r="D2328" s="48" t="s">
        <v>444</v>
      </c>
      <c r="E2328" s="132" t="s">
        <v>423</v>
      </c>
      <c r="F2328" s="50"/>
      <c r="G2328" s="48"/>
      <c r="H2328" s="51">
        <v>1</v>
      </c>
      <c r="I2328" s="74">
        <f>+辅材及安装费!$F$4</f>
        <v>5</v>
      </c>
      <c r="J2328" s="95">
        <f>H2328*I2328</f>
        <v>5</v>
      </c>
      <c r="K2328" s="118"/>
      <c r="L2328" s="96"/>
      <c r="M2328" s="97"/>
      <c r="N2328" s="98"/>
      <c r="O2328" s="98"/>
      <c r="P2328" s="98"/>
      <c r="Q2328" s="98"/>
      <c r="R2328" s="99"/>
      <c r="S2328" s="47"/>
      <c r="T2328" s="47"/>
    </row>
    <row r="2329" s="26" customFormat="1" ht="30" customHeight="1" spans="1:20">
      <c r="A2329" s="28"/>
      <c r="B2329" s="29" t="s">
        <v>386</v>
      </c>
      <c r="C2329" s="29"/>
      <c r="D2329" s="29"/>
      <c r="E2329" s="29"/>
      <c r="F2329" s="29"/>
      <c r="G2329" s="29"/>
      <c r="H2329" s="29"/>
      <c r="I2329" s="29"/>
      <c r="J2329" s="29"/>
      <c r="K2329" s="29"/>
      <c r="L2329" s="30"/>
      <c r="M2329" s="31"/>
      <c r="N2329" s="31"/>
      <c r="O2329" s="31"/>
      <c r="P2329" s="31"/>
      <c r="Q2329" s="31"/>
      <c r="R2329" s="32"/>
      <c r="S2329" s="33"/>
      <c r="T2329" s="33"/>
    </row>
    <row r="2330" s="27" customFormat="1" ht="33.75" customHeight="1" spans="1:20">
      <c r="A2330" s="34">
        <v>4</v>
      </c>
      <c r="B2330" s="35" t="s">
        <v>1</v>
      </c>
      <c r="C2330" s="35" t="s">
        <v>387</v>
      </c>
      <c r="D2330" s="36" t="str">
        <f>+A2338</f>
        <v>1.5㎜镀锌钢板封堵</v>
      </c>
      <c r="E2330" s="37"/>
      <c r="F2330" s="38"/>
      <c r="G2330" s="39"/>
      <c r="H2330" s="35" t="s">
        <v>388</v>
      </c>
      <c r="I2330" s="40" t="s">
        <v>389</v>
      </c>
      <c r="J2330" s="41" t="s">
        <v>37</v>
      </c>
      <c r="K2330" s="42">
        <f ca="1">VLOOKUP(A2330,排屋工程量清单!$A$111:$D$116,4,)</f>
        <v>18.299204</v>
      </c>
      <c r="L2330" s="43"/>
      <c r="M2330" s="44"/>
      <c r="N2330" s="44"/>
      <c r="O2330" s="44"/>
      <c r="P2330" s="45"/>
      <c r="Q2330" s="44"/>
      <c r="R2330" s="46"/>
      <c r="S2330" s="47"/>
      <c r="T2330" s="47"/>
    </row>
    <row r="2331" s="27" customFormat="1" ht="25" customHeight="1" spans="1:20">
      <c r="A2331" s="34"/>
      <c r="B2331" s="48">
        <v>1</v>
      </c>
      <c r="C2331" s="49" t="s">
        <v>390</v>
      </c>
      <c r="D2331" s="48" t="s">
        <v>391</v>
      </c>
      <c r="E2331" s="48"/>
      <c r="F2331" s="50"/>
      <c r="G2331" s="48"/>
      <c r="H2331" s="51"/>
      <c r="I2331" s="52">
        <f>J2343</f>
        <v>35</v>
      </c>
      <c r="J2331" s="53" t="s">
        <v>392</v>
      </c>
      <c r="K2331" s="54"/>
      <c r="L2331" s="55" t="s">
        <v>584</v>
      </c>
      <c r="M2331" s="56" t="s">
        <v>585</v>
      </c>
      <c r="N2331" s="57"/>
      <c r="O2331" s="57">
        <v>3.23</v>
      </c>
      <c r="P2331" s="57">
        <v>1.2</v>
      </c>
      <c r="Q2331" s="57">
        <v>1</v>
      </c>
      <c r="R2331" s="58">
        <f>O2331</f>
        <v>3.23</v>
      </c>
      <c r="S2331" s="47"/>
      <c r="T2331" s="47"/>
    </row>
    <row r="2332" s="27" customFormat="1" ht="18" customHeight="1" spans="1:20">
      <c r="A2332" s="34"/>
      <c r="B2332" s="48">
        <v>2</v>
      </c>
      <c r="C2332" s="59"/>
      <c r="D2332" s="48" t="s">
        <v>394</v>
      </c>
      <c r="E2332" s="48"/>
      <c r="F2332" s="50"/>
      <c r="G2332" s="48"/>
      <c r="H2332" s="51"/>
      <c r="I2332" s="52">
        <f>J2368</f>
        <v>48.3362831858407</v>
      </c>
      <c r="J2332" s="53" t="s">
        <v>392</v>
      </c>
      <c r="K2332" s="60"/>
      <c r="L2332" s="61" t="s">
        <v>203</v>
      </c>
      <c r="M2332" s="44"/>
      <c r="N2332" s="44"/>
      <c r="O2332" s="44"/>
      <c r="P2332" s="44"/>
      <c r="Q2332" s="44"/>
      <c r="R2332" s="62"/>
      <c r="S2332" s="47"/>
      <c r="T2332" s="47"/>
    </row>
    <row r="2333" s="27" customFormat="1" ht="18" customHeight="1" spans="1:20">
      <c r="A2333" s="34"/>
      <c r="B2333" s="48">
        <v>3</v>
      </c>
      <c r="C2333" s="63"/>
      <c r="D2333" s="48" t="s">
        <v>395</v>
      </c>
      <c r="E2333" s="48"/>
      <c r="F2333" s="50"/>
      <c r="G2333" s="48"/>
      <c r="H2333" s="51"/>
      <c r="I2333" s="52">
        <f>J2369</f>
        <v>1</v>
      </c>
      <c r="J2333" s="53" t="s">
        <v>392</v>
      </c>
      <c r="K2333" s="60"/>
      <c r="L2333" s="60"/>
      <c r="M2333" s="64" t="s">
        <v>396</v>
      </c>
      <c r="N2333" s="65" t="s">
        <v>397</v>
      </c>
      <c r="O2333" s="65" t="s">
        <v>398</v>
      </c>
      <c r="P2333" s="65" t="s">
        <v>399</v>
      </c>
      <c r="Q2333" s="65" t="s">
        <v>400</v>
      </c>
      <c r="R2333" s="66" t="s">
        <v>401</v>
      </c>
      <c r="S2333" s="47"/>
      <c r="T2333" s="47"/>
    </row>
    <row r="2334" s="27" customFormat="1" ht="18" customHeight="1" spans="1:20">
      <c r="A2334" s="34"/>
      <c r="B2334" s="48">
        <v>4</v>
      </c>
      <c r="C2334" s="48" t="s">
        <v>402</v>
      </c>
      <c r="D2334" s="67" t="s">
        <v>403</v>
      </c>
      <c r="E2334" s="67"/>
      <c r="F2334" s="50"/>
      <c r="G2334" s="67"/>
      <c r="H2334" s="68"/>
      <c r="I2334" s="52">
        <f>SUM(I2331:I2333)</f>
        <v>84.3362831858408</v>
      </c>
      <c r="J2334" s="53" t="s">
        <v>392</v>
      </c>
      <c r="K2334" s="60"/>
      <c r="L2334" s="69"/>
      <c r="M2334" s="34"/>
      <c r="N2334" s="34"/>
      <c r="O2334" s="34"/>
      <c r="P2334" s="34"/>
      <c r="Q2334" s="44"/>
      <c r="R2334" s="71"/>
      <c r="S2334" s="47"/>
      <c r="T2334" s="47"/>
    </row>
    <row r="2335" s="27" customFormat="1" ht="28" customHeight="1" spans="1:20">
      <c r="A2335" s="34"/>
      <c r="B2335" s="48">
        <v>5</v>
      </c>
      <c r="C2335" s="72" t="s">
        <v>406</v>
      </c>
      <c r="D2335" s="48" t="s">
        <v>407</v>
      </c>
      <c r="E2335" s="48"/>
      <c r="F2335" s="50"/>
      <c r="G2335" s="48"/>
      <c r="H2335" s="73">
        <f>+'材料表 '!$E$178</f>
        <v>0</v>
      </c>
      <c r="I2335" s="52">
        <f>H2335*I2334</f>
        <v>0</v>
      </c>
      <c r="J2335" s="53" t="s">
        <v>392</v>
      </c>
      <c r="K2335" s="60"/>
      <c r="L2335" s="69"/>
      <c r="M2335" s="34"/>
      <c r="N2335" s="34"/>
      <c r="O2335" s="34"/>
      <c r="P2335" s="34"/>
      <c r="Q2335" s="44"/>
      <c r="R2335" s="71"/>
      <c r="S2335" s="47"/>
      <c r="T2335" s="47"/>
    </row>
    <row r="2336" s="27" customFormat="1" ht="18" customHeight="1" spans="1:20">
      <c r="A2336" s="34"/>
      <c r="B2336" s="48">
        <v>6</v>
      </c>
      <c r="C2336" s="48" t="s">
        <v>409</v>
      </c>
      <c r="D2336" s="48" t="s">
        <v>410</v>
      </c>
      <c r="E2336" s="48"/>
      <c r="F2336" s="50"/>
      <c r="G2336" s="48"/>
      <c r="H2336" s="73">
        <f>+'材料表 '!$E$179</f>
        <v>0</v>
      </c>
      <c r="I2336" s="52">
        <f>H2336*I2334</f>
        <v>0</v>
      </c>
      <c r="J2336" s="53" t="s">
        <v>392</v>
      </c>
      <c r="K2336" s="60"/>
      <c r="L2336" s="69"/>
      <c r="M2336" s="34"/>
      <c r="N2336" s="34"/>
      <c r="O2336" s="34"/>
      <c r="P2336" s="34"/>
      <c r="Q2336" s="44"/>
      <c r="R2336" s="71"/>
      <c r="S2336" s="47"/>
      <c r="T2336" s="47"/>
    </row>
    <row r="2337" s="27" customFormat="1" ht="18" customHeight="1" spans="1:20">
      <c r="A2337" s="34"/>
      <c r="B2337" s="48">
        <v>7</v>
      </c>
      <c r="C2337" s="48" t="s">
        <v>412</v>
      </c>
      <c r="D2337" s="72" t="s">
        <v>413</v>
      </c>
      <c r="E2337" s="72"/>
      <c r="F2337" s="77"/>
      <c r="G2337" s="72"/>
      <c r="H2337" s="73">
        <f>+'材料表 '!$E$180</f>
        <v>0.09</v>
      </c>
      <c r="I2337" s="52">
        <f>(I2334+I2335+I2336)*H2337</f>
        <v>7.59026548672567</v>
      </c>
      <c r="J2337" s="53" t="s">
        <v>392</v>
      </c>
      <c r="K2337" s="60"/>
      <c r="L2337" s="69"/>
      <c r="M2337" s="34"/>
      <c r="N2337" s="34"/>
      <c r="O2337" s="34"/>
      <c r="P2337" s="34"/>
      <c r="Q2337" s="44"/>
      <c r="R2337" s="71"/>
      <c r="S2337" s="47"/>
      <c r="T2337" s="47"/>
    </row>
    <row r="2338" s="27" customFormat="1" ht="18" customHeight="1" spans="1:20">
      <c r="A2338" s="34" t="s">
        <v>605</v>
      </c>
      <c r="B2338" s="48">
        <v>8</v>
      </c>
      <c r="C2338" s="48" t="s">
        <v>363</v>
      </c>
      <c r="D2338" s="106" t="s">
        <v>415</v>
      </c>
      <c r="E2338" s="107"/>
      <c r="F2338" s="108"/>
      <c r="G2338" s="107"/>
      <c r="H2338" s="51"/>
      <c r="I2338" s="74">
        <f>SUM(I2334:I2337)</f>
        <v>91.9265486725664</v>
      </c>
      <c r="J2338" s="53" t="s">
        <v>416</v>
      </c>
      <c r="K2338" s="60"/>
      <c r="L2338" s="69"/>
      <c r="M2338" s="34"/>
      <c r="N2338" s="100"/>
      <c r="O2338" s="34"/>
      <c r="P2338" s="44"/>
      <c r="Q2338" s="44"/>
      <c r="R2338" s="84"/>
      <c r="S2338" s="79"/>
      <c r="T2338" s="47"/>
    </row>
    <row r="2339" s="27" customFormat="1" ht="18" customHeight="1" spans="1:20">
      <c r="A2339" s="34"/>
      <c r="B2339" s="109" t="s">
        <v>418</v>
      </c>
      <c r="C2339" s="110"/>
      <c r="D2339" s="110"/>
      <c r="E2339" s="110"/>
      <c r="F2339" s="110"/>
      <c r="G2339" s="110"/>
      <c r="H2339" s="110"/>
      <c r="I2339" s="110"/>
      <c r="J2339" s="110"/>
      <c r="K2339" s="80"/>
      <c r="L2339" s="69"/>
      <c r="M2339" s="44"/>
      <c r="N2339" s="82"/>
      <c r="O2339" s="44"/>
      <c r="P2339" s="44"/>
      <c r="Q2339" s="44"/>
      <c r="R2339" s="84"/>
      <c r="S2339" s="47">
        <f>0.356</f>
        <v>0.356</v>
      </c>
      <c r="T2339" s="47">
        <f>S2339*P2339*O2339</f>
        <v>0</v>
      </c>
    </row>
    <row r="2340" s="27" customFormat="1" ht="18" customHeight="1" spans="1:20">
      <c r="A2340" s="34"/>
      <c r="B2340" s="48">
        <v>1</v>
      </c>
      <c r="C2340" s="48" t="s">
        <v>391</v>
      </c>
      <c r="D2340" s="48" t="s">
        <v>396</v>
      </c>
      <c r="E2340" s="48" t="s">
        <v>37</v>
      </c>
      <c r="F2340" s="50"/>
      <c r="G2340" s="48"/>
      <c r="H2340" s="51" t="s">
        <v>399</v>
      </c>
      <c r="I2340" s="51" t="s">
        <v>420</v>
      </c>
      <c r="J2340" s="95" t="s">
        <v>421</v>
      </c>
      <c r="K2340" s="92"/>
      <c r="L2340" s="69"/>
      <c r="M2340" s="44"/>
      <c r="N2340" s="82"/>
      <c r="O2340" s="44"/>
      <c r="P2340" s="44"/>
      <c r="Q2340" s="44"/>
      <c r="R2340" s="84"/>
      <c r="S2340" s="47"/>
      <c r="T2340" s="47"/>
    </row>
    <row r="2341" s="27" customFormat="1" ht="18" customHeight="1" spans="1:20">
      <c r="A2341" s="34"/>
      <c r="B2341" s="48">
        <v>2</v>
      </c>
      <c r="C2341" s="48"/>
      <c r="D2341" s="111" t="s">
        <v>606</v>
      </c>
      <c r="E2341" s="130" t="s">
        <v>423</v>
      </c>
      <c r="F2341" s="112"/>
      <c r="G2341" s="111"/>
      <c r="H2341" s="113">
        <v>1</v>
      </c>
      <c r="I2341" s="113">
        <f>+辅材及安装费!$G$15</f>
        <v>35</v>
      </c>
      <c r="J2341" s="114">
        <f t="shared" ref="J2341:J2346" si="247">H2341*I2341</f>
        <v>35</v>
      </c>
      <c r="K2341" s="92"/>
      <c r="L2341" s="69"/>
      <c r="M2341" s="44"/>
      <c r="N2341" s="82"/>
      <c r="O2341" s="44"/>
      <c r="P2341" s="44"/>
      <c r="Q2341" s="44"/>
      <c r="R2341" s="84"/>
      <c r="S2341" s="47"/>
      <c r="T2341" s="47"/>
    </row>
    <row r="2342" s="27" customFormat="1" ht="18" customHeight="1" spans="1:20">
      <c r="A2342" s="34"/>
      <c r="B2342" s="48">
        <v>3</v>
      </c>
      <c r="C2342" s="48"/>
      <c r="D2342" s="115"/>
      <c r="E2342" s="63"/>
      <c r="F2342" s="116"/>
      <c r="G2342" s="115"/>
      <c r="H2342" s="117"/>
      <c r="I2342" s="117"/>
      <c r="J2342" s="118"/>
      <c r="K2342" s="92"/>
      <c r="L2342" s="69"/>
      <c r="M2342" s="44"/>
      <c r="N2342" s="82"/>
      <c r="O2342" s="44"/>
      <c r="P2342" s="44"/>
      <c r="Q2342" s="44"/>
      <c r="R2342" s="84"/>
      <c r="S2342" s="47">
        <f>0.245</f>
        <v>0.245</v>
      </c>
      <c r="T2342" s="47">
        <f>S2342*P2342*O2342</f>
        <v>0</v>
      </c>
    </row>
    <row r="2343" s="27" customFormat="1" ht="18" customHeight="1" spans="1:20">
      <c r="A2343" s="34"/>
      <c r="B2343" s="48">
        <v>4</v>
      </c>
      <c r="C2343" s="48"/>
      <c r="D2343" s="85" t="s">
        <v>426</v>
      </c>
      <c r="E2343" s="48" t="s">
        <v>392</v>
      </c>
      <c r="F2343" s="50"/>
      <c r="G2343" s="48"/>
      <c r="H2343" s="86"/>
      <c r="I2343" s="86"/>
      <c r="J2343" s="95">
        <f>SUM(J2341:J2341)</f>
        <v>35</v>
      </c>
      <c r="K2343" s="92"/>
      <c r="L2343" s="90"/>
      <c r="M2343" s="44"/>
      <c r="N2343" s="82"/>
      <c r="O2343" s="44"/>
      <c r="P2343" s="44"/>
      <c r="Q2343" s="44"/>
      <c r="R2343" s="84"/>
      <c r="S2343" s="47"/>
      <c r="T2343" s="47"/>
    </row>
    <row r="2344" s="27" customFormat="1" ht="20" customHeight="1" spans="1:20">
      <c r="A2344" s="34"/>
      <c r="B2344" s="48">
        <v>1</v>
      </c>
      <c r="C2344" s="48" t="s">
        <v>394</v>
      </c>
      <c r="D2344" s="88" t="s">
        <v>475</v>
      </c>
      <c r="E2344" s="72" t="str">
        <f>+VLOOKUP(D2344,'材料表 '!C:F,2,0)</f>
        <v>m2</v>
      </c>
      <c r="F2344" s="77">
        <v>1</v>
      </c>
      <c r="G2344" s="89">
        <f>+VLOOKUP(D2344,'材料表 '!C:F,4,0)</f>
        <v>0.01</v>
      </c>
      <c r="H2344" s="74">
        <f>F2344*(G2344+1)</f>
        <v>1.01</v>
      </c>
      <c r="I2344" s="74">
        <f>+VLOOKUP(D2344,'材料表 '!C:F,3,0)</f>
        <v>44.2477876106195</v>
      </c>
      <c r="J2344" s="95">
        <f t="shared" si="247"/>
        <v>44.6902654867257</v>
      </c>
      <c r="K2344" s="92">
        <f ca="1">H2344*K2330</f>
        <v>18.48219604</v>
      </c>
      <c r="L2344" s="90"/>
      <c r="M2344" s="44"/>
      <c r="N2344" s="82"/>
      <c r="O2344" s="44"/>
      <c r="P2344" s="44"/>
      <c r="Q2344" s="44"/>
      <c r="R2344" s="84"/>
      <c r="S2344" s="47"/>
      <c r="T2344" s="47"/>
    </row>
    <row r="2345" s="27" customFormat="1" ht="18" customHeight="1" spans="1:20">
      <c r="A2345" s="34"/>
      <c r="B2345" s="48">
        <v>2</v>
      </c>
      <c r="C2345" s="48"/>
      <c r="D2345" s="88"/>
      <c r="E2345" s="72"/>
      <c r="F2345" s="77"/>
      <c r="G2345" s="89"/>
      <c r="H2345" s="74"/>
      <c r="I2345" s="74"/>
      <c r="J2345" s="95"/>
      <c r="K2345" s="92">
        <f ca="1">H2345*K2330</f>
        <v>0</v>
      </c>
      <c r="L2345" s="90"/>
      <c r="M2345" s="44"/>
      <c r="N2345" s="82"/>
      <c r="O2345" s="44"/>
      <c r="P2345" s="44"/>
      <c r="Q2345" s="44"/>
      <c r="R2345" s="84"/>
      <c r="S2345" s="47"/>
      <c r="T2345" s="47"/>
    </row>
    <row r="2346" s="27" customFormat="1" ht="18" customHeight="1" spans="1:20">
      <c r="A2346" s="34"/>
      <c r="B2346" s="48">
        <v>3</v>
      </c>
      <c r="C2346" s="48"/>
      <c r="D2346" s="88" t="s">
        <v>476</v>
      </c>
      <c r="E2346" s="72" t="str">
        <f>+VLOOKUP(D2346,'材料表 '!C:F,2,0)</f>
        <v>支</v>
      </c>
      <c r="F2346" s="77">
        <v>0.2</v>
      </c>
      <c r="G2346" s="89">
        <f>+VLOOKUP(D2346,'材料表 '!C:F,4,0)</f>
        <v>0.15</v>
      </c>
      <c r="H2346" s="74">
        <f>F2346*(G2346+1)</f>
        <v>0.23</v>
      </c>
      <c r="I2346" s="74">
        <f>+VLOOKUP(D2346,'材料表 '!C:F,3,0)</f>
        <v>11.5044247787611</v>
      </c>
      <c r="J2346" s="95">
        <f t="shared" si="247"/>
        <v>2.64601769911505</v>
      </c>
      <c r="K2346" s="92">
        <f ca="1">H2346*K2330</f>
        <v>4.20881692</v>
      </c>
      <c r="L2346" s="90"/>
      <c r="M2346" s="44"/>
      <c r="N2346" s="82"/>
      <c r="O2346" s="44"/>
      <c r="P2346" s="44"/>
      <c r="Q2346" s="44"/>
      <c r="R2346" s="84"/>
      <c r="S2346" s="47"/>
      <c r="T2346" s="47"/>
    </row>
    <row r="2347" s="27" customFormat="1" ht="18" customHeight="1" spans="1:20">
      <c r="A2347" s="34"/>
      <c r="B2347" s="48">
        <v>4</v>
      </c>
      <c r="C2347" s="48"/>
      <c r="D2347" s="88"/>
      <c r="E2347" s="72"/>
      <c r="F2347" s="77"/>
      <c r="G2347" s="89"/>
      <c r="H2347" s="74"/>
      <c r="I2347" s="74"/>
      <c r="J2347" s="95"/>
      <c r="K2347" s="92">
        <f ca="1">H2347*K2330</f>
        <v>0</v>
      </c>
      <c r="L2347" s="90"/>
      <c r="M2347" s="44"/>
      <c r="N2347" s="82"/>
      <c r="O2347" s="44"/>
      <c r="P2347" s="44"/>
      <c r="Q2347" s="44"/>
      <c r="R2347" s="84"/>
      <c r="S2347" s="47"/>
      <c r="T2347" s="47"/>
    </row>
    <row r="2348" s="27" customFormat="1" ht="18" customHeight="1" spans="1:20">
      <c r="A2348" s="34"/>
      <c r="B2348" s="48">
        <v>5</v>
      </c>
      <c r="C2348" s="48"/>
      <c r="D2348" s="88"/>
      <c r="E2348" s="72"/>
      <c r="F2348" s="77"/>
      <c r="G2348" s="89"/>
      <c r="H2348" s="74"/>
      <c r="I2348" s="74"/>
      <c r="J2348" s="95"/>
      <c r="K2348" s="92">
        <f ca="1">H2348*K2330</f>
        <v>0</v>
      </c>
      <c r="L2348" s="92"/>
      <c r="M2348" s="44"/>
      <c r="N2348" s="82"/>
      <c r="O2348" s="44"/>
      <c r="P2348" s="44"/>
      <c r="Q2348" s="44"/>
      <c r="R2348" s="84"/>
      <c r="S2348" s="47"/>
      <c r="T2348" s="47"/>
    </row>
    <row r="2349" s="27" customFormat="1" ht="18" customHeight="1" spans="1:20">
      <c r="A2349" s="34"/>
      <c r="B2349" s="48">
        <v>6</v>
      </c>
      <c r="C2349" s="48"/>
      <c r="D2349" s="88"/>
      <c r="E2349" s="72"/>
      <c r="F2349" s="77"/>
      <c r="G2349" s="89"/>
      <c r="H2349" s="74"/>
      <c r="I2349" s="74"/>
      <c r="J2349" s="95"/>
      <c r="K2349" s="92">
        <f ca="1">H2349*K2330</f>
        <v>0</v>
      </c>
      <c r="L2349" s="92"/>
      <c r="M2349" s="44"/>
      <c r="N2349" s="82"/>
      <c r="O2349" s="44"/>
      <c r="P2349" s="44"/>
      <c r="Q2349" s="44"/>
      <c r="R2349" s="84"/>
      <c r="S2349" s="47"/>
      <c r="T2349" s="47"/>
    </row>
    <row r="2350" s="27" customFormat="1" ht="18" customHeight="1" spans="1:20">
      <c r="A2350" s="34"/>
      <c r="B2350" s="48">
        <v>7</v>
      </c>
      <c r="C2350" s="48"/>
      <c r="D2350" s="88"/>
      <c r="E2350" s="72"/>
      <c r="F2350" s="77"/>
      <c r="G2350" s="89"/>
      <c r="H2350" s="74"/>
      <c r="I2350" s="74"/>
      <c r="J2350" s="95"/>
      <c r="K2350" s="92">
        <f ca="1">H2350*K2330</f>
        <v>0</v>
      </c>
      <c r="L2350" s="92"/>
      <c r="M2350" s="44"/>
      <c r="N2350" s="82"/>
      <c r="O2350" s="44"/>
      <c r="P2350" s="44"/>
      <c r="Q2350" s="44"/>
      <c r="R2350" s="84"/>
      <c r="S2350" s="47"/>
      <c r="T2350" s="47"/>
    </row>
    <row r="2351" s="27" customFormat="1" ht="18" customHeight="1" spans="1:20">
      <c r="A2351" s="34"/>
      <c r="B2351" s="48">
        <v>8</v>
      </c>
      <c r="C2351" s="48"/>
      <c r="D2351" s="88"/>
      <c r="E2351" s="72"/>
      <c r="F2351" s="77"/>
      <c r="G2351" s="89"/>
      <c r="H2351" s="74"/>
      <c r="I2351" s="74"/>
      <c r="J2351" s="95"/>
      <c r="K2351" s="92">
        <f ca="1">H2351*K2330</f>
        <v>0</v>
      </c>
      <c r="L2351" s="92"/>
      <c r="M2351" s="44"/>
      <c r="N2351" s="82"/>
      <c r="O2351" s="44"/>
      <c r="P2351" s="44"/>
      <c r="Q2351" s="44"/>
      <c r="R2351" s="84"/>
      <c r="S2351" s="47"/>
      <c r="T2351" s="47"/>
    </row>
    <row r="2352" s="27" customFormat="1" ht="18" customHeight="1" spans="1:20">
      <c r="A2352" s="34"/>
      <c r="B2352" s="48">
        <v>9</v>
      </c>
      <c r="C2352" s="48"/>
      <c r="D2352" s="88"/>
      <c r="E2352" s="72"/>
      <c r="F2352" s="77"/>
      <c r="G2352" s="89"/>
      <c r="H2352" s="74"/>
      <c r="I2352" s="74"/>
      <c r="J2352" s="95"/>
      <c r="K2352" s="92">
        <f ca="1">H2352*K2330</f>
        <v>0</v>
      </c>
      <c r="L2352" s="90"/>
      <c r="M2352" s="44"/>
      <c r="N2352" s="82"/>
      <c r="O2352" s="34"/>
      <c r="P2352" s="44"/>
      <c r="Q2352" s="44"/>
      <c r="R2352" s="119"/>
      <c r="S2352" s="47"/>
      <c r="T2352" s="47"/>
    </row>
    <row r="2353" s="27" customFormat="1" ht="18" customHeight="1" spans="1:20">
      <c r="A2353" s="34"/>
      <c r="B2353" s="48">
        <v>10</v>
      </c>
      <c r="C2353" s="48"/>
      <c r="D2353" s="88"/>
      <c r="E2353" s="72"/>
      <c r="F2353" s="77"/>
      <c r="G2353" s="89"/>
      <c r="H2353" s="74"/>
      <c r="I2353" s="74"/>
      <c r="J2353" s="95"/>
      <c r="K2353" s="92">
        <f ca="1">H2353*K2330</f>
        <v>0</v>
      </c>
      <c r="L2353" s="92"/>
      <c r="M2353" s="120"/>
      <c r="N2353" s="82"/>
      <c r="O2353" s="44"/>
      <c r="P2353" s="44"/>
      <c r="Q2353" s="44"/>
      <c r="R2353" s="84"/>
      <c r="S2353" s="47"/>
      <c r="T2353" s="47"/>
    </row>
    <row r="2354" s="27" customFormat="1" ht="18" customHeight="1" spans="1:20">
      <c r="A2354" s="34"/>
      <c r="B2354" s="48">
        <v>11</v>
      </c>
      <c r="C2354" s="48"/>
      <c r="D2354" s="88"/>
      <c r="E2354" s="72"/>
      <c r="F2354" s="77"/>
      <c r="G2354" s="89"/>
      <c r="H2354" s="74"/>
      <c r="I2354" s="74"/>
      <c r="J2354" s="95"/>
      <c r="K2354" s="92">
        <f ca="1">H2354*K2330</f>
        <v>0</v>
      </c>
      <c r="L2354" s="92"/>
      <c r="M2354" s="44"/>
      <c r="N2354" s="82"/>
      <c r="O2354" s="44"/>
      <c r="P2354" s="44"/>
      <c r="Q2354" s="44"/>
      <c r="R2354" s="84"/>
      <c r="S2354" s="47"/>
      <c r="T2354" s="47"/>
    </row>
    <row r="2355" s="27" customFormat="1" ht="18" customHeight="1" spans="1:20">
      <c r="A2355" s="34"/>
      <c r="B2355" s="48">
        <v>12</v>
      </c>
      <c r="C2355" s="48"/>
      <c r="D2355" s="88"/>
      <c r="E2355" s="72"/>
      <c r="F2355" s="77"/>
      <c r="G2355" s="89"/>
      <c r="H2355" s="74"/>
      <c r="I2355" s="74"/>
      <c r="J2355" s="95"/>
      <c r="K2355" s="92"/>
      <c r="L2355" s="92"/>
      <c r="M2355" s="44"/>
      <c r="N2355" s="44"/>
      <c r="O2355" s="44"/>
      <c r="P2355" s="44"/>
      <c r="Q2355" s="44"/>
      <c r="R2355" s="84"/>
      <c r="S2355" s="47"/>
      <c r="T2355" s="47"/>
    </row>
    <row r="2356" s="27" customFormat="1" ht="18" customHeight="1" spans="1:20">
      <c r="A2356" s="34"/>
      <c r="B2356" s="48">
        <v>13</v>
      </c>
      <c r="C2356" s="48"/>
      <c r="D2356" s="88"/>
      <c r="E2356" s="72"/>
      <c r="F2356" s="77"/>
      <c r="G2356" s="89"/>
      <c r="H2356" s="74"/>
      <c r="I2356" s="74"/>
      <c r="J2356" s="95"/>
      <c r="K2356" s="92"/>
      <c r="L2356" s="92"/>
      <c r="M2356" s="44"/>
      <c r="N2356" s="44"/>
      <c r="O2356" s="44"/>
      <c r="P2356" s="44"/>
      <c r="Q2356" s="44"/>
      <c r="R2356" s="84"/>
      <c r="S2356" s="47"/>
      <c r="T2356" s="47"/>
    </row>
    <row r="2357" s="27" customFormat="1" ht="24" customHeight="1" spans="1:20">
      <c r="A2357" s="34"/>
      <c r="B2357" s="48">
        <v>14</v>
      </c>
      <c r="C2357" s="48"/>
      <c r="D2357" s="88"/>
      <c r="E2357" s="72"/>
      <c r="F2357" s="77"/>
      <c r="G2357" s="89"/>
      <c r="H2357" s="74"/>
      <c r="I2357" s="74"/>
      <c r="J2357" s="95"/>
      <c r="K2357" s="92"/>
      <c r="L2357" s="92"/>
      <c r="M2357" s="44"/>
      <c r="N2357" s="44"/>
      <c r="O2357" s="44"/>
      <c r="P2357" s="44"/>
      <c r="Q2357" s="44"/>
      <c r="R2357" s="84"/>
      <c r="S2357" s="47"/>
      <c r="T2357" s="47"/>
    </row>
    <row r="2358" s="27" customFormat="1" ht="18" customHeight="1" spans="1:20">
      <c r="A2358" s="34"/>
      <c r="B2358" s="48">
        <v>15</v>
      </c>
      <c r="C2358" s="48"/>
      <c r="D2358" s="88"/>
      <c r="E2358" s="72"/>
      <c r="F2358" s="77"/>
      <c r="G2358" s="89"/>
      <c r="H2358" s="74"/>
      <c r="I2358" s="74"/>
      <c r="J2358" s="95"/>
      <c r="K2358" s="92"/>
      <c r="L2358" s="92"/>
      <c r="M2358" s="44"/>
      <c r="N2358" s="44"/>
      <c r="O2358" s="44"/>
      <c r="P2358" s="44"/>
      <c r="Q2358" s="44"/>
      <c r="R2358" s="84"/>
      <c r="S2358" s="47"/>
      <c r="T2358" s="47"/>
    </row>
    <row r="2359" s="27" customFormat="1" ht="18" customHeight="1" spans="1:20">
      <c r="A2359" s="34"/>
      <c r="B2359" s="48">
        <v>16</v>
      </c>
      <c r="C2359" s="48"/>
      <c r="D2359" s="88"/>
      <c r="E2359" s="72"/>
      <c r="F2359" s="77"/>
      <c r="G2359" s="89"/>
      <c r="H2359" s="74"/>
      <c r="I2359" s="74"/>
      <c r="J2359" s="95"/>
      <c r="K2359" s="92"/>
      <c r="L2359" s="92"/>
      <c r="M2359" s="44"/>
      <c r="N2359" s="44"/>
      <c r="O2359" s="44"/>
      <c r="P2359" s="44"/>
      <c r="Q2359" s="44"/>
      <c r="R2359" s="84"/>
      <c r="S2359" s="47"/>
      <c r="T2359" s="47"/>
    </row>
    <row r="2360" s="27" customFormat="1" ht="18" customHeight="1" spans="1:20">
      <c r="A2360" s="34"/>
      <c r="B2360" s="48">
        <v>17</v>
      </c>
      <c r="C2360" s="48"/>
      <c r="D2360" s="121"/>
      <c r="E2360" s="72"/>
      <c r="F2360" s="77"/>
      <c r="G2360" s="89"/>
      <c r="H2360" s="74"/>
      <c r="I2360" s="74"/>
      <c r="J2360" s="95"/>
      <c r="K2360" s="92"/>
      <c r="L2360" s="92"/>
      <c r="M2360" s="44"/>
      <c r="N2360" s="44"/>
      <c r="O2360" s="44"/>
      <c r="P2360" s="44"/>
      <c r="Q2360" s="101"/>
      <c r="R2360" s="84"/>
      <c r="S2360" s="47"/>
      <c r="T2360" s="47"/>
    </row>
    <row r="2361" s="27" customFormat="1" ht="18" customHeight="1" spans="1:20">
      <c r="A2361" s="34"/>
      <c r="B2361" s="48">
        <v>18</v>
      </c>
      <c r="C2361" s="48"/>
      <c r="D2361" s="88"/>
      <c r="E2361" s="72"/>
      <c r="F2361" s="77"/>
      <c r="G2361" s="89"/>
      <c r="H2361" s="74"/>
      <c r="I2361" s="74"/>
      <c r="J2361" s="95"/>
      <c r="K2361" s="92"/>
      <c r="L2361" s="92"/>
      <c r="M2361" s="44"/>
      <c r="N2361" s="44"/>
      <c r="O2361" s="44"/>
      <c r="P2361" s="44"/>
      <c r="Q2361" s="44"/>
      <c r="R2361" s="84"/>
      <c r="S2361" s="47"/>
      <c r="T2361" s="47"/>
    </row>
    <row r="2362" s="27" customFormat="1" ht="18" customHeight="1" spans="1:20">
      <c r="A2362" s="34"/>
      <c r="B2362" s="48">
        <v>19</v>
      </c>
      <c r="C2362" s="48"/>
      <c r="D2362" s="27"/>
      <c r="E2362" s="72"/>
      <c r="F2362" s="77"/>
      <c r="G2362" s="89"/>
      <c r="H2362" s="74"/>
      <c r="I2362" s="74"/>
      <c r="J2362" s="95"/>
      <c r="K2362" s="92"/>
      <c r="L2362" s="92"/>
      <c r="M2362" s="44"/>
      <c r="N2362" s="44"/>
      <c r="O2362" s="44"/>
      <c r="P2362" s="44"/>
      <c r="Q2362" s="44"/>
      <c r="R2362" s="84"/>
      <c r="S2362" s="47"/>
      <c r="T2362" s="47"/>
    </row>
    <row r="2363" s="27" customFormat="1" ht="18" customHeight="1" spans="1:20">
      <c r="A2363" s="34"/>
      <c r="B2363" s="48">
        <v>20</v>
      </c>
      <c r="C2363" s="48"/>
      <c r="D2363" s="88"/>
      <c r="E2363" s="72"/>
      <c r="F2363" s="77"/>
      <c r="G2363" s="89"/>
      <c r="H2363" s="74"/>
      <c r="I2363" s="74"/>
      <c r="J2363" s="95"/>
      <c r="K2363" s="92"/>
      <c r="L2363" s="92"/>
      <c r="M2363" s="44"/>
      <c r="N2363" s="44"/>
      <c r="O2363" s="44"/>
      <c r="P2363" s="44"/>
      <c r="Q2363" s="44"/>
      <c r="R2363" s="84"/>
      <c r="S2363" s="47"/>
      <c r="T2363" s="47"/>
    </row>
    <row r="2364" s="27" customFormat="1" ht="18" customHeight="1" spans="1:20">
      <c r="A2364" s="34"/>
      <c r="B2364" s="48">
        <v>21</v>
      </c>
      <c r="C2364" s="48"/>
      <c r="D2364" s="88"/>
      <c r="E2364" s="72"/>
      <c r="F2364" s="77"/>
      <c r="G2364" s="89"/>
      <c r="H2364" s="74"/>
      <c r="I2364" s="74"/>
      <c r="J2364" s="95"/>
      <c r="K2364" s="92"/>
      <c r="L2364" s="92"/>
      <c r="M2364" s="44"/>
      <c r="N2364" s="44"/>
      <c r="O2364" s="44"/>
      <c r="P2364" s="44"/>
      <c r="Q2364" s="44"/>
      <c r="R2364" s="84"/>
      <c r="S2364" s="47"/>
      <c r="T2364" s="47"/>
    </row>
    <row r="2365" s="27" customFormat="1" ht="18" customHeight="1" spans="1:20">
      <c r="A2365" s="34"/>
      <c r="B2365" s="48">
        <v>22</v>
      </c>
      <c r="C2365" s="48"/>
      <c r="D2365" s="27"/>
      <c r="E2365" s="72"/>
      <c r="F2365" s="77"/>
      <c r="G2365" s="72"/>
      <c r="H2365" s="74"/>
      <c r="I2365" s="74"/>
      <c r="J2365" s="95"/>
      <c r="K2365" s="92"/>
      <c r="L2365" s="92"/>
      <c r="M2365" s="44"/>
      <c r="N2365" s="44"/>
      <c r="O2365" s="44"/>
      <c r="P2365" s="44"/>
      <c r="Q2365" s="44"/>
      <c r="R2365" s="62"/>
      <c r="S2365" s="47"/>
      <c r="T2365" s="47"/>
    </row>
    <row r="2366" s="27" customFormat="1" ht="18" customHeight="1" spans="1:20">
      <c r="A2366" s="34"/>
      <c r="B2366" s="48">
        <v>23</v>
      </c>
      <c r="C2366" s="48"/>
      <c r="D2366" s="88"/>
      <c r="E2366" s="72"/>
      <c r="F2366" s="77"/>
      <c r="G2366" s="89"/>
      <c r="H2366" s="74"/>
      <c r="I2366" s="74"/>
      <c r="J2366" s="95"/>
      <c r="K2366" s="92"/>
      <c r="L2366" s="92"/>
      <c r="M2366" s="44"/>
      <c r="N2366" s="44"/>
      <c r="O2366" s="44"/>
      <c r="P2366" s="44"/>
      <c r="Q2366" s="44"/>
      <c r="R2366" s="62"/>
      <c r="S2366" s="47"/>
      <c r="T2366" s="47"/>
    </row>
    <row r="2367" s="27" customFormat="1" ht="18" customHeight="1" spans="1:20">
      <c r="A2367" s="34"/>
      <c r="B2367" s="48">
        <v>24</v>
      </c>
      <c r="C2367" s="48"/>
      <c r="D2367" s="88" t="s">
        <v>478</v>
      </c>
      <c r="E2367" s="132" t="s">
        <v>423</v>
      </c>
      <c r="F2367" s="77"/>
      <c r="G2367" s="72">
        <v>1</v>
      </c>
      <c r="H2367" s="74">
        <v>1</v>
      </c>
      <c r="I2367" s="74">
        <f>+辅材及安装费!$E$15</f>
        <v>1</v>
      </c>
      <c r="J2367" s="95">
        <f>H2367*I2367</f>
        <v>1</v>
      </c>
      <c r="K2367" s="92"/>
      <c r="L2367" s="92"/>
      <c r="M2367" s="44"/>
      <c r="N2367" s="44"/>
      <c r="O2367" s="44"/>
      <c r="P2367" s="44"/>
      <c r="Q2367" s="44"/>
      <c r="R2367" s="62"/>
      <c r="S2367" s="47"/>
      <c r="T2367" s="47"/>
    </row>
    <row r="2368" s="27" customFormat="1" ht="18" customHeight="1" spans="1:20">
      <c r="A2368" s="34"/>
      <c r="B2368" s="48">
        <v>25</v>
      </c>
      <c r="C2368" s="48"/>
      <c r="D2368" s="93" t="s">
        <v>442</v>
      </c>
      <c r="E2368" s="72"/>
      <c r="F2368" s="77"/>
      <c r="G2368" s="72"/>
      <c r="H2368" s="74"/>
      <c r="I2368" s="74"/>
      <c r="J2368" s="95">
        <f>SUM(J2344:J2367)</f>
        <v>48.3362831858407</v>
      </c>
      <c r="K2368" s="92"/>
      <c r="L2368" s="94"/>
      <c r="N2368" s="83"/>
      <c r="O2368" s="83"/>
      <c r="P2368" s="83"/>
      <c r="Q2368" s="83"/>
      <c r="R2368" s="87"/>
      <c r="S2368" s="47"/>
      <c r="T2368" s="47"/>
    </row>
    <row r="2369" s="27" customFormat="1" ht="18" customHeight="1" spans="1:20">
      <c r="A2369" s="34"/>
      <c r="B2369" s="48">
        <v>1</v>
      </c>
      <c r="C2369" s="48" t="s">
        <v>443</v>
      </c>
      <c r="D2369" s="48" t="s">
        <v>444</v>
      </c>
      <c r="E2369" s="132" t="s">
        <v>423</v>
      </c>
      <c r="F2369" s="50"/>
      <c r="G2369" s="48"/>
      <c r="H2369" s="51">
        <v>1</v>
      </c>
      <c r="I2369" s="74">
        <f>+辅材及安装费!$F$15</f>
        <v>1</v>
      </c>
      <c r="J2369" s="95">
        <f>H2369*I2369</f>
        <v>1</v>
      </c>
      <c r="K2369" s="118"/>
      <c r="L2369" s="96"/>
      <c r="M2369" s="97"/>
      <c r="N2369" s="98"/>
      <c r="O2369" s="98"/>
      <c r="P2369" s="98"/>
      <c r="Q2369" s="98"/>
      <c r="R2369" s="99"/>
      <c r="S2369" s="47"/>
      <c r="T2369" s="47"/>
    </row>
    <row r="2370" s="26" customFormat="1" ht="30" customHeight="1" spans="1:20">
      <c r="A2370" s="28"/>
      <c r="B2370" s="29" t="s">
        <v>386</v>
      </c>
      <c r="C2370" s="29"/>
      <c r="D2370" s="29"/>
      <c r="E2370" s="29"/>
      <c r="F2370" s="29"/>
      <c r="G2370" s="29"/>
      <c r="H2370" s="29"/>
      <c r="I2370" s="29"/>
      <c r="J2370" s="29"/>
      <c r="K2370" s="29"/>
      <c r="L2370" s="30"/>
      <c r="M2370" s="31"/>
      <c r="N2370" s="31"/>
      <c r="O2370" s="31"/>
      <c r="P2370" s="31"/>
      <c r="Q2370" s="31"/>
      <c r="R2370" s="32"/>
      <c r="S2370" s="33"/>
      <c r="T2370" s="33"/>
    </row>
    <row r="2371" s="27" customFormat="1" ht="33.75" customHeight="1" spans="1:20">
      <c r="A2371" s="34">
        <v>5</v>
      </c>
      <c r="B2371" s="35" t="s">
        <v>1</v>
      </c>
      <c r="C2371" s="35" t="s">
        <v>387</v>
      </c>
      <c r="D2371" s="36" t="str">
        <f>+A2379</f>
        <v>不锈钢天沟</v>
      </c>
      <c r="E2371" s="37"/>
      <c r="F2371" s="38"/>
      <c r="G2371" s="39"/>
      <c r="H2371" s="35" t="s">
        <v>388</v>
      </c>
      <c r="I2371" s="40" t="s">
        <v>389</v>
      </c>
      <c r="J2371" s="41" t="s">
        <v>37</v>
      </c>
      <c r="K2371" s="42">
        <f ca="1">VLOOKUP(A2371,排屋工程量清单!$A$111:$D$116,4,)</f>
        <v>45.9</v>
      </c>
      <c r="L2371" s="43"/>
      <c r="M2371" s="44"/>
      <c r="N2371" s="44"/>
      <c r="O2371" s="44"/>
      <c r="P2371" s="45"/>
      <c r="Q2371" s="44"/>
      <c r="R2371" s="46"/>
      <c r="S2371" s="47"/>
      <c r="T2371" s="47"/>
    </row>
    <row r="2372" s="27" customFormat="1" ht="25" customHeight="1" spans="1:20">
      <c r="A2372" s="34"/>
      <c r="B2372" s="48">
        <v>1</v>
      </c>
      <c r="C2372" s="49" t="s">
        <v>390</v>
      </c>
      <c r="D2372" s="48" t="s">
        <v>391</v>
      </c>
      <c r="E2372" s="48"/>
      <c r="F2372" s="50"/>
      <c r="G2372" s="48"/>
      <c r="H2372" s="51"/>
      <c r="I2372" s="52">
        <f>J2384</f>
        <v>130</v>
      </c>
      <c r="J2372" s="53" t="s">
        <v>392</v>
      </c>
      <c r="K2372" s="54"/>
      <c r="L2372" s="55" t="s">
        <v>584</v>
      </c>
      <c r="M2372" s="56"/>
      <c r="N2372" s="57"/>
      <c r="O2372" s="57"/>
      <c r="P2372" s="57"/>
      <c r="Q2372" s="57">
        <v>1</v>
      </c>
      <c r="R2372" s="58">
        <f>O2372</f>
        <v>0</v>
      </c>
      <c r="S2372" s="47"/>
      <c r="T2372" s="47"/>
    </row>
    <row r="2373" s="27" customFormat="1" ht="18" customHeight="1" spans="1:20">
      <c r="A2373" s="34"/>
      <c r="B2373" s="48">
        <v>2</v>
      </c>
      <c r="C2373" s="59"/>
      <c r="D2373" s="48" t="s">
        <v>394</v>
      </c>
      <c r="E2373" s="48"/>
      <c r="F2373" s="50"/>
      <c r="G2373" s="48"/>
      <c r="H2373" s="51"/>
      <c r="I2373" s="52">
        <f>J2409</f>
        <v>277.262831858407</v>
      </c>
      <c r="J2373" s="53" t="s">
        <v>392</v>
      </c>
      <c r="K2373" s="60"/>
      <c r="L2373" s="61"/>
      <c r="M2373" s="44"/>
      <c r="N2373" s="44"/>
      <c r="O2373" s="44"/>
      <c r="P2373" s="44"/>
      <c r="Q2373" s="44"/>
      <c r="R2373" s="62"/>
      <c r="S2373" s="47"/>
      <c r="T2373" s="47"/>
    </row>
    <row r="2374" s="27" customFormat="1" ht="18" customHeight="1" spans="1:20">
      <c r="A2374" s="34"/>
      <c r="B2374" s="48">
        <v>3</v>
      </c>
      <c r="C2374" s="63"/>
      <c r="D2374" s="48" t="s">
        <v>395</v>
      </c>
      <c r="E2374" s="48"/>
      <c r="F2374" s="50"/>
      <c r="G2374" s="48"/>
      <c r="H2374" s="51"/>
      <c r="I2374" s="52">
        <f>J2410</f>
        <v>1</v>
      </c>
      <c r="J2374" s="53" t="s">
        <v>392</v>
      </c>
      <c r="K2374" s="60"/>
      <c r="L2374" s="60"/>
      <c r="M2374" s="64" t="s">
        <v>396</v>
      </c>
      <c r="N2374" s="65" t="s">
        <v>397</v>
      </c>
      <c r="O2374" s="65" t="s">
        <v>398</v>
      </c>
      <c r="P2374" s="65" t="s">
        <v>399</v>
      </c>
      <c r="Q2374" s="65" t="s">
        <v>400</v>
      </c>
      <c r="R2374" s="66" t="s">
        <v>401</v>
      </c>
      <c r="S2374" s="47"/>
      <c r="T2374" s="47"/>
    </row>
    <row r="2375" s="27" customFormat="1" ht="18" customHeight="1" spans="1:20">
      <c r="A2375" s="34"/>
      <c r="B2375" s="48">
        <v>4</v>
      </c>
      <c r="C2375" s="48" t="s">
        <v>402</v>
      </c>
      <c r="D2375" s="67" t="s">
        <v>403</v>
      </c>
      <c r="E2375" s="67"/>
      <c r="F2375" s="50"/>
      <c r="G2375" s="67"/>
      <c r="H2375" s="68"/>
      <c r="I2375" s="52">
        <f>SUM(I2372:I2374)</f>
        <v>408.262831858407</v>
      </c>
      <c r="J2375" s="53" t="s">
        <v>392</v>
      </c>
      <c r="K2375" s="60"/>
      <c r="L2375" s="69"/>
      <c r="M2375" s="34"/>
      <c r="N2375" s="34"/>
      <c r="O2375" s="34"/>
      <c r="P2375" s="34"/>
      <c r="Q2375" s="44"/>
      <c r="R2375" s="71"/>
      <c r="S2375" s="47"/>
      <c r="T2375" s="47"/>
    </row>
    <row r="2376" s="27" customFormat="1" ht="28" customHeight="1" spans="1:20">
      <c r="A2376" s="34"/>
      <c r="B2376" s="48">
        <v>5</v>
      </c>
      <c r="C2376" s="72" t="s">
        <v>406</v>
      </c>
      <c r="D2376" s="48" t="s">
        <v>407</v>
      </c>
      <c r="E2376" s="48"/>
      <c r="F2376" s="50"/>
      <c r="G2376" s="48"/>
      <c r="H2376" s="73">
        <f>+'材料表 '!$E$178</f>
        <v>0</v>
      </c>
      <c r="I2376" s="52">
        <f>H2376*I2375</f>
        <v>0</v>
      </c>
      <c r="J2376" s="53" t="s">
        <v>392</v>
      </c>
      <c r="K2376" s="60"/>
      <c r="L2376" s="69"/>
      <c r="M2376" s="34"/>
      <c r="N2376" s="34"/>
      <c r="O2376" s="34"/>
      <c r="P2376" s="34"/>
      <c r="Q2376" s="44"/>
      <c r="R2376" s="71"/>
      <c r="S2376" s="47"/>
      <c r="T2376" s="47"/>
    </row>
    <row r="2377" s="27" customFormat="1" ht="18" customHeight="1" spans="1:20">
      <c r="A2377" s="34"/>
      <c r="B2377" s="48">
        <v>6</v>
      </c>
      <c r="C2377" s="48" t="s">
        <v>409</v>
      </c>
      <c r="D2377" s="48" t="s">
        <v>410</v>
      </c>
      <c r="E2377" s="48"/>
      <c r="F2377" s="50"/>
      <c r="G2377" s="48"/>
      <c r="H2377" s="73">
        <f>+'材料表 '!$E$179</f>
        <v>0</v>
      </c>
      <c r="I2377" s="52">
        <f>H2377*I2375</f>
        <v>0</v>
      </c>
      <c r="J2377" s="53" t="s">
        <v>392</v>
      </c>
      <c r="K2377" s="60"/>
      <c r="L2377" s="69"/>
      <c r="M2377" s="34"/>
      <c r="N2377" s="34"/>
      <c r="O2377" s="34"/>
      <c r="P2377" s="34"/>
      <c r="Q2377" s="44"/>
      <c r="R2377" s="71"/>
      <c r="S2377" s="47"/>
      <c r="T2377" s="47"/>
    </row>
    <row r="2378" s="27" customFormat="1" ht="18" customHeight="1" spans="1:20">
      <c r="A2378" s="34"/>
      <c r="B2378" s="48">
        <v>7</v>
      </c>
      <c r="C2378" s="48" t="s">
        <v>412</v>
      </c>
      <c r="D2378" s="72" t="s">
        <v>413</v>
      </c>
      <c r="E2378" s="72"/>
      <c r="F2378" s="77"/>
      <c r="G2378" s="72"/>
      <c r="H2378" s="73">
        <f>+'材料表 '!$E$180</f>
        <v>0.09</v>
      </c>
      <c r="I2378" s="52">
        <f>(I2375+I2376+I2377)*H2378</f>
        <v>36.7436548672567</v>
      </c>
      <c r="J2378" s="53" t="s">
        <v>392</v>
      </c>
      <c r="K2378" s="60"/>
      <c r="L2378" s="69"/>
      <c r="M2378" s="34"/>
      <c r="N2378" s="34"/>
      <c r="O2378" s="34"/>
      <c r="P2378" s="34"/>
      <c r="Q2378" s="44"/>
      <c r="R2378" s="71"/>
      <c r="S2378" s="47"/>
      <c r="T2378" s="47"/>
    </row>
    <row r="2379" s="27" customFormat="1" ht="18" customHeight="1" spans="1:20">
      <c r="A2379" s="34" t="s">
        <v>218</v>
      </c>
      <c r="B2379" s="48">
        <v>8</v>
      </c>
      <c r="C2379" s="48" t="s">
        <v>363</v>
      </c>
      <c r="D2379" s="106" t="s">
        <v>415</v>
      </c>
      <c r="E2379" s="107"/>
      <c r="F2379" s="108"/>
      <c r="G2379" s="107"/>
      <c r="H2379" s="51"/>
      <c r="I2379" s="74">
        <f>SUM(I2375:I2378)</f>
        <v>445.006486725664</v>
      </c>
      <c r="J2379" s="53" t="s">
        <v>416</v>
      </c>
      <c r="K2379" s="60"/>
      <c r="L2379" s="69"/>
      <c r="M2379" s="34"/>
      <c r="N2379" s="100"/>
      <c r="O2379" s="34"/>
      <c r="P2379" s="44"/>
      <c r="Q2379" s="44"/>
      <c r="R2379" s="84"/>
      <c r="S2379" s="79"/>
      <c r="T2379" s="47"/>
    </row>
    <row r="2380" s="27" customFormat="1" ht="18" customHeight="1" spans="1:20">
      <c r="A2380" s="34"/>
      <c r="B2380" s="109" t="s">
        <v>418</v>
      </c>
      <c r="C2380" s="110"/>
      <c r="D2380" s="110"/>
      <c r="E2380" s="110"/>
      <c r="F2380" s="110"/>
      <c r="G2380" s="110"/>
      <c r="H2380" s="110"/>
      <c r="I2380" s="110"/>
      <c r="J2380" s="110"/>
      <c r="K2380" s="80"/>
      <c r="L2380" s="69"/>
      <c r="M2380" s="44"/>
      <c r="N2380" s="82"/>
      <c r="O2380" s="44"/>
      <c r="P2380" s="44"/>
      <c r="Q2380" s="44"/>
      <c r="R2380" s="84"/>
      <c r="S2380" s="47"/>
      <c r="T2380" s="47"/>
    </row>
    <row r="2381" s="27" customFormat="1" ht="18" customHeight="1" spans="1:20">
      <c r="A2381" s="34"/>
      <c r="B2381" s="48">
        <v>1</v>
      </c>
      <c r="C2381" s="48" t="s">
        <v>391</v>
      </c>
      <c r="D2381" s="48" t="s">
        <v>396</v>
      </c>
      <c r="E2381" s="48" t="s">
        <v>37</v>
      </c>
      <c r="F2381" s="50"/>
      <c r="G2381" s="48"/>
      <c r="H2381" s="51" t="s">
        <v>399</v>
      </c>
      <c r="I2381" s="51" t="s">
        <v>420</v>
      </c>
      <c r="J2381" s="95" t="s">
        <v>421</v>
      </c>
      <c r="K2381" s="92"/>
      <c r="L2381" s="69"/>
      <c r="M2381" s="44"/>
      <c r="N2381" s="82"/>
      <c r="O2381" s="44"/>
      <c r="P2381" s="44"/>
      <c r="Q2381" s="44"/>
      <c r="R2381" s="84"/>
      <c r="S2381" s="47"/>
      <c r="T2381" s="47"/>
    </row>
    <row r="2382" s="27" customFormat="1" ht="18" customHeight="1" spans="1:20">
      <c r="A2382" s="34"/>
      <c r="B2382" s="48">
        <v>2</v>
      </c>
      <c r="C2382" s="48"/>
      <c r="D2382" s="111" t="s">
        <v>606</v>
      </c>
      <c r="E2382" s="130" t="s">
        <v>423</v>
      </c>
      <c r="F2382" s="112"/>
      <c r="G2382" s="111"/>
      <c r="H2382" s="113">
        <v>1</v>
      </c>
      <c r="I2382" s="113">
        <f>+辅材及安装费!$G$16</f>
        <v>130</v>
      </c>
      <c r="J2382" s="114">
        <f t="shared" ref="J2382:J2389" si="248">H2382*I2382</f>
        <v>130</v>
      </c>
      <c r="K2382" s="92"/>
      <c r="L2382" s="69"/>
      <c r="M2382" s="44"/>
      <c r="N2382" s="82"/>
      <c r="O2382" s="44"/>
      <c r="P2382" s="44"/>
      <c r="Q2382" s="44"/>
      <c r="R2382" s="84"/>
      <c r="S2382" s="47"/>
      <c r="T2382" s="47"/>
    </row>
    <row r="2383" s="27" customFormat="1" ht="18" customHeight="1" spans="1:20">
      <c r="A2383" s="34"/>
      <c r="B2383" s="48">
        <v>3</v>
      </c>
      <c r="C2383" s="48"/>
      <c r="D2383" s="115"/>
      <c r="E2383" s="63"/>
      <c r="F2383" s="116"/>
      <c r="G2383" s="115"/>
      <c r="H2383" s="117"/>
      <c r="I2383" s="117"/>
      <c r="J2383" s="118"/>
      <c r="K2383" s="92"/>
      <c r="L2383" s="69"/>
      <c r="M2383" s="44"/>
      <c r="N2383" s="82"/>
      <c r="O2383" s="44"/>
      <c r="P2383" s="44"/>
      <c r="Q2383" s="44"/>
      <c r="R2383" s="84"/>
      <c r="S2383" s="47"/>
      <c r="T2383" s="47"/>
    </row>
    <row r="2384" s="27" customFormat="1" ht="18" customHeight="1" spans="1:20">
      <c r="A2384" s="34"/>
      <c r="B2384" s="48">
        <v>4</v>
      </c>
      <c r="C2384" s="48"/>
      <c r="D2384" s="85" t="s">
        <v>426</v>
      </c>
      <c r="E2384" s="48" t="s">
        <v>392</v>
      </c>
      <c r="F2384" s="50"/>
      <c r="G2384" s="48"/>
      <c r="H2384" s="86"/>
      <c r="I2384" s="86"/>
      <c r="J2384" s="95">
        <f>SUM(J2382:J2382)</f>
        <v>130</v>
      </c>
      <c r="K2384" s="92"/>
      <c r="L2384" s="90"/>
      <c r="M2384" s="44"/>
      <c r="N2384" s="82"/>
      <c r="O2384" s="44"/>
      <c r="P2384" s="44"/>
      <c r="Q2384" s="44"/>
      <c r="R2384" s="84"/>
      <c r="S2384" s="47"/>
      <c r="T2384" s="47"/>
    </row>
    <row r="2385" s="27" customFormat="1" ht="20" customHeight="1" spans="1:20">
      <c r="A2385" s="34"/>
      <c r="B2385" s="48">
        <v>1</v>
      </c>
      <c r="C2385" s="48" t="s">
        <v>394</v>
      </c>
      <c r="D2385" s="88" t="s">
        <v>607</v>
      </c>
      <c r="E2385" s="72" t="str">
        <f>+VLOOKUP(D2385,'材料表 '!C:F,2,0)</f>
        <v>m2</v>
      </c>
      <c r="F2385" s="77">
        <v>0.709</v>
      </c>
      <c r="G2385" s="89">
        <f>+VLOOKUP(D2385,'材料表 '!C:F,4,0)</f>
        <v>0.01</v>
      </c>
      <c r="H2385" s="74">
        <f>F2385*(G2385+1)</f>
        <v>0.71609</v>
      </c>
      <c r="I2385" s="74">
        <f>+VLOOKUP(D2385,'材料表 '!C:F,3,0)</f>
        <v>353.982300884956</v>
      </c>
      <c r="J2385" s="95">
        <f t="shared" si="248"/>
        <v>253.483185840708</v>
      </c>
      <c r="K2385" s="92">
        <f ca="1">H2385*K2371</f>
        <v>32.868531</v>
      </c>
      <c r="L2385" s="90"/>
      <c r="M2385" s="44"/>
      <c r="N2385" s="82"/>
      <c r="O2385" s="44"/>
      <c r="P2385" s="44"/>
      <c r="Q2385" s="44"/>
      <c r="R2385" s="84"/>
      <c r="S2385" s="47"/>
      <c r="T2385" s="47"/>
    </row>
    <row r="2386" s="27" customFormat="1" ht="18" customHeight="1" spans="1:20">
      <c r="A2386" s="34"/>
      <c r="B2386" s="48">
        <v>2</v>
      </c>
      <c r="C2386" s="48"/>
      <c r="D2386" s="88"/>
      <c r="E2386" s="72"/>
      <c r="F2386" s="77"/>
      <c r="G2386" s="89"/>
      <c r="H2386" s="74"/>
      <c r="I2386" s="74"/>
      <c r="J2386" s="95"/>
      <c r="K2386" s="92">
        <f ca="1">H2386*K2371</f>
        <v>0</v>
      </c>
      <c r="L2386" s="90"/>
      <c r="M2386" s="44"/>
      <c r="N2386" s="82"/>
      <c r="O2386" s="44"/>
      <c r="P2386" s="44"/>
      <c r="Q2386" s="44"/>
      <c r="R2386" s="84"/>
      <c r="S2386" s="47"/>
      <c r="T2386" s="47"/>
    </row>
    <row r="2387" s="27" customFormat="1" ht="18" customHeight="1" spans="1:20">
      <c r="A2387" s="34"/>
      <c r="B2387" s="48">
        <v>3</v>
      </c>
      <c r="C2387" s="48"/>
      <c r="D2387" s="88" t="s">
        <v>476</v>
      </c>
      <c r="E2387" s="72" t="str">
        <f>+VLOOKUP(D2387,'材料表 '!C:F,2,0)</f>
        <v>支</v>
      </c>
      <c r="F2387" s="77">
        <v>0.2</v>
      </c>
      <c r="G2387" s="89">
        <f>+VLOOKUP(D2387,'材料表 '!C:F,4,0)</f>
        <v>0.15</v>
      </c>
      <c r="H2387" s="74">
        <f>F2387*(G2387+1)</f>
        <v>0.23</v>
      </c>
      <c r="I2387" s="74">
        <f>+VLOOKUP(D2387,'材料表 '!C:F,3,0)</f>
        <v>11.5044247787611</v>
      </c>
      <c r="J2387" s="95">
        <f t="shared" si="248"/>
        <v>2.64601769911505</v>
      </c>
      <c r="K2387" s="92">
        <f ca="1">H2387*K2371</f>
        <v>10.557</v>
      </c>
      <c r="L2387" s="90"/>
      <c r="M2387" s="44"/>
      <c r="N2387" s="82"/>
      <c r="O2387" s="44"/>
      <c r="P2387" s="44"/>
      <c r="Q2387" s="44"/>
      <c r="R2387" s="84"/>
      <c r="S2387" s="47"/>
      <c r="T2387" s="47"/>
    </row>
    <row r="2388" s="27" customFormat="1" ht="18" customHeight="1" spans="1:20">
      <c r="A2388" s="34"/>
      <c r="B2388" s="48">
        <v>4</v>
      </c>
      <c r="C2388" s="48"/>
      <c r="D2388" s="131" t="s">
        <v>461</v>
      </c>
      <c r="E2388" s="72" t="str">
        <f>+VLOOKUP(D2388,'材料表 '!C:F,2,0)</f>
        <v>kg</v>
      </c>
      <c r="F2388" s="77">
        <v>1.2</v>
      </c>
      <c r="G2388" s="89">
        <f>+VLOOKUP(D2388,'材料表 '!C:F,4,0)</f>
        <v>0.03</v>
      </c>
      <c r="H2388" s="74">
        <f>F2388*(G2388+1)</f>
        <v>1.236</v>
      </c>
      <c r="I2388" s="74">
        <f>+VLOOKUP(D2388,'材料表 '!C:F,3,0)</f>
        <v>3.53982300884956</v>
      </c>
      <c r="J2388" s="95">
        <f t="shared" si="248"/>
        <v>4.37522123893806</v>
      </c>
      <c r="K2388" s="92">
        <f ca="1">H2388*K2371</f>
        <v>56.7324</v>
      </c>
      <c r="L2388" s="90"/>
      <c r="M2388" s="44"/>
      <c r="N2388" s="82"/>
      <c r="O2388" s="44"/>
      <c r="P2388" s="44"/>
      <c r="Q2388" s="44"/>
      <c r="R2388" s="84"/>
      <c r="S2388" s="47"/>
      <c r="T2388" s="47"/>
    </row>
    <row r="2389" s="27" customFormat="1" ht="18" customHeight="1" spans="1:20">
      <c r="A2389" s="34"/>
      <c r="B2389" s="48">
        <v>5</v>
      </c>
      <c r="C2389" s="48"/>
      <c r="D2389" s="131" t="s">
        <v>431</v>
      </c>
      <c r="E2389" s="72" t="str">
        <f>+VLOOKUP(D2389,'材料表 '!C:F,2,0)</f>
        <v>kg</v>
      </c>
      <c r="F2389" s="77">
        <v>3</v>
      </c>
      <c r="G2389" s="89">
        <f>+VLOOKUP(D2389,'材料表 '!C:F,4,0)</f>
        <v>0.03</v>
      </c>
      <c r="H2389" s="74">
        <f>F2389*(G2389+1)</f>
        <v>3.09</v>
      </c>
      <c r="I2389" s="74">
        <f>+VLOOKUP(D2389,'材料表 '!C:F,3,0)</f>
        <v>3.80530973451327</v>
      </c>
      <c r="J2389" s="95">
        <f t="shared" si="248"/>
        <v>11.758407079646</v>
      </c>
      <c r="K2389" s="92">
        <f ca="1">H2389*K2371</f>
        <v>141.831</v>
      </c>
      <c r="L2389" s="92"/>
      <c r="M2389" s="44"/>
      <c r="N2389" s="82"/>
      <c r="O2389" s="44"/>
      <c r="P2389" s="44"/>
      <c r="Q2389" s="44"/>
      <c r="R2389" s="84"/>
      <c r="S2389" s="47"/>
      <c r="T2389" s="47"/>
    </row>
    <row r="2390" s="27" customFormat="1" ht="18" customHeight="1" spans="1:20">
      <c r="A2390" s="34"/>
      <c r="B2390" s="48">
        <v>6</v>
      </c>
      <c r="C2390" s="48"/>
      <c r="D2390" s="88"/>
      <c r="E2390" s="72"/>
      <c r="F2390" s="77"/>
      <c r="G2390" s="89"/>
      <c r="H2390" s="74"/>
      <c r="I2390" s="74"/>
      <c r="J2390" s="95"/>
      <c r="K2390" s="92">
        <f ca="1">H2390*K2371</f>
        <v>0</v>
      </c>
      <c r="L2390" s="92"/>
      <c r="M2390" s="44"/>
      <c r="N2390" s="82"/>
      <c r="O2390" s="44"/>
      <c r="P2390" s="44"/>
      <c r="Q2390" s="44"/>
      <c r="R2390" s="84"/>
      <c r="S2390" s="47"/>
      <c r="T2390" s="47"/>
    </row>
    <row r="2391" s="27" customFormat="1" ht="18" customHeight="1" spans="1:20">
      <c r="A2391" s="34"/>
      <c r="B2391" s="48">
        <v>7</v>
      </c>
      <c r="C2391" s="48"/>
      <c r="D2391" s="88"/>
      <c r="E2391" s="72"/>
      <c r="F2391" s="77"/>
      <c r="G2391" s="89"/>
      <c r="H2391" s="74"/>
      <c r="I2391" s="74"/>
      <c r="J2391" s="95"/>
      <c r="K2391" s="92">
        <f ca="1">H2391*K2371</f>
        <v>0</v>
      </c>
      <c r="L2391" s="92"/>
      <c r="M2391" s="44"/>
      <c r="N2391" s="82"/>
      <c r="O2391" s="44"/>
      <c r="P2391" s="44"/>
      <c r="Q2391" s="44"/>
      <c r="R2391" s="84"/>
      <c r="S2391" s="47"/>
      <c r="T2391" s="47"/>
    </row>
    <row r="2392" s="27" customFormat="1" ht="18" customHeight="1" spans="1:20">
      <c r="A2392" s="34"/>
      <c r="B2392" s="48">
        <v>8</v>
      </c>
      <c r="C2392" s="48"/>
      <c r="D2392" s="88"/>
      <c r="E2392" s="72"/>
      <c r="F2392" s="77"/>
      <c r="G2392" s="89"/>
      <c r="H2392" s="74"/>
      <c r="I2392" s="74"/>
      <c r="J2392" s="95"/>
      <c r="K2392" s="92">
        <f ca="1">H2392*K2371</f>
        <v>0</v>
      </c>
      <c r="L2392" s="92"/>
      <c r="M2392" s="44"/>
      <c r="N2392" s="82"/>
      <c r="O2392" s="44"/>
      <c r="P2392" s="44"/>
      <c r="Q2392" s="44"/>
      <c r="R2392" s="84"/>
      <c r="S2392" s="47"/>
      <c r="T2392" s="47"/>
    </row>
    <row r="2393" s="27" customFormat="1" ht="18" customHeight="1" spans="1:20">
      <c r="A2393" s="34"/>
      <c r="B2393" s="48">
        <v>9</v>
      </c>
      <c r="C2393" s="48"/>
      <c r="D2393" s="88"/>
      <c r="E2393" s="72"/>
      <c r="F2393" s="77"/>
      <c r="G2393" s="89"/>
      <c r="H2393" s="74"/>
      <c r="I2393" s="74"/>
      <c r="J2393" s="95"/>
      <c r="K2393" s="92">
        <f ca="1">H2393*K2371</f>
        <v>0</v>
      </c>
      <c r="L2393" s="90"/>
      <c r="M2393" s="44"/>
      <c r="N2393" s="82"/>
      <c r="O2393" s="34"/>
      <c r="P2393" s="44"/>
      <c r="Q2393" s="44"/>
      <c r="R2393" s="119"/>
      <c r="S2393" s="47"/>
      <c r="T2393" s="47"/>
    </row>
    <row r="2394" s="27" customFormat="1" ht="18" customHeight="1" spans="1:20">
      <c r="A2394" s="34"/>
      <c r="B2394" s="48">
        <v>10</v>
      </c>
      <c r="C2394" s="48"/>
      <c r="D2394" s="88"/>
      <c r="E2394" s="72"/>
      <c r="F2394" s="77"/>
      <c r="G2394" s="89"/>
      <c r="H2394" s="74"/>
      <c r="I2394" s="74"/>
      <c r="J2394" s="95"/>
      <c r="K2394" s="92">
        <f ca="1">H2394*K2371</f>
        <v>0</v>
      </c>
      <c r="L2394" s="92"/>
      <c r="M2394" s="120"/>
      <c r="N2394" s="82"/>
      <c r="O2394" s="44"/>
      <c r="P2394" s="44"/>
      <c r="Q2394" s="44"/>
      <c r="R2394" s="84"/>
      <c r="S2394" s="47"/>
      <c r="T2394" s="47"/>
    </row>
    <row r="2395" s="27" customFormat="1" ht="18" customHeight="1" spans="1:20">
      <c r="A2395" s="34"/>
      <c r="B2395" s="48">
        <v>11</v>
      </c>
      <c r="C2395" s="48"/>
      <c r="D2395" s="88"/>
      <c r="E2395" s="72"/>
      <c r="F2395" s="77"/>
      <c r="G2395" s="89"/>
      <c r="H2395" s="74"/>
      <c r="I2395" s="74"/>
      <c r="J2395" s="95"/>
      <c r="K2395" s="92">
        <f ca="1">H2395*K2371</f>
        <v>0</v>
      </c>
      <c r="L2395" s="92"/>
      <c r="M2395" s="44"/>
      <c r="N2395" s="82"/>
      <c r="O2395" s="44"/>
      <c r="P2395" s="44"/>
      <c r="Q2395" s="44"/>
      <c r="R2395" s="84"/>
      <c r="S2395" s="47"/>
      <c r="T2395" s="47"/>
    </row>
    <row r="2396" s="27" customFormat="1" ht="18" customHeight="1" spans="1:20">
      <c r="A2396" s="34"/>
      <c r="B2396" s="48">
        <v>12</v>
      </c>
      <c r="C2396" s="48"/>
      <c r="D2396" s="88"/>
      <c r="E2396" s="72"/>
      <c r="F2396" s="77"/>
      <c r="G2396" s="89"/>
      <c r="H2396" s="74"/>
      <c r="I2396" s="74"/>
      <c r="J2396" s="95"/>
      <c r="K2396" s="92"/>
      <c r="L2396" s="92"/>
      <c r="M2396" s="44"/>
      <c r="N2396" s="44"/>
      <c r="O2396" s="44"/>
      <c r="P2396" s="44"/>
      <c r="Q2396" s="44"/>
      <c r="R2396" s="84"/>
      <c r="S2396" s="47"/>
      <c r="T2396" s="47"/>
    </row>
    <row r="2397" s="27" customFormat="1" ht="18" customHeight="1" spans="1:20">
      <c r="A2397" s="34"/>
      <c r="B2397" s="48">
        <v>13</v>
      </c>
      <c r="C2397" s="48"/>
      <c r="D2397" s="88"/>
      <c r="E2397" s="72"/>
      <c r="F2397" s="77"/>
      <c r="G2397" s="89"/>
      <c r="H2397" s="74"/>
      <c r="I2397" s="74"/>
      <c r="J2397" s="95"/>
      <c r="K2397" s="92"/>
      <c r="L2397" s="92"/>
      <c r="M2397" s="44"/>
      <c r="N2397" s="44"/>
      <c r="O2397" s="44"/>
      <c r="P2397" s="44"/>
      <c r="Q2397" s="44"/>
      <c r="R2397" s="84"/>
      <c r="S2397" s="47"/>
      <c r="T2397" s="47"/>
    </row>
    <row r="2398" s="27" customFormat="1" ht="24" customHeight="1" spans="1:20">
      <c r="A2398" s="34"/>
      <c r="B2398" s="48">
        <v>14</v>
      </c>
      <c r="C2398" s="48"/>
      <c r="D2398" s="88"/>
      <c r="E2398" s="72"/>
      <c r="F2398" s="77"/>
      <c r="G2398" s="89"/>
      <c r="H2398" s="74"/>
      <c r="I2398" s="74"/>
      <c r="J2398" s="95"/>
      <c r="K2398" s="92"/>
      <c r="L2398" s="92"/>
      <c r="M2398" s="44"/>
      <c r="N2398" s="44"/>
      <c r="O2398" s="44"/>
      <c r="P2398" s="44"/>
      <c r="Q2398" s="44"/>
      <c r="R2398" s="84"/>
      <c r="S2398" s="47"/>
      <c r="T2398" s="47"/>
    </row>
    <row r="2399" s="27" customFormat="1" ht="18" customHeight="1" spans="1:20">
      <c r="A2399" s="34"/>
      <c r="B2399" s="48">
        <v>15</v>
      </c>
      <c r="C2399" s="48"/>
      <c r="D2399" s="88"/>
      <c r="E2399" s="72"/>
      <c r="F2399" s="77"/>
      <c r="G2399" s="89"/>
      <c r="H2399" s="74"/>
      <c r="I2399" s="74"/>
      <c r="J2399" s="95"/>
      <c r="K2399" s="92"/>
      <c r="L2399" s="92"/>
      <c r="M2399" s="44"/>
      <c r="N2399" s="44"/>
      <c r="O2399" s="44"/>
      <c r="P2399" s="44"/>
      <c r="Q2399" s="44"/>
      <c r="R2399" s="84"/>
      <c r="S2399" s="47"/>
      <c r="T2399" s="47"/>
    </row>
    <row r="2400" s="27" customFormat="1" ht="18" customHeight="1" spans="1:20">
      <c r="A2400" s="34"/>
      <c r="B2400" s="48">
        <v>16</v>
      </c>
      <c r="C2400" s="48"/>
      <c r="D2400" s="88"/>
      <c r="E2400" s="72"/>
      <c r="F2400" s="77"/>
      <c r="G2400" s="89"/>
      <c r="H2400" s="74"/>
      <c r="I2400" s="74"/>
      <c r="J2400" s="95"/>
      <c r="K2400" s="92"/>
      <c r="L2400" s="92"/>
      <c r="M2400" s="44"/>
      <c r="N2400" s="44"/>
      <c r="O2400" s="44"/>
      <c r="P2400" s="44"/>
      <c r="Q2400" s="44"/>
      <c r="R2400" s="84"/>
      <c r="S2400" s="47"/>
      <c r="T2400" s="47"/>
    </row>
    <row r="2401" s="27" customFormat="1" ht="18" customHeight="1" spans="1:20">
      <c r="A2401" s="34"/>
      <c r="B2401" s="48">
        <v>17</v>
      </c>
      <c r="C2401" s="48"/>
      <c r="D2401" s="121"/>
      <c r="E2401" s="72"/>
      <c r="F2401" s="77"/>
      <c r="G2401" s="89"/>
      <c r="H2401" s="74"/>
      <c r="I2401" s="74"/>
      <c r="J2401" s="95"/>
      <c r="K2401" s="92"/>
      <c r="L2401" s="92"/>
      <c r="M2401" s="44"/>
      <c r="N2401" s="44"/>
      <c r="O2401" s="44"/>
      <c r="P2401" s="44"/>
      <c r="Q2401" s="101"/>
      <c r="R2401" s="84"/>
      <c r="S2401" s="47"/>
      <c r="T2401" s="47"/>
    </row>
    <row r="2402" s="27" customFormat="1" ht="18" customHeight="1" spans="1:20">
      <c r="A2402" s="34"/>
      <c r="B2402" s="48">
        <v>18</v>
      </c>
      <c r="C2402" s="48"/>
      <c r="D2402" s="88"/>
      <c r="E2402" s="72"/>
      <c r="F2402" s="77"/>
      <c r="G2402" s="89"/>
      <c r="H2402" s="74"/>
      <c r="I2402" s="74"/>
      <c r="J2402" s="95"/>
      <c r="K2402" s="92"/>
      <c r="L2402" s="92"/>
      <c r="M2402" s="44"/>
      <c r="N2402" s="44"/>
      <c r="O2402" s="44"/>
      <c r="P2402" s="44"/>
      <c r="Q2402" s="44"/>
      <c r="R2402" s="84"/>
      <c r="S2402" s="47"/>
      <c r="T2402" s="47"/>
    </row>
    <row r="2403" s="27" customFormat="1" ht="18" customHeight="1" spans="1:20">
      <c r="A2403" s="34"/>
      <c r="B2403" s="48">
        <v>19</v>
      </c>
      <c r="C2403" s="48"/>
      <c r="D2403" s="27"/>
      <c r="E2403" s="72"/>
      <c r="F2403" s="77"/>
      <c r="G2403" s="89"/>
      <c r="H2403" s="74"/>
      <c r="I2403" s="74"/>
      <c r="J2403" s="95"/>
      <c r="K2403" s="92"/>
      <c r="L2403" s="92"/>
      <c r="M2403" s="44"/>
      <c r="N2403" s="44"/>
      <c r="O2403" s="44"/>
      <c r="P2403" s="44"/>
      <c r="Q2403" s="44"/>
      <c r="R2403" s="84"/>
      <c r="S2403" s="47"/>
      <c r="T2403" s="47"/>
    </row>
    <row r="2404" s="27" customFormat="1" ht="18" customHeight="1" spans="1:20">
      <c r="A2404" s="34"/>
      <c r="B2404" s="48">
        <v>20</v>
      </c>
      <c r="C2404" s="48"/>
      <c r="D2404" s="88"/>
      <c r="E2404" s="72"/>
      <c r="F2404" s="77"/>
      <c r="G2404" s="89"/>
      <c r="H2404" s="74"/>
      <c r="I2404" s="74"/>
      <c r="J2404" s="95"/>
      <c r="K2404" s="92"/>
      <c r="L2404" s="92"/>
      <c r="M2404" s="44"/>
      <c r="N2404" s="44"/>
      <c r="O2404" s="44"/>
      <c r="P2404" s="44"/>
      <c r="Q2404" s="44"/>
      <c r="R2404" s="84"/>
      <c r="S2404" s="47"/>
      <c r="T2404" s="47"/>
    </row>
    <row r="2405" s="27" customFormat="1" ht="18" customHeight="1" spans="1:20">
      <c r="A2405" s="34"/>
      <c r="B2405" s="48">
        <v>21</v>
      </c>
      <c r="C2405" s="48"/>
      <c r="D2405" s="88"/>
      <c r="E2405" s="72"/>
      <c r="F2405" s="77"/>
      <c r="G2405" s="89"/>
      <c r="H2405" s="74"/>
      <c r="I2405" s="74"/>
      <c r="J2405" s="95"/>
      <c r="K2405" s="92"/>
      <c r="L2405" s="92"/>
      <c r="M2405" s="44"/>
      <c r="N2405" s="44"/>
      <c r="O2405" s="44"/>
      <c r="P2405" s="44"/>
      <c r="Q2405" s="44"/>
      <c r="R2405" s="84"/>
      <c r="S2405" s="47"/>
      <c r="T2405" s="47"/>
    </row>
    <row r="2406" s="27" customFormat="1" ht="18" customHeight="1" spans="1:20">
      <c r="A2406" s="34"/>
      <c r="B2406" s="48">
        <v>22</v>
      </c>
      <c r="C2406" s="48"/>
      <c r="D2406" s="27"/>
      <c r="E2406" s="72"/>
      <c r="F2406" s="77"/>
      <c r="G2406" s="72"/>
      <c r="H2406" s="74"/>
      <c r="I2406" s="74"/>
      <c r="J2406" s="95"/>
      <c r="K2406" s="92"/>
      <c r="L2406" s="92"/>
      <c r="M2406" s="44"/>
      <c r="N2406" s="44"/>
      <c r="O2406" s="44"/>
      <c r="P2406" s="44"/>
      <c r="Q2406" s="44"/>
      <c r="R2406" s="62"/>
      <c r="S2406" s="47"/>
      <c r="T2406" s="47"/>
    </row>
    <row r="2407" s="27" customFormat="1" ht="18" customHeight="1" spans="1:20">
      <c r="A2407" s="34"/>
      <c r="B2407" s="48">
        <v>23</v>
      </c>
      <c r="C2407" s="48"/>
      <c r="D2407" s="88"/>
      <c r="E2407" s="72"/>
      <c r="F2407" s="77"/>
      <c r="G2407" s="89"/>
      <c r="H2407" s="74"/>
      <c r="I2407" s="74"/>
      <c r="J2407" s="95"/>
      <c r="K2407" s="92"/>
      <c r="L2407" s="92"/>
      <c r="M2407" s="44"/>
      <c r="N2407" s="44"/>
      <c r="O2407" s="44"/>
      <c r="P2407" s="44"/>
      <c r="Q2407" s="44"/>
      <c r="R2407" s="62"/>
      <c r="S2407" s="47"/>
      <c r="T2407" s="47"/>
    </row>
    <row r="2408" s="27" customFormat="1" ht="18" customHeight="1" spans="1:20">
      <c r="A2408" s="34"/>
      <c r="B2408" s="48">
        <v>24</v>
      </c>
      <c r="C2408" s="48"/>
      <c r="D2408" s="88" t="s">
        <v>478</v>
      </c>
      <c r="E2408" s="132" t="s">
        <v>423</v>
      </c>
      <c r="F2408" s="77"/>
      <c r="G2408" s="72">
        <v>1</v>
      </c>
      <c r="H2408" s="74">
        <v>1</v>
      </c>
      <c r="I2408" s="74">
        <f>+辅材及安装费!$E$16</f>
        <v>5</v>
      </c>
      <c r="J2408" s="95">
        <f>H2408*I2408</f>
        <v>5</v>
      </c>
      <c r="K2408" s="92"/>
      <c r="L2408" s="92"/>
      <c r="M2408" s="44"/>
      <c r="N2408" s="44"/>
      <c r="O2408" s="44"/>
      <c r="P2408" s="44"/>
      <c r="Q2408" s="44"/>
      <c r="R2408" s="62"/>
      <c r="S2408" s="47"/>
      <c r="T2408" s="47"/>
    </row>
    <row r="2409" s="27" customFormat="1" ht="18" customHeight="1" spans="1:20">
      <c r="A2409" s="34"/>
      <c r="B2409" s="48">
        <v>25</v>
      </c>
      <c r="C2409" s="48"/>
      <c r="D2409" s="93" t="s">
        <v>442</v>
      </c>
      <c r="E2409" s="72"/>
      <c r="F2409" s="77"/>
      <c r="G2409" s="72"/>
      <c r="H2409" s="74"/>
      <c r="I2409" s="74"/>
      <c r="J2409" s="95">
        <f>SUM(J2385:J2408)</f>
        <v>277.262831858407</v>
      </c>
      <c r="K2409" s="92"/>
      <c r="L2409" s="94"/>
      <c r="N2409" s="83"/>
      <c r="O2409" s="83"/>
      <c r="P2409" s="83"/>
      <c r="Q2409" s="83"/>
      <c r="R2409" s="87"/>
      <c r="S2409" s="47"/>
      <c r="T2409" s="47"/>
    </row>
    <row r="2410" s="27" customFormat="1" ht="18" customHeight="1" spans="1:20">
      <c r="A2410" s="34"/>
      <c r="B2410" s="48">
        <v>1</v>
      </c>
      <c r="C2410" s="48" t="s">
        <v>443</v>
      </c>
      <c r="D2410" s="48" t="s">
        <v>444</v>
      </c>
      <c r="E2410" s="132" t="s">
        <v>423</v>
      </c>
      <c r="F2410" s="50"/>
      <c r="G2410" s="48"/>
      <c r="H2410" s="51">
        <v>1</v>
      </c>
      <c r="I2410" s="74">
        <f>+辅材及安装费!$F$16</f>
        <v>1</v>
      </c>
      <c r="J2410" s="95">
        <f>H2410*I2410</f>
        <v>1</v>
      </c>
      <c r="K2410" s="118"/>
      <c r="L2410" s="96"/>
      <c r="M2410" s="97"/>
      <c r="N2410" s="98"/>
      <c r="O2410" s="98"/>
      <c r="P2410" s="98"/>
      <c r="Q2410" s="98"/>
      <c r="R2410" s="99"/>
      <c r="S2410" s="47"/>
      <c r="T2410" s="47"/>
    </row>
    <row r="2411" s="26" customFormat="1" ht="30" customHeight="1" spans="1:20">
      <c r="A2411" s="28"/>
      <c r="B2411" s="29" t="s">
        <v>386</v>
      </c>
      <c r="C2411" s="29"/>
      <c r="D2411" s="29"/>
      <c r="E2411" s="29"/>
      <c r="F2411" s="29"/>
      <c r="G2411" s="29"/>
      <c r="H2411" s="29"/>
      <c r="I2411" s="29"/>
      <c r="J2411" s="29"/>
      <c r="K2411" s="29"/>
      <c r="L2411" s="30"/>
      <c r="M2411" s="31"/>
      <c r="N2411" s="31"/>
      <c r="O2411" s="31"/>
      <c r="P2411" s="31"/>
      <c r="Q2411" s="31"/>
      <c r="R2411" s="32"/>
      <c r="S2411" s="33"/>
      <c r="T2411" s="33"/>
    </row>
    <row r="2412" s="27" customFormat="1" ht="33.75" customHeight="1" spans="1:20">
      <c r="A2412" s="34">
        <v>6</v>
      </c>
      <c r="B2412" s="35" t="s">
        <v>1</v>
      </c>
      <c r="C2412" s="35" t="s">
        <v>387</v>
      </c>
      <c r="D2412" s="36" t="str">
        <f>+A2420</f>
        <v>3㎜铝芯复合板（玻璃背称）</v>
      </c>
      <c r="E2412" s="37"/>
      <c r="F2412" s="38"/>
      <c r="G2412" s="39"/>
      <c r="H2412" s="35" t="s">
        <v>388</v>
      </c>
      <c r="I2412" s="40" t="s">
        <v>389</v>
      </c>
      <c r="J2412" s="41" t="s">
        <v>37</v>
      </c>
      <c r="K2412" s="42">
        <f ca="1">VLOOKUP(A2412,排屋工程量清单!$A$111:$D$116,4,)</f>
        <v>5.51356</v>
      </c>
      <c r="L2412" s="43"/>
      <c r="M2412" s="44"/>
      <c r="N2412" s="44"/>
      <c r="O2412" s="44"/>
      <c r="P2412" s="45"/>
      <c r="Q2412" s="44"/>
      <c r="R2412" s="46"/>
      <c r="S2412" s="47"/>
      <c r="T2412" s="47"/>
    </row>
    <row r="2413" s="27" customFormat="1" ht="25" customHeight="1" spans="1:20">
      <c r="A2413" s="34"/>
      <c r="B2413" s="48">
        <v>1</v>
      </c>
      <c r="C2413" s="49" t="s">
        <v>390</v>
      </c>
      <c r="D2413" s="48" t="s">
        <v>391</v>
      </c>
      <c r="E2413" s="48"/>
      <c r="F2413" s="50"/>
      <c r="G2413" s="48"/>
      <c r="H2413" s="51"/>
      <c r="I2413" s="52">
        <f>J2425</f>
        <v>35</v>
      </c>
      <c r="J2413" s="53" t="s">
        <v>392</v>
      </c>
      <c r="K2413" s="54"/>
      <c r="L2413" s="55"/>
      <c r="M2413" s="56" t="s">
        <v>220</v>
      </c>
      <c r="N2413" s="57"/>
      <c r="O2413" s="57">
        <v>3.23</v>
      </c>
      <c r="P2413" s="57">
        <v>1.2</v>
      </c>
      <c r="Q2413" s="57">
        <v>1</v>
      </c>
      <c r="R2413" s="58">
        <f>O2413</f>
        <v>3.23</v>
      </c>
      <c r="S2413" s="47"/>
      <c r="T2413" s="47"/>
    </row>
    <row r="2414" s="27" customFormat="1" ht="18" customHeight="1" spans="1:20">
      <c r="A2414" s="34"/>
      <c r="B2414" s="48">
        <v>2</v>
      </c>
      <c r="C2414" s="59"/>
      <c r="D2414" s="48" t="s">
        <v>394</v>
      </c>
      <c r="E2414" s="48"/>
      <c r="F2414" s="50"/>
      <c r="G2414" s="48"/>
      <c r="H2414" s="51"/>
      <c r="I2414" s="52">
        <f>J2450</f>
        <v>256.389380530973</v>
      </c>
      <c r="J2414" s="53" t="s">
        <v>392</v>
      </c>
      <c r="K2414" s="60"/>
      <c r="L2414" s="61"/>
      <c r="M2414" s="44"/>
      <c r="N2414" s="44"/>
      <c r="O2414" s="44"/>
      <c r="P2414" s="44"/>
      <c r="Q2414" s="44"/>
      <c r="R2414" s="62"/>
      <c r="S2414" s="47"/>
      <c r="T2414" s="47"/>
    </row>
    <row r="2415" s="27" customFormat="1" ht="18" customHeight="1" spans="1:20">
      <c r="A2415" s="34"/>
      <c r="B2415" s="48">
        <v>3</v>
      </c>
      <c r="C2415" s="63"/>
      <c r="D2415" s="48" t="s">
        <v>395</v>
      </c>
      <c r="E2415" s="48"/>
      <c r="F2415" s="50"/>
      <c r="G2415" s="48"/>
      <c r="H2415" s="51"/>
      <c r="I2415" s="52">
        <f>J2451</f>
        <v>1</v>
      </c>
      <c r="J2415" s="53" t="s">
        <v>392</v>
      </c>
      <c r="K2415" s="60"/>
      <c r="L2415" s="60"/>
      <c r="M2415" s="64" t="s">
        <v>396</v>
      </c>
      <c r="N2415" s="65" t="s">
        <v>397</v>
      </c>
      <c r="O2415" s="65" t="s">
        <v>398</v>
      </c>
      <c r="P2415" s="65" t="s">
        <v>399</v>
      </c>
      <c r="Q2415" s="65" t="s">
        <v>400</v>
      </c>
      <c r="R2415" s="66" t="s">
        <v>401</v>
      </c>
      <c r="S2415" s="47"/>
      <c r="T2415" s="47"/>
    </row>
    <row r="2416" s="27" customFormat="1" ht="18" customHeight="1" spans="1:20">
      <c r="A2416" s="34"/>
      <c r="B2416" s="48">
        <v>4</v>
      </c>
      <c r="C2416" s="48" t="s">
        <v>402</v>
      </c>
      <c r="D2416" s="67" t="s">
        <v>403</v>
      </c>
      <c r="E2416" s="67"/>
      <c r="F2416" s="50"/>
      <c r="G2416" s="67"/>
      <c r="H2416" s="68"/>
      <c r="I2416" s="52">
        <f>SUM(I2413:I2415)</f>
        <v>292.389380530973</v>
      </c>
      <c r="J2416" s="53" t="s">
        <v>392</v>
      </c>
      <c r="K2416" s="60"/>
      <c r="L2416" s="69"/>
      <c r="M2416" s="34"/>
      <c r="N2416" s="34"/>
      <c r="O2416" s="34"/>
      <c r="P2416" s="34"/>
      <c r="Q2416" s="44"/>
      <c r="R2416" s="71"/>
      <c r="S2416" s="47"/>
      <c r="T2416" s="47"/>
    </row>
    <row r="2417" s="27" customFormat="1" ht="28" customHeight="1" spans="1:20">
      <c r="A2417" s="34"/>
      <c r="B2417" s="48">
        <v>5</v>
      </c>
      <c r="C2417" s="72" t="s">
        <v>406</v>
      </c>
      <c r="D2417" s="48" t="s">
        <v>407</v>
      </c>
      <c r="E2417" s="48"/>
      <c r="F2417" s="50"/>
      <c r="G2417" s="48"/>
      <c r="H2417" s="73">
        <f>+'材料表 '!$E$178</f>
        <v>0</v>
      </c>
      <c r="I2417" s="52">
        <f>H2417*I2416</f>
        <v>0</v>
      </c>
      <c r="J2417" s="53" t="s">
        <v>392</v>
      </c>
      <c r="K2417" s="60"/>
      <c r="L2417" s="69"/>
      <c r="M2417" s="34"/>
      <c r="N2417" s="34"/>
      <c r="O2417" s="34"/>
      <c r="P2417" s="34"/>
      <c r="Q2417" s="44"/>
      <c r="R2417" s="71"/>
      <c r="S2417" s="47"/>
      <c r="T2417" s="47"/>
    </row>
    <row r="2418" s="27" customFormat="1" ht="18" customHeight="1" spans="1:20">
      <c r="A2418" s="34"/>
      <c r="B2418" s="48">
        <v>6</v>
      </c>
      <c r="C2418" s="48" t="s">
        <v>409</v>
      </c>
      <c r="D2418" s="48" t="s">
        <v>410</v>
      </c>
      <c r="E2418" s="48"/>
      <c r="F2418" s="50"/>
      <c r="G2418" s="48"/>
      <c r="H2418" s="73">
        <f>+'材料表 '!$E$179</f>
        <v>0</v>
      </c>
      <c r="I2418" s="52">
        <f>H2418*I2416</f>
        <v>0</v>
      </c>
      <c r="J2418" s="53" t="s">
        <v>392</v>
      </c>
      <c r="K2418" s="60"/>
      <c r="L2418" s="69"/>
      <c r="M2418" s="34"/>
      <c r="N2418" s="34"/>
      <c r="O2418" s="34"/>
      <c r="P2418" s="34"/>
      <c r="Q2418" s="44"/>
      <c r="R2418" s="71"/>
      <c r="S2418" s="47"/>
      <c r="T2418" s="47"/>
    </row>
    <row r="2419" s="27" customFormat="1" ht="18" customHeight="1" spans="1:20">
      <c r="A2419" s="34"/>
      <c r="B2419" s="48">
        <v>7</v>
      </c>
      <c r="C2419" s="48" t="s">
        <v>412</v>
      </c>
      <c r="D2419" s="72" t="s">
        <v>413</v>
      </c>
      <c r="E2419" s="72"/>
      <c r="F2419" s="77"/>
      <c r="G2419" s="72"/>
      <c r="H2419" s="73">
        <f>+'材料表 '!$E$180</f>
        <v>0.09</v>
      </c>
      <c r="I2419" s="52">
        <f>(I2416+I2417+I2418)*H2419</f>
        <v>26.3150442477876</v>
      </c>
      <c r="J2419" s="53" t="s">
        <v>392</v>
      </c>
      <c r="K2419" s="60"/>
      <c r="L2419" s="69"/>
      <c r="M2419" s="34"/>
      <c r="N2419" s="34"/>
      <c r="O2419" s="34"/>
      <c r="P2419" s="34"/>
      <c r="Q2419" s="44"/>
      <c r="R2419" s="71"/>
      <c r="S2419" s="47"/>
      <c r="T2419" s="47"/>
    </row>
    <row r="2420" s="27" customFormat="1" ht="18" customHeight="1" spans="1:20">
      <c r="A2420" s="34" t="s">
        <v>608</v>
      </c>
      <c r="B2420" s="48">
        <v>8</v>
      </c>
      <c r="C2420" s="48" t="s">
        <v>363</v>
      </c>
      <c r="D2420" s="106" t="s">
        <v>415</v>
      </c>
      <c r="E2420" s="107"/>
      <c r="F2420" s="108"/>
      <c r="G2420" s="107"/>
      <c r="H2420" s="51"/>
      <c r="I2420" s="74">
        <f>SUM(I2416:I2419)</f>
        <v>318.704424778761</v>
      </c>
      <c r="J2420" s="53" t="s">
        <v>416</v>
      </c>
      <c r="K2420" s="60"/>
      <c r="L2420" s="69"/>
      <c r="M2420" s="34"/>
      <c r="N2420" s="100"/>
      <c r="O2420" s="34"/>
      <c r="P2420" s="44"/>
      <c r="Q2420" s="44"/>
      <c r="R2420" s="84"/>
      <c r="S2420" s="79"/>
      <c r="T2420" s="47"/>
    </row>
    <row r="2421" s="27" customFormat="1" ht="18" customHeight="1" spans="1:20">
      <c r="A2421" s="34"/>
      <c r="B2421" s="109" t="s">
        <v>418</v>
      </c>
      <c r="C2421" s="110"/>
      <c r="D2421" s="110"/>
      <c r="E2421" s="110"/>
      <c r="F2421" s="110"/>
      <c r="G2421" s="110"/>
      <c r="H2421" s="110"/>
      <c r="I2421" s="110"/>
      <c r="J2421" s="110"/>
      <c r="K2421" s="80"/>
      <c r="L2421" s="69"/>
      <c r="M2421" s="44"/>
      <c r="N2421" s="82"/>
      <c r="O2421" s="44"/>
      <c r="P2421" s="44"/>
      <c r="Q2421" s="44"/>
      <c r="R2421" s="84"/>
      <c r="S2421" s="47">
        <f>0.356</f>
        <v>0.356</v>
      </c>
      <c r="T2421" s="47">
        <f>S2421*P2421*O2421</f>
        <v>0</v>
      </c>
    </row>
    <row r="2422" s="27" customFormat="1" ht="18" customHeight="1" spans="1:20">
      <c r="A2422" s="34"/>
      <c r="B2422" s="48">
        <v>1</v>
      </c>
      <c r="C2422" s="48" t="s">
        <v>391</v>
      </c>
      <c r="D2422" s="48" t="s">
        <v>396</v>
      </c>
      <c r="E2422" s="48" t="s">
        <v>37</v>
      </c>
      <c r="F2422" s="50"/>
      <c r="G2422" s="48"/>
      <c r="H2422" s="51" t="s">
        <v>399</v>
      </c>
      <c r="I2422" s="51" t="s">
        <v>420</v>
      </c>
      <c r="J2422" s="95" t="s">
        <v>421</v>
      </c>
      <c r="K2422" s="92"/>
      <c r="L2422" s="69"/>
      <c r="M2422" s="44"/>
      <c r="N2422" s="82"/>
      <c r="O2422" s="44"/>
      <c r="P2422" s="44"/>
      <c r="Q2422" s="44"/>
      <c r="R2422" s="84"/>
      <c r="S2422" s="47"/>
      <c r="T2422" s="47"/>
    </row>
    <row r="2423" s="27" customFormat="1" ht="18" customHeight="1" spans="1:20">
      <c r="A2423" s="34"/>
      <c r="B2423" s="48">
        <v>2</v>
      </c>
      <c r="C2423" s="48"/>
      <c r="D2423" s="111" t="s">
        <v>606</v>
      </c>
      <c r="E2423" s="130" t="s">
        <v>423</v>
      </c>
      <c r="F2423" s="112"/>
      <c r="G2423" s="111"/>
      <c r="H2423" s="113">
        <v>1</v>
      </c>
      <c r="I2423" s="113">
        <f>+辅材及安装费!$G$15</f>
        <v>35</v>
      </c>
      <c r="J2423" s="114">
        <f t="shared" ref="J2423:J2428" si="249">H2423*I2423</f>
        <v>35</v>
      </c>
      <c r="K2423" s="92"/>
      <c r="L2423" s="69"/>
      <c r="M2423" s="44"/>
      <c r="N2423" s="82"/>
      <c r="O2423" s="44"/>
      <c r="P2423" s="44"/>
      <c r="Q2423" s="44"/>
      <c r="R2423" s="84"/>
      <c r="S2423" s="47"/>
      <c r="T2423" s="47"/>
    </row>
    <row r="2424" s="27" customFormat="1" ht="18" customHeight="1" spans="1:20">
      <c r="A2424" s="34"/>
      <c r="B2424" s="48">
        <v>3</v>
      </c>
      <c r="C2424" s="48"/>
      <c r="D2424" s="115"/>
      <c r="E2424" s="63"/>
      <c r="F2424" s="116"/>
      <c r="G2424" s="115"/>
      <c r="H2424" s="117"/>
      <c r="I2424" s="117"/>
      <c r="J2424" s="118"/>
      <c r="K2424" s="92"/>
      <c r="L2424" s="69"/>
      <c r="M2424" s="44"/>
      <c r="N2424" s="82"/>
      <c r="O2424" s="44"/>
      <c r="P2424" s="44"/>
      <c r="Q2424" s="44"/>
      <c r="R2424" s="84"/>
      <c r="S2424" s="47">
        <f>0.245</f>
        <v>0.245</v>
      </c>
      <c r="T2424" s="47">
        <f>S2424*P2424*O2424</f>
        <v>0</v>
      </c>
    </row>
    <row r="2425" s="27" customFormat="1" ht="18" customHeight="1" spans="1:20">
      <c r="A2425" s="34"/>
      <c r="B2425" s="48">
        <v>4</v>
      </c>
      <c r="C2425" s="48"/>
      <c r="D2425" s="85" t="s">
        <v>426</v>
      </c>
      <c r="E2425" s="48" t="s">
        <v>392</v>
      </c>
      <c r="F2425" s="50"/>
      <c r="G2425" s="48"/>
      <c r="H2425" s="86"/>
      <c r="I2425" s="86"/>
      <c r="J2425" s="95">
        <f>SUM(J2423:J2423)</f>
        <v>35</v>
      </c>
      <c r="K2425" s="92"/>
      <c r="L2425" s="90"/>
      <c r="M2425" s="44"/>
      <c r="N2425" s="82"/>
      <c r="O2425" s="44"/>
      <c r="P2425" s="44"/>
      <c r="Q2425" s="44"/>
      <c r="R2425" s="84"/>
      <c r="S2425" s="47"/>
      <c r="T2425" s="47"/>
    </row>
    <row r="2426" s="27" customFormat="1" ht="20" customHeight="1" spans="1:20">
      <c r="A2426" s="34"/>
      <c r="B2426" s="48">
        <v>1</v>
      </c>
      <c r="C2426" s="48" t="s">
        <v>394</v>
      </c>
      <c r="D2426" s="88" t="s">
        <v>608</v>
      </c>
      <c r="E2426" s="72" t="str">
        <f>+VLOOKUP(D2426,'材料表 '!C:F,2,0)</f>
        <v>m2</v>
      </c>
      <c r="F2426" s="77">
        <v>1</v>
      </c>
      <c r="G2426" s="89">
        <f>+VLOOKUP(D2426,'材料表 '!C:F,4,0)</f>
        <v>0.02</v>
      </c>
      <c r="H2426" s="74">
        <f>F2426*(G2426+1)</f>
        <v>1.02</v>
      </c>
      <c r="I2426" s="74">
        <f>+VLOOKUP(D2426,'材料表 '!C:F,3,0)</f>
        <v>247.787610619469</v>
      </c>
      <c r="J2426" s="95">
        <f t="shared" si="249"/>
        <v>252.743362831858</v>
      </c>
      <c r="K2426" s="92">
        <f ca="1">H2426*K2412</f>
        <v>5.6238312</v>
      </c>
      <c r="L2426" s="90"/>
      <c r="M2426" s="44"/>
      <c r="N2426" s="82"/>
      <c r="O2426" s="44"/>
      <c r="P2426" s="44"/>
      <c r="Q2426" s="44"/>
      <c r="R2426" s="84"/>
      <c r="S2426" s="47"/>
      <c r="T2426" s="47"/>
    </row>
    <row r="2427" s="27" customFormat="1" ht="18" customHeight="1" spans="1:20">
      <c r="A2427" s="34"/>
      <c r="B2427" s="48">
        <v>2</v>
      </c>
      <c r="C2427" s="48"/>
      <c r="D2427" s="88"/>
      <c r="E2427" s="72"/>
      <c r="F2427" s="77"/>
      <c r="G2427" s="89"/>
      <c r="H2427" s="74"/>
      <c r="I2427" s="74"/>
      <c r="J2427" s="95"/>
      <c r="K2427" s="92">
        <f ca="1">H2427*K2412</f>
        <v>0</v>
      </c>
      <c r="L2427" s="90"/>
      <c r="M2427" s="44"/>
      <c r="N2427" s="82"/>
      <c r="O2427" s="44"/>
      <c r="P2427" s="44"/>
      <c r="Q2427" s="44"/>
      <c r="R2427" s="84"/>
      <c r="S2427" s="47"/>
      <c r="T2427" s="47"/>
    </row>
    <row r="2428" s="27" customFormat="1" ht="18" customHeight="1" spans="1:20">
      <c r="A2428" s="34"/>
      <c r="B2428" s="48">
        <v>3</v>
      </c>
      <c r="C2428" s="48"/>
      <c r="D2428" s="88" t="s">
        <v>476</v>
      </c>
      <c r="E2428" s="72" t="str">
        <f>+VLOOKUP(D2428,'材料表 '!C:F,2,0)</f>
        <v>支</v>
      </c>
      <c r="F2428" s="77">
        <v>0.2</v>
      </c>
      <c r="G2428" s="89">
        <f>+VLOOKUP(D2428,'材料表 '!C:F,4,0)</f>
        <v>0.15</v>
      </c>
      <c r="H2428" s="74">
        <f>F2428*(G2428+1)</f>
        <v>0.23</v>
      </c>
      <c r="I2428" s="74">
        <f>+VLOOKUP(D2428,'材料表 '!C:F,3,0)</f>
        <v>11.5044247787611</v>
      </c>
      <c r="J2428" s="95">
        <f t="shared" si="249"/>
        <v>2.64601769911505</v>
      </c>
      <c r="K2428" s="92">
        <f ca="1">H2428*K2412</f>
        <v>1.2681188</v>
      </c>
      <c r="L2428" s="90"/>
      <c r="M2428" s="44"/>
      <c r="N2428" s="82"/>
      <c r="O2428" s="44"/>
      <c r="P2428" s="44"/>
      <c r="Q2428" s="44"/>
      <c r="R2428" s="84"/>
      <c r="S2428" s="47"/>
      <c r="T2428" s="47"/>
    </row>
    <row r="2429" s="27" customFormat="1" ht="18" customHeight="1" spans="1:20">
      <c r="A2429" s="34"/>
      <c r="B2429" s="48">
        <v>4</v>
      </c>
      <c r="C2429" s="48"/>
      <c r="D2429" s="88"/>
      <c r="E2429" s="72"/>
      <c r="F2429" s="77"/>
      <c r="G2429" s="89"/>
      <c r="H2429" s="74"/>
      <c r="I2429" s="74"/>
      <c r="J2429" s="95"/>
      <c r="K2429" s="92">
        <f ca="1">H2429*K2412</f>
        <v>0</v>
      </c>
      <c r="L2429" s="90"/>
      <c r="M2429" s="44"/>
      <c r="N2429" s="82"/>
      <c r="O2429" s="44"/>
      <c r="P2429" s="44"/>
      <c r="Q2429" s="44"/>
      <c r="R2429" s="84"/>
      <c r="S2429" s="47"/>
      <c r="T2429" s="47"/>
    </row>
    <row r="2430" s="27" customFormat="1" ht="18" customHeight="1" spans="1:20">
      <c r="A2430" s="34"/>
      <c r="B2430" s="48">
        <v>5</v>
      </c>
      <c r="C2430" s="48"/>
      <c r="D2430" s="88"/>
      <c r="E2430" s="72"/>
      <c r="F2430" s="77"/>
      <c r="G2430" s="89"/>
      <c r="H2430" s="74"/>
      <c r="I2430" s="74"/>
      <c r="J2430" s="95"/>
      <c r="K2430" s="92">
        <f ca="1">H2430*K2412</f>
        <v>0</v>
      </c>
      <c r="L2430" s="92"/>
      <c r="M2430" s="44"/>
      <c r="N2430" s="82"/>
      <c r="O2430" s="44"/>
      <c r="P2430" s="44"/>
      <c r="Q2430" s="44"/>
      <c r="R2430" s="84"/>
      <c r="S2430" s="47"/>
      <c r="T2430" s="47"/>
    </row>
    <row r="2431" s="27" customFormat="1" ht="18" customHeight="1" spans="1:20">
      <c r="A2431" s="34"/>
      <c r="B2431" s="48">
        <v>6</v>
      </c>
      <c r="C2431" s="48"/>
      <c r="D2431" s="88"/>
      <c r="E2431" s="72"/>
      <c r="F2431" s="77"/>
      <c r="G2431" s="89"/>
      <c r="H2431" s="74"/>
      <c r="I2431" s="74"/>
      <c r="J2431" s="95"/>
      <c r="K2431" s="92">
        <f ca="1">H2431*K2412</f>
        <v>0</v>
      </c>
      <c r="L2431" s="92"/>
      <c r="M2431" s="44"/>
      <c r="N2431" s="82"/>
      <c r="O2431" s="44"/>
      <c r="P2431" s="44"/>
      <c r="Q2431" s="44"/>
      <c r="R2431" s="84"/>
      <c r="S2431" s="47"/>
      <c r="T2431" s="47"/>
    </row>
    <row r="2432" s="27" customFormat="1" ht="18" customHeight="1" spans="1:20">
      <c r="A2432" s="34"/>
      <c r="B2432" s="48">
        <v>7</v>
      </c>
      <c r="C2432" s="48"/>
      <c r="D2432" s="88"/>
      <c r="E2432" s="72"/>
      <c r="F2432" s="77"/>
      <c r="G2432" s="89"/>
      <c r="H2432" s="74"/>
      <c r="I2432" s="74"/>
      <c r="J2432" s="95"/>
      <c r="K2432" s="92">
        <f ca="1">H2432*K2412</f>
        <v>0</v>
      </c>
      <c r="L2432" s="92"/>
      <c r="M2432" s="44"/>
      <c r="N2432" s="82"/>
      <c r="O2432" s="44"/>
      <c r="P2432" s="44"/>
      <c r="Q2432" s="44"/>
      <c r="R2432" s="84"/>
      <c r="S2432" s="47"/>
      <c r="T2432" s="47"/>
    </row>
    <row r="2433" s="27" customFormat="1" ht="18" customHeight="1" spans="1:20">
      <c r="A2433" s="34"/>
      <c r="B2433" s="48">
        <v>8</v>
      </c>
      <c r="C2433" s="48"/>
      <c r="D2433" s="88"/>
      <c r="E2433" s="72"/>
      <c r="F2433" s="77"/>
      <c r="G2433" s="89"/>
      <c r="H2433" s="74"/>
      <c r="I2433" s="74"/>
      <c r="J2433" s="95"/>
      <c r="K2433" s="92">
        <f ca="1">H2433*K2412</f>
        <v>0</v>
      </c>
      <c r="L2433" s="92"/>
      <c r="M2433" s="44"/>
      <c r="N2433" s="82"/>
      <c r="O2433" s="44"/>
      <c r="P2433" s="44"/>
      <c r="Q2433" s="44"/>
      <c r="R2433" s="84"/>
      <c r="S2433" s="47"/>
      <c r="T2433" s="47"/>
    </row>
    <row r="2434" s="27" customFormat="1" ht="18" customHeight="1" spans="1:20">
      <c r="A2434" s="34"/>
      <c r="B2434" s="48">
        <v>9</v>
      </c>
      <c r="C2434" s="48"/>
      <c r="D2434" s="88"/>
      <c r="E2434" s="72"/>
      <c r="F2434" s="77"/>
      <c r="G2434" s="89"/>
      <c r="H2434" s="74"/>
      <c r="I2434" s="74"/>
      <c r="J2434" s="95"/>
      <c r="K2434" s="92">
        <f ca="1">H2434*K2412</f>
        <v>0</v>
      </c>
      <c r="L2434" s="90"/>
      <c r="M2434" s="44"/>
      <c r="N2434" s="82"/>
      <c r="O2434" s="34"/>
      <c r="P2434" s="44"/>
      <c r="Q2434" s="44"/>
      <c r="R2434" s="119"/>
      <c r="S2434" s="47"/>
      <c r="T2434" s="47"/>
    </row>
    <row r="2435" s="27" customFormat="1" ht="18" customHeight="1" spans="1:20">
      <c r="A2435" s="34"/>
      <c r="B2435" s="48">
        <v>10</v>
      </c>
      <c r="C2435" s="48"/>
      <c r="D2435" s="88"/>
      <c r="E2435" s="72"/>
      <c r="F2435" s="77"/>
      <c r="G2435" s="89"/>
      <c r="H2435" s="74"/>
      <c r="I2435" s="74"/>
      <c r="J2435" s="95"/>
      <c r="K2435" s="92">
        <f ca="1">H2435*K2412</f>
        <v>0</v>
      </c>
      <c r="L2435" s="92"/>
      <c r="M2435" s="120"/>
      <c r="N2435" s="82"/>
      <c r="O2435" s="44"/>
      <c r="P2435" s="44"/>
      <c r="Q2435" s="44"/>
      <c r="R2435" s="84"/>
      <c r="S2435" s="47"/>
      <c r="T2435" s="47"/>
    </row>
    <row r="2436" s="27" customFormat="1" ht="18" customHeight="1" spans="1:20">
      <c r="A2436" s="34"/>
      <c r="B2436" s="48">
        <v>11</v>
      </c>
      <c r="C2436" s="48"/>
      <c r="D2436" s="88"/>
      <c r="E2436" s="72"/>
      <c r="F2436" s="77"/>
      <c r="G2436" s="89"/>
      <c r="H2436" s="74"/>
      <c r="I2436" s="74"/>
      <c r="J2436" s="95"/>
      <c r="K2436" s="92">
        <f ca="1">H2436*K2412</f>
        <v>0</v>
      </c>
      <c r="L2436" s="92"/>
      <c r="M2436" s="44"/>
      <c r="N2436" s="82"/>
      <c r="O2436" s="44"/>
      <c r="P2436" s="44"/>
      <c r="Q2436" s="44"/>
      <c r="R2436" s="84"/>
      <c r="S2436" s="47"/>
      <c r="T2436" s="47"/>
    </row>
    <row r="2437" s="27" customFormat="1" ht="18" customHeight="1" spans="1:20">
      <c r="A2437" s="34"/>
      <c r="B2437" s="48">
        <v>12</v>
      </c>
      <c r="C2437" s="48"/>
      <c r="D2437" s="88"/>
      <c r="E2437" s="72"/>
      <c r="F2437" s="77"/>
      <c r="G2437" s="89"/>
      <c r="H2437" s="74"/>
      <c r="I2437" s="74"/>
      <c r="J2437" s="95"/>
      <c r="K2437" s="92"/>
      <c r="L2437" s="92"/>
      <c r="M2437" s="44"/>
      <c r="N2437" s="44"/>
      <c r="O2437" s="44"/>
      <c r="P2437" s="44"/>
      <c r="Q2437" s="44"/>
      <c r="R2437" s="84"/>
      <c r="S2437" s="47"/>
      <c r="T2437" s="47"/>
    </row>
    <row r="2438" s="27" customFormat="1" ht="18" customHeight="1" spans="1:20">
      <c r="A2438" s="34"/>
      <c r="B2438" s="48">
        <v>13</v>
      </c>
      <c r="C2438" s="48"/>
      <c r="D2438" s="88"/>
      <c r="E2438" s="72"/>
      <c r="F2438" s="77"/>
      <c r="G2438" s="89"/>
      <c r="H2438" s="74"/>
      <c r="I2438" s="74"/>
      <c r="J2438" s="95"/>
      <c r="K2438" s="92"/>
      <c r="L2438" s="92"/>
      <c r="M2438" s="44"/>
      <c r="N2438" s="44"/>
      <c r="O2438" s="44"/>
      <c r="P2438" s="44"/>
      <c r="Q2438" s="44"/>
      <c r="R2438" s="84"/>
      <c r="S2438" s="47"/>
      <c r="T2438" s="47"/>
    </row>
    <row r="2439" s="27" customFormat="1" ht="24" customHeight="1" spans="1:20">
      <c r="A2439" s="34"/>
      <c r="B2439" s="48">
        <v>14</v>
      </c>
      <c r="C2439" s="48"/>
      <c r="D2439" s="88"/>
      <c r="E2439" s="72"/>
      <c r="F2439" s="77"/>
      <c r="G2439" s="89"/>
      <c r="H2439" s="74"/>
      <c r="I2439" s="74"/>
      <c r="J2439" s="95"/>
      <c r="K2439" s="92"/>
      <c r="L2439" s="92"/>
      <c r="M2439" s="44"/>
      <c r="N2439" s="44"/>
      <c r="O2439" s="44"/>
      <c r="P2439" s="44"/>
      <c r="Q2439" s="44"/>
      <c r="R2439" s="84"/>
      <c r="S2439" s="47"/>
      <c r="T2439" s="47"/>
    </row>
    <row r="2440" s="27" customFormat="1" ht="18" customHeight="1" spans="1:20">
      <c r="A2440" s="34"/>
      <c r="B2440" s="48">
        <v>15</v>
      </c>
      <c r="C2440" s="48"/>
      <c r="D2440" s="88"/>
      <c r="E2440" s="72"/>
      <c r="F2440" s="77"/>
      <c r="G2440" s="89"/>
      <c r="H2440" s="74"/>
      <c r="I2440" s="74"/>
      <c r="J2440" s="95"/>
      <c r="K2440" s="92"/>
      <c r="L2440" s="92"/>
      <c r="M2440" s="44"/>
      <c r="N2440" s="44"/>
      <c r="O2440" s="44"/>
      <c r="P2440" s="44"/>
      <c r="Q2440" s="44"/>
      <c r="R2440" s="84"/>
      <c r="S2440" s="47"/>
      <c r="T2440" s="47"/>
    </row>
    <row r="2441" s="27" customFormat="1" ht="18" customHeight="1" spans="1:20">
      <c r="A2441" s="34"/>
      <c r="B2441" s="48">
        <v>16</v>
      </c>
      <c r="C2441" s="48"/>
      <c r="D2441" s="88"/>
      <c r="E2441" s="72"/>
      <c r="F2441" s="77"/>
      <c r="G2441" s="89"/>
      <c r="H2441" s="74"/>
      <c r="I2441" s="74"/>
      <c r="J2441" s="95"/>
      <c r="K2441" s="92"/>
      <c r="L2441" s="92"/>
      <c r="M2441" s="44"/>
      <c r="N2441" s="44"/>
      <c r="O2441" s="44"/>
      <c r="P2441" s="44"/>
      <c r="Q2441" s="44"/>
      <c r="R2441" s="84"/>
      <c r="S2441" s="47"/>
      <c r="T2441" s="47"/>
    </row>
    <row r="2442" s="27" customFormat="1" ht="18" customHeight="1" spans="1:20">
      <c r="A2442" s="34"/>
      <c r="B2442" s="48">
        <v>17</v>
      </c>
      <c r="C2442" s="48"/>
      <c r="D2442" s="121"/>
      <c r="E2442" s="72"/>
      <c r="F2442" s="77"/>
      <c r="G2442" s="89"/>
      <c r="H2442" s="74"/>
      <c r="I2442" s="74"/>
      <c r="J2442" s="95"/>
      <c r="K2442" s="92"/>
      <c r="L2442" s="92"/>
      <c r="M2442" s="44"/>
      <c r="N2442" s="44"/>
      <c r="O2442" s="44"/>
      <c r="P2442" s="44"/>
      <c r="Q2442" s="101"/>
      <c r="R2442" s="84"/>
      <c r="S2442" s="47"/>
      <c r="T2442" s="47"/>
    </row>
    <row r="2443" s="27" customFormat="1" ht="18" customHeight="1" spans="1:20">
      <c r="A2443" s="34"/>
      <c r="B2443" s="48">
        <v>18</v>
      </c>
      <c r="C2443" s="48"/>
      <c r="D2443" s="88"/>
      <c r="E2443" s="72"/>
      <c r="F2443" s="77"/>
      <c r="G2443" s="89"/>
      <c r="H2443" s="74"/>
      <c r="I2443" s="74"/>
      <c r="J2443" s="95"/>
      <c r="K2443" s="92"/>
      <c r="L2443" s="92"/>
      <c r="M2443" s="44"/>
      <c r="N2443" s="44"/>
      <c r="O2443" s="44"/>
      <c r="P2443" s="44"/>
      <c r="Q2443" s="44"/>
      <c r="R2443" s="84"/>
      <c r="S2443" s="47"/>
      <c r="T2443" s="47"/>
    </row>
    <row r="2444" s="27" customFormat="1" ht="18" customHeight="1" spans="1:20">
      <c r="A2444" s="34"/>
      <c r="B2444" s="48">
        <v>19</v>
      </c>
      <c r="C2444" s="48"/>
      <c r="D2444" s="27"/>
      <c r="E2444" s="72"/>
      <c r="F2444" s="77"/>
      <c r="G2444" s="89"/>
      <c r="H2444" s="74"/>
      <c r="I2444" s="74"/>
      <c r="J2444" s="95"/>
      <c r="K2444" s="92"/>
      <c r="L2444" s="92"/>
      <c r="M2444" s="44"/>
      <c r="N2444" s="44"/>
      <c r="O2444" s="44"/>
      <c r="P2444" s="44"/>
      <c r="Q2444" s="44"/>
      <c r="R2444" s="84"/>
      <c r="S2444" s="47"/>
      <c r="T2444" s="47"/>
    </row>
    <row r="2445" s="27" customFormat="1" ht="18" customHeight="1" spans="1:20">
      <c r="A2445" s="34"/>
      <c r="B2445" s="48">
        <v>20</v>
      </c>
      <c r="C2445" s="48"/>
      <c r="D2445" s="88"/>
      <c r="E2445" s="72"/>
      <c r="F2445" s="77"/>
      <c r="G2445" s="89"/>
      <c r="H2445" s="74"/>
      <c r="I2445" s="74"/>
      <c r="J2445" s="95"/>
      <c r="K2445" s="92"/>
      <c r="L2445" s="92"/>
      <c r="M2445" s="44"/>
      <c r="N2445" s="44"/>
      <c r="O2445" s="44"/>
      <c r="P2445" s="44"/>
      <c r="Q2445" s="44"/>
      <c r="R2445" s="84"/>
      <c r="S2445" s="47"/>
      <c r="T2445" s="47"/>
    </row>
    <row r="2446" s="27" customFormat="1" ht="18" customHeight="1" spans="1:20">
      <c r="A2446" s="34"/>
      <c r="B2446" s="48">
        <v>21</v>
      </c>
      <c r="C2446" s="48"/>
      <c r="D2446" s="88"/>
      <c r="E2446" s="72"/>
      <c r="F2446" s="77"/>
      <c r="G2446" s="89"/>
      <c r="H2446" s="74"/>
      <c r="I2446" s="74"/>
      <c r="J2446" s="95"/>
      <c r="K2446" s="92"/>
      <c r="L2446" s="92"/>
      <c r="M2446" s="44"/>
      <c r="N2446" s="44"/>
      <c r="O2446" s="44"/>
      <c r="P2446" s="44"/>
      <c r="Q2446" s="44"/>
      <c r="R2446" s="84"/>
      <c r="S2446" s="47"/>
      <c r="T2446" s="47"/>
    </row>
    <row r="2447" s="27" customFormat="1" ht="18" customHeight="1" spans="1:20">
      <c r="A2447" s="34"/>
      <c r="B2447" s="48">
        <v>22</v>
      </c>
      <c r="C2447" s="48"/>
      <c r="D2447" s="27"/>
      <c r="E2447" s="72"/>
      <c r="F2447" s="77"/>
      <c r="G2447" s="72"/>
      <c r="H2447" s="74"/>
      <c r="I2447" s="74"/>
      <c r="J2447" s="95"/>
      <c r="K2447" s="92"/>
      <c r="L2447" s="92"/>
      <c r="M2447" s="44"/>
      <c r="N2447" s="44"/>
      <c r="O2447" s="44"/>
      <c r="P2447" s="44"/>
      <c r="Q2447" s="44"/>
      <c r="R2447" s="62"/>
      <c r="S2447" s="47"/>
      <c r="T2447" s="47"/>
    </row>
    <row r="2448" s="27" customFormat="1" ht="18" customHeight="1" spans="1:20">
      <c r="A2448" s="34"/>
      <c r="B2448" s="48">
        <v>23</v>
      </c>
      <c r="C2448" s="48"/>
      <c r="D2448" s="88"/>
      <c r="E2448" s="72"/>
      <c r="F2448" s="77"/>
      <c r="G2448" s="89"/>
      <c r="H2448" s="74"/>
      <c r="I2448" s="74"/>
      <c r="J2448" s="95"/>
      <c r="K2448" s="92"/>
      <c r="L2448" s="92"/>
      <c r="M2448" s="44"/>
      <c r="N2448" s="44"/>
      <c r="O2448" s="44"/>
      <c r="P2448" s="44"/>
      <c r="Q2448" s="44"/>
      <c r="R2448" s="62"/>
      <c r="S2448" s="47"/>
      <c r="T2448" s="47"/>
    </row>
    <row r="2449" s="27" customFormat="1" ht="18" customHeight="1" spans="1:20">
      <c r="A2449" s="34"/>
      <c r="B2449" s="48">
        <v>24</v>
      </c>
      <c r="C2449" s="48"/>
      <c r="D2449" s="88" t="s">
        <v>478</v>
      </c>
      <c r="E2449" s="132" t="s">
        <v>423</v>
      </c>
      <c r="F2449" s="77"/>
      <c r="G2449" s="72">
        <v>1</v>
      </c>
      <c r="H2449" s="74">
        <v>1</v>
      </c>
      <c r="I2449" s="74">
        <f>+辅材及安装费!$E$15</f>
        <v>1</v>
      </c>
      <c r="J2449" s="95">
        <f>H2449*I2449</f>
        <v>1</v>
      </c>
      <c r="K2449" s="92"/>
      <c r="L2449" s="92"/>
      <c r="M2449" s="44"/>
      <c r="N2449" s="44"/>
      <c r="O2449" s="44"/>
      <c r="P2449" s="44"/>
      <c r="Q2449" s="44"/>
      <c r="R2449" s="62"/>
      <c r="S2449" s="47"/>
      <c r="T2449" s="47"/>
    </row>
    <row r="2450" s="27" customFormat="1" ht="18" customHeight="1" spans="1:20">
      <c r="A2450" s="34"/>
      <c r="B2450" s="48">
        <v>25</v>
      </c>
      <c r="C2450" s="48"/>
      <c r="D2450" s="93" t="s">
        <v>442</v>
      </c>
      <c r="E2450" s="72"/>
      <c r="F2450" s="77"/>
      <c r="G2450" s="72"/>
      <c r="H2450" s="74"/>
      <c r="I2450" s="74"/>
      <c r="J2450" s="95">
        <f>SUM(J2426:J2449)</f>
        <v>256.389380530973</v>
      </c>
      <c r="K2450" s="92"/>
      <c r="L2450" s="94"/>
      <c r="N2450" s="83"/>
      <c r="O2450" s="83"/>
      <c r="P2450" s="83"/>
      <c r="Q2450" s="83"/>
      <c r="R2450" s="87"/>
      <c r="S2450" s="47"/>
      <c r="T2450" s="47"/>
    </row>
    <row r="2451" s="27" customFormat="1" ht="18" customHeight="1" spans="1:20">
      <c r="A2451" s="34"/>
      <c r="B2451" s="48">
        <v>1</v>
      </c>
      <c r="C2451" s="48" t="s">
        <v>443</v>
      </c>
      <c r="D2451" s="48" t="s">
        <v>444</v>
      </c>
      <c r="E2451" s="132" t="s">
        <v>423</v>
      </c>
      <c r="F2451" s="50"/>
      <c r="G2451" s="48"/>
      <c r="H2451" s="51">
        <v>1</v>
      </c>
      <c r="I2451" s="74">
        <f>+辅材及安装费!$F$15</f>
        <v>1</v>
      </c>
      <c r="J2451" s="95">
        <f>H2451*I2451</f>
        <v>1</v>
      </c>
      <c r="K2451" s="118"/>
      <c r="L2451" s="96"/>
      <c r="M2451" s="97"/>
      <c r="N2451" s="98"/>
      <c r="O2451" s="98"/>
      <c r="P2451" s="98"/>
      <c r="Q2451" s="98"/>
      <c r="R2451" s="99"/>
      <c r="S2451" s="47"/>
      <c r="T2451" s="47"/>
    </row>
  </sheetData>
  <autoFilter xmlns:etc="http://www.wps.cn/officeDocument/2017/etCustomData" ref="B1:J2451" etc:filterBottomFollowUsedRange="0">
    <extLst/>
  </autoFilter>
  <mergeCells count="1320">
    <mergeCell ref="B1:J1"/>
    <mergeCell ref="D2:E2"/>
    <mergeCell ref="F2:G2"/>
    <mergeCell ref="D3:E3"/>
    <mergeCell ref="D4:E4"/>
    <mergeCell ref="D5:E5"/>
    <mergeCell ref="D6:E6"/>
    <mergeCell ref="D7:E7"/>
    <mergeCell ref="D8:E8"/>
    <mergeCell ref="D9:E9"/>
    <mergeCell ref="D10:E10"/>
    <mergeCell ref="B11:J11"/>
    <mergeCell ref="B42:J42"/>
    <mergeCell ref="D43:E43"/>
    <mergeCell ref="F43:G43"/>
    <mergeCell ref="D44:E44"/>
    <mergeCell ref="D45:E45"/>
    <mergeCell ref="D46:E46"/>
    <mergeCell ref="D47:E47"/>
    <mergeCell ref="D48:E48"/>
    <mergeCell ref="D49:E49"/>
    <mergeCell ref="D50:E50"/>
    <mergeCell ref="D51:E51"/>
    <mergeCell ref="B52:J52"/>
    <mergeCell ref="B83:J83"/>
    <mergeCell ref="D84:E84"/>
    <mergeCell ref="F84:G84"/>
    <mergeCell ref="D85:E85"/>
    <mergeCell ref="D86:E86"/>
    <mergeCell ref="D87:E87"/>
    <mergeCell ref="D88:E88"/>
    <mergeCell ref="D89:E89"/>
    <mergeCell ref="D90:E90"/>
    <mergeCell ref="D91:E91"/>
    <mergeCell ref="D92:E92"/>
    <mergeCell ref="B93:J93"/>
    <mergeCell ref="B123:J123"/>
    <mergeCell ref="D124:E124"/>
    <mergeCell ref="F124:G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B133:J133"/>
    <mergeCell ref="B163:J163"/>
    <mergeCell ref="D164:E164"/>
    <mergeCell ref="F164:G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B173:J173"/>
    <mergeCell ref="B203:J203"/>
    <mergeCell ref="D204:E204"/>
    <mergeCell ref="F204:G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B213:J213"/>
    <mergeCell ref="B243:J243"/>
    <mergeCell ref="D244:E244"/>
    <mergeCell ref="F244:G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B253:J253"/>
    <mergeCell ref="B283:J283"/>
    <mergeCell ref="D284:E284"/>
    <mergeCell ref="F284:G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B293:J293"/>
    <mergeCell ref="B323:J323"/>
    <mergeCell ref="D324:E324"/>
    <mergeCell ref="F324:G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B333:J333"/>
    <mergeCell ref="B363:J363"/>
    <mergeCell ref="D364:E364"/>
    <mergeCell ref="F364:G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B373:J373"/>
    <mergeCell ref="B403:J403"/>
    <mergeCell ref="D404:E404"/>
    <mergeCell ref="F404:G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B413:J413"/>
    <mergeCell ref="B443:J443"/>
    <mergeCell ref="D444:E444"/>
    <mergeCell ref="F444:G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B453:J453"/>
    <mergeCell ref="B484:J484"/>
    <mergeCell ref="D485:E485"/>
    <mergeCell ref="F485:G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B494:J494"/>
    <mergeCell ref="B525:J525"/>
    <mergeCell ref="D526:E526"/>
    <mergeCell ref="F526:G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B535:J535"/>
    <mergeCell ref="B566:J566"/>
    <mergeCell ref="D567:E567"/>
    <mergeCell ref="F567:G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B576:J576"/>
    <mergeCell ref="B607:J607"/>
    <mergeCell ref="D608:E608"/>
    <mergeCell ref="F608:G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B617:J617"/>
    <mergeCell ref="B648:J648"/>
    <mergeCell ref="D649:E649"/>
    <mergeCell ref="F649:G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B658:J658"/>
    <mergeCell ref="B689:J689"/>
    <mergeCell ref="D690:E690"/>
    <mergeCell ref="F690:G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B699:J699"/>
    <mergeCell ref="B730:J730"/>
    <mergeCell ref="D731:E731"/>
    <mergeCell ref="F731:G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B740:J740"/>
    <mergeCell ref="B771:J771"/>
    <mergeCell ref="D772:E772"/>
    <mergeCell ref="F772:G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B781:J781"/>
    <mergeCell ref="B812:J812"/>
    <mergeCell ref="D813:E813"/>
    <mergeCell ref="F813:G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B822:J822"/>
    <mergeCell ref="B853:J853"/>
    <mergeCell ref="D854:E854"/>
    <mergeCell ref="F854:G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B863:J863"/>
    <mergeCell ref="B894:J894"/>
    <mergeCell ref="D895:E895"/>
    <mergeCell ref="F895:G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B904:J904"/>
    <mergeCell ref="B935:J935"/>
    <mergeCell ref="D936:E936"/>
    <mergeCell ref="F936:G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B945:J945"/>
    <mergeCell ref="B976:J976"/>
    <mergeCell ref="D977:E977"/>
    <mergeCell ref="F977:G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B986:J986"/>
    <mergeCell ref="B1017:J1017"/>
    <mergeCell ref="D1018:E1018"/>
    <mergeCell ref="F1018:G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B1027:J1027"/>
    <mergeCell ref="B1058:J1058"/>
    <mergeCell ref="D1059:E1059"/>
    <mergeCell ref="F1059:G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B1068:J1068"/>
    <mergeCell ref="B1099:J1099"/>
    <mergeCell ref="D1100:E1100"/>
    <mergeCell ref="F1100:G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B1109:J1109"/>
    <mergeCell ref="B1140:J1140"/>
    <mergeCell ref="D1141:E1141"/>
    <mergeCell ref="F1141:G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B1150:J1150"/>
    <mergeCell ref="B1181:J1181"/>
    <mergeCell ref="D1182:E1182"/>
    <mergeCell ref="F1182:G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B1191:J1191"/>
    <mergeCell ref="B1222:J1222"/>
    <mergeCell ref="D1223:E1223"/>
    <mergeCell ref="F1223:G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B1232:J1232"/>
    <mergeCell ref="B1263:J1263"/>
    <mergeCell ref="D1264:E1264"/>
    <mergeCell ref="F1264:G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B1273:J1273"/>
    <mergeCell ref="B1304:J1304"/>
    <mergeCell ref="D1305:E1305"/>
    <mergeCell ref="F1305:G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B1314:J1314"/>
    <mergeCell ref="B1345:J1345"/>
    <mergeCell ref="D1346:E1346"/>
    <mergeCell ref="F1346:G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B1355:J1355"/>
    <mergeCell ref="B1386:J1386"/>
    <mergeCell ref="D1387:E1387"/>
    <mergeCell ref="F1387:G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B1396:J1396"/>
    <mergeCell ref="B1427:J1427"/>
    <mergeCell ref="D1428:E1428"/>
    <mergeCell ref="F1428:G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B1437:J1437"/>
    <mergeCell ref="B1468:J1468"/>
    <mergeCell ref="D1469:E1469"/>
    <mergeCell ref="F1469:G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B1478:J1478"/>
    <mergeCell ref="B1509:J1509"/>
    <mergeCell ref="D1510:E1510"/>
    <mergeCell ref="F1510:G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B1519:J1519"/>
    <mergeCell ref="B1550:J1550"/>
    <mergeCell ref="D1551:E1551"/>
    <mergeCell ref="F1551:G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B1560:J1560"/>
    <mergeCell ref="B1591:J1591"/>
    <mergeCell ref="D1592:E1592"/>
    <mergeCell ref="F1592:G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B1601:J1601"/>
    <mergeCell ref="B1632:J1632"/>
    <mergeCell ref="D1633:E1633"/>
    <mergeCell ref="F1633:G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B1642:J1642"/>
    <mergeCell ref="B1673:J1673"/>
    <mergeCell ref="D1674:E1674"/>
    <mergeCell ref="F1674:G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B1683:J1683"/>
    <mergeCell ref="B1714:J1714"/>
    <mergeCell ref="D1715:E1715"/>
    <mergeCell ref="F1715:G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B1724:J1724"/>
    <mergeCell ref="B1755:J1755"/>
    <mergeCell ref="D1756:E1756"/>
    <mergeCell ref="F1756:G1756"/>
    <mergeCell ref="D1757:E1757"/>
    <mergeCell ref="D1758:E1758"/>
    <mergeCell ref="D1759:E1759"/>
    <mergeCell ref="D1760:E1760"/>
    <mergeCell ref="D1761:E1761"/>
    <mergeCell ref="D1762:E1762"/>
    <mergeCell ref="D1763:E1763"/>
    <mergeCell ref="D1764:E1764"/>
    <mergeCell ref="B1765:J1765"/>
    <mergeCell ref="B1796:J1796"/>
    <mergeCell ref="D1797:E1797"/>
    <mergeCell ref="F1797:G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B1806:J1806"/>
    <mergeCell ref="B1837:J1837"/>
    <mergeCell ref="D1838:E1838"/>
    <mergeCell ref="F1838:G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B1847:J1847"/>
    <mergeCell ref="B1878:J1878"/>
    <mergeCell ref="D1879:E1879"/>
    <mergeCell ref="F1879:G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B1888:J1888"/>
    <mergeCell ref="B1919:J1919"/>
    <mergeCell ref="D1920:E1920"/>
    <mergeCell ref="F1920:G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B1929:J1929"/>
    <mergeCell ref="B1960:J1960"/>
    <mergeCell ref="D1961:E1961"/>
    <mergeCell ref="F1961:G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B1970:J1970"/>
    <mergeCell ref="B2001:J2001"/>
    <mergeCell ref="D2002:E2002"/>
    <mergeCell ref="F2002:G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B2011:J2011"/>
    <mergeCell ref="B2042:J2042"/>
    <mergeCell ref="D2043:E2043"/>
    <mergeCell ref="F2043:G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B2052:J2052"/>
    <mergeCell ref="B2083:J2083"/>
    <mergeCell ref="D2084:E2084"/>
    <mergeCell ref="F2084:G2084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B2093:J2093"/>
    <mergeCell ref="B2124:J2124"/>
    <mergeCell ref="D2125:E2125"/>
    <mergeCell ref="F2125:G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B2134:J2134"/>
    <mergeCell ref="B2165:J2165"/>
    <mergeCell ref="D2166:E2166"/>
    <mergeCell ref="F2166:G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B2175:J2175"/>
    <mergeCell ref="B2206:J2206"/>
    <mergeCell ref="D2207:E2207"/>
    <mergeCell ref="F2207:G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B2216:J2216"/>
    <mergeCell ref="B2247:J2247"/>
    <mergeCell ref="D2248:E2248"/>
    <mergeCell ref="F2248:G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B2257:J2257"/>
    <mergeCell ref="B2288:J2288"/>
    <mergeCell ref="D2289:E2289"/>
    <mergeCell ref="F2289:G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B2298:J2298"/>
    <mergeCell ref="B2329:J2329"/>
    <mergeCell ref="D2330:E2330"/>
    <mergeCell ref="F2330:G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B2339:J2339"/>
    <mergeCell ref="B2370:J2370"/>
    <mergeCell ref="D2371:E2371"/>
    <mergeCell ref="F2371:G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B2380:J2380"/>
    <mergeCell ref="B2411:J2411"/>
    <mergeCell ref="D2412:E2412"/>
    <mergeCell ref="F2412:G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B2421:J2421"/>
    <mergeCell ref="C3:C5"/>
    <mergeCell ref="C12:C15"/>
    <mergeCell ref="C16:C40"/>
    <mergeCell ref="C44:C46"/>
    <mergeCell ref="C53:C56"/>
    <mergeCell ref="C57:C81"/>
    <mergeCell ref="C85:C87"/>
    <mergeCell ref="C94:C97"/>
    <mergeCell ref="C98:C121"/>
    <mergeCell ref="C125:C127"/>
    <mergeCell ref="C134:C137"/>
    <mergeCell ref="C138:C161"/>
    <mergeCell ref="C165:C167"/>
    <mergeCell ref="C174:C177"/>
    <mergeCell ref="C178:C201"/>
    <mergeCell ref="C205:C207"/>
    <mergeCell ref="C214:C217"/>
    <mergeCell ref="C218:C241"/>
    <mergeCell ref="C245:C247"/>
    <mergeCell ref="C254:C257"/>
    <mergeCell ref="C258:C281"/>
    <mergeCell ref="C285:C287"/>
    <mergeCell ref="C294:C297"/>
    <mergeCell ref="C298:C321"/>
    <mergeCell ref="C325:C327"/>
    <mergeCell ref="C334:C337"/>
    <mergeCell ref="C338:C361"/>
    <mergeCell ref="C365:C367"/>
    <mergeCell ref="C374:C377"/>
    <mergeCell ref="C378:C401"/>
    <mergeCell ref="C405:C407"/>
    <mergeCell ref="C414:C417"/>
    <mergeCell ref="C418:C441"/>
    <mergeCell ref="C445:C447"/>
    <mergeCell ref="C454:C457"/>
    <mergeCell ref="C458:C482"/>
    <mergeCell ref="C486:C488"/>
    <mergeCell ref="C495:C498"/>
    <mergeCell ref="C499:C523"/>
    <mergeCell ref="C527:C529"/>
    <mergeCell ref="C536:C539"/>
    <mergeCell ref="C540:C564"/>
    <mergeCell ref="C568:C570"/>
    <mergeCell ref="C577:C580"/>
    <mergeCell ref="C581:C605"/>
    <mergeCell ref="C609:C611"/>
    <mergeCell ref="C618:C621"/>
    <mergeCell ref="C622:C646"/>
    <mergeCell ref="C650:C652"/>
    <mergeCell ref="C659:C662"/>
    <mergeCell ref="C663:C687"/>
    <mergeCell ref="C691:C693"/>
    <mergeCell ref="C700:C703"/>
    <mergeCell ref="C704:C728"/>
    <mergeCell ref="C732:C734"/>
    <mergeCell ref="C741:C744"/>
    <mergeCell ref="C745:C769"/>
    <mergeCell ref="C773:C775"/>
    <mergeCell ref="C782:C785"/>
    <mergeCell ref="C786:C810"/>
    <mergeCell ref="C814:C816"/>
    <mergeCell ref="C823:C826"/>
    <mergeCell ref="C827:C851"/>
    <mergeCell ref="C855:C857"/>
    <mergeCell ref="C864:C867"/>
    <mergeCell ref="C868:C892"/>
    <mergeCell ref="C896:C898"/>
    <mergeCell ref="C905:C908"/>
    <mergeCell ref="C909:C933"/>
    <mergeCell ref="C937:C939"/>
    <mergeCell ref="C946:C949"/>
    <mergeCell ref="C950:C974"/>
    <mergeCell ref="C978:C980"/>
    <mergeCell ref="C987:C990"/>
    <mergeCell ref="C991:C1015"/>
    <mergeCell ref="C1019:C1021"/>
    <mergeCell ref="C1028:C1031"/>
    <mergeCell ref="C1032:C1056"/>
    <mergeCell ref="C1060:C1062"/>
    <mergeCell ref="C1069:C1072"/>
    <mergeCell ref="C1073:C1097"/>
    <mergeCell ref="C1101:C1103"/>
    <mergeCell ref="C1110:C1113"/>
    <mergeCell ref="C1114:C1138"/>
    <mergeCell ref="C1142:C1144"/>
    <mergeCell ref="C1151:C1154"/>
    <mergeCell ref="C1155:C1179"/>
    <mergeCell ref="C1183:C1185"/>
    <mergeCell ref="C1192:C1195"/>
    <mergeCell ref="C1196:C1220"/>
    <mergeCell ref="C1224:C1226"/>
    <mergeCell ref="C1233:C1236"/>
    <mergeCell ref="C1237:C1261"/>
    <mergeCell ref="C1265:C1267"/>
    <mergeCell ref="C1274:C1277"/>
    <mergeCell ref="C1278:C1302"/>
    <mergeCell ref="C1306:C1308"/>
    <mergeCell ref="C1315:C1318"/>
    <mergeCell ref="C1319:C1343"/>
    <mergeCell ref="C1347:C1349"/>
    <mergeCell ref="C1356:C1359"/>
    <mergeCell ref="C1360:C1384"/>
    <mergeCell ref="C1388:C1390"/>
    <mergeCell ref="C1397:C1400"/>
    <mergeCell ref="C1401:C1425"/>
    <mergeCell ref="C1429:C1431"/>
    <mergeCell ref="C1438:C1441"/>
    <mergeCell ref="C1442:C1466"/>
    <mergeCell ref="C1470:C1472"/>
    <mergeCell ref="C1479:C1482"/>
    <mergeCell ref="C1483:C1507"/>
    <mergeCell ref="C1511:C1513"/>
    <mergeCell ref="C1520:C1523"/>
    <mergeCell ref="C1524:C1548"/>
    <mergeCell ref="C1552:C1554"/>
    <mergeCell ref="C1561:C1564"/>
    <mergeCell ref="C1565:C1589"/>
    <mergeCell ref="C1593:C1595"/>
    <mergeCell ref="C1602:C1605"/>
    <mergeCell ref="C1606:C1630"/>
    <mergeCell ref="C1634:C1636"/>
    <mergeCell ref="C1643:C1646"/>
    <mergeCell ref="C1647:C1671"/>
    <mergeCell ref="C1675:C1677"/>
    <mergeCell ref="C1684:C1687"/>
    <mergeCell ref="C1688:C1712"/>
    <mergeCell ref="C1716:C1718"/>
    <mergeCell ref="C1725:C1728"/>
    <mergeCell ref="C1729:C1753"/>
    <mergeCell ref="C1757:C1759"/>
    <mergeCell ref="C1766:C1769"/>
    <mergeCell ref="C1770:C1794"/>
    <mergeCell ref="C1798:C1800"/>
    <mergeCell ref="C1807:C1810"/>
    <mergeCell ref="C1811:C1835"/>
    <mergeCell ref="C1839:C1841"/>
    <mergeCell ref="C1848:C1851"/>
    <mergeCell ref="C1852:C1876"/>
    <mergeCell ref="C1880:C1882"/>
    <mergeCell ref="C1889:C1892"/>
    <mergeCell ref="C1893:C1917"/>
    <mergeCell ref="C1921:C1923"/>
    <mergeCell ref="C1930:C1933"/>
    <mergeCell ref="C1934:C1958"/>
    <mergeCell ref="C1962:C1964"/>
    <mergeCell ref="C1971:C1974"/>
    <mergeCell ref="C1975:C1999"/>
    <mergeCell ref="C2003:C2005"/>
    <mergeCell ref="C2012:C2015"/>
    <mergeCell ref="C2016:C2040"/>
    <mergeCell ref="C2044:C2046"/>
    <mergeCell ref="C2053:C2056"/>
    <mergeCell ref="C2057:C2081"/>
    <mergeCell ref="C2085:C2087"/>
    <mergeCell ref="C2094:C2097"/>
    <mergeCell ref="C2098:C2122"/>
    <mergeCell ref="C2126:C2128"/>
    <mergeCell ref="C2135:C2138"/>
    <mergeCell ref="C2139:C2163"/>
    <mergeCell ref="C2167:C2169"/>
    <mergeCell ref="C2176:C2179"/>
    <mergeCell ref="C2180:C2204"/>
    <mergeCell ref="C2208:C2210"/>
    <mergeCell ref="C2217:C2220"/>
    <mergeCell ref="C2221:C2245"/>
    <mergeCell ref="C2249:C2251"/>
    <mergeCell ref="C2258:C2261"/>
    <mergeCell ref="C2262:C2286"/>
    <mergeCell ref="C2290:C2292"/>
    <mergeCell ref="C2299:C2302"/>
    <mergeCell ref="C2303:C2327"/>
    <mergeCell ref="C2331:C2333"/>
    <mergeCell ref="C2340:C2343"/>
    <mergeCell ref="C2344:C2368"/>
    <mergeCell ref="C2372:C2374"/>
    <mergeCell ref="C2381:C2384"/>
    <mergeCell ref="C2385:C2409"/>
    <mergeCell ref="C2413:C2415"/>
    <mergeCell ref="C2422:C2425"/>
    <mergeCell ref="C2426:C2450"/>
    <mergeCell ref="D13:D14"/>
    <mergeCell ref="D54:D55"/>
    <mergeCell ref="D95:D96"/>
    <mergeCell ref="D135:D136"/>
    <mergeCell ref="D175:D176"/>
    <mergeCell ref="D215:D216"/>
    <mergeCell ref="D255:D256"/>
    <mergeCell ref="D295:D296"/>
    <mergeCell ref="D335:D336"/>
    <mergeCell ref="D375:D376"/>
    <mergeCell ref="D415:D416"/>
    <mergeCell ref="D455:D456"/>
    <mergeCell ref="D496:D497"/>
    <mergeCell ref="D537:D538"/>
    <mergeCell ref="D578:D579"/>
    <mergeCell ref="D619:D620"/>
    <mergeCell ref="D660:D661"/>
    <mergeCell ref="D701:D702"/>
    <mergeCell ref="D742:D743"/>
    <mergeCell ref="D783:D784"/>
    <mergeCell ref="D824:D825"/>
    <mergeCell ref="D865:D866"/>
    <mergeCell ref="D906:D907"/>
    <mergeCell ref="D947:D948"/>
    <mergeCell ref="D988:D989"/>
    <mergeCell ref="D1029:D1030"/>
    <mergeCell ref="D1070:D1071"/>
    <mergeCell ref="D1111:D1112"/>
    <mergeCell ref="D1152:D1153"/>
    <mergeCell ref="D1193:D1194"/>
    <mergeCell ref="D1234:D1235"/>
    <mergeCell ref="D1275:D1276"/>
    <mergeCell ref="D1316:D1317"/>
    <mergeCell ref="D1357:D1358"/>
    <mergeCell ref="D1398:D1399"/>
    <mergeCell ref="D1439:D1440"/>
    <mergeCell ref="D1480:D1481"/>
    <mergeCell ref="D1521:D1522"/>
    <mergeCell ref="D1562:D1563"/>
    <mergeCell ref="D1603:D1604"/>
    <mergeCell ref="D1644:D1645"/>
    <mergeCell ref="D1685:D1686"/>
    <mergeCell ref="D1726:D1727"/>
    <mergeCell ref="D1767:D1768"/>
    <mergeCell ref="D1808:D1809"/>
    <mergeCell ref="D1849:D1850"/>
    <mergeCell ref="D1890:D1891"/>
    <mergeCell ref="D1931:D1932"/>
    <mergeCell ref="D1972:D1973"/>
    <mergeCell ref="D2013:D2014"/>
    <mergeCell ref="D2054:D2055"/>
    <mergeCell ref="D2095:D2096"/>
    <mergeCell ref="D2136:D2137"/>
    <mergeCell ref="D2177:D2178"/>
    <mergeCell ref="D2218:D2219"/>
    <mergeCell ref="D2259:D2260"/>
    <mergeCell ref="D2300:D2301"/>
    <mergeCell ref="D2341:D2342"/>
    <mergeCell ref="D2382:D2383"/>
    <mergeCell ref="D2423:D2424"/>
    <mergeCell ref="E13:E14"/>
    <mergeCell ref="E54:E55"/>
    <mergeCell ref="E95:E96"/>
    <mergeCell ref="E135:E136"/>
    <mergeCell ref="E175:E176"/>
    <mergeCell ref="E215:E216"/>
    <mergeCell ref="E255:E256"/>
    <mergeCell ref="E295:E296"/>
    <mergeCell ref="E335:E336"/>
    <mergeCell ref="E375:E376"/>
    <mergeCell ref="E415:E416"/>
    <mergeCell ref="E455:E456"/>
    <mergeCell ref="E496:E497"/>
    <mergeCell ref="E537:E538"/>
    <mergeCell ref="E578:E579"/>
    <mergeCell ref="E619:E620"/>
    <mergeCell ref="E660:E661"/>
    <mergeCell ref="E701:E702"/>
    <mergeCell ref="E742:E743"/>
    <mergeCell ref="E783:E784"/>
    <mergeCell ref="E824:E825"/>
    <mergeCell ref="E865:E866"/>
    <mergeCell ref="E906:E907"/>
    <mergeCell ref="E947:E948"/>
    <mergeCell ref="E988:E989"/>
    <mergeCell ref="E1029:E1030"/>
    <mergeCell ref="E1070:E1071"/>
    <mergeCell ref="E1111:E1112"/>
    <mergeCell ref="E1152:E1153"/>
    <mergeCell ref="E1193:E1194"/>
    <mergeCell ref="E1234:E1235"/>
    <mergeCell ref="E1275:E1276"/>
    <mergeCell ref="E1316:E1317"/>
    <mergeCell ref="E1357:E1358"/>
    <mergeCell ref="E1398:E1399"/>
    <mergeCell ref="E1439:E1440"/>
    <mergeCell ref="E1480:E1481"/>
    <mergeCell ref="E1521:E1522"/>
    <mergeCell ref="E1562:E1563"/>
    <mergeCell ref="E1603:E1604"/>
    <mergeCell ref="E1644:E1645"/>
    <mergeCell ref="E1685:E1686"/>
    <mergeCell ref="E1726:E1727"/>
    <mergeCell ref="E1767:E1768"/>
    <mergeCell ref="E1808:E1809"/>
    <mergeCell ref="E1849:E1850"/>
    <mergeCell ref="E1890:E1891"/>
    <mergeCell ref="E1931:E1932"/>
    <mergeCell ref="E1972:E1973"/>
    <mergeCell ref="E2013:E2014"/>
    <mergeCell ref="E2054:E2055"/>
    <mergeCell ref="E2095:E2096"/>
    <mergeCell ref="E2136:E2137"/>
    <mergeCell ref="E2177:E2178"/>
    <mergeCell ref="E2218:E2219"/>
    <mergeCell ref="E2259:E2260"/>
    <mergeCell ref="E2300:E2301"/>
    <mergeCell ref="E2341:E2342"/>
    <mergeCell ref="E2382:E2383"/>
    <mergeCell ref="E2423:E2424"/>
    <mergeCell ref="F13:F14"/>
    <mergeCell ref="F54:F55"/>
    <mergeCell ref="F95:F96"/>
    <mergeCell ref="F135:F136"/>
    <mergeCell ref="F175:F176"/>
    <mergeCell ref="F215:F216"/>
    <mergeCell ref="F255:F256"/>
    <mergeCell ref="F295:F296"/>
    <mergeCell ref="F335:F336"/>
    <mergeCell ref="F375:F376"/>
    <mergeCell ref="F415:F416"/>
    <mergeCell ref="F455:F456"/>
    <mergeCell ref="F496:F497"/>
    <mergeCell ref="F537:F538"/>
    <mergeCell ref="F578:F579"/>
    <mergeCell ref="F619:F620"/>
    <mergeCell ref="F660:F661"/>
    <mergeCell ref="F701:F702"/>
    <mergeCell ref="F742:F743"/>
    <mergeCell ref="F783:F784"/>
    <mergeCell ref="F824:F825"/>
    <mergeCell ref="F865:F866"/>
    <mergeCell ref="F906:F907"/>
    <mergeCell ref="F947:F948"/>
    <mergeCell ref="F988:F989"/>
    <mergeCell ref="F1029:F1030"/>
    <mergeCell ref="F1070:F1071"/>
    <mergeCell ref="F1111:F1112"/>
    <mergeCell ref="F1152:F1153"/>
    <mergeCell ref="F1193:F1194"/>
    <mergeCell ref="F1234:F1235"/>
    <mergeCell ref="F1275:F1276"/>
    <mergeCell ref="F1316:F1317"/>
    <mergeCell ref="F1357:F1358"/>
    <mergeCell ref="F1398:F1399"/>
    <mergeCell ref="F1439:F1440"/>
    <mergeCell ref="F1480:F1481"/>
    <mergeCell ref="F1521:F1522"/>
    <mergeCell ref="F1562:F1563"/>
    <mergeCell ref="F1603:F1604"/>
    <mergeCell ref="F1644:F1645"/>
    <mergeCell ref="F1685:F1686"/>
    <mergeCell ref="F1726:F1727"/>
    <mergeCell ref="F1767:F1768"/>
    <mergeCell ref="F1808:F1809"/>
    <mergeCell ref="F1849:F1850"/>
    <mergeCell ref="F1890:F1891"/>
    <mergeCell ref="F1931:F1932"/>
    <mergeCell ref="F1972:F1973"/>
    <mergeCell ref="F2013:F2014"/>
    <mergeCell ref="F2054:F2055"/>
    <mergeCell ref="F2095:F2096"/>
    <mergeCell ref="F2136:F2137"/>
    <mergeCell ref="F2177:F2178"/>
    <mergeCell ref="F2218:F2219"/>
    <mergeCell ref="F2259:F2260"/>
    <mergeCell ref="F2300:F2301"/>
    <mergeCell ref="F2341:F2342"/>
    <mergeCell ref="F2382:F2383"/>
    <mergeCell ref="F2423:F2424"/>
    <mergeCell ref="G13:G14"/>
    <mergeCell ref="G54:G55"/>
    <mergeCell ref="G95:G96"/>
    <mergeCell ref="G135:G136"/>
    <mergeCell ref="G175:G176"/>
    <mergeCell ref="G215:G216"/>
    <mergeCell ref="G255:G256"/>
    <mergeCell ref="G295:G296"/>
    <mergeCell ref="G335:G336"/>
    <mergeCell ref="G375:G376"/>
    <mergeCell ref="G415:G416"/>
    <mergeCell ref="G455:G456"/>
    <mergeCell ref="G496:G497"/>
    <mergeCell ref="G537:G538"/>
    <mergeCell ref="G578:G579"/>
    <mergeCell ref="G619:G620"/>
    <mergeCell ref="G660:G661"/>
    <mergeCell ref="G701:G702"/>
    <mergeCell ref="G742:G743"/>
    <mergeCell ref="G783:G784"/>
    <mergeCell ref="G824:G825"/>
    <mergeCell ref="G865:G866"/>
    <mergeCell ref="G906:G907"/>
    <mergeCell ref="G947:G948"/>
    <mergeCell ref="G988:G989"/>
    <mergeCell ref="G1029:G1030"/>
    <mergeCell ref="G1070:G1071"/>
    <mergeCell ref="G1111:G1112"/>
    <mergeCell ref="G1152:G1153"/>
    <mergeCell ref="G1193:G1194"/>
    <mergeCell ref="G1234:G1235"/>
    <mergeCell ref="G1275:G1276"/>
    <mergeCell ref="G1316:G1317"/>
    <mergeCell ref="G1357:G1358"/>
    <mergeCell ref="G1398:G1399"/>
    <mergeCell ref="G1439:G1440"/>
    <mergeCell ref="G1480:G1481"/>
    <mergeCell ref="G1521:G1522"/>
    <mergeCell ref="G1562:G1563"/>
    <mergeCell ref="G1603:G1604"/>
    <mergeCell ref="G1644:G1645"/>
    <mergeCell ref="G1685:G1686"/>
    <mergeCell ref="G1726:G1727"/>
    <mergeCell ref="G1767:G1768"/>
    <mergeCell ref="G1808:G1809"/>
    <mergeCell ref="G1849:G1850"/>
    <mergeCell ref="G1890:G1891"/>
    <mergeCell ref="G1931:G1932"/>
    <mergeCell ref="G1972:G1973"/>
    <mergeCell ref="G2013:G2014"/>
    <mergeCell ref="G2054:G2055"/>
    <mergeCell ref="G2095:G2096"/>
    <mergeCell ref="G2136:G2137"/>
    <mergeCell ref="G2177:G2178"/>
    <mergeCell ref="G2218:G2219"/>
    <mergeCell ref="G2259:G2260"/>
    <mergeCell ref="G2300:G2301"/>
    <mergeCell ref="G2341:G2342"/>
    <mergeCell ref="G2382:G2383"/>
    <mergeCell ref="G2423:G2424"/>
    <mergeCell ref="H13:H14"/>
    <mergeCell ref="H54:H55"/>
    <mergeCell ref="H95:H96"/>
    <mergeCell ref="H135:H136"/>
    <mergeCell ref="H175:H176"/>
    <mergeCell ref="H215:H216"/>
    <mergeCell ref="H255:H256"/>
    <mergeCell ref="H295:H296"/>
    <mergeCell ref="H335:H336"/>
    <mergeCell ref="H375:H376"/>
    <mergeCell ref="H415:H416"/>
    <mergeCell ref="H455:H456"/>
    <mergeCell ref="H496:H497"/>
    <mergeCell ref="H537:H538"/>
    <mergeCell ref="H578:H579"/>
    <mergeCell ref="H619:H620"/>
    <mergeCell ref="H660:H661"/>
    <mergeCell ref="H701:H702"/>
    <mergeCell ref="H742:H743"/>
    <mergeCell ref="H783:H784"/>
    <mergeCell ref="H824:H825"/>
    <mergeCell ref="H865:H866"/>
    <mergeCell ref="H906:H907"/>
    <mergeCell ref="H947:H948"/>
    <mergeCell ref="H988:H989"/>
    <mergeCell ref="H1029:H1030"/>
    <mergeCell ref="H1070:H1071"/>
    <mergeCell ref="H1111:H1112"/>
    <mergeCell ref="H1152:H1153"/>
    <mergeCell ref="H1193:H1194"/>
    <mergeCell ref="H1234:H1235"/>
    <mergeCell ref="H1275:H1276"/>
    <mergeCell ref="H1316:H1317"/>
    <mergeCell ref="H1357:H1358"/>
    <mergeCell ref="H1398:H1399"/>
    <mergeCell ref="H1439:H1440"/>
    <mergeCell ref="H1480:H1481"/>
    <mergeCell ref="H1521:H1522"/>
    <mergeCell ref="H1562:H1563"/>
    <mergeCell ref="H1603:H1604"/>
    <mergeCell ref="H1644:H1645"/>
    <mergeCell ref="H1685:H1686"/>
    <mergeCell ref="H1726:H1727"/>
    <mergeCell ref="H1767:H1768"/>
    <mergeCell ref="H1808:H1809"/>
    <mergeCell ref="H1849:H1850"/>
    <mergeCell ref="H1890:H1891"/>
    <mergeCell ref="H1931:H1932"/>
    <mergeCell ref="H1972:H1973"/>
    <mergeCell ref="H2013:H2014"/>
    <mergeCell ref="H2054:H2055"/>
    <mergeCell ref="H2095:H2096"/>
    <mergeCell ref="H2136:H2137"/>
    <mergeCell ref="H2177:H2178"/>
    <mergeCell ref="H2218:H2219"/>
    <mergeCell ref="H2259:H2260"/>
    <mergeCell ref="H2300:H2301"/>
    <mergeCell ref="H2341:H2342"/>
    <mergeCell ref="H2382:H2383"/>
    <mergeCell ref="H2423:H2424"/>
    <mergeCell ref="I13:I14"/>
    <mergeCell ref="I54:I55"/>
    <mergeCell ref="I95:I96"/>
    <mergeCell ref="I135:I136"/>
    <mergeCell ref="I175:I176"/>
    <mergeCell ref="I215:I216"/>
    <mergeCell ref="I255:I256"/>
    <mergeCell ref="I295:I296"/>
    <mergeCell ref="I335:I336"/>
    <mergeCell ref="I375:I376"/>
    <mergeCell ref="I415:I416"/>
    <mergeCell ref="I455:I456"/>
    <mergeCell ref="I496:I497"/>
    <mergeCell ref="I537:I538"/>
    <mergeCell ref="I578:I579"/>
    <mergeCell ref="I619:I620"/>
    <mergeCell ref="I660:I661"/>
    <mergeCell ref="I701:I702"/>
    <mergeCell ref="I742:I743"/>
    <mergeCell ref="I783:I784"/>
    <mergeCell ref="I824:I825"/>
    <mergeCell ref="I865:I866"/>
    <mergeCell ref="I906:I907"/>
    <mergeCell ref="I947:I948"/>
    <mergeCell ref="I988:I989"/>
    <mergeCell ref="I1029:I1030"/>
    <mergeCell ref="I1070:I1071"/>
    <mergeCell ref="I1111:I1112"/>
    <mergeCell ref="I1152:I1153"/>
    <mergeCell ref="I1193:I1194"/>
    <mergeCell ref="I1234:I1235"/>
    <mergeCell ref="I1275:I1276"/>
    <mergeCell ref="I1316:I1317"/>
    <mergeCell ref="I1357:I1358"/>
    <mergeCell ref="I1398:I1399"/>
    <mergeCell ref="I1439:I1440"/>
    <mergeCell ref="I1480:I1481"/>
    <mergeCell ref="I1521:I1522"/>
    <mergeCell ref="I1562:I1563"/>
    <mergeCell ref="I1603:I1604"/>
    <mergeCell ref="I1644:I1645"/>
    <mergeCell ref="I1685:I1686"/>
    <mergeCell ref="I1726:I1727"/>
    <mergeCell ref="I1767:I1768"/>
    <mergeCell ref="I1808:I1809"/>
    <mergeCell ref="I1849:I1850"/>
    <mergeCell ref="I1890:I1891"/>
    <mergeCell ref="I1931:I1932"/>
    <mergeCell ref="I1972:I1973"/>
    <mergeCell ref="I2013:I2014"/>
    <mergeCell ref="I2054:I2055"/>
    <mergeCell ref="I2095:I2096"/>
    <mergeCell ref="I2136:I2137"/>
    <mergeCell ref="I2177:I2178"/>
    <mergeCell ref="I2218:I2219"/>
    <mergeCell ref="I2259:I2260"/>
    <mergeCell ref="I2300:I2301"/>
    <mergeCell ref="I2341:I2342"/>
    <mergeCell ref="I2382:I2383"/>
    <mergeCell ref="I2423:I2424"/>
    <mergeCell ref="J13:J14"/>
    <mergeCell ref="J54:J55"/>
    <mergeCell ref="J95:J96"/>
    <mergeCell ref="J135:J136"/>
    <mergeCell ref="J175:J176"/>
    <mergeCell ref="J215:J216"/>
    <mergeCell ref="J255:J256"/>
    <mergeCell ref="J295:J296"/>
    <mergeCell ref="J335:J336"/>
    <mergeCell ref="J375:J376"/>
    <mergeCell ref="J415:J416"/>
    <mergeCell ref="J455:J456"/>
    <mergeCell ref="J496:J497"/>
    <mergeCell ref="J537:J538"/>
    <mergeCell ref="J578:J579"/>
    <mergeCell ref="J619:J620"/>
    <mergeCell ref="J660:J661"/>
    <mergeCell ref="J701:J702"/>
    <mergeCell ref="J742:J743"/>
    <mergeCell ref="J783:J784"/>
    <mergeCell ref="J824:J825"/>
    <mergeCell ref="J865:J866"/>
    <mergeCell ref="J906:J907"/>
    <mergeCell ref="J947:J948"/>
    <mergeCell ref="J988:J989"/>
    <mergeCell ref="J1029:J1030"/>
    <mergeCell ref="J1070:J1071"/>
    <mergeCell ref="J1111:J1112"/>
    <mergeCell ref="J1152:J1153"/>
    <mergeCell ref="J1193:J1194"/>
    <mergeCell ref="J1234:J1235"/>
    <mergeCell ref="J1275:J1276"/>
    <mergeCell ref="J1316:J1317"/>
    <mergeCell ref="J1357:J1358"/>
    <mergeCell ref="J1398:J1399"/>
    <mergeCell ref="J1439:J1440"/>
    <mergeCell ref="J1480:J1481"/>
    <mergeCell ref="J1521:J1522"/>
    <mergeCell ref="J1562:J1563"/>
    <mergeCell ref="J1603:J1604"/>
    <mergeCell ref="J1644:J1645"/>
    <mergeCell ref="J1685:J1686"/>
    <mergeCell ref="J1726:J1727"/>
    <mergeCell ref="J1767:J1768"/>
    <mergeCell ref="J1808:J1809"/>
    <mergeCell ref="J1849:J1850"/>
    <mergeCell ref="J1890:J1891"/>
    <mergeCell ref="J1931:J1932"/>
    <mergeCell ref="J1972:J1973"/>
    <mergeCell ref="J2013:J2014"/>
    <mergeCell ref="J2054:J2055"/>
    <mergeCell ref="J2095:J2096"/>
    <mergeCell ref="J2136:J2137"/>
    <mergeCell ref="J2177:J2178"/>
    <mergeCell ref="J2218:J2219"/>
    <mergeCell ref="J2259:J2260"/>
    <mergeCell ref="J2300:J2301"/>
    <mergeCell ref="J2341:J2342"/>
    <mergeCell ref="J2382:J2383"/>
    <mergeCell ref="J2423:J2424"/>
  </mergeCells>
  <pageMargins left="0.75" right="0.75" top="1" bottom="1" header="0.5" footer="0.5"/>
  <pageSetup paperSize="9" scale="42" orientation="portrait"/>
  <headerFooter/>
  <rowBreaks count="55" manualBreakCount="55">
    <brk id="41" max="9" man="1"/>
    <brk id="82" max="9" man="1"/>
    <brk id="122" max="9" man="1"/>
    <brk id="162" max="9" man="1"/>
    <brk id="202" max="9" man="1"/>
    <brk id="242" max="9" man="1"/>
    <brk id="282" max="9" man="1"/>
    <brk id="322" max="9" man="1"/>
    <brk id="362" max="9" man="1"/>
    <brk id="402" max="9" man="1"/>
    <brk id="442" max="9" man="1"/>
    <brk id="483" max="9" man="1"/>
    <brk id="524" max="9" man="1"/>
    <brk id="565" max="9" man="1"/>
    <brk id="606" max="9" man="1"/>
    <brk id="647" max="9" man="1"/>
    <brk id="688" max="9" man="1"/>
    <brk id="729" max="9" man="1"/>
    <brk id="770" max="9" man="1"/>
    <brk id="811" max="9" man="1"/>
    <brk id="852" max="9" man="1"/>
    <brk id="893" max="9" man="1"/>
    <brk id="934" max="9" man="1"/>
    <brk id="975" max="9" man="1"/>
    <brk id="1016" max="9" man="1"/>
    <brk id="1057" max="9" man="1"/>
    <brk id="1098" max="9" man="1"/>
    <brk id="1139" max="9" man="1"/>
    <brk id="1180" max="9" man="1"/>
    <brk id="1221" max="9" man="1"/>
    <brk id="1262" max="9" man="1"/>
    <brk id="1303" max="9" man="1"/>
    <brk id="1344" max="9" man="1"/>
    <brk id="1385" max="9" man="1"/>
    <brk id="1426" max="9" man="1"/>
    <brk id="1467" max="9" man="1"/>
    <brk id="1549" max="9" man="1"/>
    <brk id="1590" max="9" man="1"/>
    <brk id="1631" max="9" man="1"/>
    <brk id="1672" max="9" man="1"/>
    <brk id="1713" max="9" man="1"/>
    <brk id="1754" max="9" man="1"/>
    <brk id="1795" max="9" man="1"/>
    <brk id="1836" max="9" man="1"/>
    <brk id="1877" max="9" man="1"/>
    <brk id="1918" max="9" man="1"/>
    <brk id="1959" max="9" man="1"/>
    <brk id="2000" max="9" man="1"/>
    <brk id="2041" max="9" man="1"/>
    <brk id="2082" max="9" man="1"/>
    <brk id="2123" max="9" man="1"/>
    <brk id="2164" max="9" man="1"/>
    <brk id="2246" max="9" man="1"/>
    <brk id="2328" max="9" man="1"/>
    <brk id="2410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9"/>
  <sheetViews>
    <sheetView view="pageBreakPreview" zoomScale="87" zoomScaleNormal="100" workbookViewId="0">
      <pane ySplit="2" topLeftCell="A57" activePane="bottomLeft" state="frozen"/>
      <selection/>
      <selection pane="bottomLeft" activeCell="N54" sqref="N54"/>
    </sheetView>
  </sheetViews>
  <sheetFormatPr defaultColWidth="9" defaultRowHeight="20.1" customHeight="1"/>
  <cols>
    <col min="1" max="1" width="9" style="136" customWidth="1"/>
    <col min="2" max="2" width="10.875" style="136" customWidth="1"/>
    <col min="3" max="3" width="55.25" style="157" customWidth="1"/>
    <col min="4" max="4" width="8.75" style="136" customWidth="1"/>
    <col min="5" max="5" width="11.125" style="161" customWidth="1"/>
    <col min="6" max="6" width="8.375" style="136" customWidth="1"/>
    <col min="7" max="7" width="14.625" style="136" customWidth="1"/>
    <col min="8" max="8" width="9" style="136"/>
    <col min="9" max="10" width="10.25" style="136" customWidth="1"/>
    <col min="11" max="13" width="10.125" style="136"/>
    <col min="15" max="16" width="9" style="136"/>
    <col min="17" max="17" width="11.125" style="136"/>
    <col min="18" max="16384" width="9" style="136"/>
  </cols>
  <sheetData>
    <row r="1" s="183" customFormat="1" ht="25" customHeight="1" spans="1:13">
      <c r="A1" s="184" t="s">
        <v>609</v>
      </c>
      <c r="B1" s="184"/>
      <c r="C1" s="185"/>
      <c r="D1" s="184"/>
      <c r="E1" s="186"/>
      <c r="F1" s="187"/>
      <c r="G1" s="184"/>
    </row>
    <row r="2" s="183" customFormat="1" ht="46" spans="1:13">
      <c r="A2" s="188" t="s">
        <v>1</v>
      </c>
      <c r="B2" s="188" t="s">
        <v>610</v>
      </c>
      <c r="C2" s="189" t="s">
        <v>2</v>
      </c>
      <c r="D2" s="189" t="s">
        <v>37</v>
      </c>
      <c r="E2" s="190" t="s">
        <v>611</v>
      </c>
      <c r="F2" s="191" t="s">
        <v>612</v>
      </c>
      <c r="G2" s="189" t="s">
        <v>6</v>
      </c>
      <c r="I2" s="183" t="s">
        <v>613</v>
      </c>
      <c r="K2" s="183" t="s">
        <v>614</v>
      </c>
      <c r="L2" s="183" t="s">
        <v>615</v>
      </c>
    </row>
    <row r="3" s="183" customFormat="1" ht="25" customHeight="1" spans="1:13">
      <c r="A3" s="192">
        <v>1</v>
      </c>
      <c r="B3" s="193" t="s">
        <v>616</v>
      </c>
      <c r="C3" s="194" t="s">
        <v>100</v>
      </c>
      <c r="D3" s="143" t="s">
        <v>43</v>
      </c>
      <c r="E3" s="195">
        <f t="shared" ref="E3:E10" si="0">+I3/H3</f>
        <v>623.893805309735</v>
      </c>
      <c r="F3" s="196">
        <v>0.02</v>
      </c>
      <c r="G3" s="143"/>
      <c r="H3" s="136">
        <v>1.13</v>
      </c>
      <c r="I3" s="197">
        <f>680+J4</f>
        <v>705</v>
      </c>
      <c r="J3" s="183" t="s">
        <v>617</v>
      </c>
      <c r="K3" s="198">
        <f ca="1">SUMIF('综合单价分析表 (11#楼)'!D:D,C3,'综合单价分析表 (11#楼)'!K:K)</f>
        <v>366.6378126</v>
      </c>
      <c r="L3" s="198">
        <f ca="1">SUMIF('综合单价分析表（商业）'!D:D,C3,'综合单价分析表（商业）'!K:K)</f>
        <v>0</v>
      </c>
      <c r="M3" s="198"/>
    </row>
    <row r="4" s="183" customFormat="1" ht="25" customHeight="1" spans="1:13">
      <c r="A4" s="199">
        <f>MAX($A$3:$A3)+1</f>
        <v>2</v>
      </c>
      <c r="B4" s="200"/>
      <c r="C4" s="201" t="s">
        <v>102</v>
      </c>
      <c r="D4" s="143" t="s">
        <v>43</v>
      </c>
      <c r="E4" s="195">
        <f t="shared" si="0"/>
        <v>1402.65486725664</v>
      </c>
      <c r="F4" s="196">
        <v>0.02</v>
      </c>
      <c r="G4" s="143"/>
      <c r="H4" s="136">
        <v>1.13</v>
      </c>
      <c r="I4" s="197">
        <f>1560+J4</f>
        <v>1585</v>
      </c>
      <c r="J4" s="183">
        <v>25</v>
      </c>
      <c r="K4" s="198">
        <f ca="1">SUMIF('综合单价分析表 (11#楼)'!D:D,C4,'综合单价分析表 (11#楼)'!K:K)</f>
        <v>54.8885472</v>
      </c>
      <c r="L4" s="198">
        <f ca="1">SUMIF('综合单价分析表（商业）'!D:D,C4,'综合单价分析表（商业）'!K:K)</f>
        <v>0</v>
      </c>
      <c r="M4" s="198"/>
    </row>
    <row r="5" s="183" customFormat="1" ht="25" customHeight="1" spans="1:13">
      <c r="A5" s="199">
        <f>MAX($A$3:$A4)+1</f>
        <v>3</v>
      </c>
      <c r="B5" s="200"/>
      <c r="C5" s="201" t="s">
        <v>103</v>
      </c>
      <c r="D5" s="143" t="s">
        <v>43</v>
      </c>
      <c r="E5" s="195">
        <f t="shared" si="0"/>
        <v>358.407079646018</v>
      </c>
      <c r="F5" s="196">
        <v>0.02</v>
      </c>
      <c r="G5" s="143"/>
      <c r="H5" s="136">
        <v>1.13</v>
      </c>
      <c r="I5" s="197">
        <f>380+J4</f>
        <v>405</v>
      </c>
      <c r="K5" s="198">
        <f ca="1">SUMIF('综合单价分析表 (11#楼)'!D:D,C5,'综合单价分析表 (11#楼)'!K:K)</f>
        <v>134.7826</v>
      </c>
      <c r="L5" s="198">
        <f ca="1">SUMIF('综合单价分析表（商业）'!D:D,C5,'综合单价分析表（商业）'!K:K)</f>
        <v>0</v>
      </c>
      <c r="M5" s="198"/>
    </row>
    <row r="6" s="183" customFormat="1" ht="25" customHeight="1" spans="1:13">
      <c r="A6" s="199">
        <f>MAX($A$3:$A5)+1</f>
        <v>4</v>
      </c>
      <c r="B6" s="200"/>
      <c r="C6" s="201" t="s">
        <v>105</v>
      </c>
      <c r="D6" s="143" t="s">
        <v>43</v>
      </c>
      <c r="E6" s="195">
        <f t="shared" si="0"/>
        <v>995.575221238938</v>
      </c>
      <c r="F6" s="196">
        <v>0.02</v>
      </c>
      <c r="G6" s="143"/>
      <c r="H6" s="136">
        <v>1.13</v>
      </c>
      <c r="I6" s="197">
        <f>1100+J4</f>
        <v>1125</v>
      </c>
      <c r="K6" s="198">
        <f ca="1">SUMIF('综合单价分析表 (11#楼)'!D:D,C6,'综合单价分析表 (11#楼)'!K:K)</f>
        <v>26.95652</v>
      </c>
      <c r="L6" s="198">
        <f ca="1">SUMIF('综合单价分析表（商业）'!D:D,C6,'综合单价分析表（商业）'!K:K)</f>
        <v>0</v>
      </c>
      <c r="M6" s="198"/>
    </row>
    <row r="7" s="183" customFormat="1" ht="25" customHeight="1" spans="1:13">
      <c r="A7" s="199">
        <f>MAX($A$3:$A6)+1</f>
        <v>5</v>
      </c>
      <c r="B7" s="200"/>
      <c r="C7" s="201" t="s">
        <v>107</v>
      </c>
      <c r="D7" s="143" t="s">
        <v>109</v>
      </c>
      <c r="E7" s="195">
        <f t="shared" si="0"/>
        <v>402.654867256637</v>
      </c>
      <c r="F7" s="196">
        <v>0.02</v>
      </c>
      <c r="G7" s="143"/>
      <c r="H7" s="136">
        <v>1.13</v>
      </c>
      <c r="I7" s="197">
        <f>430+J4</f>
        <v>455</v>
      </c>
      <c r="K7" s="198">
        <f ca="1">SUMIF('综合单价分析表 (11#楼)'!D:D,C7,'综合单价分析表 (11#楼)'!K:K)</f>
        <v>210.4032</v>
      </c>
      <c r="L7" s="198">
        <f ca="1">SUMIF('综合单价分析表（商业）'!D:D,C7,'综合单价分析表（商业）'!K:K)</f>
        <v>0</v>
      </c>
      <c r="M7" s="198"/>
    </row>
    <row r="8" s="183" customFormat="1" ht="25" customHeight="1" spans="1:13">
      <c r="A8" s="199">
        <f>MAX($A$3:$A7)+1</f>
        <v>6</v>
      </c>
      <c r="B8" s="200"/>
      <c r="C8" s="201" t="s">
        <v>110</v>
      </c>
      <c r="D8" s="143" t="s">
        <v>43</v>
      </c>
      <c r="E8" s="195">
        <f t="shared" si="0"/>
        <v>535.398230088496</v>
      </c>
      <c r="F8" s="196">
        <v>0.05</v>
      </c>
      <c r="G8" s="143"/>
      <c r="H8" s="136">
        <v>1.13</v>
      </c>
      <c r="I8" s="197">
        <f>580+J4</f>
        <v>605</v>
      </c>
      <c r="K8" s="198">
        <f ca="1">SUMIF('综合单价分析表 (11#楼)'!D:D,C8,'综合单价分析表 (11#楼)'!K:K)</f>
        <v>123.6947245</v>
      </c>
      <c r="L8" s="198">
        <f ca="1">SUMIF('综合单价分析表（商业）'!D:D,C8,'综合单价分析表（商业）'!K:K)</f>
        <v>0</v>
      </c>
      <c r="M8" s="198"/>
    </row>
    <row r="9" s="183" customFormat="1" ht="25" customHeight="1" spans="1:13">
      <c r="A9" s="199">
        <f>MAX($A$3:$A8)+1</f>
        <v>7</v>
      </c>
      <c r="B9" s="200"/>
      <c r="C9" s="201" t="s">
        <v>112</v>
      </c>
      <c r="D9" s="143" t="s">
        <v>43</v>
      </c>
      <c r="E9" s="195">
        <f t="shared" si="0"/>
        <v>1305.30973451327</v>
      </c>
      <c r="F9" s="196">
        <v>0.05</v>
      </c>
      <c r="G9" s="143"/>
      <c r="H9" s="136">
        <v>1.13</v>
      </c>
      <c r="I9" s="197">
        <f>1450+J4</f>
        <v>1475</v>
      </c>
      <c r="K9" s="198">
        <f ca="1">SUMIF('综合单价分析表 (11#楼)'!D:D,C9,'综合单价分析表 (11#楼)'!K:K)</f>
        <v>24.7389449</v>
      </c>
      <c r="L9" s="198">
        <f ca="1">SUMIF('综合单价分析表（商业）'!D:D,C9,'综合单价分析表（商业）'!K:K)</f>
        <v>0</v>
      </c>
      <c r="M9" s="198"/>
    </row>
    <row r="10" s="183" customFormat="1" ht="25" customHeight="1" spans="1:13">
      <c r="A10" s="199">
        <f>MAX($A$3:$A9)+1</f>
        <v>8</v>
      </c>
      <c r="B10" s="200"/>
      <c r="C10" s="202" t="s">
        <v>113</v>
      </c>
      <c r="D10" s="143" t="s">
        <v>43</v>
      </c>
      <c r="E10" s="195">
        <f t="shared" si="0"/>
        <v>774.336283185841</v>
      </c>
      <c r="F10" s="196">
        <v>0.02</v>
      </c>
      <c r="G10" s="143" t="s">
        <v>618</v>
      </c>
      <c r="H10" s="136">
        <v>1.13</v>
      </c>
      <c r="I10" s="197">
        <f>850+J4</f>
        <v>875</v>
      </c>
      <c r="K10" s="198">
        <f ca="1">SUMIF('综合单价分析表 (11#楼)'!D:D,C10,'综合单价分析表 (11#楼)'!K:K)</f>
        <v>3.758412</v>
      </c>
      <c r="L10" s="198">
        <f ca="1">SUMIF('综合单价分析表（商业）'!D:D,C10,'综合单价分析表（商业）'!K:K)</f>
        <v>0</v>
      </c>
      <c r="M10" s="198"/>
    </row>
    <row r="11" s="183" customFormat="1" ht="25" customHeight="1" spans="1:13">
      <c r="A11" s="192">
        <v>2</v>
      </c>
      <c r="B11" s="200"/>
      <c r="C11" s="203" t="s">
        <v>288</v>
      </c>
      <c r="D11" s="143" t="s">
        <v>43</v>
      </c>
      <c r="E11" s="195">
        <f t="shared" ref="E11:E21" si="1">+I11/H11</f>
        <v>553.097345132743</v>
      </c>
      <c r="F11" s="196">
        <v>0.06</v>
      </c>
      <c r="G11" s="143" t="s">
        <v>619</v>
      </c>
      <c r="H11" s="136">
        <v>1.13</v>
      </c>
      <c r="I11" s="183">
        <f>600+J4</f>
        <v>625</v>
      </c>
      <c r="K11" s="198">
        <f ca="1">SUMIF('综合单价分析表 (11#楼)'!D:D,C11,'综合单价分析表 (11#楼)'!K:K)</f>
        <v>0</v>
      </c>
      <c r="L11" s="198">
        <f ca="1">SUMIF('综合单价分析表（商业）'!D:D,C11,'综合单价分析表（商业）'!K:K)</f>
        <v>12.978</v>
      </c>
      <c r="M11" s="198"/>
    </row>
    <row r="12" s="183" customFormat="1" ht="25" customHeight="1" spans="1:13">
      <c r="A12" s="199">
        <f>MAX($A$3:$A11)+1</f>
        <v>9</v>
      </c>
      <c r="B12" s="200"/>
      <c r="C12" s="203" t="s">
        <v>289</v>
      </c>
      <c r="D12" s="143" t="s">
        <v>43</v>
      </c>
      <c r="E12" s="195">
        <f t="shared" si="1"/>
        <v>774.336283185841</v>
      </c>
      <c r="F12" s="196">
        <v>0.02</v>
      </c>
      <c r="G12" s="143"/>
      <c r="H12" s="136">
        <v>1.13</v>
      </c>
      <c r="I12" s="197">
        <f>850+J4</f>
        <v>875</v>
      </c>
      <c r="K12" s="198">
        <f ca="1">SUMIF('综合单价分析表 (11#楼)'!D:D,C12,'综合单价分析表 (11#楼)'!K:K)</f>
        <v>0</v>
      </c>
      <c r="L12" s="198">
        <f ca="1">SUMIF('综合单价分析表（商业）'!D:D,C12,'综合单价分析表（商业）'!K:K)</f>
        <v>892.9218504</v>
      </c>
      <c r="M12" s="198"/>
    </row>
    <row r="13" s="183" customFormat="1" ht="25" customHeight="1" spans="1:13">
      <c r="A13" s="199">
        <f>MAX($A$3:$A12)+1</f>
        <v>10</v>
      </c>
      <c r="B13" s="200"/>
      <c r="C13" s="203" t="s">
        <v>290</v>
      </c>
      <c r="D13" s="143" t="s">
        <v>43</v>
      </c>
      <c r="E13" s="195">
        <f t="shared" si="1"/>
        <v>3119.46902654867</v>
      </c>
      <c r="F13" s="196">
        <v>0.06</v>
      </c>
      <c r="G13" s="143"/>
      <c r="H13" s="136">
        <v>1.13</v>
      </c>
      <c r="I13" s="197">
        <f>3500+J4</f>
        <v>3525</v>
      </c>
      <c r="K13" s="198">
        <f ca="1">SUMIF('综合单价分析表 (11#楼)'!D:D,C13,'综合单价分析表 (11#楼)'!K:K)</f>
        <v>0</v>
      </c>
      <c r="L13" s="198">
        <f ca="1">SUMIF('综合单价分析表（商业）'!D:D,C13,'综合单价分析表（商业）'!K:K)</f>
        <v>123.73802712</v>
      </c>
      <c r="M13" s="198"/>
    </row>
    <row r="14" s="183" customFormat="1" ht="25" customHeight="1" spans="1:13">
      <c r="A14" s="199">
        <f>MAX($A$3:$A13)+1</f>
        <v>11</v>
      </c>
      <c r="B14" s="200"/>
      <c r="C14" s="203" t="s">
        <v>291</v>
      </c>
      <c r="D14" s="143" t="s">
        <v>43</v>
      </c>
      <c r="E14" s="195">
        <f t="shared" si="1"/>
        <v>641.592920353982</v>
      </c>
      <c r="F14" s="196">
        <v>0.05</v>
      </c>
      <c r="G14" s="143"/>
      <c r="H14" s="136">
        <v>1.13</v>
      </c>
      <c r="I14" s="183">
        <f>700+J4</f>
        <v>725</v>
      </c>
      <c r="K14" s="198">
        <f ca="1">SUMIF('综合单价分析表 (11#楼)'!D:D,C14,'综合单价分析表 (11#楼)'!K:K)</f>
        <v>0</v>
      </c>
      <c r="L14" s="198">
        <f ca="1">SUMIF('综合单价分析表（商业）'!D:D,C14,'综合单价分析表（商业）'!K:K)</f>
        <v>27.88</v>
      </c>
      <c r="M14" s="198"/>
    </row>
    <row r="15" s="183" customFormat="1" ht="25" customHeight="1" spans="1:13">
      <c r="A15" s="199">
        <f>MAX($A$3:$A14)+1</f>
        <v>12</v>
      </c>
      <c r="B15" s="200"/>
      <c r="C15" s="203" t="s">
        <v>293</v>
      </c>
      <c r="D15" s="143" t="s">
        <v>43</v>
      </c>
      <c r="E15" s="195">
        <f t="shared" si="1"/>
        <v>623.893805309735</v>
      </c>
      <c r="F15" s="196">
        <v>0.02</v>
      </c>
      <c r="G15" s="204"/>
      <c r="H15" s="136">
        <v>1.13</v>
      </c>
      <c r="I15" s="197">
        <f>680+J4</f>
        <v>705</v>
      </c>
      <c r="K15" s="198">
        <f ca="1">SUMIF('综合单价分析表 (11#楼)'!D:D,C15,'综合单价分析表 (11#楼)'!K:K)</f>
        <v>0</v>
      </c>
      <c r="L15" s="198">
        <f ca="1">SUMIF('综合单价分析表（商业）'!D:D,C15,'综合单价分析表（商业）'!K:K)</f>
        <v>15.82266</v>
      </c>
      <c r="M15" s="198"/>
    </row>
    <row r="16" s="183" customFormat="1" ht="25" customHeight="1" spans="1:13">
      <c r="A16" s="199">
        <f>MAX($A$3:$A15)+1</f>
        <v>13</v>
      </c>
      <c r="B16" s="200"/>
      <c r="C16" s="203" t="s">
        <v>295</v>
      </c>
      <c r="D16" s="143" t="s">
        <v>43</v>
      </c>
      <c r="E16" s="195">
        <f t="shared" si="1"/>
        <v>1084.07079646018</v>
      </c>
      <c r="F16" s="196">
        <v>0.02</v>
      </c>
      <c r="G16" s="143"/>
      <c r="H16" s="136">
        <v>1.13</v>
      </c>
      <c r="I16" s="197">
        <f>1200+J4</f>
        <v>1225</v>
      </c>
      <c r="K16" s="198">
        <f ca="1">SUMIF('综合单价分析表 (11#楼)'!D:D,C16,'综合单价分析表 (11#楼)'!K:K)</f>
        <v>0</v>
      </c>
      <c r="L16" s="198">
        <f ca="1">SUMIF('综合单价分析表（商业）'!D:D,C16,'综合单价分析表（商业）'!K:K)</f>
        <v>47.153264</v>
      </c>
      <c r="M16" s="198"/>
    </row>
    <row r="17" s="183" customFormat="1" ht="25" customHeight="1" spans="1:22">
      <c r="A17" s="199">
        <f>MAX($A$3:$A16)+1</f>
        <v>14</v>
      </c>
      <c r="B17" s="200"/>
      <c r="C17" s="203" t="s">
        <v>297</v>
      </c>
      <c r="D17" s="143" t="s">
        <v>43</v>
      </c>
      <c r="E17" s="195">
        <f t="shared" si="1"/>
        <v>1305.30973451327</v>
      </c>
      <c r="F17" s="196">
        <v>0.02</v>
      </c>
      <c r="G17" s="143"/>
      <c r="H17" s="136">
        <v>1.13</v>
      </c>
      <c r="I17" s="197">
        <f>1450+J4</f>
        <v>1475</v>
      </c>
      <c r="K17" s="198">
        <f ca="1">SUMIF('综合单价分析表 (11#楼)'!D:D,C17,'综合单价分析表 (11#楼)'!K:K)</f>
        <v>0</v>
      </c>
      <c r="L17" s="198">
        <f ca="1">SUMIF('综合单价分析表（商业）'!D:D,C17,'综合单价分析表（商业）'!K:K)</f>
        <v>355.591104</v>
      </c>
      <c r="M17" s="198"/>
    </row>
    <row r="18" s="183" customFormat="1" ht="25" customHeight="1" spans="1:22">
      <c r="A18" s="199"/>
      <c r="B18" s="200"/>
      <c r="C18" s="203" t="s">
        <v>620</v>
      </c>
      <c r="D18" s="143" t="s">
        <v>43</v>
      </c>
      <c r="E18" s="195">
        <f t="shared" si="1"/>
        <v>1438.05309734513</v>
      </c>
      <c r="F18" s="196">
        <v>0.02</v>
      </c>
      <c r="G18" s="143"/>
      <c r="H18" s="136">
        <v>1.13</v>
      </c>
      <c r="I18" s="197">
        <f>1600+J4</f>
        <v>1625</v>
      </c>
      <c r="K18" s="198"/>
      <c r="L18" s="198"/>
      <c r="M18" s="198"/>
    </row>
    <row r="19" s="183" customFormat="1" ht="25" customHeight="1" spans="1:22">
      <c r="A19" s="199">
        <f>MAX($A$3:$A17)+1</f>
        <v>15</v>
      </c>
      <c r="B19" s="200"/>
      <c r="C19" s="203" t="s">
        <v>300</v>
      </c>
      <c r="D19" s="143" t="s">
        <v>43</v>
      </c>
      <c r="E19" s="195">
        <f t="shared" si="1"/>
        <v>840.70796460177</v>
      </c>
      <c r="F19" s="196">
        <v>0.02</v>
      </c>
      <c r="G19" s="143"/>
      <c r="H19" s="136">
        <v>1.13</v>
      </c>
      <c r="I19" s="183">
        <f>I14+200+J4</f>
        <v>950</v>
      </c>
      <c r="K19" s="198">
        <f ca="1">SUMIF('综合单价分析表 (11#楼)'!D:D,C19,'综合单价分析表 (11#楼)'!K:K)</f>
        <v>0</v>
      </c>
      <c r="L19" s="198">
        <f ca="1">SUMIF('综合单价分析表（商业）'!D:D,C19,'综合单价分析表（商业）'!K:K)</f>
        <v>42.037008</v>
      </c>
      <c r="M19" s="198"/>
    </row>
    <row r="20" s="183" customFormat="1" ht="25" customHeight="1" spans="1:22">
      <c r="A20" s="199">
        <f>MAX($A$3:$A19)+1</f>
        <v>16</v>
      </c>
      <c r="B20" s="200"/>
      <c r="C20" s="203" t="s">
        <v>301</v>
      </c>
      <c r="D20" s="143" t="s">
        <v>109</v>
      </c>
      <c r="E20" s="195">
        <f t="shared" si="1"/>
        <v>225.663716814159</v>
      </c>
      <c r="F20" s="196">
        <v>0.02</v>
      </c>
      <c r="G20" s="143" t="s">
        <v>621</v>
      </c>
      <c r="H20" s="136">
        <v>1.13</v>
      </c>
      <c r="I20" s="197">
        <f>230+J4</f>
        <v>255</v>
      </c>
      <c r="K20" s="198">
        <f ca="1">SUMIF('综合单价分析表 (11#楼)'!D:D,C20,'综合单价分析表 (11#楼)'!K:K)</f>
        <v>0</v>
      </c>
      <c r="L20" s="198">
        <f ca="1">SUMIF('综合单价分析表（商业）'!D:D,C20,'综合单价分析表（商业）'!K:K)</f>
        <v>98.0912</v>
      </c>
      <c r="M20" s="198"/>
    </row>
    <row r="21" s="183" customFormat="1" ht="25" customHeight="1" spans="1:22">
      <c r="A21" s="199">
        <f>MAX($A$3:$A20)+1</f>
        <v>17</v>
      </c>
      <c r="B21" s="200"/>
      <c r="C21" s="203" t="s">
        <v>303</v>
      </c>
      <c r="D21" s="143" t="s">
        <v>109</v>
      </c>
      <c r="E21" s="195">
        <f t="shared" si="1"/>
        <v>889.380530973451</v>
      </c>
      <c r="F21" s="196">
        <v>0.02</v>
      </c>
      <c r="G21" s="143" t="s">
        <v>622</v>
      </c>
      <c r="H21" s="136">
        <v>1.13</v>
      </c>
      <c r="I21" s="197">
        <f>980+J4</f>
        <v>1005</v>
      </c>
      <c r="J21" s="183" t="s">
        <v>617</v>
      </c>
      <c r="K21" s="198">
        <f ca="1">SUMIF('综合单价分析表 (11#楼)'!D:D,C21,'综合单价分析表 (11#楼)'!K:K)</f>
        <v>0</v>
      </c>
      <c r="L21" s="198">
        <f ca="1">SUMIF('综合单价分析表（商业）'!D:D,C21,'综合单价分析表（商业）'!K:K)</f>
        <v>98.0912</v>
      </c>
      <c r="M21" s="198"/>
    </row>
    <row r="22" s="183" customFormat="1" ht="25" customHeight="1" spans="1:22">
      <c r="A22" s="199">
        <f>MAX($A$3:$A21)+1</f>
        <v>18</v>
      </c>
      <c r="B22" s="143" t="s">
        <v>623</v>
      </c>
      <c r="C22" s="194" t="s">
        <v>513</v>
      </c>
      <c r="D22" s="205" t="s">
        <v>43</v>
      </c>
      <c r="E22" s="206">
        <f t="shared" ref="E22:E27" si="2">+I22/H22</f>
        <v>257.522123893805</v>
      </c>
      <c r="F22" s="207">
        <v>0.02</v>
      </c>
      <c r="G22" s="208"/>
      <c r="H22" s="183">
        <v>1.13</v>
      </c>
      <c r="I22" s="183">
        <f>261+5+J22</f>
        <v>291</v>
      </c>
      <c r="J22" s="183">
        <v>25</v>
      </c>
      <c r="K22" s="198">
        <f ca="1">SUMIF('综合单价分析表 (11#楼)'!D:D,C22,'综合单价分析表 (11#楼)'!K:K)</f>
        <v>10.05312</v>
      </c>
      <c r="L22" s="198">
        <f ca="1">SUMIF('综合单价分析表（商业）'!D:D,C22,'综合单价分析表（商业）'!K:K)</f>
        <v>31.7891925</v>
      </c>
      <c r="M22" s="198"/>
    </row>
    <row r="23" s="183" customFormat="1" ht="25" customHeight="1" spans="1:22">
      <c r="A23" s="199">
        <f>MAX($A$3:$A22)+1</f>
        <v>19</v>
      </c>
      <c r="B23" s="143"/>
      <c r="C23" s="209" t="s">
        <v>624</v>
      </c>
      <c r="D23" s="205" t="s">
        <v>43</v>
      </c>
      <c r="E23" s="206">
        <f t="shared" si="2"/>
        <v>253.097345132743</v>
      </c>
      <c r="F23" s="207">
        <v>0.02</v>
      </c>
      <c r="G23" s="208"/>
      <c r="H23" s="183">
        <v>1.13</v>
      </c>
      <c r="I23" s="183">
        <f>261+J22</f>
        <v>286</v>
      </c>
      <c r="K23" s="198">
        <f ca="1">SUMIF('综合单价分析表 (11#楼)'!D:D,C23,'综合单价分析表 (11#楼)'!K:K)</f>
        <v>0</v>
      </c>
      <c r="L23" s="198">
        <f ca="1">SUMIF('综合单价分析表（商业）'!D:D,C23,'综合单价分析表（商业）'!K:K)</f>
        <v>208.08</v>
      </c>
      <c r="M23" s="198"/>
    </row>
    <row r="24" s="183" customFormat="1" ht="25" customHeight="1" spans="1:22">
      <c r="A24" s="199">
        <f>MAX($A$3:$A23)+1</f>
        <v>20</v>
      </c>
      <c r="B24" s="143"/>
      <c r="C24" s="210" t="s">
        <v>506</v>
      </c>
      <c r="D24" s="205" t="s">
        <v>43</v>
      </c>
      <c r="E24" s="206">
        <f t="shared" si="2"/>
        <v>253.097345132743</v>
      </c>
      <c r="F24" s="207">
        <v>0.02</v>
      </c>
      <c r="G24" s="208"/>
      <c r="H24" s="183">
        <v>1.13</v>
      </c>
      <c r="I24" s="183">
        <f>261+J22</f>
        <v>286</v>
      </c>
      <c r="K24" s="198">
        <f ca="1">SUMIF('综合单价分析表 (11#楼)'!D:D,C24,'综合单价分析表 (11#楼)'!K:K)</f>
        <v>287.299542678023</v>
      </c>
      <c r="L24" s="198">
        <f ca="1">SUMIF('综合单价分析表（商业）'!D:D,C24,'综合单价分析表（商业）'!K:K)</f>
        <v>1479.1617465</v>
      </c>
      <c r="M24" s="198"/>
      <c r="V24" s="211"/>
    </row>
    <row r="25" s="183" customFormat="1" ht="25" customHeight="1" spans="1:22">
      <c r="A25" s="199">
        <f>MAX($A$3:$A24)+1</f>
        <v>21</v>
      </c>
      <c r="B25" s="143"/>
      <c r="C25" s="210" t="s">
        <v>526</v>
      </c>
      <c r="D25" s="205" t="s">
        <v>43</v>
      </c>
      <c r="E25" s="206">
        <f t="shared" si="2"/>
        <v>261.946902654867</v>
      </c>
      <c r="F25" s="207">
        <v>0.02</v>
      </c>
      <c r="G25" s="208"/>
      <c r="H25" s="183">
        <v>1.13</v>
      </c>
      <c r="I25" s="183">
        <f>261+10+J22</f>
        <v>296</v>
      </c>
      <c r="K25" s="198">
        <f ca="1">SUMIF('综合单价分析表 (11#楼)'!D:D,C25,'综合单价分析表 (11#楼)'!K:K)</f>
        <v>3.75626332471482</v>
      </c>
      <c r="L25" s="198">
        <f ca="1">SUMIF('综合单价分析表（商业）'!D:D,C25,'综合单价分析表（商业）'!K:K)</f>
        <v>0</v>
      </c>
      <c r="M25" s="198"/>
      <c r="V25" s="211"/>
    </row>
    <row r="26" s="183" customFormat="1" ht="25" customHeight="1" spans="1:22">
      <c r="A26" s="199">
        <f>MAX($A$3:$A25)+1</f>
        <v>22</v>
      </c>
      <c r="B26" s="143"/>
      <c r="C26" s="210" t="s">
        <v>527</v>
      </c>
      <c r="D26" s="205" t="s">
        <v>43</v>
      </c>
      <c r="E26" s="206">
        <f t="shared" si="2"/>
        <v>261.946902654867</v>
      </c>
      <c r="F26" s="207">
        <v>0.02</v>
      </c>
      <c r="G26" s="208" t="s">
        <v>625</v>
      </c>
      <c r="H26" s="183">
        <v>1.13</v>
      </c>
      <c r="I26" s="183">
        <f>261+10+J22</f>
        <v>296</v>
      </c>
      <c r="K26" s="198">
        <f ca="1">SUMIF('综合单价分析表 (11#楼)'!D:D,C26,'综合单价分析表 (11#楼)'!K:K)</f>
        <v>350.972824896</v>
      </c>
      <c r="L26" s="198">
        <f ca="1">SUMIF('综合单价分析表（商业）'!D:D,C26,'综合单价分析表（商业）'!K:K)</f>
        <v>0</v>
      </c>
      <c r="M26" s="198"/>
      <c r="V26" s="211"/>
    </row>
    <row r="27" s="183" customFormat="1" ht="25" customHeight="1" spans="1:22">
      <c r="A27" s="199">
        <f>MAX($A$3:$A26)+1</f>
        <v>23</v>
      </c>
      <c r="B27" s="143"/>
      <c r="C27" s="210" t="s">
        <v>530</v>
      </c>
      <c r="D27" s="205" t="s">
        <v>43</v>
      </c>
      <c r="E27" s="206">
        <f t="shared" si="2"/>
        <v>270.796460176991</v>
      </c>
      <c r="F27" s="207">
        <v>0.02</v>
      </c>
      <c r="G27" s="208" t="s">
        <v>626</v>
      </c>
      <c r="H27" s="183">
        <v>1.13</v>
      </c>
      <c r="I27" s="183">
        <f>261+20+J22</f>
        <v>306</v>
      </c>
      <c r="K27" s="198">
        <f ca="1">SUMIF('综合单价分析表 (11#楼)'!D:D,C27,'综合单价分析表 (11#楼)'!K:K)</f>
        <v>148.0967784</v>
      </c>
      <c r="L27" s="198">
        <f ca="1">SUMIF('综合单价分析表（商业）'!D:D,C27,'综合单价分析表（商业）'!K:K)</f>
        <v>0</v>
      </c>
      <c r="M27" s="198"/>
      <c r="V27" s="211"/>
    </row>
    <row r="28" s="183" customFormat="1" ht="25" customHeight="1" spans="1:22">
      <c r="A28" s="199">
        <f>MAX($A$3:$A27)+1</f>
        <v>24</v>
      </c>
      <c r="B28" s="143"/>
      <c r="C28" s="210" t="s">
        <v>493</v>
      </c>
      <c r="D28" s="205" t="s">
        <v>43</v>
      </c>
      <c r="E28" s="206">
        <f t="shared" ref="E28:E33" si="3">+I28/H28</f>
        <v>253.097345132743</v>
      </c>
      <c r="F28" s="207">
        <v>0.02</v>
      </c>
      <c r="G28" s="208"/>
      <c r="H28" s="183">
        <v>1.13</v>
      </c>
      <c r="I28" s="183">
        <f>261+J22</f>
        <v>286</v>
      </c>
      <c r="K28" s="198">
        <f ca="1">SUMIF('综合单价分析表 (11#楼)'!D:D,C28,'综合单价分析表 (11#楼)'!K:K)</f>
        <v>186.68403936</v>
      </c>
      <c r="L28" s="198">
        <f ca="1">SUMIF('综合单价分析表（商业）'!D:D,C28,'综合单价分析表（商业）'!K:K)</f>
        <v>1.071</v>
      </c>
      <c r="M28" s="198"/>
      <c r="V28" s="211"/>
    </row>
    <row r="29" s="183" customFormat="1" ht="25" customHeight="1" spans="1:22">
      <c r="A29" s="199">
        <f>MAX($A$3:$A28)+1</f>
        <v>25</v>
      </c>
      <c r="B29" s="143"/>
      <c r="C29" s="210" t="s">
        <v>501</v>
      </c>
      <c r="D29" s="205" t="s">
        <v>43</v>
      </c>
      <c r="E29" s="206">
        <f t="shared" si="3"/>
        <v>270.796460176991</v>
      </c>
      <c r="F29" s="207">
        <v>0.02</v>
      </c>
      <c r="G29" s="208"/>
      <c r="H29" s="183">
        <v>1.13</v>
      </c>
      <c r="I29" s="183">
        <f>261+20+J22</f>
        <v>306</v>
      </c>
      <c r="K29" s="198">
        <f ca="1">SUMIF('综合单价分析表 (11#楼)'!D:D,C29,'综合单价分析表 (11#楼)'!K:K)</f>
        <v>124.225392</v>
      </c>
      <c r="L29" s="198">
        <f ca="1">SUMIF('综合单价分析表（商业）'!D:D,C29,'综合单价分析表（商业）'!K:K)</f>
        <v>0</v>
      </c>
      <c r="M29" s="198"/>
      <c r="V29" s="211"/>
    </row>
    <row r="30" s="183" customFormat="1" ht="25" customHeight="1" spans="1:22">
      <c r="A30" s="199">
        <f>MAX($A$3:$A29)+1</f>
        <v>26</v>
      </c>
      <c r="B30" s="143"/>
      <c r="C30" s="210" t="s">
        <v>510</v>
      </c>
      <c r="D30" s="205" t="s">
        <v>43</v>
      </c>
      <c r="E30" s="206">
        <f t="shared" si="3"/>
        <v>253.097345132743</v>
      </c>
      <c r="F30" s="207">
        <v>0.02</v>
      </c>
      <c r="G30" s="208"/>
      <c r="H30" s="183">
        <v>1.13</v>
      </c>
      <c r="I30" s="183">
        <f>261+J22</f>
        <v>286</v>
      </c>
      <c r="K30" s="198">
        <f ca="1">SUMIF('综合单价分析表 (11#楼)'!D:D,C30,'综合单价分析表 (11#楼)'!K:K)</f>
        <v>400.00402008</v>
      </c>
      <c r="L30" s="198">
        <f ca="1">SUMIF('综合单价分析表（商业）'!D:D,C30,'综合单价分析表（商业）'!K:K)</f>
        <v>1266.2835501384</v>
      </c>
      <c r="M30" s="198"/>
      <c r="V30" s="211"/>
    </row>
    <row r="31" s="183" customFormat="1" ht="25" customHeight="1" spans="1:22">
      <c r="A31" s="199">
        <f>MAX($A$3:$A30)+1</f>
        <v>27</v>
      </c>
      <c r="B31" s="143"/>
      <c r="C31" s="210" t="s">
        <v>511</v>
      </c>
      <c r="D31" s="205" t="s">
        <v>43</v>
      </c>
      <c r="E31" s="206">
        <f t="shared" si="3"/>
        <v>261.946902654867</v>
      </c>
      <c r="F31" s="207">
        <v>0.02</v>
      </c>
      <c r="G31" s="208"/>
      <c r="H31" s="183">
        <v>1.13</v>
      </c>
      <c r="I31" s="183">
        <f>261+10+J22</f>
        <v>296</v>
      </c>
      <c r="K31" s="198">
        <f ca="1">SUMIF('综合单价分析表 (11#楼)'!D:D,C31,'综合单价分析表 (11#楼)'!K:K)</f>
        <v>45.29123136</v>
      </c>
      <c r="L31" s="198">
        <f ca="1">SUMIF('综合单价分析表（商业）'!D:D,C31,'综合单价分析表（商业）'!K:K)</f>
        <v>37.532572596</v>
      </c>
      <c r="M31" s="198"/>
      <c r="V31" s="211"/>
    </row>
    <row r="32" s="183" customFormat="1" ht="25" customHeight="1" spans="1:22">
      <c r="A32" s="199">
        <f>MAX($A$3:$A31)+1</f>
        <v>28</v>
      </c>
      <c r="B32" s="143"/>
      <c r="C32" s="194" t="s">
        <v>514</v>
      </c>
      <c r="D32" s="205" t="s">
        <v>43</v>
      </c>
      <c r="E32" s="206">
        <f t="shared" si="3"/>
        <v>266.371681415929</v>
      </c>
      <c r="F32" s="207">
        <v>0.02</v>
      </c>
      <c r="G32" s="208"/>
      <c r="H32" s="183">
        <v>1.13</v>
      </c>
      <c r="I32" s="183">
        <f>261+5+10+J22</f>
        <v>301</v>
      </c>
      <c r="K32" s="198">
        <f ca="1">SUMIF('综合单价分析表 (11#楼)'!D:D,C32,'综合单价分析表 (11#楼)'!K:K)</f>
        <v>1.945344</v>
      </c>
      <c r="L32" s="198">
        <f ca="1">SUMIF('综合单价分析表（商业）'!D:D,C32,'综合单价分析表（商业）'!K:K)</f>
        <v>6.3578385</v>
      </c>
      <c r="M32" s="198"/>
      <c r="V32" s="211"/>
    </row>
    <row r="33" s="183" customFormat="1" ht="25" customHeight="1" spans="1:22">
      <c r="A33" s="199">
        <f>MAX($A$3:$A32)+1</f>
        <v>29</v>
      </c>
      <c r="B33" s="143"/>
      <c r="C33" s="194" t="s">
        <v>533</v>
      </c>
      <c r="D33" s="205" t="s">
        <v>43</v>
      </c>
      <c r="E33" s="206">
        <f t="shared" si="3"/>
        <v>319.469026548673</v>
      </c>
      <c r="F33" s="207">
        <v>0.02</v>
      </c>
      <c r="G33" s="208"/>
      <c r="H33" s="183">
        <v>1.13</v>
      </c>
      <c r="I33" s="183">
        <f>336+J22</f>
        <v>361</v>
      </c>
      <c r="K33" s="198">
        <f ca="1">SUMIF('综合单价分析表 (11#楼)'!D:D,C33,'综合单价分析表 (11#楼)'!K:K)</f>
        <v>5.61146624999999</v>
      </c>
      <c r="L33" s="198">
        <f ca="1">SUMIF('综合单价分析表（商业）'!D:D,C33,'综合单价分析表（商业）'!K:K)</f>
        <v>0</v>
      </c>
      <c r="M33" s="198"/>
      <c r="V33" s="211"/>
    </row>
    <row r="34" s="183" customFormat="1" ht="25" customHeight="1" spans="1:22">
      <c r="A34" s="199">
        <f>MAX($A$3:$A33)+1</f>
        <v>30</v>
      </c>
      <c r="B34" s="143"/>
      <c r="C34" s="194" t="s">
        <v>515</v>
      </c>
      <c r="D34" s="205" t="s">
        <v>43</v>
      </c>
      <c r="E34" s="206">
        <f t="shared" ref="E34:E39" si="4">+I34/H34</f>
        <v>361.061946902655</v>
      </c>
      <c r="F34" s="207">
        <v>0.02</v>
      </c>
      <c r="G34" s="208"/>
      <c r="H34" s="183">
        <v>1.13</v>
      </c>
      <c r="I34" s="183">
        <f>373+10+J22</f>
        <v>408</v>
      </c>
      <c r="K34" s="198">
        <f ca="1">SUMIF('综合单价分析表 (11#楼)'!D:D,C34,'综合单价分析表 (11#楼)'!K:K)</f>
        <v>258.121894057756</v>
      </c>
      <c r="L34" s="198">
        <f ca="1">SUMIF('综合单价分析表（商业）'!D:D,C34,'综合单价分析表（商业）'!K:K)</f>
        <v>0</v>
      </c>
      <c r="M34" s="198"/>
      <c r="V34" s="211"/>
    </row>
    <row r="35" s="183" customFormat="1" ht="25" customHeight="1" spans="1:22">
      <c r="A35" s="199">
        <f>MAX($A$3:$A34)+1</f>
        <v>31</v>
      </c>
      <c r="B35" s="143"/>
      <c r="C35" s="194" t="s">
        <v>516</v>
      </c>
      <c r="D35" s="205" t="s">
        <v>43</v>
      </c>
      <c r="E35" s="206">
        <f t="shared" si="4"/>
        <v>265.486725663717</v>
      </c>
      <c r="F35" s="207">
        <v>0.02</v>
      </c>
      <c r="G35" s="208"/>
      <c r="H35" s="183">
        <v>1.13</v>
      </c>
      <c r="I35" s="183">
        <v>300</v>
      </c>
      <c r="K35" s="198">
        <f ca="1">SUMIF('综合单价分析表 (11#楼)'!D:D,C35,'综合单价分析表 (11#楼)'!K:K)</f>
        <v>9.72793584</v>
      </c>
      <c r="L35" s="198">
        <f ca="1">SUMIF('综合单价分析表（商业）'!D:D,C35,'综合单价分析表（商业）'!K:K)</f>
        <v>0</v>
      </c>
      <c r="M35" s="198"/>
      <c r="V35" s="211"/>
    </row>
    <row r="36" s="183" customFormat="1" ht="25" customHeight="1" spans="1:22">
      <c r="A36" s="199">
        <f>MAX($A$3:$A35)+1</f>
        <v>32</v>
      </c>
      <c r="B36" s="143"/>
      <c r="C36" s="127" t="s">
        <v>536</v>
      </c>
      <c r="D36" s="205" t="s">
        <v>43</v>
      </c>
      <c r="E36" s="206">
        <f t="shared" si="4"/>
        <v>272.566371681416</v>
      </c>
      <c r="F36" s="207">
        <v>0.02</v>
      </c>
      <c r="G36" s="208"/>
      <c r="H36" s="183">
        <v>1.13</v>
      </c>
      <c r="I36" s="183">
        <f>283+J22</f>
        <v>308</v>
      </c>
      <c r="K36" s="198">
        <f ca="1">SUMIF('综合单价分析表 (11#楼)'!D:D,C36,'综合单价分析表 (11#楼)'!K:K)</f>
        <v>114.510413828921</v>
      </c>
      <c r="L36" s="198">
        <f ca="1">SUMIF('综合单价分析表（商业）'!D:D,C36,'综合单价分析表（商业）'!K:K)</f>
        <v>0</v>
      </c>
      <c r="M36" s="198"/>
      <c r="V36" s="211"/>
    </row>
    <row r="37" s="183" customFormat="1" ht="25" customHeight="1" spans="1:22">
      <c r="A37" s="199">
        <f>MAX($A$3:$A36)+1</f>
        <v>33</v>
      </c>
      <c r="B37" s="143"/>
      <c r="C37" s="127" t="s">
        <v>537</v>
      </c>
      <c r="D37" s="205" t="s">
        <v>43</v>
      </c>
      <c r="E37" s="206">
        <f t="shared" si="4"/>
        <v>281.41592920354</v>
      </c>
      <c r="F37" s="207">
        <v>0.02</v>
      </c>
      <c r="G37" s="208"/>
      <c r="H37" s="183">
        <v>1.13</v>
      </c>
      <c r="I37" s="183">
        <f>283+10+J22</f>
        <v>318</v>
      </c>
      <c r="K37" s="198">
        <f ca="1">SUMIF('综合单价分析表 (11#楼)'!D:D,C37,'综合单价分析表 (11#楼)'!K:K)</f>
        <v>5.55583844649057</v>
      </c>
      <c r="L37" s="198">
        <f ca="1">SUMIF('综合单价分析表（商业）'!D:D,C37,'综合单价分析表（商业）'!K:K)</f>
        <v>0</v>
      </c>
      <c r="M37" s="198"/>
      <c r="V37" s="211"/>
    </row>
    <row r="38" s="183" customFormat="1" ht="25" customHeight="1" spans="1:22">
      <c r="A38" s="199">
        <f>MAX($A$3:$A37)+1</f>
        <v>34</v>
      </c>
      <c r="B38" s="143"/>
      <c r="C38" s="127" t="s">
        <v>541</v>
      </c>
      <c r="D38" s="205" t="s">
        <v>43</v>
      </c>
      <c r="E38" s="206">
        <f t="shared" si="4"/>
        <v>270.796460176991</v>
      </c>
      <c r="F38" s="207">
        <v>0.02</v>
      </c>
      <c r="G38" s="208" t="s">
        <v>627</v>
      </c>
      <c r="H38" s="183">
        <v>1.13</v>
      </c>
      <c r="I38" s="197">
        <f>261+10+10+J22</f>
        <v>306</v>
      </c>
      <c r="K38" s="198">
        <f ca="1">SUMIF('综合单价分析表 (11#楼)'!D:D,C38,'综合单价分析表 (11#楼)'!K:K)</f>
        <v>88.532869802224</v>
      </c>
      <c r="L38" s="198">
        <f ca="1">SUMIF('综合单价分析表（商业）'!D:D,C38,'综合单价分析表（商业）'!K:K)</f>
        <v>0</v>
      </c>
      <c r="M38" s="198"/>
      <c r="V38" s="211"/>
    </row>
    <row r="39" s="183" customFormat="1" ht="25" customHeight="1" spans="1:22">
      <c r="A39" s="199">
        <f>MAX($A$3:$A38)+1</f>
        <v>35</v>
      </c>
      <c r="B39" s="143"/>
      <c r="C39" s="127" t="s">
        <v>628</v>
      </c>
      <c r="D39" s="205" t="s">
        <v>43</v>
      </c>
      <c r="E39" s="206">
        <f t="shared" si="4"/>
        <v>266.371681415929</v>
      </c>
      <c r="F39" s="207">
        <v>0.02</v>
      </c>
      <c r="G39" s="208" t="s">
        <v>627</v>
      </c>
      <c r="H39" s="183">
        <v>1.13</v>
      </c>
      <c r="I39" s="197">
        <f>261+15+J22</f>
        <v>301</v>
      </c>
      <c r="K39" s="198">
        <f ca="1">SUMIF('综合单价分析表 (11#楼)'!D:D,C39,'综合单价分析表 (11#楼)'!K:K)</f>
        <v>0</v>
      </c>
      <c r="L39" s="198">
        <f ca="1">SUMIF('综合单价分析表（商业）'!D:D,C39,'综合单价分析表（商业）'!K:K)</f>
        <v>0</v>
      </c>
      <c r="M39" s="198"/>
      <c r="V39" s="211"/>
    </row>
    <row r="40" s="183" customFormat="1" ht="25" customHeight="1" spans="1:22">
      <c r="A40" s="199">
        <f>MAX($A$3:$A39)+1</f>
        <v>36</v>
      </c>
      <c r="B40" s="143"/>
      <c r="C40" s="127" t="s">
        <v>547</v>
      </c>
      <c r="D40" s="205" t="s">
        <v>43</v>
      </c>
      <c r="E40" s="206">
        <f t="shared" ref="E40:E56" si="5">+I40/H40</f>
        <v>287.610619469027</v>
      </c>
      <c r="F40" s="207">
        <v>0.02</v>
      </c>
      <c r="G40" s="208"/>
      <c r="H40" s="183">
        <v>1.13</v>
      </c>
      <c r="I40" s="197">
        <f>300+J22</f>
        <v>325</v>
      </c>
      <c r="K40" s="198">
        <f ca="1">SUMIF('综合单价分析表 (11#楼)'!D:D,C40,'综合单价分析表 (11#楼)'!K:K)</f>
        <v>179.057144691355</v>
      </c>
      <c r="L40" s="198">
        <f ca="1">SUMIF('综合单价分析表（商业）'!D:D,C40,'综合单价分析表（商业）'!K:K)</f>
        <v>0</v>
      </c>
      <c r="M40" s="198"/>
      <c r="V40" s="211"/>
    </row>
    <row r="41" s="183" customFormat="1" ht="25" customHeight="1" spans="1:22">
      <c r="A41" s="199">
        <f>MAX($A$3:$A40)+1</f>
        <v>37</v>
      </c>
      <c r="B41" s="143"/>
      <c r="C41" s="127" t="s">
        <v>548</v>
      </c>
      <c r="D41" s="205" t="s">
        <v>43</v>
      </c>
      <c r="E41" s="206">
        <f t="shared" si="5"/>
        <v>305.309734513274</v>
      </c>
      <c r="F41" s="207">
        <v>0.02</v>
      </c>
      <c r="G41" s="208"/>
      <c r="H41" s="183">
        <v>1.13</v>
      </c>
      <c r="I41" s="197">
        <f>300+20+J22</f>
        <v>345</v>
      </c>
      <c r="K41" s="198">
        <f ca="1">SUMIF('综合单价分析表 (11#楼)'!D:D,C41,'综合单价分析表 (11#楼)'!K:K)</f>
        <v>15.6581908265413</v>
      </c>
      <c r="L41" s="198">
        <f ca="1">SUMIF('综合单价分析表（商业）'!D:D,C41,'综合单价分析表（商业）'!K:K)</f>
        <v>0</v>
      </c>
      <c r="M41" s="198"/>
      <c r="V41" s="211"/>
    </row>
    <row r="42" s="183" customFormat="1" ht="25" customHeight="1" spans="1:22">
      <c r="A42" s="199">
        <f>MAX($A$3:$A41)+1</f>
        <v>38</v>
      </c>
      <c r="B42" s="143"/>
      <c r="C42" s="210" t="s">
        <v>549</v>
      </c>
      <c r="D42" s="205" t="s">
        <v>43</v>
      </c>
      <c r="E42" s="206">
        <f t="shared" si="5"/>
        <v>276.991150442478</v>
      </c>
      <c r="F42" s="207">
        <v>0.02</v>
      </c>
      <c r="G42" s="208"/>
      <c r="H42" s="183">
        <v>1.13</v>
      </c>
      <c r="I42" s="183">
        <f>283+5+J22</f>
        <v>313</v>
      </c>
      <c r="K42" s="198">
        <f ca="1">SUMIF('综合单价分析表 (11#楼)'!D:D,C42,'综合单价分析表 (11#楼)'!K:K)</f>
        <v>37.5823014412076</v>
      </c>
      <c r="L42" s="198">
        <f ca="1">SUMIF('综合单价分析表（商业）'!D:D,C42,'综合单价分析表（商业）'!K:K)</f>
        <v>0</v>
      </c>
      <c r="M42" s="198"/>
      <c r="V42" s="211"/>
    </row>
    <row r="43" s="183" customFormat="1" ht="25" customHeight="1" spans="1:22">
      <c r="A43" s="199">
        <f>MAX($A$3:$A42)+1</f>
        <v>39</v>
      </c>
      <c r="B43" s="143"/>
      <c r="C43" s="210" t="s">
        <v>550</v>
      </c>
      <c r="D43" s="205" t="s">
        <v>43</v>
      </c>
      <c r="E43" s="206">
        <f t="shared" si="5"/>
        <v>285.840707964602</v>
      </c>
      <c r="F43" s="207">
        <v>0.02</v>
      </c>
      <c r="G43" s="208"/>
      <c r="H43" s="183">
        <v>1.13</v>
      </c>
      <c r="I43" s="183">
        <f>283+5+10+J22</f>
        <v>323</v>
      </c>
      <c r="K43" s="198">
        <f ca="1">SUMIF('综合单价分析表 (11#楼)'!D:D,C43,'综合单价分析表 (11#楼)'!K:K)</f>
        <v>1.65913985207547</v>
      </c>
      <c r="L43" s="198">
        <f ca="1">SUMIF('综合单价分析表（商业）'!D:D,C43,'综合单价分析表（商业）'!K:K)</f>
        <v>0</v>
      </c>
      <c r="M43" s="198"/>
      <c r="V43" s="211"/>
    </row>
    <row r="44" s="183" customFormat="1" ht="25" customHeight="1" spans="1:22">
      <c r="A44" s="199">
        <f>MAX($A$3:$A43)+1</f>
        <v>40</v>
      </c>
      <c r="B44" s="143"/>
      <c r="C44" s="210" t="s">
        <v>608</v>
      </c>
      <c r="D44" s="205" t="s">
        <v>43</v>
      </c>
      <c r="E44" s="206">
        <f t="shared" si="5"/>
        <v>247.787610619469</v>
      </c>
      <c r="F44" s="207">
        <v>0.02</v>
      </c>
      <c r="G44" s="208"/>
      <c r="H44" s="183">
        <v>1.13</v>
      </c>
      <c r="I44" s="183">
        <f>280</f>
        <v>280</v>
      </c>
      <c r="K44" s="198">
        <f ca="1">SUMIF('综合单价分析表 (11#楼)'!D:D,C44,'综合单价分析表 (11#楼)'!K:K)</f>
        <v>11.1373912</v>
      </c>
      <c r="L44" s="198">
        <f ca="1">SUMIF('综合单价分析表（商业）'!D:D,C44,'综合单价分析表（商业）'!K:K)</f>
        <v>0</v>
      </c>
      <c r="M44" s="198"/>
      <c r="V44" s="211"/>
    </row>
    <row r="45" s="183" customFormat="1" ht="25" customHeight="1" spans="1:22">
      <c r="A45" s="199">
        <f>MAX($A$3:$A44)+1</f>
        <v>41</v>
      </c>
      <c r="B45" s="143"/>
      <c r="C45" s="212" t="s">
        <v>629</v>
      </c>
      <c r="D45" s="205" t="s">
        <v>43</v>
      </c>
      <c r="E45" s="206">
        <f t="shared" si="5"/>
        <v>249.557522123894</v>
      </c>
      <c r="F45" s="207">
        <v>0.02</v>
      </c>
      <c r="G45" s="208"/>
      <c r="H45" s="183">
        <v>1.13</v>
      </c>
      <c r="I45" s="183">
        <f>257+J22</f>
        <v>282</v>
      </c>
      <c r="K45" s="198">
        <f ca="1">SUMIF('综合单价分析表 (11#楼)'!D:D,C45,'综合单价分析表 (11#楼)'!K:K)</f>
        <v>0</v>
      </c>
      <c r="L45" s="198">
        <f ca="1">SUMIF('综合单价分析表（商业）'!D:D,C45,'综合单价分析表（商业）'!K:K)</f>
        <v>50.67504891</v>
      </c>
      <c r="M45" s="198"/>
      <c r="V45" s="211"/>
    </row>
    <row r="46" s="183" customFormat="1" ht="25" customHeight="1" spans="1:22">
      <c r="A46" s="199">
        <f>MAX($A$3:$A45)+1</f>
        <v>42</v>
      </c>
      <c r="B46" s="143"/>
      <c r="C46" s="212" t="s">
        <v>630</v>
      </c>
      <c r="D46" s="205" t="s">
        <v>43</v>
      </c>
      <c r="E46" s="206">
        <f t="shared" si="5"/>
        <v>280.530973451327</v>
      </c>
      <c r="F46" s="207">
        <v>0.02</v>
      </c>
      <c r="G46" s="208"/>
      <c r="H46" s="183">
        <v>1.13</v>
      </c>
      <c r="I46" s="183">
        <f>I45+10+J22</f>
        <v>317</v>
      </c>
      <c r="K46" s="198">
        <f ca="1">SUMIF('综合单价分析表 (11#楼)'!D:D,C46,'综合单价分析表 (11#楼)'!K:K)</f>
        <v>0</v>
      </c>
      <c r="L46" s="198">
        <f ca="1">SUMIF('综合单价分析表（商业）'!D:D,C46,'综合单价分析表（商业）'!K:K)</f>
        <v>8.672285412</v>
      </c>
      <c r="M46" s="198"/>
      <c r="V46" s="211"/>
    </row>
    <row r="47" s="183" customFormat="1" ht="25" customHeight="1" spans="1:22">
      <c r="A47" s="199">
        <f>MAX($A$3:$A46)+1</f>
        <v>43</v>
      </c>
      <c r="B47" s="143"/>
      <c r="C47" s="212" t="s">
        <v>631</v>
      </c>
      <c r="D47" s="205" t="s">
        <v>43</v>
      </c>
      <c r="E47" s="206">
        <f t="shared" si="5"/>
        <v>207.964601769912</v>
      </c>
      <c r="F47" s="207">
        <v>0.02</v>
      </c>
      <c r="G47" s="208"/>
      <c r="H47" s="183">
        <v>1.13</v>
      </c>
      <c r="I47" s="183">
        <f>210+J22</f>
        <v>235</v>
      </c>
      <c r="K47" s="198">
        <f ca="1">SUMIF('综合单价分析表 (11#楼)'!D:D,C47,'综合单价分析表 (11#楼)'!K:K)</f>
        <v>0</v>
      </c>
      <c r="L47" s="198">
        <f ca="1">SUMIF('综合单价分析表（商业）'!D:D,C47,'综合单价分析表（商业）'!K:K)</f>
        <v>70.279887</v>
      </c>
      <c r="M47" s="198"/>
      <c r="V47" s="211"/>
    </row>
    <row r="48" s="183" customFormat="1" ht="25" customHeight="1" spans="1:22">
      <c r="A48" s="199">
        <f>MAX($A$3:$A47)+1</f>
        <v>44</v>
      </c>
      <c r="B48" s="143"/>
      <c r="C48" s="212" t="s">
        <v>632</v>
      </c>
      <c r="D48" s="205" t="s">
        <v>43</v>
      </c>
      <c r="E48" s="206">
        <f t="shared" si="5"/>
        <v>238.938053097345</v>
      </c>
      <c r="F48" s="207">
        <v>0.02</v>
      </c>
      <c r="G48" s="208"/>
      <c r="H48" s="183">
        <v>1.13</v>
      </c>
      <c r="I48" s="183">
        <f>I47+10+J22</f>
        <v>270</v>
      </c>
      <c r="K48" s="198">
        <f ca="1">SUMIF('综合单价分析表 (11#楼)'!D:D,C48,'综合单价分析表 (11#楼)'!K:K)</f>
        <v>0</v>
      </c>
      <c r="L48" s="198">
        <f ca="1">SUMIF('综合单价分析表（商业）'!D:D,C48,'综合单价分析表（商业）'!K:K)</f>
        <v>7.7196456</v>
      </c>
      <c r="M48" s="198"/>
      <c r="V48" s="211"/>
    </row>
    <row r="49" s="183" customFormat="1" ht="25" customHeight="1" spans="1:24">
      <c r="A49" s="199">
        <f>MAX($A$3:$A48)+1</f>
        <v>45</v>
      </c>
      <c r="B49" s="143"/>
      <c r="C49" s="212" t="s">
        <v>633</v>
      </c>
      <c r="D49" s="205" t="s">
        <v>43</v>
      </c>
      <c r="E49" s="206">
        <f t="shared" si="5"/>
        <v>349.557522123894</v>
      </c>
      <c r="F49" s="207">
        <v>0.02</v>
      </c>
      <c r="G49" s="208"/>
      <c r="H49" s="183">
        <v>1.13</v>
      </c>
      <c r="I49" s="183">
        <f>I48+100+J22</f>
        <v>395</v>
      </c>
      <c r="K49" s="198">
        <f ca="1">SUMIF('综合单价分析表 (11#楼)'!D:D,C49,'综合单价分析表 (11#楼)'!K:K)</f>
        <v>0</v>
      </c>
      <c r="L49" s="198">
        <f ca="1">SUMIF('综合单价分析表（商业）'!D:D,C49,'综合单价分析表（商业）'!K:K)</f>
        <v>78.202278</v>
      </c>
      <c r="M49" s="198"/>
      <c r="V49" s="211"/>
    </row>
    <row r="50" s="183" customFormat="1" ht="25" customHeight="1" spans="1:24">
      <c r="A50" s="199">
        <f>MAX($A$3:$A49)+1</f>
        <v>46</v>
      </c>
      <c r="B50" s="143"/>
      <c r="C50" s="212" t="s">
        <v>634</v>
      </c>
      <c r="D50" s="205" t="s">
        <v>43</v>
      </c>
      <c r="E50" s="206">
        <f t="shared" si="5"/>
        <v>303.53982300885</v>
      </c>
      <c r="F50" s="207">
        <v>0.02</v>
      </c>
      <c r="G50" s="208"/>
      <c r="H50" s="183">
        <v>1.13</v>
      </c>
      <c r="I50" s="183">
        <f>318+J22</f>
        <v>343</v>
      </c>
      <c r="K50" s="198">
        <f ca="1">SUMIF('综合单价分析表 (11#楼)'!D:D,C50,'综合单价分析表 (11#楼)'!K:K)</f>
        <v>0</v>
      </c>
      <c r="L50" s="198">
        <f ca="1">SUMIF('综合单价分析表（商业）'!D:D,C50,'综合单价分析表（商业）'!K:K)</f>
        <v>639.56191062</v>
      </c>
      <c r="M50" s="198"/>
      <c r="V50" s="211"/>
    </row>
    <row r="51" s="183" customFormat="1" ht="25" customHeight="1" spans="1:24">
      <c r="A51" s="199">
        <f>MAX($A$3:$A50)+1</f>
        <v>47</v>
      </c>
      <c r="B51" s="143"/>
      <c r="C51" s="212" t="s">
        <v>635</v>
      </c>
      <c r="D51" s="205" t="s">
        <v>43</v>
      </c>
      <c r="E51" s="206">
        <f t="shared" si="5"/>
        <v>352.212389380531</v>
      </c>
      <c r="F51" s="207">
        <v>0.02</v>
      </c>
      <c r="G51" s="208"/>
      <c r="H51" s="183">
        <v>1.13</v>
      </c>
      <c r="I51" s="183">
        <f>I50+30+J22</f>
        <v>398</v>
      </c>
      <c r="K51" s="198">
        <f ca="1">SUMIF('综合单价分析表 (11#楼)'!D:D,C51,'综合单价分析表 (11#楼)'!K:K)</f>
        <v>0</v>
      </c>
      <c r="L51" s="198">
        <f ca="1">SUMIF('综合单价分析表（商业）'!D:D,C51,'综合单价分析表（商业）'!K:K)</f>
        <v>16.97139444</v>
      </c>
      <c r="M51" s="198"/>
      <c r="V51" s="211"/>
    </row>
    <row r="52" s="183" customFormat="1" ht="25" customHeight="1" spans="1:24">
      <c r="A52" s="199">
        <f>MAX($A$3:$A51)+1</f>
        <v>48</v>
      </c>
      <c r="B52" s="143"/>
      <c r="C52" s="212" t="s">
        <v>636</v>
      </c>
      <c r="D52" s="205" t="s">
        <v>43</v>
      </c>
      <c r="E52" s="206">
        <f t="shared" si="5"/>
        <v>279.646017699115</v>
      </c>
      <c r="F52" s="207">
        <v>0.02</v>
      </c>
      <c r="G52" s="208" t="s">
        <v>637</v>
      </c>
      <c r="H52" s="183">
        <v>1.13</v>
      </c>
      <c r="I52" s="183">
        <f>I22+J22</f>
        <v>316</v>
      </c>
      <c r="K52" s="198">
        <f ca="1">SUMIF('综合单价分析表 (11#楼)'!D:D,C52,'综合单价分析表 (11#楼)'!K:K)</f>
        <v>0</v>
      </c>
      <c r="L52" s="198">
        <f ca="1">SUMIF('综合单价分析表（商业）'!D:D,C52,'综合单价分析表（商业）'!K:K)</f>
        <v>716.66826084</v>
      </c>
      <c r="M52" s="198"/>
      <c r="V52" s="211"/>
    </row>
    <row r="53" s="183" customFormat="1" ht="25" customHeight="1" spans="1:24">
      <c r="A53" s="199">
        <f>MAX($A$3:$A52)+1</f>
        <v>49</v>
      </c>
      <c r="B53" s="143"/>
      <c r="C53" s="212" t="s">
        <v>638</v>
      </c>
      <c r="D53" s="205" t="s">
        <v>43</v>
      </c>
      <c r="E53" s="206">
        <f t="shared" si="5"/>
        <v>186.725663716814</v>
      </c>
      <c r="F53" s="207">
        <v>0.02</v>
      </c>
      <c r="G53" s="208" t="s">
        <v>639</v>
      </c>
      <c r="H53" s="183">
        <v>1.13</v>
      </c>
      <c r="I53" s="183">
        <f>186+J22</f>
        <v>211</v>
      </c>
      <c r="K53" s="198">
        <f ca="1">SUMIF('综合单价分析表 (11#楼)'!D:D,C53,'综合单价分析表 (11#楼)'!K:K)</f>
        <v>0</v>
      </c>
      <c r="L53" s="198">
        <f ca="1">SUMIF('综合单价分析表（商业）'!D:D,C53,'综合单价分析表（商业）'!K:K)</f>
        <v>14.7357972</v>
      </c>
      <c r="M53" s="198"/>
      <c r="V53" s="211"/>
    </row>
    <row r="54" s="183" customFormat="1" ht="25" customHeight="1" spans="1:24">
      <c r="A54" s="199">
        <f>MAX($A$3:$A53)+1</f>
        <v>50</v>
      </c>
      <c r="B54" s="143"/>
      <c r="C54" s="212" t="s">
        <v>340</v>
      </c>
      <c r="D54" s="205" t="s">
        <v>43</v>
      </c>
      <c r="E54" s="206">
        <f t="shared" si="5"/>
        <v>270.796460176991</v>
      </c>
      <c r="F54" s="207">
        <v>0.02</v>
      </c>
      <c r="G54" s="208" t="s">
        <v>640</v>
      </c>
      <c r="H54" s="183">
        <v>1.13</v>
      </c>
      <c r="I54" s="183">
        <f>261+15+5+$J$22</f>
        <v>306</v>
      </c>
      <c r="K54" s="198">
        <f ca="1">SUMIF('综合单价分析表 (11#楼)'!D:D,C54,'综合单价分析表 (11#楼)'!K:K)</f>
        <v>0</v>
      </c>
      <c r="L54" s="198">
        <f ca="1">SUMIF('综合单价分析表（商业）'!D:D,C54,'综合单价分析表（商业）'!K:K)</f>
        <v>310.44218904</v>
      </c>
      <c r="M54" s="198"/>
      <c r="V54" s="211"/>
    </row>
    <row r="55" s="183" customFormat="1" ht="25" customHeight="1" spans="1:24">
      <c r="A55" s="199">
        <f>MAX($A$3:$A54)+1</f>
        <v>51</v>
      </c>
      <c r="B55" s="143"/>
      <c r="C55" s="210" t="s">
        <v>166</v>
      </c>
      <c r="D55" s="205" t="s">
        <v>43</v>
      </c>
      <c r="E55" s="206">
        <f t="shared" si="5"/>
        <v>319.469026548673</v>
      </c>
      <c r="F55" s="207">
        <v>0.02</v>
      </c>
      <c r="G55" s="208"/>
      <c r="H55" s="183">
        <v>1.13</v>
      </c>
      <c r="I55" s="183">
        <f>I33</f>
        <v>361</v>
      </c>
      <c r="J55" s="183" t="s">
        <v>617</v>
      </c>
      <c r="K55" s="198">
        <f ca="1">SUMIF('综合单价分析表 (11#楼)'!D:D,C55,'综合单价分析表 (11#楼)'!K:K)</f>
        <v>28.40928</v>
      </c>
      <c r="L55" s="198">
        <f ca="1">SUMIF('综合单价分析表（商业）'!D:D,C55,'综合单价分析表（商业）'!K:K)</f>
        <v>0</v>
      </c>
      <c r="M55" s="198"/>
      <c r="V55" s="211"/>
    </row>
    <row r="56" s="183" customFormat="1" ht="25" customHeight="1" spans="1:24">
      <c r="A56" s="199">
        <f>MAX($A$3:$A55)+1</f>
        <v>52</v>
      </c>
      <c r="B56" s="213" t="s">
        <v>641</v>
      </c>
      <c r="C56" s="131" t="s">
        <v>439</v>
      </c>
      <c r="D56" s="143" t="s">
        <v>43</v>
      </c>
      <c r="E56" s="195">
        <f t="shared" si="5"/>
        <v>132.743362831858</v>
      </c>
      <c r="F56" s="196">
        <v>0.01</v>
      </c>
      <c r="G56" s="143"/>
      <c r="H56" s="136">
        <v>1.13</v>
      </c>
      <c r="I56" s="197">
        <v>150</v>
      </c>
      <c r="J56" s="197">
        <v>40</v>
      </c>
      <c r="K56" s="198">
        <f ca="1">SUMIF('综合单价分析表 (11#楼)'!D:D,C56,'综合单价分析表 (11#楼)'!K:K)</f>
        <v>3.404508</v>
      </c>
      <c r="L56" s="198">
        <f ca="1">SUMIF('综合单价分析表（商业）'!D:D,C56,'综合单价分析表（商业）'!K:K)</f>
        <v>0</v>
      </c>
      <c r="M56" s="198"/>
      <c r="V56" s="211"/>
    </row>
    <row r="57" customHeight="1" spans="1:24">
      <c r="A57" s="199">
        <f>MAX($A$3:$A56)+1</f>
        <v>53</v>
      </c>
      <c r="B57" s="213"/>
      <c r="C57" s="131" t="s">
        <v>642</v>
      </c>
      <c r="D57" s="143" t="s">
        <v>43</v>
      </c>
      <c r="E57" s="195">
        <f t="shared" ref="E57:E68" si="6">+I57/H57</f>
        <v>149.557522123894</v>
      </c>
      <c r="F57" s="196">
        <v>0.01</v>
      </c>
      <c r="G57" s="143"/>
      <c r="H57" s="136">
        <v>1.13</v>
      </c>
      <c r="I57" s="197">
        <v>169</v>
      </c>
      <c r="J57" s="197"/>
      <c r="K57" s="198">
        <f ca="1">SUMIF('综合单价分析表 (11#楼)'!D:D,C57,'综合单价分析表 (11#楼)'!K:K)</f>
        <v>0</v>
      </c>
      <c r="L57" s="198">
        <f ca="1">SUMIF('综合单价分析表（商业）'!D:D,C57,'综合单价分析表（商业）'!K:K)</f>
        <v>0</v>
      </c>
      <c r="M57" s="198"/>
      <c r="T57" s="211"/>
      <c r="U57" s="211"/>
      <c r="V57" s="211"/>
      <c r="W57" s="214"/>
      <c r="X57" s="211"/>
    </row>
    <row r="58" customHeight="1" spans="1:24">
      <c r="A58" s="199">
        <f>MAX($A$3:$A57)+1</f>
        <v>54</v>
      </c>
      <c r="B58" s="213"/>
      <c r="C58" s="131" t="s">
        <v>457</v>
      </c>
      <c r="D58" s="143" t="s">
        <v>43</v>
      </c>
      <c r="E58" s="195">
        <f t="shared" si="6"/>
        <v>177.87610619469</v>
      </c>
      <c r="F58" s="196">
        <v>0.01</v>
      </c>
      <c r="G58" s="143"/>
      <c r="H58" s="136">
        <v>1.13</v>
      </c>
      <c r="I58" s="197">
        <v>201</v>
      </c>
      <c r="J58" s="197"/>
      <c r="K58" s="198">
        <f ca="1">SUMIF('综合单价分析表 (11#楼)'!D:D,C58,'综合单价分析表 (11#楼)'!K:K)</f>
        <v>12.4909225</v>
      </c>
      <c r="L58" s="198">
        <f ca="1">SUMIF('综合单价分析表（商业）'!D:D,C58,'综合单价分析表（商业）'!K:K)</f>
        <v>0</v>
      </c>
      <c r="M58" s="198"/>
      <c r="T58" s="211"/>
      <c r="U58" s="211"/>
      <c r="V58" s="211"/>
      <c r="W58" s="214"/>
      <c r="X58" s="211"/>
    </row>
    <row r="59" customHeight="1" spans="1:24">
      <c r="A59" s="199">
        <f>MAX($A$3:$A58)+1</f>
        <v>55</v>
      </c>
      <c r="B59" s="213"/>
      <c r="C59" s="131" t="s">
        <v>440</v>
      </c>
      <c r="D59" s="143" t="s">
        <v>43</v>
      </c>
      <c r="E59" s="195">
        <f t="shared" si="6"/>
        <v>206.194690265487</v>
      </c>
      <c r="F59" s="196">
        <v>0.01</v>
      </c>
      <c r="G59" s="143"/>
      <c r="H59" s="136">
        <v>1.13</v>
      </c>
      <c r="I59" s="197">
        <v>233</v>
      </c>
      <c r="J59" s="197"/>
      <c r="K59" s="198">
        <f ca="1">SUMIF('综合单价分析表 (11#楼)'!D:D,C59,'综合单价分析表 (11#楼)'!K:K)</f>
        <v>8.575506</v>
      </c>
      <c r="L59" s="198">
        <f ca="1">SUMIF('综合单价分析表（商业）'!D:D,C59,'综合单价分析表（商业）'!K:K)</f>
        <v>0</v>
      </c>
      <c r="M59" s="198"/>
      <c r="T59" s="211"/>
      <c r="U59" s="211"/>
      <c r="V59" s="211"/>
      <c r="W59" s="214"/>
      <c r="X59" s="211"/>
    </row>
    <row r="60" customHeight="1" spans="1:24">
      <c r="A60" s="199">
        <f>MAX($A$3:$A59)+1</f>
        <v>56</v>
      </c>
      <c r="B60" s="213"/>
      <c r="C60" s="131" t="s">
        <v>643</v>
      </c>
      <c r="D60" s="143" t="s">
        <v>43</v>
      </c>
      <c r="E60" s="195">
        <f t="shared" si="6"/>
        <v>234.513274336283</v>
      </c>
      <c r="F60" s="196">
        <v>0.01</v>
      </c>
      <c r="G60" s="143"/>
      <c r="H60" s="136">
        <v>1.13</v>
      </c>
      <c r="I60" s="197">
        <v>265</v>
      </c>
      <c r="J60" s="197"/>
      <c r="K60" s="198">
        <f ca="1">SUMIF('综合单价分析表 (11#楼)'!D:D,C60,'综合单价分析表 (11#楼)'!K:K)</f>
        <v>0</v>
      </c>
      <c r="L60" s="198">
        <f ca="1">SUMIF('综合单价分析表（商业）'!D:D,C60,'综合单价分析表（商业）'!K:K)</f>
        <v>0</v>
      </c>
      <c r="M60" s="198"/>
      <c r="T60" s="211"/>
      <c r="U60" s="211"/>
      <c r="V60" s="211"/>
      <c r="W60" s="214"/>
      <c r="X60" s="211"/>
    </row>
    <row r="61" customHeight="1" spans="1:24">
      <c r="A61" s="199">
        <f>MAX($A$3:$A60)+1</f>
        <v>57</v>
      </c>
      <c r="B61" s="213"/>
      <c r="C61" s="131" t="s">
        <v>644</v>
      </c>
      <c r="D61" s="143" t="s">
        <v>43</v>
      </c>
      <c r="E61" s="195">
        <f t="shared" si="6"/>
        <v>373.451327433628</v>
      </c>
      <c r="F61" s="196">
        <v>0.01</v>
      </c>
      <c r="G61" s="143"/>
      <c r="H61" s="136">
        <v>1.13</v>
      </c>
      <c r="I61" s="197">
        <v>422</v>
      </c>
      <c r="J61" s="197"/>
      <c r="K61" s="198">
        <f ca="1">SUMIF('综合单价分析表 (11#楼)'!D:D,C61,'综合单价分析表 (11#楼)'!K:K)</f>
        <v>0</v>
      </c>
      <c r="L61" s="198">
        <f ca="1">SUMIF('综合单价分析表（商业）'!D:D,C61,'综合单价分析表（商业）'!K:K)</f>
        <v>0</v>
      </c>
      <c r="M61" s="198"/>
      <c r="T61" s="211"/>
      <c r="U61" s="211"/>
      <c r="V61" s="211"/>
      <c r="W61" s="214"/>
      <c r="X61" s="211"/>
    </row>
    <row r="62" customHeight="1" spans="1:24">
      <c r="A62" s="199">
        <f>MAX($A$3:$A61)+1</f>
        <v>58</v>
      </c>
      <c r="B62" s="213"/>
      <c r="C62" s="131" t="s">
        <v>645</v>
      </c>
      <c r="D62" s="143" t="s">
        <v>43</v>
      </c>
      <c r="E62" s="195">
        <f t="shared" si="6"/>
        <v>235.398230088496</v>
      </c>
      <c r="F62" s="196">
        <v>0.01</v>
      </c>
      <c r="G62" s="143"/>
      <c r="H62" s="136">
        <v>1.13</v>
      </c>
      <c r="I62" s="197">
        <v>266</v>
      </c>
      <c r="J62" s="197"/>
      <c r="K62" s="198">
        <f ca="1">SUMIF('综合单价分析表 (11#楼)'!D:D,C62,'综合单价分析表 (11#楼)'!K:K)</f>
        <v>0</v>
      </c>
      <c r="L62" s="198">
        <f ca="1">SUMIF('综合单价分析表（商业）'!D:D,C62,'综合单价分析表（商业）'!K:K)</f>
        <v>0</v>
      </c>
      <c r="M62" s="198"/>
      <c r="T62" s="211"/>
      <c r="U62" s="211"/>
      <c r="V62" s="211"/>
      <c r="W62" s="214"/>
      <c r="X62" s="211"/>
    </row>
    <row r="63" customHeight="1" spans="1:24">
      <c r="A63" s="199">
        <f>MAX($A$3:$A62)+1</f>
        <v>59</v>
      </c>
      <c r="B63" s="213"/>
      <c r="C63" s="215" t="s">
        <v>458</v>
      </c>
      <c r="D63" s="143" t="s">
        <v>43</v>
      </c>
      <c r="E63" s="195">
        <f t="shared" si="6"/>
        <v>1061.94690265487</v>
      </c>
      <c r="F63" s="196">
        <v>0.01</v>
      </c>
      <c r="G63" s="216"/>
      <c r="H63" s="136">
        <v>1.13</v>
      </c>
      <c r="I63" s="197">
        <v>1200</v>
      </c>
      <c r="J63" s="197"/>
      <c r="K63" s="198">
        <f ca="1">SUMIF('综合单价分析表 (11#楼)'!D:D,C63,'综合单价分析表 (11#楼)'!K:K)</f>
        <v>14.1912575</v>
      </c>
      <c r="L63" s="198">
        <f ca="1">SUMIF('综合单价分析表（商业）'!D:D,C63,'综合单价分析表（商业）'!K:K)</f>
        <v>0</v>
      </c>
      <c r="M63" s="198"/>
      <c r="T63" s="211"/>
      <c r="U63" s="211"/>
      <c r="V63" s="211"/>
      <c r="W63" s="214"/>
      <c r="X63" s="211"/>
    </row>
    <row r="64" customHeight="1" spans="1:24">
      <c r="A64" s="199">
        <f>MAX($A$3:$A63)+1</f>
        <v>60</v>
      </c>
      <c r="B64" s="213"/>
      <c r="C64" s="215" t="s">
        <v>646</v>
      </c>
      <c r="D64" s="143" t="s">
        <v>43</v>
      </c>
      <c r="E64" s="195">
        <f t="shared" si="6"/>
        <v>179.469026548673</v>
      </c>
      <c r="F64" s="196">
        <v>0.01</v>
      </c>
      <c r="G64" s="216"/>
      <c r="H64" s="136">
        <v>1.13</v>
      </c>
      <c r="I64" s="197">
        <f>I57*1.2</f>
        <v>202.8</v>
      </c>
      <c r="J64" s="197"/>
      <c r="K64" s="198">
        <f ca="1">SUMIF('综合单价分析表 (11#楼)'!D:D,C64,'综合单价分析表 (11#楼)'!K:K)</f>
        <v>0</v>
      </c>
      <c r="L64" s="198">
        <f ca="1">SUMIF('综合单价分析表（商业）'!D:D,C64,'综合单价分析表（商业）'!K:K)</f>
        <v>0</v>
      </c>
      <c r="M64" s="198"/>
      <c r="T64" s="211"/>
      <c r="U64" s="211"/>
      <c r="V64" s="211"/>
      <c r="W64" s="214"/>
      <c r="X64" s="211"/>
    </row>
    <row r="65" customHeight="1" spans="1:24">
      <c r="A65" s="199">
        <f>MAX($A$3:$A64)+1</f>
        <v>61</v>
      </c>
      <c r="B65" s="213"/>
      <c r="C65" s="216" t="s">
        <v>647</v>
      </c>
      <c r="D65" s="143" t="s">
        <v>43</v>
      </c>
      <c r="E65" s="195">
        <f t="shared" si="6"/>
        <v>135.398230088496</v>
      </c>
      <c r="F65" s="196">
        <v>0.01</v>
      </c>
      <c r="G65" s="216"/>
      <c r="H65" s="136">
        <v>1.13</v>
      </c>
      <c r="I65" s="197">
        <f>113+J56</f>
        <v>153</v>
      </c>
      <c r="J65" s="197"/>
      <c r="K65" s="198">
        <f ca="1">SUMIF('综合单价分析表 (11#楼)'!D:D,C65,'综合单价分析表 (11#楼)'!K:K)</f>
        <v>0</v>
      </c>
      <c r="L65" s="198">
        <f ca="1">SUMIF('综合单价分析表（商业）'!D:D,C65,'综合单价分析表（商业）'!K:K)</f>
        <v>157.327498</v>
      </c>
      <c r="M65" s="198"/>
      <c r="T65" s="211"/>
      <c r="U65" s="211"/>
      <c r="V65" s="211"/>
      <c r="W65" s="214"/>
      <c r="X65" s="211"/>
    </row>
    <row r="66" ht="21" customHeight="1" spans="1:24">
      <c r="A66" s="199">
        <f>MAX($A$3:$A65)+1</f>
        <v>62</v>
      </c>
      <c r="B66" s="213"/>
      <c r="C66" s="216" t="s">
        <v>648</v>
      </c>
      <c r="D66" s="143" t="s">
        <v>43</v>
      </c>
      <c r="E66" s="195">
        <f t="shared" si="6"/>
        <v>157.522123893805</v>
      </c>
      <c r="F66" s="196">
        <v>0.01</v>
      </c>
      <c r="G66" s="216"/>
      <c r="H66" s="136">
        <v>1.13</v>
      </c>
      <c r="I66" s="197">
        <f>138+J56</f>
        <v>178</v>
      </c>
      <c r="J66" s="197"/>
      <c r="K66" s="198">
        <f ca="1">SUMIF('综合单价分析表 (11#楼)'!D:D,C66,'综合单价分析表 (11#楼)'!K:K)</f>
        <v>0</v>
      </c>
      <c r="L66" s="198">
        <f ca="1">SUMIF('综合单价分析表（商业）'!D:D,C66,'综合单价分析表（商业）'!K:K)</f>
        <v>0</v>
      </c>
      <c r="M66" s="198"/>
      <c r="T66" s="211"/>
      <c r="U66" s="211"/>
      <c r="V66" s="211"/>
      <c r="W66" s="214"/>
      <c r="X66" s="211"/>
    </row>
    <row r="67" customHeight="1" spans="1:24">
      <c r="A67" s="199">
        <f>MAX($A$3:$A66)+1</f>
        <v>63</v>
      </c>
      <c r="B67" s="213"/>
      <c r="C67" s="216" t="s">
        <v>649</v>
      </c>
      <c r="D67" s="143" t="s">
        <v>43</v>
      </c>
      <c r="E67" s="195">
        <f t="shared" si="6"/>
        <v>179.646017699115</v>
      </c>
      <c r="F67" s="196">
        <v>0.01</v>
      </c>
      <c r="G67" s="216"/>
      <c r="H67" s="136">
        <v>1.13</v>
      </c>
      <c r="I67" s="197">
        <f>163+J56</f>
        <v>203</v>
      </c>
      <c r="J67" s="197"/>
      <c r="K67" s="198">
        <f ca="1">SUMIF('综合单价分析表 (11#楼)'!D:D,C67,'综合单价分析表 (11#楼)'!K:K)</f>
        <v>0</v>
      </c>
      <c r="L67" s="198">
        <f ca="1">SUMIF('综合单价分析表（商业）'!D:D,C67,'综合单价分析表（商业）'!K:K)</f>
        <v>210.1101485</v>
      </c>
      <c r="M67" s="217"/>
      <c r="T67" s="211"/>
      <c r="U67" s="211"/>
      <c r="V67" s="211"/>
      <c r="W67" s="214"/>
      <c r="X67" s="211"/>
    </row>
    <row r="68" customHeight="1" spans="1:24">
      <c r="A68" s="199">
        <f>MAX($A$3:$A67)+1</f>
        <v>64</v>
      </c>
      <c r="B68" s="213"/>
      <c r="C68" s="216" t="s">
        <v>650</v>
      </c>
      <c r="D68" s="143" t="s">
        <v>43</v>
      </c>
      <c r="E68" s="195">
        <f t="shared" ref="E68:E100" si="7">+I68/H68</f>
        <v>210.619469026549</v>
      </c>
      <c r="F68" s="196">
        <v>0.01</v>
      </c>
      <c r="G68" s="216"/>
      <c r="H68" s="136">
        <v>1.13</v>
      </c>
      <c r="I68" s="197">
        <f>198+J56</f>
        <v>238</v>
      </c>
      <c r="J68" s="197"/>
      <c r="K68" s="198">
        <f ca="1">SUMIF('综合单价分析表 (11#楼)'!D:D,C68,'综合单价分析表 (11#楼)'!K:K)</f>
        <v>0</v>
      </c>
      <c r="L68" s="198">
        <f ca="1">SUMIF('综合单价分析表（商业）'!D:D,C68,'综合单价分析表（商业）'!K:K)</f>
        <v>53.4593</v>
      </c>
      <c r="M68" s="198"/>
      <c r="T68" s="211"/>
      <c r="U68" s="211"/>
      <c r="V68" s="211"/>
      <c r="W68" s="214"/>
      <c r="X68" s="211"/>
    </row>
    <row r="69" customHeight="1" spans="1:24">
      <c r="A69" s="199">
        <f>MAX($A$3:$A68)+1</f>
        <v>65</v>
      </c>
      <c r="B69" s="213"/>
      <c r="C69" s="216" t="s">
        <v>651</v>
      </c>
      <c r="D69" s="143" t="s">
        <v>43</v>
      </c>
      <c r="E69" s="195">
        <f t="shared" si="7"/>
        <v>267.256637168142</v>
      </c>
      <c r="F69" s="196">
        <v>0.01</v>
      </c>
      <c r="G69" s="216"/>
      <c r="H69" s="136">
        <v>1.13</v>
      </c>
      <c r="I69" s="197">
        <f>262+J56</f>
        <v>302</v>
      </c>
      <c r="J69" s="197"/>
      <c r="K69" s="198">
        <f ca="1">SUMIF('综合单价分析表 (11#楼)'!D:D,C69,'综合单价分析表 (11#楼)'!K:K)</f>
        <v>0</v>
      </c>
      <c r="L69" s="198">
        <f ca="1">SUMIF('综合单价分析表（商业）'!D:D,C69,'综合单价分析表（商业）'!K:K)</f>
        <v>15.67015</v>
      </c>
      <c r="M69" s="198"/>
      <c r="T69" s="211"/>
      <c r="U69" s="211"/>
      <c r="V69" s="211"/>
      <c r="W69" s="214"/>
      <c r="X69" s="211"/>
    </row>
    <row r="70" ht="24" customHeight="1" spans="1:24">
      <c r="A70" s="199">
        <f>MAX($A$3:$A69)+1</f>
        <v>66</v>
      </c>
      <c r="B70" s="213"/>
      <c r="C70" s="216" t="s">
        <v>652</v>
      </c>
      <c r="D70" s="143" t="s">
        <v>43</v>
      </c>
      <c r="E70" s="195">
        <f t="shared" si="7"/>
        <v>223.008849557522</v>
      </c>
      <c r="F70" s="196">
        <v>0.01</v>
      </c>
      <c r="G70" s="216"/>
      <c r="H70" s="136">
        <v>1.13</v>
      </c>
      <c r="I70" s="197">
        <f>212+J56</f>
        <v>252</v>
      </c>
      <c r="J70" s="197"/>
      <c r="K70" s="198">
        <f ca="1">SUMIF('综合单价分析表 (11#楼)'!D:D,C70,'综合单价分析表 (11#楼)'!K:K)</f>
        <v>0</v>
      </c>
      <c r="L70" s="198">
        <f ca="1">SUMIF('综合单价分析表（商业）'!D:D,C70,'综合单价分析表（商业）'!K:K)</f>
        <v>30.6641555</v>
      </c>
      <c r="M70" s="198"/>
      <c r="T70" s="211"/>
      <c r="U70" s="211"/>
      <c r="V70" s="211"/>
      <c r="W70" s="214"/>
      <c r="X70" s="211"/>
    </row>
    <row r="71" customHeight="1" spans="1:24">
      <c r="A71" s="199">
        <f>MAX($A$3:$A70)+1</f>
        <v>67</v>
      </c>
      <c r="B71" s="213"/>
      <c r="C71" s="216" t="s">
        <v>653</v>
      </c>
      <c r="D71" s="143" t="s">
        <v>43</v>
      </c>
      <c r="E71" s="195">
        <f t="shared" si="7"/>
        <v>241.592920353982</v>
      </c>
      <c r="F71" s="196">
        <v>0.01</v>
      </c>
      <c r="G71" s="216"/>
      <c r="H71" s="136">
        <v>1.13</v>
      </c>
      <c r="I71" s="197">
        <f>233+J56</f>
        <v>273</v>
      </c>
      <c r="J71" s="197"/>
      <c r="K71" s="198">
        <f ca="1">SUMIF('综合单价分析表 (11#楼)'!D:D,C71,'综合单价分析表 (11#楼)'!K:K)</f>
        <v>0</v>
      </c>
      <c r="L71" s="198">
        <f ca="1">SUMIF('综合单价分析表（商业）'!D:D,C71,'综合单价分析表（商业）'!K:K)</f>
        <v>145.0462515</v>
      </c>
      <c r="M71" s="198"/>
      <c r="T71" s="211"/>
      <c r="U71" s="211"/>
      <c r="V71" s="211"/>
      <c r="W71" s="214"/>
      <c r="X71" s="211"/>
    </row>
    <row r="72" customHeight="1" spans="1:24">
      <c r="A72" s="199">
        <f>MAX($A$3:$A71)+1</f>
        <v>68</v>
      </c>
      <c r="B72" s="213"/>
      <c r="C72" s="216" t="s">
        <v>654</v>
      </c>
      <c r="D72" s="143" t="s">
        <v>43</v>
      </c>
      <c r="E72" s="195">
        <f t="shared" si="7"/>
        <v>266.371681415929</v>
      </c>
      <c r="F72" s="196">
        <v>0.01</v>
      </c>
      <c r="G72" s="216"/>
      <c r="H72" s="136">
        <v>1.13</v>
      </c>
      <c r="I72" s="197">
        <f>261+J56</f>
        <v>301</v>
      </c>
      <c r="J72" s="197"/>
      <c r="K72" s="198">
        <f ca="1">SUMIF('综合单价分析表 (11#楼)'!D:D,C72,'综合单价分析表 (11#楼)'!K:K)</f>
        <v>0</v>
      </c>
      <c r="L72" s="198">
        <f ca="1">SUMIF('综合单价分析表（商业）'!D:D,C72,'综合单价分析表（商业）'!K:K)</f>
        <v>43.3852065</v>
      </c>
      <c r="M72" s="198"/>
      <c r="T72" s="211"/>
      <c r="U72" s="211"/>
      <c r="V72" s="211"/>
      <c r="W72" s="214"/>
      <c r="X72" s="211"/>
    </row>
    <row r="73" customHeight="1" spans="1:24">
      <c r="A73" s="199">
        <f>MAX($A$3:$A72)+1</f>
        <v>69</v>
      </c>
      <c r="B73" s="213"/>
      <c r="C73" s="216" t="s">
        <v>655</v>
      </c>
      <c r="D73" s="143" t="s">
        <v>43</v>
      </c>
      <c r="E73" s="195">
        <f t="shared" si="7"/>
        <v>285.840707964602</v>
      </c>
      <c r="F73" s="196">
        <v>0.01</v>
      </c>
      <c r="G73" s="216"/>
      <c r="H73" s="136">
        <v>1.13</v>
      </c>
      <c r="I73" s="197">
        <f>261+22+J56</f>
        <v>323</v>
      </c>
      <c r="J73" s="197"/>
      <c r="K73" s="198">
        <f ca="1">SUMIF('综合单价分析表 (11#楼)'!D:D,C73,'综合单价分析表 (11#楼)'!K:K)</f>
        <v>0</v>
      </c>
      <c r="L73" s="198">
        <f ca="1">SUMIF('综合单价分析表（商业）'!D:D,C73,'综合单价分析表（商业）'!K:K)</f>
        <v>19.809837</v>
      </c>
      <c r="M73" s="198"/>
      <c r="T73" s="211"/>
      <c r="U73" s="211"/>
      <c r="V73" s="211"/>
      <c r="W73" s="214"/>
      <c r="X73" s="211"/>
    </row>
    <row r="74" customHeight="1" spans="1:24">
      <c r="A74" s="199">
        <f>MAX($A$3:$A73)+1</f>
        <v>70</v>
      </c>
      <c r="B74" s="213"/>
      <c r="C74" s="218" t="s">
        <v>656</v>
      </c>
      <c r="D74" s="143" t="s">
        <v>43</v>
      </c>
      <c r="E74" s="195">
        <f t="shared" si="7"/>
        <v>516.814159292035</v>
      </c>
      <c r="F74" s="196">
        <v>0.01</v>
      </c>
      <c r="G74" s="216"/>
      <c r="H74" s="136">
        <v>1.13</v>
      </c>
      <c r="I74" s="197">
        <f>544+J56</f>
        <v>584</v>
      </c>
      <c r="J74" s="197"/>
      <c r="K74" s="198">
        <f ca="1">SUMIF('综合单价分析表 (11#楼)'!D:D,C74,'综合单价分析表 (11#楼)'!K:K)</f>
        <v>0</v>
      </c>
      <c r="L74" s="198">
        <f ca="1">SUMIF('综合单价分析表（商业）'!D:D,C74,'综合单价分析表（商业）'!K:K)</f>
        <v>55.449</v>
      </c>
      <c r="M74" s="198"/>
      <c r="T74" s="211"/>
      <c r="U74" s="211"/>
      <c r="V74" s="211"/>
      <c r="W74" s="214"/>
      <c r="X74" s="211"/>
    </row>
    <row r="75" ht="23" customHeight="1" spans="1:24">
      <c r="A75" s="199">
        <f>MAX($A$3:$A74)+1</f>
        <v>71</v>
      </c>
      <c r="B75" s="213"/>
      <c r="C75" s="219" t="s">
        <v>657</v>
      </c>
      <c r="D75" s="143" t="s">
        <v>43</v>
      </c>
      <c r="E75" s="195">
        <f t="shared" si="7"/>
        <v>483.185840707965</v>
      </c>
      <c r="F75" s="196">
        <v>0.01</v>
      </c>
      <c r="G75" s="220" t="s">
        <v>658</v>
      </c>
      <c r="H75" s="136">
        <v>1.13</v>
      </c>
      <c r="I75" s="197">
        <f>466+40+J56</f>
        <v>546</v>
      </c>
      <c r="J75" s="197"/>
      <c r="K75" s="198">
        <f ca="1">SUMIF('综合单价分析表 (11#楼)'!D:D,C75,'综合单价分析表 (11#楼)'!K:K)</f>
        <v>0</v>
      </c>
      <c r="L75" s="198">
        <f ca="1">SUMIF('综合单价分析表（商业）'!D:D,C75,'综合单价分析表（商业）'!K:K)</f>
        <v>261.21024</v>
      </c>
      <c r="M75" s="198"/>
      <c r="T75" s="211"/>
      <c r="U75" s="211"/>
      <c r="V75" s="211"/>
      <c r="W75" s="214"/>
      <c r="X75" s="211"/>
    </row>
    <row r="76" ht="24" customHeight="1" spans="1:24">
      <c r="A76" s="199">
        <f>MAX($A$3:$A75)+1</f>
        <v>72</v>
      </c>
      <c r="B76" s="213"/>
      <c r="C76" s="220" t="s">
        <v>659</v>
      </c>
      <c r="D76" s="143" t="s">
        <v>43</v>
      </c>
      <c r="E76" s="195">
        <f t="shared" si="7"/>
        <v>1362.83185840708</v>
      </c>
      <c r="F76" s="196">
        <v>0.01</v>
      </c>
      <c r="G76" s="216"/>
      <c r="H76" s="136">
        <v>1.13</v>
      </c>
      <c r="I76" s="197">
        <f>1500+J56</f>
        <v>1540</v>
      </c>
      <c r="J76" s="197"/>
      <c r="K76" s="198">
        <f ca="1">SUMIF('综合单价分析表 (11#楼)'!D:D,C76,'综合单价分析表 (11#楼)'!K:K)</f>
        <v>0</v>
      </c>
      <c r="L76" s="198">
        <f ca="1">SUMIF('综合单价分析表（商业）'!D:D,C76,'综合单价分析表（商业）'!K:K)</f>
        <v>26.440992</v>
      </c>
      <c r="M76" s="198"/>
      <c r="T76" s="211"/>
      <c r="U76" s="211"/>
      <c r="V76" s="211"/>
      <c r="W76" s="214"/>
      <c r="X76" s="211"/>
    </row>
    <row r="77" ht="33" customHeight="1" spans="1:24">
      <c r="A77" s="199">
        <f>MAX($A$3:$A76)+1</f>
        <v>73</v>
      </c>
      <c r="B77" s="213"/>
      <c r="C77" s="220" t="s">
        <v>660</v>
      </c>
      <c r="D77" s="143" t="s">
        <v>43</v>
      </c>
      <c r="E77" s="195">
        <f t="shared" si="7"/>
        <v>873.451327433628</v>
      </c>
      <c r="F77" s="196">
        <v>0.01</v>
      </c>
      <c r="G77" s="216"/>
      <c r="H77" s="136">
        <v>1.13</v>
      </c>
      <c r="I77" s="197">
        <f>947+J56</f>
        <v>987</v>
      </c>
      <c r="J77" s="197"/>
      <c r="K77" s="198">
        <f ca="1">SUMIF('综合单价分析表 (11#楼)'!D:D,C77,'综合单价分析表 (11#楼)'!K:K)</f>
        <v>0</v>
      </c>
      <c r="L77" s="198">
        <f ca="1">SUMIF('综合单价分析表（商业）'!D:D,C77,'综合单价分析表（商业）'!K:K)</f>
        <v>20.565216</v>
      </c>
      <c r="M77" s="198"/>
      <c r="T77" s="211"/>
      <c r="U77" s="211"/>
      <c r="V77" s="211"/>
      <c r="W77" s="214"/>
      <c r="X77" s="211"/>
    </row>
    <row r="78" ht="36" customHeight="1" spans="1:24">
      <c r="A78" s="199">
        <f>MAX($A$3:$A77)+1</f>
        <v>74</v>
      </c>
      <c r="B78" s="213"/>
      <c r="C78" s="220" t="s">
        <v>661</v>
      </c>
      <c r="D78" s="143" t="s">
        <v>43</v>
      </c>
      <c r="E78" s="195">
        <f t="shared" si="7"/>
        <v>1097.34513274336</v>
      </c>
      <c r="F78" s="196">
        <v>0.01</v>
      </c>
      <c r="G78" s="216"/>
      <c r="H78" s="136">
        <v>1.13</v>
      </c>
      <c r="I78" s="197">
        <f>1200+J56</f>
        <v>1240</v>
      </c>
      <c r="J78" s="197"/>
      <c r="K78" s="198">
        <f ca="1">SUMIF('综合单价分析表 (11#楼)'!D:D,C78,'综合单价分析表 (11#楼)'!K:K)</f>
        <v>0</v>
      </c>
      <c r="L78" s="198">
        <f ca="1">SUMIF('综合单价分析表（商业）'!D:D,C78,'综合单价分析表（商业）'!K:K)</f>
        <v>9.031824</v>
      </c>
      <c r="M78" s="198"/>
      <c r="T78" s="211"/>
      <c r="U78" s="211"/>
      <c r="V78" s="211"/>
      <c r="W78" s="214"/>
      <c r="X78" s="211"/>
    </row>
    <row r="79" ht="37" customHeight="1" spans="1:24">
      <c r="A79" s="199">
        <f>MAX($A$3:$A78)+1</f>
        <v>75</v>
      </c>
      <c r="B79" s="213"/>
      <c r="C79" s="220" t="s">
        <v>662</v>
      </c>
      <c r="D79" s="143" t="s">
        <v>43</v>
      </c>
      <c r="E79" s="195">
        <f t="shared" si="7"/>
        <v>918.58407079646</v>
      </c>
      <c r="F79" s="196">
        <v>0.01</v>
      </c>
      <c r="G79" s="216"/>
      <c r="H79" s="136">
        <v>1.13</v>
      </c>
      <c r="I79" s="197">
        <f>998+J56</f>
        <v>1038</v>
      </c>
      <c r="J79" s="197"/>
      <c r="K79" s="198">
        <f ca="1">SUMIF('综合单价分析表 (11#楼)'!D:D,C79,'综合单价分析表 (11#楼)'!K:K)</f>
        <v>0</v>
      </c>
      <c r="L79" s="198">
        <f ca="1">SUMIF('综合单价分析表（商业）'!D:D,C79,'综合单价分析表（商业）'!K:K)</f>
        <v>6.8781</v>
      </c>
      <c r="M79" s="217"/>
      <c r="T79" s="211"/>
      <c r="U79" s="211"/>
      <c r="V79" s="211"/>
      <c r="W79" s="214"/>
      <c r="X79" s="211"/>
    </row>
    <row r="80" ht="36" customHeight="1" spans="1:24">
      <c r="A80" s="199">
        <f>MAX($A$3:$A79)+1</f>
        <v>76</v>
      </c>
      <c r="B80" s="213"/>
      <c r="C80" s="220" t="s">
        <v>663</v>
      </c>
      <c r="D80" s="143" t="s">
        <v>43</v>
      </c>
      <c r="E80" s="195">
        <f t="shared" si="7"/>
        <v>794.690265486726</v>
      </c>
      <c r="F80" s="196">
        <v>0.01</v>
      </c>
      <c r="G80" s="216"/>
      <c r="H80" s="136">
        <v>1.13</v>
      </c>
      <c r="I80" s="197">
        <f>858+J56</f>
        <v>898</v>
      </c>
      <c r="J80" s="197"/>
      <c r="K80" s="198">
        <f ca="1">SUMIF('综合单价分析表 (11#楼)'!D:D,C80,'综合单价分析表 (11#楼)'!K:K)</f>
        <v>0</v>
      </c>
      <c r="L80" s="198">
        <f ca="1">SUMIF('综合单价分析表（商业）'!D:D,C80,'综合单价分析表（商业）'!K:K)</f>
        <v>0</v>
      </c>
      <c r="M80" s="198"/>
      <c r="T80" s="211"/>
      <c r="U80" s="211"/>
      <c r="V80" s="211"/>
      <c r="W80" s="214"/>
      <c r="X80" s="211"/>
    </row>
    <row r="81" ht="36" customHeight="1" spans="1:24">
      <c r="A81" s="199">
        <f>MAX($A$3:$A80)+1</f>
        <v>77</v>
      </c>
      <c r="B81" s="213"/>
      <c r="C81" s="220" t="s">
        <v>664</v>
      </c>
      <c r="D81" s="143" t="s">
        <v>43</v>
      </c>
      <c r="E81" s="195">
        <f t="shared" si="7"/>
        <v>292.035398230089</v>
      </c>
      <c r="F81" s="196">
        <v>0.01</v>
      </c>
      <c r="G81" s="216"/>
      <c r="H81" s="136">
        <v>1.13</v>
      </c>
      <c r="I81" s="197">
        <f>290+J56</f>
        <v>330</v>
      </c>
      <c r="J81" s="197"/>
      <c r="K81" s="198">
        <f ca="1">SUMIF('综合单价分析表 (11#楼)'!D:D,C81,'综合单价分析表 (11#楼)'!K:K)</f>
        <v>0</v>
      </c>
      <c r="L81" s="198">
        <f ca="1">SUMIF('综合单价分析表（商业）'!D:D,C81,'综合单价分析表（商业）'!K:K)</f>
        <v>0</v>
      </c>
      <c r="M81" s="198"/>
      <c r="T81" s="211"/>
      <c r="U81" s="211"/>
      <c r="V81" s="211"/>
      <c r="W81" s="214"/>
      <c r="X81" s="211"/>
    </row>
    <row r="82" ht="37" customHeight="1" spans="1:24">
      <c r="A82" s="199">
        <f>MAX($A$3:$A81)+1</f>
        <v>78</v>
      </c>
      <c r="B82" s="213"/>
      <c r="C82" s="220" t="s">
        <v>665</v>
      </c>
      <c r="D82" s="143" t="s">
        <v>43</v>
      </c>
      <c r="E82" s="195">
        <f t="shared" si="7"/>
        <v>292.035398230089</v>
      </c>
      <c r="F82" s="196">
        <v>0.01</v>
      </c>
      <c r="G82" s="216"/>
      <c r="H82" s="136">
        <v>1.13</v>
      </c>
      <c r="I82" s="197">
        <f>290+J56</f>
        <v>330</v>
      </c>
      <c r="J82" s="197"/>
      <c r="K82" s="198">
        <f ca="1">SUMIF('综合单价分析表 (11#楼)'!D:D,C82,'综合单价分析表 (11#楼)'!K:K)</f>
        <v>0</v>
      </c>
      <c r="L82" s="198">
        <f ca="1">SUMIF('综合单价分析表（商业）'!D:D,C82,'综合单价分析表（商业）'!K:K)</f>
        <v>42.74630575</v>
      </c>
      <c r="M82" s="198"/>
      <c r="T82" s="211"/>
      <c r="U82" s="211"/>
      <c r="V82" s="211"/>
      <c r="W82" s="214"/>
      <c r="X82" s="211"/>
    </row>
    <row r="83" ht="41" customHeight="1" spans="1:24">
      <c r="A83" s="199">
        <f>MAX($A$3:$A82)+1</f>
        <v>79</v>
      </c>
      <c r="B83" s="213"/>
      <c r="C83" s="220" t="s">
        <v>666</v>
      </c>
      <c r="D83" s="143" t="s">
        <v>43</v>
      </c>
      <c r="E83" s="195">
        <f t="shared" si="7"/>
        <v>1273.45132743363</v>
      </c>
      <c r="F83" s="196">
        <v>0.01</v>
      </c>
      <c r="G83" s="216"/>
      <c r="H83" s="136">
        <v>1.13</v>
      </c>
      <c r="I83" s="197">
        <f>1399+J56</f>
        <v>1439</v>
      </c>
      <c r="J83" s="197"/>
      <c r="K83" s="198">
        <f ca="1">SUMIF('综合单价分析表 (11#楼)'!D:D,C83,'综合单价分析表 (11#楼)'!K:K)</f>
        <v>0</v>
      </c>
      <c r="L83" s="198">
        <f ca="1">SUMIF('综合单价分析表（商业）'!D:D,C83,'综合单价分析表（商业）'!K:K)</f>
        <v>0</v>
      </c>
      <c r="M83" s="198"/>
      <c r="T83" s="211"/>
      <c r="U83" s="211"/>
      <c r="V83" s="211"/>
      <c r="W83" s="214"/>
      <c r="X83" s="211"/>
    </row>
    <row r="84" ht="44" customHeight="1" spans="1:24">
      <c r="A84" s="199">
        <f>MAX($A$3:$A83)+1</f>
        <v>80</v>
      </c>
      <c r="B84" s="213"/>
      <c r="C84" s="220" t="s">
        <v>667</v>
      </c>
      <c r="D84" s="143" t="s">
        <v>43</v>
      </c>
      <c r="E84" s="195">
        <f t="shared" si="7"/>
        <v>1076.99115044248</v>
      </c>
      <c r="F84" s="196">
        <v>0.01</v>
      </c>
      <c r="G84" s="216"/>
      <c r="H84" s="136">
        <v>1.13</v>
      </c>
      <c r="I84" s="197">
        <f>1177+J56</f>
        <v>1217</v>
      </c>
      <c r="J84" s="197"/>
      <c r="K84" s="198">
        <f ca="1">SUMIF('综合单价分析表 (11#楼)'!D:D,C84,'综合单价分析表 (11#楼)'!K:K)</f>
        <v>0</v>
      </c>
      <c r="L84" s="198">
        <f ca="1">SUMIF('综合单价分析表（商业）'!D:D,C84,'综合单价分析表（商业）'!K:K)</f>
        <v>0</v>
      </c>
      <c r="M84" s="198"/>
      <c r="T84" s="211"/>
      <c r="U84" s="211"/>
      <c r="V84" s="211"/>
      <c r="W84" s="214"/>
      <c r="X84" s="211"/>
    </row>
    <row r="85" ht="43" customHeight="1" spans="1:24">
      <c r="A85" s="199">
        <f>MAX($A$3:$A84)+1</f>
        <v>81</v>
      </c>
      <c r="B85" s="213"/>
      <c r="C85" s="220" t="s">
        <v>668</v>
      </c>
      <c r="D85" s="143" t="s">
        <v>43</v>
      </c>
      <c r="E85" s="195">
        <f t="shared" si="7"/>
        <v>1273.45132743363</v>
      </c>
      <c r="F85" s="196">
        <v>0.01</v>
      </c>
      <c r="G85" s="216"/>
      <c r="H85" s="136">
        <v>1.13</v>
      </c>
      <c r="I85" s="197">
        <f>I83</f>
        <v>1439</v>
      </c>
      <c r="J85" s="197"/>
      <c r="K85" s="198">
        <f ca="1">SUMIF('综合单价分析表 (11#楼)'!D:D,C85,'综合单价分析表 (11#楼)'!K:K)</f>
        <v>0</v>
      </c>
      <c r="L85" s="198">
        <f ca="1">SUMIF('综合单价分析表（商业）'!D:D,C85,'综合单价分析表（商业）'!K:K)</f>
        <v>0</v>
      </c>
      <c r="M85" s="198"/>
      <c r="T85" s="211"/>
      <c r="U85" s="211"/>
      <c r="V85" s="211"/>
      <c r="W85" s="214"/>
      <c r="X85" s="211"/>
    </row>
    <row r="86" ht="42" customHeight="1" spans="1:24">
      <c r="A86" s="199">
        <f>MAX($A$3:$A85)+1</f>
        <v>82</v>
      </c>
      <c r="B86" s="213"/>
      <c r="C86" s="220" t="s">
        <v>669</v>
      </c>
      <c r="D86" s="143" t="s">
        <v>43</v>
      </c>
      <c r="E86" s="195">
        <f t="shared" si="7"/>
        <v>1076.99115044248</v>
      </c>
      <c r="F86" s="196">
        <v>0.01</v>
      </c>
      <c r="G86" s="216"/>
      <c r="H86" s="136">
        <v>1.13</v>
      </c>
      <c r="I86" s="197">
        <f>I84</f>
        <v>1217</v>
      </c>
      <c r="J86" s="197"/>
      <c r="K86" s="198">
        <f ca="1">SUMIF('综合单价分析表 (11#楼)'!D:D,C86,'综合单价分析表 (11#楼)'!K:K)</f>
        <v>0</v>
      </c>
      <c r="L86" s="198">
        <f ca="1">SUMIF('综合单价分析表（商业）'!D:D,C86,'综合单价分析表（商业）'!K:K)</f>
        <v>0</v>
      </c>
      <c r="M86" s="198"/>
      <c r="T86" s="211"/>
      <c r="U86" s="211"/>
      <c r="V86" s="211"/>
      <c r="W86" s="214"/>
      <c r="X86" s="211"/>
    </row>
    <row r="87" ht="34" customHeight="1" spans="1:24">
      <c r="A87" s="199">
        <f>MAX($A$3:$A86)+1</f>
        <v>83</v>
      </c>
      <c r="B87" s="213"/>
      <c r="C87" s="220" t="s">
        <v>670</v>
      </c>
      <c r="D87" s="143" t="s">
        <v>43</v>
      </c>
      <c r="E87" s="195">
        <f t="shared" si="7"/>
        <v>833.628318584071</v>
      </c>
      <c r="F87" s="196">
        <v>0.01</v>
      </c>
      <c r="G87" s="216"/>
      <c r="H87" s="136">
        <v>1.13</v>
      </c>
      <c r="I87" s="197">
        <f>902+J56</f>
        <v>942</v>
      </c>
      <c r="J87" s="197"/>
      <c r="K87" s="198">
        <f ca="1">SUMIF('综合单价分析表 (11#楼)'!D:D,C87,'综合单价分析表 (11#楼)'!K:K)</f>
        <v>0</v>
      </c>
      <c r="L87" s="198">
        <f ca="1">SUMIF('综合单价分析表（商业）'!D:D,C87,'综合单价分析表（商业）'!K:K)</f>
        <v>8.9878486</v>
      </c>
      <c r="M87" s="198"/>
      <c r="T87" s="211"/>
      <c r="U87" s="211"/>
      <c r="V87" s="211"/>
      <c r="W87" s="214"/>
      <c r="X87" s="211"/>
    </row>
    <row r="88" ht="32" customHeight="1" spans="1:24">
      <c r="A88" s="199">
        <f>MAX($A$3:$A87)+1</f>
        <v>84</v>
      </c>
      <c r="B88" s="213"/>
      <c r="C88" s="220" t="s">
        <v>671</v>
      </c>
      <c r="D88" s="143" t="s">
        <v>43</v>
      </c>
      <c r="E88" s="195">
        <f t="shared" si="7"/>
        <v>876.106194690266</v>
      </c>
      <c r="F88" s="196">
        <v>0.01</v>
      </c>
      <c r="G88" s="216"/>
      <c r="H88" s="136">
        <v>1.13</v>
      </c>
      <c r="I88" s="197">
        <f>950+J56</f>
        <v>990</v>
      </c>
      <c r="J88" s="197"/>
      <c r="K88" s="198">
        <f ca="1">SUMIF('综合单价分析表 (11#楼)'!D:D,C88,'综合单价分析表 (11#楼)'!K:K)</f>
        <v>0</v>
      </c>
      <c r="L88" s="198">
        <f ca="1">SUMIF('综合单价分析表（商业）'!D:D,C88,'综合单价分析表（商业）'!K:K)</f>
        <v>0</v>
      </c>
      <c r="M88" s="198"/>
      <c r="T88" s="211"/>
      <c r="U88" s="211"/>
      <c r="V88" s="211"/>
      <c r="W88" s="214"/>
      <c r="X88" s="211"/>
    </row>
    <row r="89" ht="32" customHeight="1" spans="1:24">
      <c r="A89" s="199">
        <f>MAX($A$3:$A88)+1</f>
        <v>85</v>
      </c>
      <c r="B89" s="213"/>
      <c r="C89" s="220" t="s">
        <v>672</v>
      </c>
      <c r="D89" s="143" t="s">
        <v>43</v>
      </c>
      <c r="E89" s="195">
        <f t="shared" si="7"/>
        <v>876.106194690266</v>
      </c>
      <c r="F89" s="196">
        <v>0.01</v>
      </c>
      <c r="G89" s="216"/>
      <c r="H89" s="136">
        <v>1.13</v>
      </c>
      <c r="I89" s="197">
        <f>950+J56</f>
        <v>990</v>
      </c>
      <c r="J89" s="197"/>
      <c r="K89" s="198">
        <f ca="1">SUMIF('综合单价分析表 (11#楼)'!D:D,C89,'综合单价分析表 (11#楼)'!K:K)</f>
        <v>0</v>
      </c>
      <c r="L89" s="198">
        <f ca="1">SUMIF('综合单价分析表（商业）'!D:D,C89,'综合单价分析表（商业）'!K:K)</f>
        <v>0</v>
      </c>
      <c r="M89" s="198"/>
      <c r="T89" s="211"/>
      <c r="U89" s="211"/>
      <c r="V89" s="211"/>
      <c r="W89" s="214"/>
      <c r="X89" s="211"/>
    </row>
    <row r="90" ht="37" customHeight="1" spans="1:24">
      <c r="A90" s="199">
        <f>MAX($A$3:$A89)+1</f>
        <v>86</v>
      </c>
      <c r="B90" s="213"/>
      <c r="C90" s="220" t="s">
        <v>673</v>
      </c>
      <c r="D90" s="143" t="s">
        <v>43</v>
      </c>
      <c r="E90" s="195">
        <f t="shared" si="7"/>
        <v>1116.81415929204</v>
      </c>
      <c r="F90" s="196">
        <v>0.01</v>
      </c>
      <c r="G90" s="216"/>
      <c r="H90" s="136">
        <v>1.13</v>
      </c>
      <c r="I90" s="197">
        <f>1222+J56</f>
        <v>1262</v>
      </c>
      <c r="J90" s="197"/>
      <c r="K90" s="198">
        <f ca="1">SUMIF('综合单价分析表 (11#楼)'!D:D,C90,'综合单价分析表 (11#楼)'!K:K)</f>
        <v>0</v>
      </c>
      <c r="L90" s="198">
        <f ca="1">SUMIF('综合单价分析表（商业）'!D:D,C90,'综合单价分析表（商业）'!K:K)</f>
        <v>3.9996</v>
      </c>
      <c r="M90" s="198"/>
      <c r="T90" s="211"/>
      <c r="U90" s="211"/>
      <c r="V90" s="211"/>
      <c r="W90" s="214"/>
      <c r="X90" s="211"/>
    </row>
    <row r="91" ht="34" customHeight="1" spans="1:24">
      <c r="A91" s="199">
        <f>MAX($A$3:$A90)+1</f>
        <v>87</v>
      </c>
      <c r="B91" s="213"/>
      <c r="C91" s="220" t="s">
        <v>674</v>
      </c>
      <c r="D91" s="143" t="s">
        <v>43</v>
      </c>
      <c r="E91" s="195">
        <f t="shared" si="7"/>
        <v>1794.69026548673</v>
      </c>
      <c r="F91" s="196">
        <v>0.01</v>
      </c>
      <c r="G91" s="216"/>
      <c r="H91" s="136">
        <v>1.13</v>
      </c>
      <c r="I91" s="197">
        <f>1988+J56</f>
        <v>2028</v>
      </c>
      <c r="J91" s="197"/>
      <c r="K91" s="198">
        <f ca="1">SUMIF('综合单价分析表 (11#楼)'!D:D,C91,'综合单价分析表 (11#楼)'!K:K)</f>
        <v>0</v>
      </c>
      <c r="L91" s="198">
        <f ca="1">SUMIF('综合单价分析表（商业）'!D:D,C91,'综合单价分析表（商业）'!K:K)</f>
        <v>6.1812</v>
      </c>
      <c r="M91" s="198"/>
      <c r="P91" s="136">
        <f>1.8*2.5</f>
        <v>4.5</v>
      </c>
      <c r="T91" s="211"/>
      <c r="U91" s="211"/>
      <c r="V91" s="211"/>
      <c r="W91" s="214"/>
      <c r="X91" s="211"/>
    </row>
    <row r="92" ht="32" customHeight="1" spans="1:24">
      <c r="A92" s="199">
        <f>MAX($A$3:$A91)+1</f>
        <v>88</v>
      </c>
      <c r="B92" s="213"/>
      <c r="C92" s="220" t="s">
        <v>675</v>
      </c>
      <c r="D92" s="143" t="s">
        <v>43</v>
      </c>
      <c r="E92" s="195">
        <f t="shared" si="7"/>
        <v>347.787610619469</v>
      </c>
      <c r="F92" s="196">
        <v>0.01</v>
      </c>
      <c r="G92" s="216"/>
      <c r="H92" s="136">
        <v>1.13</v>
      </c>
      <c r="I92" s="197">
        <f>353+J56</f>
        <v>393</v>
      </c>
      <c r="J92" s="197"/>
      <c r="K92" s="198">
        <f ca="1">SUMIF('综合单价分析表 (11#楼)'!D:D,C92,'综合单价分析表 (11#楼)'!K:K)</f>
        <v>0</v>
      </c>
      <c r="L92" s="198">
        <f ca="1">SUMIF('综合单价分析表（商业）'!D:D,C92,'综合单价分析表（商业）'!K:K)</f>
        <v>0</v>
      </c>
      <c r="M92" s="198"/>
      <c r="O92" s="136">
        <f>7+9*2</f>
        <v>25</v>
      </c>
      <c r="P92" s="136">
        <f>O92*2</f>
        <v>50</v>
      </c>
      <c r="Q92" s="161">
        <f>P92/P91</f>
        <v>11.1111111111111</v>
      </c>
      <c r="T92" s="211"/>
      <c r="U92" s="211"/>
      <c r="V92" s="211"/>
      <c r="W92" s="214"/>
      <c r="X92" s="211"/>
    </row>
    <row r="93" ht="32" customHeight="1" spans="1:24">
      <c r="A93" s="199">
        <f>MAX($A$3:$A92)+1</f>
        <v>89</v>
      </c>
      <c r="B93" s="213"/>
      <c r="C93" s="220" t="s">
        <v>676</v>
      </c>
      <c r="D93" s="143" t="s">
        <v>43</v>
      </c>
      <c r="E93" s="195">
        <f t="shared" si="7"/>
        <v>956.637168141593</v>
      </c>
      <c r="F93" s="196">
        <v>0.01</v>
      </c>
      <c r="G93" s="216"/>
      <c r="H93" s="136">
        <v>1.13</v>
      </c>
      <c r="I93" s="197">
        <f>1041+J56</f>
        <v>1081</v>
      </c>
      <c r="J93" s="197"/>
      <c r="K93" s="198">
        <f ca="1">SUMIF('综合单价分析表 (11#楼)'!D:D,C93,'综合单价分析表 (11#楼)'!K:K)</f>
        <v>0</v>
      </c>
      <c r="L93" s="198">
        <f ca="1">SUMIF('综合单价分析表（商业）'!D:D,C93,'综合单价分析表（商业）'!K:K)</f>
        <v>0</v>
      </c>
      <c r="M93" s="198"/>
      <c r="T93" s="211"/>
      <c r="U93" s="211"/>
      <c r="V93" s="211"/>
      <c r="W93" s="214"/>
      <c r="X93" s="211"/>
    </row>
    <row r="94" ht="32" customHeight="1" spans="1:24">
      <c r="A94" s="199">
        <f>MAX($A$3:$A93)+1</f>
        <v>90</v>
      </c>
      <c r="B94" s="213"/>
      <c r="C94" s="219" t="s">
        <v>677</v>
      </c>
      <c r="D94" s="143" t="s">
        <v>43</v>
      </c>
      <c r="E94" s="195">
        <f t="shared" si="7"/>
        <v>779.646017699115</v>
      </c>
      <c r="F94" s="196">
        <v>0.01</v>
      </c>
      <c r="G94" s="216"/>
      <c r="H94" s="136">
        <v>1.13</v>
      </c>
      <c r="I94" s="197">
        <f>I93-200</f>
        <v>881</v>
      </c>
      <c r="J94" s="197"/>
      <c r="K94" s="198">
        <f ca="1">SUMIF('综合单价分析表 (11#楼)'!D:D,C94,'综合单价分析表 (11#楼)'!K:K)</f>
        <v>0</v>
      </c>
      <c r="L94" s="198">
        <f ca="1">SUMIF('综合单价分析表（商业）'!D:D,C94,'综合单价分析表（商业）'!K:K)</f>
        <v>24.0813896</v>
      </c>
      <c r="M94" s="198"/>
      <c r="T94" s="211"/>
      <c r="U94" s="211"/>
      <c r="V94" s="211"/>
      <c r="W94" s="214"/>
      <c r="X94" s="211"/>
    </row>
    <row r="95" ht="34" customHeight="1" spans="1:24">
      <c r="A95" s="199">
        <f>MAX($A$3:$A94)+1</f>
        <v>91</v>
      </c>
      <c r="B95" s="213"/>
      <c r="C95" s="219" t="s">
        <v>678</v>
      </c>
      <c r="D95" s="143" t="s">
        <v>43</v>
      </c>
      <c r="E95" s="195">
        <f t="shared" si="7"/>
        <v>1060.17699115044</v>
      </c>
      <c r="F95" s="196">
        <v>0.01</v>
      </c>
      <c r="G95" s="216"/>
      <c r="H95" s="136">
        <v>1.13</v>
      </c>
      <c r="I95" s="197">
        <f>858+300+J56</f>
        <v>1198</v>
      </c>
      <c r="J95" s="197"/>
      <c r="K95" s="198">
        <f ca="1">SUMIF('综合单价分析表 (11#楼)'!D:D,C95,'综合单价分析表 (11#楼)'!K:K)</f>
        <v>0</v>
      </c>
      <c r="L95" s="198">
        <f ca="1">SUMIF('综合单价分析表（商业）'!D:D,C95,'综合单价分析表（商业）'!K:K)</f>
        <v>0</v>
      </c>
      <c r="M95" s="198"/>
      <c r="T95" s="211"/>
      <c r="U95" s="211"/>
      <c r="V95" s="211"/>
      <c r="W95" s="214"/>
      <c r="X95" s="211"/>
    </row>
    <row r="96" ht="32" customHeight="1" spans="1:24">
      <c r="A96" s="199">
        <f>MAX($A$3:$A95)+1</f>
        <v>92</v>
      </c>
      <c r="B96" s="213"/>
      <c r="C96" s="220" t="s">
        <v>679</v>
      </c>
      <c r="D96" s="143" t="s">
        <v>43</v>
      </c>
      <c r="E96" s="195">
        <f t="shared" si="7"/>
        <v>242.477876106195</v>
      </c>
      <c r="F96" s="196">
        <v>0.01</v>
      </c>
      <c r="G96" s="216"/>
      <c r="H96" s="136">
        <v>1.13</v>
      </c>
      <c r="I96" s="197">
        <f>234+J56</f>
        <v>274</v>
      </c>
      <c r="J96" s="197"/>
      <c r="K96" s="198">
        <f ca="1">SUMIF('综合单价分析表 (11#楼)'!D:D,C96,'综合单价分析表 (11#楼)'!K:K)</f>
        <v>0</v>
      </c>
      <c r="L96" s="198">
        <f ca="1">SUMIF('综合单价分析表（商业）'!D:D,C96,'综合单价分析表（商业）'!K:K)</f>
        <v>0</v>
      </c>
      <c r="M96" s="198"/>
      <c r="T96" s="211"/>
      <c r="U96" s="211"/>
      <c r="V96" s="211"/>
      <c r="W96" s="214"/>
      <c r="X96" s="211"/>
    </row>
    <row r="97" ht="37" customHeight="1" spans="1:24">
      <c r="A97" s="199">
        <f>MAX($A$3:$A96)+1</f>
        <v>93</v>
      </c>
      <c r="B97" s="213"/>
      <c r="C97" s="220" t="s">
        <v>680</v>
      </c>
      <c r="D97" s="143" t="s">
        <v>43</v>
      </c>
      <c r="E97" s="195">
        <f t="shared" si="7"/>
        <v>794.690265486726</v>
      </c>
      <c r="F97" s="196">
        <v>0.01</v>
      </c>
      <c r="G97" s="216"/>
      <c r="H97" s="136">
        <v>1.13</v>
      </c>
      <c r="I97" s="197">
        <f>858+J56</f>
        <v>898</v>
      </c>
      <c r="J97" s="197"/>
      <c r="K97" s="198">
        <f ca="1">SUMIF('综合单价分析表 (11#楼)'!D:D,C97,'综合单价分析表 (11#楼)'!K:K)</f>
        <v>0</v>
      </c>
      <c r="L97" s="198">
        <f ca="1">SUMIF('综合单价分析表（商业）'!D:D,C97,'综合单价分析表（商业）'!K:K)</f>
        <v>0</v>
      </c>
      <c r="M97" s="198"/>
      <c r="T97" s="211"/>
      <c r="U97" s="211"/>
      <c r="V97" s="211"/>
      <c r="W97" s="214"/>
      <c r="X97" s="211"/>
    </row>
    <row r="98" ht="36" customHeight="1" spans="1:24">
      <c r="A98" s="199">
        <f>MAX($A$3:$A97)+1</f>
        <v>94</v>
      </c>
      <c r="B98" s="213"/>
      <c r="C98" s="219" t="s">
        <v>681</v>
      </c>
      <c r="D98" s="143" t="s">
        <v>43</v>
      </c>
      <c r="E98" s="195">
        <f t="shared" si="7"/>
        <v>1362.83185840708</v>
      </c>
      <c r="F98" s="196">
        <v>0.01</v>
      </c>
      <c r="G98" s="216"/>
      <c r="H98" s="136">
        <v>1.13</v>
      </c>
      <c r="I98" s="197">
        <f>1500+J56</f>
        <v>1540</v>
      </c>
      <c r="J98" s="197"/>
      <c r="K98" s="198">
        <f ca="1">SUMIF('综合单价分析表 (11#楼)'!D:D,C98,'综合单价分析表 (11#楼)'!K:K)</f>
        <v>0</v>
      </c>
      <c r="L98" s="198">
        <f ca="1">SUMIF('综合单价分析表（商业）'!D:D,C98,'综合单价分析表（商业）'!K:K)</f>
        <v>14.9379</v>
      </c>
      <c r="M98" s="198"/>
      <c r="T98" s="211"/>
      <c r="U98" s="211"/>
      <c r="V98" s="211"/>
      <c r="W98" s="214"/>
      <c r="X98" s="211"/>
    </row>
    <row r="99" ht="26" customHeight="1" spans="1:24">
      <c r="A99" s="199">
        <f>MAX($A$3:$A98)+1</f>
        <v>95</v>
      </c>
      <c r="B99" s="213"/>
      <c r="C99" s="219" t="s">
        <v>682</v>
      </c>
      <c r="D99" s="143" t="s">
        <v>43</v>
      </c>
      <c r="E99" s="195">
        <f t="shared" si="7"/>
        <v>693.805309734513</v>
      </c>
      <c r="F99" s="196">
        <v>0.01</v>
      </c>
      <c r="G99" s="216"/>
      <c r="H99" s="136">
        <v>1.13</v>
      </c>
      <c r="I99" s="197">
        <f>544+200+J56</f>
        <v>784</v>
      </c>
      <c r="J99" s="197"/>
      <c r="K99" s="198">
        <f ca="1">SUMIF('综合单价分析表 (11#楼)'!D:D,C99,'综合单价分析表 (11#楼)'!K:K)</f>
        <v>0</v>
      </c>
      <c r="L99" s="198">
        <f ca="1">SUMIF('综合单价分析表（商业）'!D:D,C99,'综合单价分析表（商业）'!K:K)</f>
        <v>63.9936</v>
      </c>
      <c r="M99" s="198"/>
      <c r="T99" s="211"/>
      <c r="U99" s="211"/>
      <c r="V99" s="211"/>
      <c r="W99" s="214"/>
      <c r="X99" s="211"/>
    </row>
    <row r="100" ht="27" customHeight="1" spans="1:24">
      <c r="A100" s="199">
        <f>MAX($A$3:$A99)+1</f>
        <v>96</v>
      </c>
      <c r="B100" s="213"/>
      <c r="C100" s="219" t="s">
        <v>683</v>
      </c>
      <c r="D100" s="143" t="s">
        <v>43</v>
      </c>
      <c r="E100" s="195">
        <f t="shared" si="7"/>
        <v>1359.85840707965</v>
      </c>
      <c r="F100" s="196">
        <v>0.01</v>
      </c>
      <c r="G100" s="216"/>
      <c r="H100" s="136">
        <v>1.13</v>
      </c>
      <c r="I100" s="197">
        <f>I99*1.96</f>
        <v>1536.64</v>
      </c>
      <c r="J100" s="197"/>
      <c r="K100" s="198">
        <f ca="1">SUMIF('综合单价分析表 (11#楼)'!D:D,C100,'综合单价分析表 (11#楼)'!K:K)</f>
        <v>0</v>
      </c>
      <c r="L100" s="198">
        <f ca="1">SUMIF('综合单价分析表（商业）'!D:D,C100,'综合单价分析表（商业）'!K:K)</f>
        <v>10.282608</v>
      </c>
      <c r="M100" s="198"/>
      <c r="T100" s="211"/>
      <c r="U100" s="211"/>
      <c r="V100" s="211"/>
      <c r="W100" s="214"/>
      <c r="X100" s="211"/>
    </row>
    <row r="101" ht="35" customHeight="1" spans="1:24">
      <c r="A101" s="199">
        <f>MAX($A$3:$A100)+1</f>
        <v>97</v>
      </c>
      <c r="B101" s="213"/>
      <c r="C101" s="220" t="s">
        <v>684</v>
      </c>
      <c r="D101" s="143" t="s">
        <v>43</v>
      </c>
      <c r="E101" s="195">
        <f t="shared" ref="E101:E116" si="8">+I101/H101</f>
        <v>873.451327433628</v>
      </c>
      <c r="F101" s="196">
        <v>0.01</v>
      </c>
      <c r="G101" s="216"/>
      <c r="H101" s="136">
        <v>1.13</v>
      </c>
      <c r="I101" s="197">
        <f>947+J56</f>
        <v>987</v>
      </c>
      <c r="J101" s="197"/>
      <c r="K101" s="198">
        <f ca="1">SUMIF('综合单价分析表 (11#楼)'!D:D,C101,'综合单价分析表 (11#楼)'!K:K)</f>
        <v>0</v>
      </c>
      <c r="L101" s="198">
        <f ca="1">SUMIF('综合单价分析表（商业）'!D:D,C101,'综合单价分析表（商业）'!K:K)</f>
        <v>9.573588</v>
      </c>
      <c r="M101" s="198"/>
      <c r="T101" s="211"/>
      <c r="U101" s="211"/>
      <c r="V101" s="211"/>
      <c r="W101" s="214"/>
      <c r="X101" s="211"/>
    </row>
    <row r="102" ht="37" customHeight="1" spans="1:24">
      <c r="A102" s="199">
        <f>MAX($A$3:$A101)+1</f>
        <v>98</v>
      </c>
      <c r="B102" s="213"/>
      <c r="C102" s="219" t="s">
        <v>685</v>
      </c>
      <c r="D102" s="143" t="s">
        <v>43</v>
      </c>
      <c r="E102" s="195">
        <f t="shared" si="8"/>
        <v>1115.04424778761</v>
      </c>
      <c r="F102" s="196">
        <v>0.01</v>
      </c>
      <c r="G102" s="216"/>
      <c r="H102" s="136">
        <v>1.13</v>
      </c>
      <c r="I102" s="197">
        <f>1220+J56</f>
        <v>1260</v>
      </c>
      <c r="J102" s="197"/>
      <c r="K102" s="198">
        <f ca="1">SUMIF('综合单价分析表 (11#楼)'!D:D,C102,'综合单价分析表 (11#楼)'!K:K)</f>
        <v>0</v>
      </c>
      <c r="L102" s="198">
        <f ca="1">SUMIF('综合单价分析表（商业）'!D:D,C102,'综合单价分析表（商业）'!K:K)</f>
        <v>7.1811</v>
      </c>
      <c r="M102" s="198"/>
      <c r="T102" s="211"/>
      <c r="U102" s="211"/>
      <c r="V102" s="211"/>
      <c r="W102" s="214"/>
      <c r="X102" s="211"/>
    </row>
    <row r="103" ht="37" customHeight="1" spans="1:24">
      <c r="A103" s="199">
        <f>MAX($A$3:$A102)+1</f>
        <v>99</v>
      </c>
      <c r="B103" s="213"/>
      <c r="C103" s="219" t="s">
        <v>686</v>
      </c>
      <c r="D103" s="143" t="s">
        <v>43</v>
      </c>
      <c r="E103" s="195">
        <f t="shared" si="8"/>
        <v>1115.04424778761</v>
      </c>
      <c r="F103" s="196">
        <v>0.01</v>
      </c>
      <c r="G103" s="216"/>
      <c r="H103" s="136">
        <v>1.13</v>
      </c>
      <c r="I103" s="197">
        <f>I102</f>
        <v>1260</v>
      </c>
      <c r="J103" s="197"/>
      <c r="K103" s="198">
        <f ca="1">SUMIF('综合单价分析表 (11#楼)'!D:D,C103,'综合单价分析表 (11#楼)'!K:K)</f>
        <v>0</v>
      </c>
      <c r="L103" s="198">
        <f ca="1">SUMIF('综合单价分析表（商业）'!D:D,C103,'综合单价分析表（商业）'!K:K)</f>
        <v>9.046368</v>
      </c>
      <c r="M103" s="198"/>
      <c r="T103" s="211"/>
      <c r="U103" s="211"/>
      <c r="V103" s="211"/>
      <c r="W103" s="214"/>
      <c r="X103" s="211"/>
    </row>
    <row r="104" ht="29" customHeight="1" spans="1:24">
      <c r="A104" s="199">
        <f>MAX($A$3:$A103)+1</f>
        <v>100</v>
      </c>
      <c r="B104" s="213"/>
      <c r="C104" s="219" t="s">
        <v>687</v>
      </c>
      <c r="D104" s="143" t="s">
        <v>43</v>
      </c>
      <c r="E104" s="195">
        <f t="shared" si="8"/>
        <v>613.274336283186</v>
      </c>
      <c r="F104" s="196">
        <v>0.01</v>
      </c>
      <c r="G104" s="216"/>
      <c r="H104" s="136">
        <v>1.13</v>
      </c>
      <c r="I104" s="197">
        <f>353+300+J56</f>
        <v>693</v>
      </c>
      <c r="J104" s="197"/>
      <c r="K104" s="198">
        <f ca="1">SUMIF('综合单价分析表 (11#楼)'!D:D,C104,'综合单价分析表 (11#楼)'!K:K)</f>
        <v>0</v>
      </c>
      <c r="L104" s="198">
        <f ca="1">SUMIF('综合单价分析表（商业）'!D:D,C104,'综合单价分析表（商业）'!K:K)</f>
        <v>7.6143294</v>
      </c>
      <c r="M104" s="198"/>
      <c r="T104" s="211"/>
      <c r="U104" s="211"/>
      <c r="V104" s="211"/>
      <c r="W104" s="214"/>
      <c r="X104" s="211"/>
    </row>
    <row r="105" ht="30" customHeight="1" spans="1:24">
      <c r="A105" s="199">
        <f>MAX($A$3:$A104)+1</f>
        <v>101</v>
      </c>
      <c r="B105" s="213"/>
      <c r="C105" s="219" t="s">
        <v>677</v>
      </c>
      <c r="D105" s="143" t="s">
        <v>43</v>
      </c>
      <c r="E105" s="195">
        <f t="shared" si="8"/>
        <v>779.646017699115</v>
      </c>
      <c r="F105" s="196">
        <v>0.01</v>
      </c>
      <c r="G105" s="216"/>
      <c r="H105" s="136">
        <v>1.13</v>
      </c>
      <c r="I105" s="197">
        <f>I94</f>
        <v>881</v>
      </c>
      <c r="J105" s="197"/>
      <c r="K105" s="198">
        <f ca="1">SUMIF('综合单价分析表 (11#楼)'!D:D,C105,'综合单价分析表 (11#楼)'!K:K)</f>
        <v>0</v>
      </c>
      <c r="L105" s="198">
        <f ca="1">SUMIF('综合单价分析表（商业）'!D:D,C105,'综合单价分析表（商业）'!K:K)</f>
        <v>24.0813896</v>
      </c>
      <c r="M105" s="198"/>
      <c r="T105" s="211"/>
      <c r="U105" s="211"/>
      <c r="V105" s="211"/>
      <c r="W105" s="214"/>
      <c r="X105" s="211"/>
    </row>
    <row r="106" ht="40" customHeight="1" spans="1:24">
      <c r="A106" s="199">
        <f>MAX($A$3:$A105)+1</f>
        <v>102</v>
      </c>
      <c r="B106" s="213"/>
      <c r="C106" s="219" t="s">
        <v>688</v>
      </c>
      <c r="D106" s="143" t="s">
        <v>43</v>
      </c>
      <c r="E106" s="195">
        <f t="shared" si="8"/>
        <v>967.256637168142</v>
      </c>
      <c r="F106" s="196">
        <v>0.01</v>
      </c>
      <c r="G106" s="216"/>
      <c r="H106" s="136">
        <v>1.13</v>
      </c>
      <c r="I106" s="197">
        <f>I92+700</f>
        <v>1093</v>
      </c>
      <c r="J106" s="197"/>
      <c r="K106" s="198">
        <f ca="1">SUMIF('综合单价分析表 (11#楼)'!D:D,C106,'综合单价分析表 (11#楼)'!K:K)</f>
        <v>0</v>
      </c>
      <c r="L106" s="198">
        <f ca="1">SUMIF('综合单价分析表（商业）'!D:D,C106,'综合单价分析表（商业）'!K:K)</f>
        <v>6.05406625</v>
      </c>
      <c r="M106" s="198"/>
      <c r="T106" s="211"/>
      <c r="U106" s="211"/>
      <c r="V106" s="211"/>
      <c r="W106" s="214"/>
      <c r="X106" s="211"/>
    </row>
    <row r="107" ht="39" customHeight="1" spans="1:24">
      <c r="A107" s="199">
        <f>MAX($A$3:$A106)+1</f>
        <v>103</v>
      </c>
      <c r="B107" s="213"/>
      <c r="C107" s="219" t="s">
        <v>689</v>
      </c>
      <c r="D107" s="143" t="s">
        <v>43</v>
      </c>
      <c r="E107" s="195">
        <f t="shared" si="8"/>
        <v>790.265486725664</v>
      </c>
      <c r="F107" s="196">
        <v>0.01</v>
      </c>
      <c r="G107" s="216"/>
      <c r="H107" s="136">
        <v>1.13</v>
      </c>
      <c r="I107" s="197">
        <f>I92+500</f>
        <v>893</v>
      </c>
      <c r="J107" s="197"/>
      <c r="K107" s="198">
        <f ca="1">SUMIF('综合单价分析表 (11#楼)'!D:D,C107,'综合单价分析表 (11#楼)'!K:K)</f>
        <v>0</v>
      </c>
      <c r="L107" s="198">
        <f ca="1">SUMIF('综合单价分析表（商业）'!D:D,C107,'综合单价分析表（商业）'!K:K)</f>
        <v>8.95388735</v>
      </c>
      <c r="M107" s="198"/>
      <c r="T107" s="211"/>
      <c r="U107" s="211"/>
      <c r="V107" s="211"/>
      <c r="W107" s="214"/>
      <c r="X107" s="211"/>
    </row>
    <row r="108" ht="45" customHeight="1" spans="1:24">
      <c r="A108" s="199">
        <f>MAX($A$3:$A107)+1</f>
        <v>104</v>
      </c>
      <c r="B108" s="213"/>
      <c r="C108" s="220" t="s">
        <v>690</v>
      </c>
      <c r="D108" s="143" t="s">
        <v>43</v>
      </c>
      <c r="E108" s="195">
        <f t="shared" si="8"/>
        <v>794.690265486726</v>
      </c>
      <c r="F108" s="196">
        <v>0.01</v>
      </c>
      <c r="G108" s="216"/>
      <c r="H108" s="136">
        <v>1.13</v>
      </c>
      <c r="I108" s="197">
        <f>858+J56</f>
        <v>898</v>
      </c>
      <c r="J108" s="197"/>
      <c r="K108" s="198">
        <f ca="1">SUMIF('综合单价分析表 (11#楼)'!D:D,C108,'综合单价分析表 (11#楼)'!K:K)</f>
        <v>0</v>
      </c>
      <c r="L108" s="198">
        <f ca="1">SUMIF('综合单价分析表（商业）'!D:D,C108,'综合单价分析表（商业）'!K:K)</f>
        <v>41.67765</v>
      </c>
      <c r="M108" s="198"/>
      <c r="T108" s="211"/>
      <c r="U108" s="211"/>
      <c r="V108" s="211"/>
      <c r="W108" s="214"/>
      <c r="X108" s="211"/>
    </row>
    <row r="109" ht="45" customHeight="1" spans="1:24">
      <c r="A109" s="199">
        <f>MAX($A$3:$A108)+1</f>
        <v>105</v>
      </c>
      <c r="B109" s="213"/>
      <c r="C109" s="220" t="s">
        <v>691</v>
      </c>
      <c r="D109" s="143" t="s">
        <v>43</v>
      </c>
      <c r="E109" s="195">
        <f t="shared" si="8"/>
        <v>794.690265486726</v>
      </c>
      <c r="F109" s="196">
        <v>0.01</v>
      </c>
      <c r="G109" s="216"/>
      <c r="H109" s="136">
        <v>1.13</v>
      </c>
      <c r="I109" s="197">
        <f>I108</f>
        <v>898</v>
      </c>
      <c r="J109" s="197"/>
      <c r="K109" s="198">
        <f ca="1">SUMIF('综合单价分析表 (11#楼)'!D:D,C109,'综合单价分析表 (11#楼)'!K:K)</f>
        <v>0</v>
      </c>
      <c r="L109" s="198">
        <f ca="1">SUMIF('综合单价分析表（商业）'!D:D,C109,'综合单价分析表（商业）'!K:K)</f>
        <v>33.99436285</v>
      </c>
      <c r="M109" s="198"/>
      <c r="T109" s="211"/>
      <c r="U109" s="211"/>
      <c r="V109" s="211"/>
      <c r="W109" s="214"/>
      <c r="X109" s="211"/>
    </row>
    <row r="110" ht="46" customHeight="1" spans="1:24">
      <c r="A110" s="199">
        <f>MAX($A$3:$A109)+1</f>
        <v>106</v>
      </c>
      <c r="B110" s="213"/>
      <c r="C110" s="219" t="s">
        <v>692</v>
      </c>
      <c r="D110" s="143" t="s">
        <v>43</v>
      </c>
      <c r="E110" s="195">
        <f t="shared" si="8"/>
        <v>467.256637168142</v>
      </c>
      <c r="F110" s="196">
        <v>0.01</v>
      </c>
      <c r="G110" s="216"/>
      <c r="H110" s="136">
        <v>1.13</v>
      </c>
      <c r="I110" s="197">
        <f>588-100+J56</f>
        <v>528</v>
      </c>
      <c r="J110" s="197"/>
      <c r="K110" s="198">
        <f ca="1">SUMIF('综合单价分析表 (11#楼)'!D:D,C110,'综合单价分析表 (11#楼)'!K:K)</f>
        <v>0</v>
      </c>
      <c r="L110" s="198">
        <f ca="1">SUMIF('综合单价分析表（商业）'!D:D,C110,'综合单价分析表（商业）'!K:K)</f>
        <v>0</v>
      </c>
      <c r="M110" s="198"/>
      <c r="T110" s="211"/>
      <c r="U110" s="211"/>
      <c r="V110" s="211"/>
      <c r="W110" s="214"/>
      <c r="X110" s="211"/>
    </row>
    <row r="111" ht="46" customHeight="1" spans="1:24">
      <c r="A111" s="199">
        <f>MAX($A$3:$A110)+1</f>
        <v>107</v>
      </c>
      <c r="B111" s="213"/>
      <c r="C111" s="220" t="s">
        <v>693</v>
      </c>
      <c r="D111" s="143" t="s">
        <v>43</v>
      </c>
      <c r="E111" s="195">
        <f t="shared" si="8"/>
        <v>1041.59292035398</v>
      </c>
      <c r="F111" s="196">
        <v>0.01</v>
      </c>
      <c r="G111" s="216"/>
      <c r="H111" s="136">
        <v>1.13</v>
      </c>
      <c r="I111" s="197">
        <f>1177</f>
        <v>1177</v>
      </c>
      <c r="J111" s="197"/>
      <c r="K111" s="198">
        <f ca="1">SUMIF('综合单价分析表 (11#楼)'!D:D,C111,'综合单价分析表 (11#楼)'!K:K)</f>
        <v>0</v>
      </c>
      <c r="L111" s="198">
        <f ca="1">SUMIF('综合单价分析表（商业）'!D:D,C111,'综合单价分析表（商业）'!K:K)</f>
        <v>4.5938032</v>
      </c>
      <c r="M111" s="198"/>
      <c r="T111" s="211"/>
      <c r="U111" s="211"/>
      <c r="V111" s="211"/>
      <c r="W111" s="214"/>
      <c r="X111" s="211"/>
    </row>
    <row r="112" ht="36" customHeight="1" spans="1:24">
      <c r="A112" s="199">
        <f>MAX($A$3:$A111)+1</f>
        <v>108</v>
      </c>
      <c r="B112" s="213"/>
      <c r="C112" s="220" t="s">
        <v>694</v>
      </c>
      <c r="D112" s="143" t="s">
        <v>43</v>
      </c>
      <c r="E112" s="195">
        <f t="shared" si="8"/>
        <v>1238.05309734513</v>
      </c>
      <c r="F112" s="196">
        <v>0.01</v>
      </c>
      <c r="G112" s="216"/>
      <c r="H112" s="136">
        <v>1.13</v>
      </c>
      <c r="I112" s="197">
        <f>1399</f>
        <v>1399</v>
      </c>
      <c r="J112" s="197"/>
      <c r="K112" s="198">
        <f ca="1">SUMIF('综合单价分析表 (11#楼)'!D:D,C112,'综合单价分析表 (11#楼)'!K:K)</f>
        <v>0</v>
      </c>
      <c r="L112" s="198">
        <f ca="1">SUMIF('综合单价分析表（商业）'!D:D,C112,'综合单价分析表（商业）'!K:K)</f>
        <v>8.6319044</v>
      </c>
      <c r="M112" s="198"/>
      <c r="T112" s="211"/>
      <c r="U112" s="211"/>
      <c r="V112" s="211"/>
      <c r="W112" s="214"/>
      <c r="X112" s="211"/>
    </row>
    <row r="113" ht="43" customHeight="1" spans="1:24">
      <c r="A113" s="199">
        <f>MAX($A$3:$A112)+1</f>
        <v>109</v>
      </c>
      <c r="B113" s="213"/>
      <c r="C113" s="220" t="s">
        <v>695</v>
      </c>
      <c r="D113" s="143" t="s">
        <v>43</v>
      </c>
      <c r="E113" s="195">
        <f t="shared" si="8"/>
        <v>1041.59292035398</v>
      </c>
      <c r="F113" s="196">
        <v>0.01</v>
      </c>
      <c r="G113" s="216"/>
      <c r="H113" s="136">
        <v>1.13</v>
      </c>
      <c r="I113" s="197">
        <f>I111</f>
        <v>1177</v>
      </c>
      <c r="J113" s="197"/>
      <c r="K113" s="198">
        <f ca="1">SUMIF('综合单价分析表 (11#楼)'!D:D,C113,'综合单价分析表 (11#楼)'!K:K)</f>
        <v>0</v>
      </c>
      <c r="L113" s="198">
        <f ca="1">SUMIF('综合单价分析表（商业）'!D:D,C113,'综合单价分析表（商业）'!K:K)</f>
        <v>1.7057688</v>
      </c>
      <c r="M113" s="198"/>
      <c r="T113" s="211"/>
      <c r="U113" s="211"/>
      <c r="V113" s="211"/>
      <c r="W113" s="214"/>
      <c r="X113" s="211"/>
    </row>
    <row r="114" ht="43" customHeight="1" spans="1:24">
      <c r="A114" s="199">
        <f>MAX($A$3:$A113)+1</f>
        <v>110</v>
      </c>
      <c r="B114" s="213"/>
      <c r="C114" s="220" t="s">
        <v>696</v>
      </c>
      <c r="D114" s="143" t="s">
        <v>43</v>
      </c>
      <c r="E114" s="195">
        <f t="shared" si="8"/>
        <v>1238.05309734513</v>
      </c>
      <c r="F114" s="196">
        <v>0.01</v>
      </c>
      <c r="G114" s="216"/>
      <c r="H114" s="136">
        <v>1.13</v>
      </c>
      <c r="I114" s="197">
        <f>I112</f>
        <v>1399</v>
      </c>
      <c r="J114" s="197"/>
      <c r="K114" s="198">
        <f ca="1">SUMIF('综合单价分析表 (11#楼)'!D:D,C114,'综合单价分析表 (11#楼)'!K:K)</f>
        <v>0</v>
      </c>
      <c r="L114" s="198">
        <f ca="1">SUMIF('综合单价分析表（商业）'!D:D,C114,'综合单价分析表（商业）'!K:K)</f>
        <v>9.6706086</v>
      </c>
      <c r="M114" s="198"/>
      <c r="T114" s="211"/>
      <c r="U114" s="211"/>
      <c r="V114" s="211"/>
      <c r="W114" s="214"/>
      <c r="X114" s="211"/>
    </row>
    <row r="115" ht="43" customHeight="1" spans="1:24">
      <c r="A115" s="199">
        <f>MAX($A$3:$A114)+1</f>
        <v>111</v>
      </c>
      <c r="B115" s="213"/>
      <c r="C115" s="219" t="s">
        <v>697</v>
      </c>
      <c r="D115" s="143" t="s">
        <v>43</v>
      </c>
      <c r="E115" s="195">
        <f t="shared" si="8"/>
        <v>1211.50442477876</v>
      </c>
      <c r="F115" s="196">
        <v>0.01</v>
      </c>
      <c r="G115" s="216"/>
      <c r="H115" s="136">
        <v>1.13</v>
      </c>
      <c r="I115" s="197">
        <f>I114-30</f>
        <v>1369</v>
      </c>
      <c r="J115" s="197"/>
      <c r="K115" s="198">
        <f ca="1">SUMIF('综合单价分析表 (11#楼)'!D:D,C115,'综合单价分析表 (11#楼)'!K:K)</f>
        <v>0</v>
      </c>
      <c r="L115" s="198">
        <f ca="1">SUMIF('综合单价分析表（商业）'!D:D,C115,'综合单价分析表（商业）'!K:K)</f>
        <v>8.6319044</v>
      </c>
      <c r="M115" s="198"/>
      <c r="T115" s="211"/>
      <c r="U115" s="211"/>
      <c r="V115" s="211"/>
      <c r="W115" s="214"/>
      <c r="X115" s="211"/>
    </row>
    <row r="116" customHeight="1" spans="1:24">
      <c r="A116" s="199">
        <f>MAX($A$3:$A115)+1</f>
        <v>112</v>
      </c>
      <c r="B116" s="213"/>
      <c r="C116" s="220" t="s">
        <v>698</v>
      </c>
      <c r="D116" s="143" t="s">
        <v>43</v>
      </c>
      <c r="E116" s="195">
        <f t="shared" si="8"/>
        <v>130.973451327434</v>
      </c>
      <c r="F116" s="196">
        <v>0.01</v>
      </c>
      <c r="G116" s="216"/>
      <c r="H116" s="136">
        <v>1.13</v>
      </c>
      <c r="I116" s="197">
        <v>148</v>
      </c>
      <c r="J116" s="197"/>
      <c r="K116" s="198">
        <f ca="1">SUMIF('综合单价分析表 (11#楼)'!D:D,C116,'综合单价分析表 (11#楼)'!K:K)</f>
        <v>0</v>
      </c>
      <c r="L116" s="198">
        <f ca="1">SUMIF('综合单价分析表（商业）'!D:D,C116,'综合单价分析表（商业）'!K:K)</f>
        <v>275.40374475</v>
      </c>
      <c r="M116" s="198"/>
      <c r="T116" s="211"/>
      <c r="U116" s="211"/>
      <c r="V116" s="211"/>
      <c r="W116" s="214"/>
      <c r="X116" s="211"/>
    </row>
    <row r="117" customHeight="1" spans="1:24">
      <c r="A117" s="199">
        <f>MAX($A$3:$A116)+1</f>
        <v>113</v>
      </c>
      <c r="B117" s="213"/>
      <c r="C117" s="221" t="s">
        <v>595</v>
      </c>
      <c r="D117" s="143" t="s">
        <v>43</v>
      </c>
      <c r="E117" s="195">
        <v>176.991150442478</v>
      </c>
      <c r="F117" s="196">
        <v>0.01</v>
      </c>
      <c r="G117" s="216"/>
      <c r="H117" s="136">
        <v>1.13</v>
      </c>
      <c r="I117" s="197">
        <f>121</f>
        <v>121</v>
      </c>
      <c r="J117" s="197"/>
      <c r="K117" s="198">
        <f ca="1">SUMIF('综合单价分析表 (11#楼)'!D:D,C117,'综合单价分析表 (11#楼)'!K:K)</f>
        <v>111.845784</v>
      </c>
      <c r="L117" s="198">
        <f ca="1">SUMIF('综合单价分析表（商业）'!D:D,C117,'综合单价分析表（商业）'!K:K)</f>
        <v>101.963136</v>
      </c>
      <c r="M117" s="198"/>
      <c r="T117" s="211"/>
      <c r="U117" s="211"/>
      <c r="V117" s="211"/>
      <c r="W117" s="214"/>
      <c r="X117" s="211"/>
    </row>
    <row r="118" customHeight="1" spans="1:24">
      <c r="A118" s="199">
        <f>MAX($A$3:$A117)+1</f>
        <v>114</v>
      </c>
      <c r="B118" s="213"/>
      <c r="C118" s="221" t="s">
        <v>596</v>
      </c>
      <c r="D118" s="143" t="s">
        <v>43</v>
      </c>
      <c r="E118" s="195">
        <v>176.991150442478</v>
      </c>
      <c r="F118" s="196">
        <v>0.01</v>
      </c>
      <c r="G118" s="216"/>
      <c r="H118" s="136">
        <v>1.13</v>
      </c>
      <c r="I118" s="197">
        <v>858</v>
      </c>
      <c r="J118" s="197"/>
      <c r="K118" s="198">
        <f ca="1">SUMIF('综合单价分析表 (11#楼)'!D:D,C118,'综合单价分析表 (11#楼)'!K:K)</f>
        <v>10.275336</v>
      </c>
      <c r="L118" s="198">
        <f ca="1">SUMIF('综合单价分析表（商业）'!D:D,C118,'综合单价分析表（商业）'!K:K)</f>
        <v>10.546824</v>
      </c>
      <c r="M118" s="198"/>
      <c r="T118" s="211"/>
      <c r="U118" s="211"/>
      <c r="V118" s="211"/>
      <c r="W118" s="214"/>
      <c r="X118" s="211"/>
    </row>
    <row r="119" customHeight="1" spans="1:24">
      <c r="A119" s="199">
        <f>MAX($A$3:$A118)+1</f>
        <v>115</v>
      </c>
      <c r="B119" s="213"/>
      <c r="C119" s="222" t="s">
        <v>599</v>
      </c>
      <c r="D119" s="143" t="s">
        <v>43</v>
      </c>
      <c r="E119" s="195">
        <f>+I119/H119</f>
        <v>353.982300884956</v>
      </c>
      <c r="F119" s="196">
        <v>0.01</v>
      </c>
      <c r="G119" s="143"/>
      <c r="H119" s="136">
        <v>1.13</v>
      </c>
      <c r="I119" s="197">
        <v>400</v>
      </c>
      <c r="J119" s="197"/>
      <c r="K119" s="198">
        <f ca="1">SUMIF('综合单价分析表 (11#楼)'!D:D,C119,'综合单价分析表 (11#楼)'!K:K)</f>
        <v>18.81333363</v>
      </c>
      <c r="L119" s="198">
        <f ca="1">SUMIF('综合单价分析表（商业）'!D:D,C119,'综合单价分析表（商业）'!K:K)</f>
        <v>0</v>
      </c>
      <c r="M119" s="198"/>
      <c r="T119" s="211"/>
      <c r="U119" s="211"/>
      <c r="V119" s="211"/>
      <c r="W119" s="214"/>
      <c r="X119" s="211"/>
    </row>
    <row r="120" customHeight="1" spans="1:24">
      <c r="A120" s="199">
        <f>MAX($A$3:$A119)+1</f>
        <v>116</v>
      </c>
      <c r="B120" s="213"/>
      <c r="C120" s="131" t="s">
        <v>581</v>
      </c>
      <c r="D120" s="143" t="s">
        <v>43</v>
      </c>
      <c r="E120" s="195">
        <f>+I120/H120</f>
        <v>323.893805309735</v>
      </c>
      <c r="F120" s="196">
        <v>0.01</v>
      </c>
      <c r="G120" s="143"/>
      <c r="H120" s="136">
        <v>1.13</v>
      </c>
      <c r="I120" s="197">
        <f>366</f>
        <v>366</v>
      </c>
      <c r="J120" s="197"/>
      <c r="K120" s="198">
        <f ca="1">SUMIF('综合单价分析表 (11#楼)'!D:D,C120,'综合单价分析表 (11#楼)'!K:K)</f>
        <v>43.5209</v>
      </c>
      <c r="L120" s="198">
        <f ca="1">SUMIF('综合单价分析表（商业）'!D:D,C120,'综合单价分析表（商业）'!K:K)</f>
        <v>0</v>
      </c>
      <c r="M120" s="198"/>
      <c r="T120" s="211"/>
      <c r="U120" s="211"/>
      <c r="V120" s="211"/>
      <c r="W120" s="214"/>
      <c r="X120" s="211"/>
    </row>
    <row r="121" customHeight="1" spans="1:24">
      <c r="A121" s="199">
        <f>MAX($A$3:$A120)+1</f>
        <v>117</v>
      </c>
      <c r="B121" s="213"/>
      <c r="C121" s="131" t="s">
        <v>577</v>
      </c>
      <c r="D121" s="143" t="s">
        <v>43</v>
      </c>
      <c r="E121" s="195">
        <f t="shared" ref="E121:E134" si="9">+I121/H121</f>
        <v>130.973451327434</v>
      </c>
      <c r="F121" s="196">
        <v>0.01</v>
      </c>
      <c r="G121" s="143"/>
      <c r="H121" s="136">
        <v>1.13</v>
      </c>
      <c r="I121" s="197">
        <f>I116</f>
        <v>148</v>
      </c>
      <c r="J121" s="197"/>
      <c r="K121" s="198">
        <f ca="1">SUMIF('综合单价分析表 (11#楼)'!D:D,C121,'综合单价分析表 (11#楼)'!K:K)</f>
        <v>56.5095</v>
      </c>
      <c r="L121" s="198">
        <f ca="1">SUMIF('综合单价分析表（商业）'!D:D,C121,'综合单价分析表（商业）'!K:K)</f>
        <v>0</v>
      </c>
      <c r="M121" s="198"/>
      <c r="T121" s="211">
        <v>5</v>
      </c>
      <c r="U121" s="211" t="s">
        <v>699</v>
      </c>
      <c r="V121" s="211"/>
      <c r="W121" s="211"/>
      <c r="X121" s="211"/>
    </row>
    <row r="122" ht="25" customHeight="1" spans="1:24">
      <c r="A122" s="199">
        <f>MAX($A$3:$A121)+1</f>
        <v>118</v>
      </c>
      <c r="B122" s="143" t="s">
        <v>700</v>
      </c>
      <c r="C122" s="131" t="s">
        <v>404</v>
      </c>
      <c r="D122" s="143" t="s">
        <v>701</v>
      </c>
      <c r="E122" s="195">
        <f t="shared" si="9"/>
        <v>25.6725663716814</v>
      </c>
      <c r="F122" s="196">
        <v>0.03</v>
      </c>
      <c r="G122" s="143"/>
      <c r="H122" s="136">
        <v>1.13</v>
      </c>
      <c r="I122" s="136">
        <f t="shared" ref="I122:I127" si="10">$J$122+N122</f>
        <v>29.01</v>
      </c>
      <c r="J122" s="136">
        <v>24.41</v>
      </c>
      <c r="K122" s="198">
        <f ca="1">SUMIF('综合单价分析表 (11#楼)'!D:D,C122,'综合单价分析表 (11#楼)'!K:K)</f>
        <v>250.0944854</v>
      </c>
      <c r="L122" s="198">
        <f ca="1">SUMIF('综合单价分析表（商业）'!D:D,C122,'综合单价分析表（商业）'!K:K)</f>
        <v>2583.86179046782</v>
      </c>
      <c r="M122" s="198"/>
      <c r="N122">
        <v>4.6</v>
      </c>
      <c r="O122" s="136" t="s">
        <v>702</v>
      </c>
      <c r="T122" s="211">
        <v>8</v>
      </c>
      <c r="U122" s="211" t="s">
        <v>703</v>
      </c>
      <c r="V122" s="211"/>
      <c r="W122" s="211"/>
      <c r="X122" s="211"/>
    </row>
    <row r="123" customHeight="1" spans="1:24">
      <c r="A123" s="199">
        <f>MAX($A$3:$A122)+1</f>
        <v>119</v>
      </c>
      <c r="B123" s="143"/>
      <c r="C123" s="131" t="s">
        <v>427</v>
      </c>
      <c r="D123" s="143" t="s">
        <v>701</v>
      </c>
      <c r="E123" s="195">
        <f t="shared" si="9"/>
        <v>25.8495575221239</v>
      </c>
      <c r="F123" s="196">
        <v>0.03</v>
      </c>
      <c r="G123" s="143"/>
      <c r="H123" s="136">
        <v>1.13</v>
      </c>
      <c r="I123" s="136">
        <f t="shared" si="10"/>
        <v>29.21</v>
      </c>
      <c r="K123" s="198">
        <f ca="1">SUMIF('综合单价分析表 (11#楼)'!D:D,C123,'综合单价分析表 (11#楼)'!K:K)</f>
        <v>26.3209496</v>
      </c>
      <c r="L123" s="198">
        <f ca="1">SUMIF('综合单价分析表（商业）'!D:D,C123,'综合单价分析表（商业）'!K:K)</f>
        <v>2867.47057895696</v>
      </c>
      <c r="M123" s="198"/>
      <c r="N123">
        <v>4.8</v>
      </c>
      <c r="T123" s="211">
        <v>5</v>
      </c>
      <c r="U123" s="211" t="s">
        <v>704</v>
      </c>
      <c r="V123" s="211"/>
      <c r="W123" s="211"/>
      <c r="X123" s="211"/>
    </row>
    <row r="124" customHeight="1" spans="1:24">
      <c r="A124" s="199">
        <f>MAX($A$3:$A123)+1</f>
        <v>120</v>
      </c>
      <c r="B124" s="143"/>
      <c r="C124" s="131" t="s">
        <v>429</v>
      </c>
      <c r="D124" s="143" t="s">
        <v>701</v>
      </c>
      <c r="E124" s="195">
        <f t="shared" si="9"/>
        <v>26.1150442477876</v>
      </c>
      <c r="F124" s="196">
        <v>0.03</v>
      </c>
      <c r="G124" s="143"/>
      <c r="H124" s="136">
        <v>1.13</v>
      </c>
      <c r="I124" s="136">
        <f t="shared" si="10"/>
        <v>29.51</v>
      </c>
      <c r="K124" s="198">
        <f ca="1">SUMIF('综合单价分析表 (11#楼)'!D:D,C124,'综合单价分析表 (11#楼)'!K:K)</f>
        <v>16.5086752</v>
      </c>
      <c r="L124" s="198">
        <f ca="1">SUMIF('综合单价分析表（商业）'!D:D,C124,'综合单价分析表（商业）'!K:K)</f>
        <v>1759.79590240413</v>
      </c>
      <c r="M124" s="198"/>
      <c r="N124">
        <v>5.1</v>
      </c>
      <c r="T124" s="211">
        <v>10</v>
      </c>
      <c r="U124" s="211" t="s">
        <v>705</v>
      </c>
      <c r="X124" s="211"/>
    </row>
    <row r="125" customHeight="1" spans="1:24">
      <c r="A125" s="199">
        <f>MAX($A$3:$A124)+1</f>
        <v>121</v>
      </c>
      <c r="B125" s="143"/>
      <c r="C125" s="131" t="s">
        <v>433</v>
      </c>
      <c r="D125" s="143" t="s">
        <v>701</v>
      </c>
      <c r="E125" s="195">
        <f t="shared" si="9"/>
        <v>26.1150442477876</v>
      </c>
      <c r="F125" s="196">
        <v>0.03</v>
      </c>
      <c r="G125" s="143"/>
      <c r="H125" s="136">
        <v>1.13</v>
      </c>
      <c r="I125" s="136">
        <f t="shared" si="10"/>
        <v>29.51</v>
      </c>
      <c r="K125" s="198">
        <f ca="1">SUMIF('综合单价分析表 (11#楼)'!D:D,C125,'综合单价分析表 (11#楼)'!K:K)</f>
        <v>6051.84233735265</v>
      </c>
      <c r="L125" s="198">
        <f ca="1">SUMIF('综合单价分析表（商业）'!D:D,C125,'综合单价分析表（商业）'!K:K)</f>
        <v>7337.03440125771</v>
      </c>
      <c r="M125" s="198"/>
      <c r="N125">
        <v>5.1</v>
      </c>
      <c r="T125" s="211">
        <v>10</v>
      </c>
      <c r="U125" s="211" t="s">
        <v>706</v>
      </c>
      <c r="X125" s="223"/>
    </row>
    <row r="126" customHeight="1" spans="1:24">
      <c r="A126" s="199">
        <f>MAX($A$3:$A125)+1</f>
        <v>122</v>
      </c>
      <c r="B126" s="143"/>
      <c r="C126" s="131" t="s">
        <v>430</v>
      </c>
      <c r="D126" s="143" t="s">
        <v>701</v>
      </c>
      <c r="E126" s="195">
        <f t="shared" si="9"/>
        <v>24.6106194690265</v>
      </c>
      <c r="F126" s="196">
        <v>0.03</v>
      </c>
      <c r="G126" s="143"/>
      <c r="H126" s="136">
        <v>1.13</v>
      </c>
      <c r="I126" s="136">
        <f t="shared" si="10"/>
        <v>27.81</v>
      </c>
      <c r="K126" s="198">
        <f ca="1">SUMIF('综合单价分析表 (11#楼)'!D:D,C126,'综合单价分析表 (11#楼)'!K:K)</f>
        <v>434.331018</v>
      </c>
      <c r="L126" s="198">
        <f ca="1">SUMIF('综合单价分析表（商业）'!D:D,C126,'综合单价分析表（商业）'!K:K)</f>
        <v>400.1483565</v>
      </c>
      <c r="M126" s="198"/>
      <c r="N126">
        <v>3.4</v>
      </c>
      <c r="T126" s="211"/>
      <c r="U126" s="211"/>
      <c r="X126" s="223"/>
    </row>
    <row r="127" customHeight="1" spans="1:24">
      <c r="A127" s="199">
        <f>MAX($A$3:$A126)+1</f>
        <v>123</v>
      </c>
      <c r="B127" s="143"/>
      <c r="C127" s="131" t="s">
        <v>447</v>
      </c>
      <c r="D127" s="143" t="s">
        <v>701</v>
      </c>
      <c r="E127" s="195">
        <f t="shared" si="9"/>
        <v>24.4336283185841</v>
      </c>
      <c r="F127" s="196">
        <v>0.03</v>
      </c>
      <c r="G127" s="143"/>
      <c r="H127" s="136">
        <v>1.13</v>
      </c>
      <c r="I127" s="136">
        <f t="shared" si="10"/>
        <v>27.61</v>
      </c>
      <c r="K127" s="198">
        <f ca="1">SUMIF('综合单价分析表 (11#楼)'!D:D,C127,'综合单价分析表 (11#楼)'!K:K)</f>
        <v>1072.03309869096</v>
      </c>
      <c r="L127" s="198">
        <f ca="1">SUMIF('综合单价分析表（商业）'!D:D,C127,'综合单价分析表（商业）'!K:K)</f>
        <v>9642.46297518551</v>
      </c>
      <c r="M127" s="198"/>
      <c r="N127">
        <v>3.2</v>
      </c>
      <c r="T127" s="211"/>
      <c r="U127" s="211"/>
      <c r="X127" s="223"/>
    </row>
    <row r="128" customHeight="1" spans="1:24">
      <c r="A128" s="199">
        <f>MAX($A$3:$A127)+1</f>
        <v>124</v>
      </c>
      <c r="B128" s="143"/>
      <c r="C128" s="131" t="s">
        <v>434</v>
      </c>
      <c r="D128" s="143" t="s">
        <v>43</v>
      </c>
      <c r="E128" s="195">
        <f t="shared" si="9"/>
        <v>49.5575221238938</v>
      </c>
      <c r="F128" s="196">
        <v>0</v>
      </c>
      <c r="G128" s="143"/>
      <c r="H128" s="136">
        <v>1.13</v>
      </c>
      <c r="I128" s="136">
        <v>56</v>
      </c>
      <c r="K128" s="198">
        <f ca="1">SUMIF('综合单价分析表 (11#楼)'!D:D,C128,'综合单价分析表 (11#楼)'!K:K)</f>
        <v>305.179368721743</v>
      </c>
      <c r="L128" s="198">
        <f ca="1">SUMIF('综合单价分析表（商业）'!D:D,C128,'综合单价分析表（商业）'!K:K)</f>
        <v>1580.37055743493</v>
      </c>
      <c r="M128" s="198"/>
      <c r="N128">
        <v>56</v>
      </c>
      <c r="O128" s="136">
        <v>10</v>
      </c>
      <c r="P128" s="197"/>
    </row>
    <row r="129" customHeight="1" spans="1:16">
      <c r="A129" s="199">
        <f>MAX($A$3:$A128)+1</f>
        <v>125</v>
      </c>
      <c r="B129" s="224"/>
      <c r="C129" s="131" t="s">
        <v>707</v>
      </c>
      <c r="D129" s="143" t="s">
        <v>43</v>
      </c>
      <c r="E129" s="195">
        <f t="shared" si="9"/>
        <v>8.8495575221239</v>
      </c>
      <c r="F129" s="196">
        <v>0</v>
      </c>
      <c r="G129" s="143"/>
      <c r="H129" s="136">
        <v>1.13</v>
      </c>
      <c r="I129" s="136">
        <v>10</v>
      </c>
      <c r="K129" s="198">
        <f ca="1">SUMIF('综合单价分析表 (11#楼)'!D:D,C129,'综合单价分析表 (11#楼)'!K:K)</f>
        <v>0</v>
      </c>
      <c r="L129" s="198">
        <f ca="1">SUMIF('综合单价分析表（商业）'!D:D,C129,'综合单价分析表（商业）'!K:K)</f>
        <v>308.150286655684</v>
      </c>
      <c r="M129" s="198"/>
      <c r="P129" s="197"/>
    </row>
    <row r="130" customHeight="1" spans="1:16">
      <c r="A130" s="199">
        <f>MAX($A$3:$A129)+1</f>
        <v>126</v>
      </c>
      <c r="B130" s="224"/>
      <c r="C130" s="131" t="s">
        <v>428</v>
      </c>
      <c r="D130" s="143" t="s">
        <v>708</v>
      </c>
      <c r="E130" s="195">
        <f t="shared" si="9"/>
        <v>5.30973451327434</v>
      </c>
      <c r="F130" s="196">
        <v>0</v>
      </c>
      <c r="G130" s="143"/>
      <c r="H130" s="136">
        <v>1.13</v>
      </c>
      <c r="I130" s="136">
        <v>6</v>
      </c>
      <c r="K130" s="198">
        <f ca="1">SUMIF('综合单价分析表 (11#楼)'!D:D,C130,'综合单价分析表 (11#楼)'!K:K)</f>
        <v>181.18</v>
      </c>
      <c r="L130" s="198">
        <f ca="1">SUMIF('综合单价分析表（商业）'!D:D,C130,'综合单价分析表（商业）'!K:K)</f>
        <v>0</v>
      </c>
      <c r="M130" s="198"/>
      <c r="P130" s="197"/>
    </row>
    <row r="131" customHeight="1" spans="1:16">
      <c r="A131" s="199">
        <f>MAX($A$3:$A130)+1</f>
        <v>127</v>
      </c>
      <c r="B131" s="224" t="s">
        <v>709</v>
      </c>
      <c r="C131" s="131" t="s">
        <v>461</v>
      </c>
      <c r="D131" s="143" t="s">
        <v>701</v>
      </c>
      <c r="E131" s="195">
        <f t="shared" si="9"/>
        <v>3.53982300884956</v>
      </c>
      <c r="F131" s="196">
        <v>0.03</v>
      </c>
      <c r="G131" s="143"/>
      <c r="H131" s="136">
        <v>1.13</v>
      </c>
      <c r="I131" s="197">
        <v>4</v>
      </c>
      <c r="J131" s="197"/>
      <c r="K131" s="198">
        <f ca="1">SUMIF('综合单价分析表 (11#楼)'!D:D,C131,'综合单价分析表 (11#楼)'!K:K)</f>
        <v>12679.1525200175</v>
      </c>
      <c r="L131" s="198">
        <f ca="1">SUMIF('综合单价分析表（商业）'!D:D,C131,'综合单价分析表（商业）'!K:K)</f>
        <v>13025.6188036571</v>
      </c>
      <c r="M131" s="198"/>
    </row>
    <row r="132" customHeight="1" spans="1:16">
      <c r="A132" s="199">
        <f>MAX($A$3:$A131)+1</f>
        <v>128</v>
      </c>
      <c r="B132" s="213"/>
      <c r="C132" s="131" t="s">
        <v>431</v>
      </c>
      <c r="D132" s="143" t="s">
        <v>701</v>
      </c>
      <c r="E132" s="195">
        <f t="shared" si="9"/>
        <v>3.80530973451327</v>
      </c>
      <c r="F132" s="196">
        <v>0.03</v>
      </c>
      <c r="G132" s="143"/>
      <c r="H132" s="136">
        <v>1.13</v>
      </c>
      <c r="I132" s="197">
        <v>4.3</v>
      </c>
      <c r="J132" s="197"/>
      <c r="K132" s="198">
        <f ca="1">SUMIF('综合单价分析表 (11#楼)'!D:D,C132,'综合单价分析表 (11#楼)'!K:K)</f>
        <v>37025.9412059633</v>
      </c>
      <c r="L132" s="198">
        <f ca="1">SUMIF('综合单价分析表（商业）'!D:D,C132,'综合单价分析表（商业）'!K:K)</f>
        <v>84572.1802906253</v>
      </c>
      <c r="M132" s="198"/>
    </row>
    <row r="133" customHeight="1" spans="1:16">
      <c r="A133" s="199">
        <f>MAX($A$3:$A132)+1</f>
        <v>129</v>
      </c>
      <c r="B133" s="213"/>
      <c r="C133" s="131" t="s">
        <v>479</v>
      </c>
      <c r="D133" s="143" t="s">
        <v>701</v>
      </c>
      <c r="E133" s="195">
        <f t="shared" si="9"/>
        <v>14.1592920353982</v>
      </c>
      <c r="F133" s="196">
        <v>0.03</v>
      </c>
      <c r="G133" s="143"/>
      <c r="H133" s="136">
        <v>1.13</v>
      </c>
      <c r="I133" s="197">
        <v>16</v>
      </c>
      <c r="J133" s="197"/>
      <c r="K133" s="198">
        <f ca="1">SUMIF('综合单价分析表 (11#楼)'!D:D,C133,'综合单价分析表 (11#楼)'!K:K)</f>
        <v>2961.15854034309</v>
      </c>
      <c r="L133" s="198">
        <f ca="1">SUMIF('综合单价分析表（商业）'!D:D,C133,'综合单价分析表（商业）'!K:K)</f>
        <v>3412.06276620636</v>
      </c>
      <c r="M133" s="198"/>
    </row>
    <row r="134" customHeight="1" spans="1:16">
      <c r="A134" s="199">
        <f>MAX($A$3:$A133)+1</f>
        <v>130</v>
      </c>
      <c r="B134" s="213"/>
      <c r="C134" s="131" t="s">
        <v>586</v>
      </c>
      <c r="D134" s="143" t="s">
        <v>701</v>
      </c>
      <c r="E134" s="195">
        <f t="shared" si="9"/>
        <v>13.2743362831858</v>
      </c>
      <c r="F134" s="196">
        <v>0.03</v>
      </c>
      <c r="G134" s="143"/>
      <c r="H134" s="136">
        <v>1.13</v>
      </c>
      <c r="I134" s="197">
        <v>15</v>
      </c>
      <c r="J134" s="197"/>
      <c r="K134" s="198">
        <f ca="1">SUMIF('综合单价分析表 (11#楼)'!D:D,C134,'综合单价分析表 (11#楼)'!K:K)</f>
        <v>1545.22390890174</v>
      </c>
      <c r="L134" s="198">
        <f ca="1">SUMIF('综合单价分析表（商业）'!D:D,C134,'综合单价分析表（商业）'!K:K)</f>
        <v>1423.61190416185</v>
      </c>
      <c r="M134" s="198"/>
    </row>
    <row r="135" customHeight="1" spans="1:16">
      <c r="A135" s="199">
        <f>MAX($A$3:$A134)+1</f>
        <v>131</v>
      </c>
      <c r="B135" s="213"/>
      <c r="C135" s="131" t="s">
        <v>463</v>
      </c>
      <c r="D135" s="143" t="s">
        <v>701</v>
      </c>
      <c r="E135" s="195">
        <f t="shared" ref="E135:E139" si="11">+I135/H135</f>
        <v>6.01769911504425</v>
      </c>
      <c r="F135" s="196">
        <v>0.03</v>
      </c>
      <c r="G135" s="143"/>
      <c r="H135" s="136">
        <v>1.13</v>
      </c>
      <c r="I135" s="197">
        <v>6.8</v>
      </c>
      <c r="J135" s="197"/>
      <c r="K135" s="198">
        <f ca="1">SUMIF('综合单价分析表 (11#楼)'!D:D,C135,'综合单价分析表 (11#楼)'!K:K)</f>
        <v>4241.76057357177</v>
      </c>
      <c r="L135" s="198">
        <f ca="1">SUMIF('综合单价分析表（商业）'!D:D,C135,'综合单价分析表（商业）'!K:K)</f>
        <v>15872.8712384914</v>
      </c>
      <c r="M135" s="198"/>
    </row>
    <row r="136" customHeight="1" spans="1:16">
      <c r="A136" s="199">
        <f>MAX($A$3:$A135)+1</f>
        <v>132</v>
      </c>
      <c r="B136" s="213"/>
      <c r="C136" s="131" t="s">
        <v>465</v>
      </c>
      <c r="D136" s="143" t="s">
        <v>701</v>
      </c>
      <c r="E136" s="195">
        <f t="shared" si="11"/>
        <v>6.01769911504425</v>
      </c>
      <c r="F136" s="196">
        <v>0.03</v>
      </c>
      <c r="G136" s="143"/>
      <c r="H136" s="136">
        <v>1.13</v>
      </c>
      <c r="I136" s="197">
        <v>6.8</v>
      </c>
      <c r="J136" s="197"/>
      <c r="K136" s="198">
        <f ca="1">SUMIF('综合单价分析表 (11#楼)'!D:D,C136,'综合单价分析表 (11#楼)'!K:K)</f>
        <v>3342.36662750435</v>
      </c>
      <c r="L136" s="198">
        <f ca="1">SUMIF('综合单价分析表（商业）'!D:D,C136,'综合单价分析表（商业）'!K:K)</f>
        <v>10717.3612757638</v>
      </c>
      <c r="M136" s="198"/>
      <c r="P136" s="197"/>
    </row>
    <row r="137" customHeight="1" spans="1:16">
      <c r="A137" s="199">
        <f>MAX($A$3:$A136)+1</f>
        <v>133</v>
      </c>
      <c r="B137" s="213"/>
      <c r="C137" s="131" t="s">
        <v>710</v>
      </c>
      <c r="D137" s="143" t="s">
        <v>701</v>
      </c>
      <c r="E137" s="195">
        <f t="shared" si="11"/>
        <v>8.8495575221239</v>
      </c>
      <c r="F137" s="196">
        <v>0.03</v>
      </c>
      <c r="G137" s="143"/>
      <c r="H137" s="136">
        <v>1.13</v>
      </c>
      <c r="I137" s="197">
        <v>10</v>
      </c>
      <c r="J137" s="197"/>
      <c r="K137" s="198">
        <f ca="1">SUMIF('综合单价分析表 (11#楼)'!D:D,C137,'综合单价分析表 (11#楼)'!K:K)</f>
        <v>0</v>
      </c>
      <c r="L137" s="198">
        <f ca="1">SUMIF('综合单价分析表（商业）'!D:D,C137,'综合单价分析表（商业）'!K:K)</f>
        <v>29181.8355623144</v>
      </c>
      <c r="M137" s="198"/>
      <c r="P137" s="197"/>
    </row>
    <row r="138" customHeight="1" spans="1:16">
      <c r="A138" s="199">
        <f>MAX($A$3:$A137)+1</f>
        <v>134</v>
      </c>
      <c r="B138" s="213"/>
      <c r="C138" s="131" t="s">
        <v>711</v>
      </c>
      <c r="D138" s="143" t="s">
        <v>43</v>
      </c>
      <c r="E138" s="195">
        <f t="shared" si="11"/>
        <v>265.486725663717</v>
      </c>
      <c r="F138" s="196">
        <v>0</v>
      </c>
      <c r="G138" s="143"/>
      <c r="H138" s="136">
        <v>1.13</v>
      </c>
      <c r="I138" s="136">
        <v>300</v>
      </c>
      <c r="J138" s="197"/>
      <c r="K138" s="198">
        <f ca="1">SUMIF('综合单价分析表 (11#楼)'!D:D,C138,'综合单价分析表 (11#楼)'!K:K)</f>
        <v>0</v>
      </c>
      <c r="L138" s="198">
        <f ca="1">SUMIF('综合单价分析表（商业）'!D:D,C138,'综合单价分析表（商业）'!K:K)</f>
        <v>357.04760544</v>
      </c>
      <c r="M138" s="198"/>
      <c r="P138" s="197"/>
    </row>
    <row r="139" customHeight="1" spans="1:16">
      <c r="A139" s="199">
        <f>MAX($A$3:$A138)+1</f>
        <v>135</v>
      </c>
      <c r="B139" s="213"/>
      <c r="C139" s="131" t="s">
        <v>712</v>
      </c>
      <c r="D139" s="143" t="s">
        <v>43</v>
      </c>
      <c r="E139" s="195">
        <f t="shared" si="11"/>
        <v>265.486725663717</v>
      </c>
      <c r="F139" s="196">
        <v>0</v>
      </c>
      <c r="G139" s="143"/>
      <c r="H139" s="136">
        <v>1.13</v>
      </c>
      <c r="I139" s="136">
        <v>300</v>
      </c>
      <c r="J139" s="197"/>
      <c r="K139" s="198">
        <f ca="1">SUMIF('综合单价分析表 (11#楼)'!D:D,C139,'综合单价分析表 (11#楼)'!K:K)</f>
        <v>0</v>
      </c>
      <c r="L139" s="198">
        <f ca="1">SUMIF('综合单价分析表（商业）'!D:D,C139,'综合单价分析表（商业）'!K:K)</f>
        <v>57.31843488</v>
      </c>
      <c r="M139" s="198"/>
      <c r="P139" s="197"/>
    </row>
    <row r="140" customHeight="1" spans="1:16">
      <c r="A140" s="199">
        <f>MAX($A$3:$A139)+1</f>
        <v>136</v>
      </c>
      <c r="B140" s="213"/>
      <c r="C140" s="131"/>
      <c r="D140" s="143"/>
      <c r="E140" s="195"/>
      <c r="F140" s="196"/>
      <c r="G140" s="143"/>
      <c r="I140" s="197"/>
      <c r="J140" s="197"/>
      <c r="K140" s="198">
        <f ca="1">SUMIF('综合单价分析表 (11#楼)'!D:D,C140,'综合单价分析表 (11#楼)'!K:K)</f>
        <v>0</v>
      </c>
      <c r="L140" s="198">
        <f ca="1">SUMIF('综合单价分析表（商业）'!D:D,C140,'综合单价分析表（商业）'!K:K)</f>
        <v>0</v>
      </c>
      <c r="M140" s="198"/>
      <c r="P140" s="197"/>
    </row>
    <row r="141" customHeight="1" spans="1:16">
      <c r="A141" s="199">
        <f>MAX($A$3:$A140)+1</f>
        <v>137</v>
      </c>
      <c r="B141" s="225"/>
      <c r="C141" s="131"/>
      <c r="D141" s="143"/>
      <c r="E141" s="195"/>
      <c r="F141" s="196"/>
      <c r="G141" s="143"/>
      <c r="I141" s="197"/>
      <c r="J141" s="197"/>
      <c r="K141" s="198">
        <f ca="1">SUMIF('综合单价分析表 (11#楼)'!D:D,C141,'综合单价分析表 (11#楼)'!K:K)</f>
        <v>0</v>
      </c>
      <c r="L141" s="198">
        <f ca="1">SUMIF('综合单价分析表（商业）'!D:D,C141,'综合单价分析表（商业）'!K:K)</f>
        <v>0</v>
      </c>
      <c r="M141" s="198"/>
      <c r="P141" s="197"/>
    </row>
    <row r="142" customHeight="1" spans="1:16">
      <c r="A142" s="199">
        <f>MAX($A$3:$A141)+1</f>
        <v>138</v>
      </c>
      <c r="B142" s="224" t="s">
        <v>357</v>
      </c>
      <c r="C142" s="131" t="s">
        <v>475</v>
      </c>
      <c r="D142" s="143" t="s">
        <v>43</v>
      </c>
      <c r="E142" s="195">
        <f t="shared" ref="E142:E151" si="12">+I142/H142</f>
        <v>44.2477876106195</v>
      </c>
      <c r="F142" s="196">
        <v>0.01</v>
      </c>
      <c r="G142" s="143"/>
      <c r="H142" s="136">
        <v>1.13</v>
      </c>
      <c r="I142" s="136">
        <v>50</v>
      </c>
      <c r="K142" s="198">
        <f ca="1">SUMIF('综合单价分析表 (11#楼)'!D:D,C142,'综合单价分析表 (11#楼)'!K:K)</f>
        <v>406.11187356728</v>
      </c>
      <c r="L142" s="198">
        <f ca="1">SUMIF('综合单价分析表（商业）'!D:D,C142,'综合单价分析表（商业）'!K:K)</f>
        <v>603.172</v>
      </c>
      <c r="M142" s="198"/>
    </row>
    <row r="143" customHeight="1" spans="1:16">
      <c r="A143" s="199">
        <f>MAX($A$3:$A142)+1</f>
        <v>139</v>
      </c>
      <c r="B143" s="213"/>
      <c r="C143" s="131" t="s">
        <v>600</v>
      </c>
      <c r="D143" s="143" t="s">
        <v>43</v>
      </c>
      <c r="E143" s="195">
        <f t="shared" si="12"/>
        <v>318.58407079646</v>
      </c>
      <c r="F143" s="196">
        <v>0.01</v>
      </c>
      <c r="G143" s="143"/>
      <c r="H143" s="136">
        <v>1.13</v>
      </c>
      <c r="I143" s="136">
        <v>360</v>
      </c>
      <c r="K143" s="198">
        <f ca="1">SUMIF('综合单价分析表 (11#楼)'!D:D,C143,'综合单价分析表 (11#楼)'!K:K)</f>
        <v>2.8535934</v>
      </c>
      <c r="L143" s="198">
        <f ca="1">SUMIF('综合单价分析表（商业）'!D:D,C143,'综合单价分析表（商业）'!K:K)</f>
        <v>0</v>
      </c>
      <c r="M143" s="198"/>
    </row>
    <row r="144" customHeight="1" spans="1:16">
      <c r="A144" s="199">
        <f>MAX($A$3:$A143)+1</f>
        <v>140</v>
      </c>
      <c r="B144" s="213"/>
      <c r="C144" s="131" t="s">
        <v>607</v>
      </c>
      <c r="D144" s="143" t="s">
        <v>43</v>
      </c>
      <c r="E144" s="195">
        <f t="shared" si="12"/>
        <v>353.982300884956</v>
      </c>
      <c r="F144" s="196">
        <v>0.01</v>
      </c>
      <c r="G144" s="143"/>
      <c r="H144" s="136">
        <v>1.13</v>
      </c>
      <c r="I144" s="136">
        <v>400</v>
      </c>
      <c r="K144" s="198">
        <f ca="1">SUMIF('综合单价分析表 (11#楼)'!D:D,C144,'综合单价分析表 (11#楼)'!K:K)</f>
        <v>32.868531</v>
      </c>
      <c r="L144" s="198">
        <f ca="1">SUMIF('综合单价分析表（商业）'!D:D,C144,'综合单价分析表（商业）'!K:K)</f>
        <v>390.28434948</v>
      </c>
      <c r="M144" s="198"/>
    </row>
    <row r="145" customHeight="1" spans="1:13">
      <c r="A145" s="199">
        <f>MAX($A$3:$A144)+1</f>
        <v>141</v>
      </c>
      <c r="B145" s="213"/>
      <c r="C145" s="131" t="s">
        <v>713</v>
      </c>
      <c r="D145" s="143" t="s">
        <v>43</v>
      </c>
      <c r="E145" s="195">
        <f t="shared" si="12"/>
        <v>265.486725663717</v>
      </c>
      <c r="F145" s="196">
        <v>0.01</v>
      </c>
      <c r="G145" s="143"/>
      <c r="H145" s="136">
        <v>1.13</v>
      </c>
      <c r="I145" s="136">
        <v>300</v>
      </c>
      <c r="K145" s="198">
        <f ca="1">SUMIF('综合单价分析表 (11#楼)'!D:D,C145,'综合单价分析表 (11#楼)'!K:K)</f>
        <v>0</v>
      </c>
      <c r="L145" s="198">
        <f ca="1">SUMIF('综合单价分析表（商业）'!D:D,C145,'综合单价分析表（商业）'!K:K)</f>
        <v>319.793295340884</v>
      </c>
      <c r="M145" s="198"/>
    </row>
    <row r="146" customHeight="1" spans="1:13">
      <c r="A146" s="199">
        <f>MAX($A$3:$A145)+1</f>
        <v>142</v>
      </c>
      <c r="B146" s="213"/>
      <c r="C146" s="131" t="s">
        <v>566</v>
      </c>
      <c r="D146" s="143" t="s">
        <v>43</v>
      </c>
      <c r="E146" s="195">
        <f t="shared" si="12"/>
        <v>49.5575221238938</v>
      </c>
      <c r="F146" s="196">
        <v>0.01</v>
      </c>
      <c r="G146" s="143"/>
      <c r="H146" s="136">
        <v>1.13</v>
      </c>
      <c r="I146" s="136">
        <v>56</v>
      </c>
      <c r="K146" s="198">
        <f ca="1">SUMIF('综合单价分析表 (11#楼)'!D:D,C146,'综合单价分析表 (11#楼)'!K:K)</f>
        <v>4.14908</v>
      </c>
      <c r="L146" s="198">
        <f ca="1">SUMIF('综合单价分析表（商业）'!D:D,C146,'综合单价分析表（商业）'!K:K)</f>
        <v>0</v>
      </c>
      <c r="M146" s="198"/>
    </row>
    <row r="147" customHeight="1" spans="1:13">
      <c r="A147" s="199">
        <f>MAX($A$3:$A146)+1</f>
        <v>143</v>
      </c>
      <c r="B147" s="224" t="s">
        <v>714</v>
      </c>
      <c r="C147" s="131" t="s">
        <v>476</v>
      </c>
      <c r="D147" s="143" t="s">
        <v>715</v>
      </c>
      <c r="E147" s="195">
        <f t="shared" si="12"/>
        <v>11.5044247787611</v>
      </c>
      <c r="F147" s="196">
        <v>0.15</v>
      </c>
      <c r="G147" s="143" t="s">
        <v>716</v>
      </c>
      <c r="H147" s="136">
        <v>1.13</v>
      </c>
      <c r="I147" s="136">
        <v>13</v>
      </c>
      <c r="K147" s="198">
        <f ca="1">SUMIF('综合单价分析表 (11#楼)'!D:D,C147,'综合单价分析表 (11#楼)'!K:K)</f>
        <v>1661.37473146542</v>
      </c>
      <c r="L147" s="198">
        <f ca="1">SUMIF('综合单价分析表（商业）'!D:D,C147,'综合单价分析表（商业）'!K:K)</f>
        <v>4679.8348026107</v>
      </c>
      <c r="M147" s="198"/>
    </row>
    <row r="148" customHeight="1" spans="1:13">
      <c r="A148" s="199">
        <f>MAX($A$3:$A147)+1</f>
        <v>144</v>
      </c>
      <c r="B148" s="213"/>
      <c r="C148" s="131" t="s">
        <v>436</v>
      </c>
      <c r="D148" s="143" t="s">
        <v>715</v>
      </c>
      <c r="E148" s="195">
        <f t="shared" si="12"/>
        <v>11.5044247787611</v>
      </c>
      <c r="F148" s="196">
        <v>0.15</v>
      </c>
      <c r="G148" s="143" t="s">
        <v>717</v>
      </c>
      <c r="H148" s="136">
        <v>1.13</v>
      </c>
      <c r="I148" s="136">
        <v>13</v>
      </c>
      <c r="K148" s="198">
        <f ca="1">SUMIF('综合单价分析表 (11#楼)'!D:D,C148,'综合单价分析表 (11#楼)'!K:K)</f>
        <v>41.8284133333334</v>
      </c>
      <c r="L148" s="198">
        <f ca="1">SUMIF('综合单价分析表（商业）'!D:D,C148,'综合单价分析表（商业）'!K:K)</f>
        <v>0</v>
      </c>
      <c r="M148" s="198"/>
    </row>
    <row r="149" customHeight="1" spans="1:13">
      <c r="A149" s="199">
        <f>MAX($A$3:$A148)+1</f>
        <v>145</v>
      </c>
      <c r="B149" s="213"/>
      <c r="C149" s="131" t="s">
        <v>576</v>
      </c>
      <c r="D149" s="143" t="s">
        <v>715</v>
      </c>
      <c r="E149" s="195">
        <f t="shared" si="12"/>
        <v>14.1592920353982</v>
      </c>
      <c r="F149" s="196">
        <v>0.15</v>
      </c>
      <c r="G149" s="143" t="s">
        <v>716</v>
      </c>
      <c r="H149" s="136">
        <v>1.13</v>
      </c>
      <c r="I149" s="136">
        <v>16</v>
      </c>
      <c r="K149" s="198">
        <f ca="1">SUMIF('综合单价分析表 (11#楼)'!D:D,C149,'综合单价分析表 (11#楼)'!K:K)</f>
        <v>81.7063273549227</v>
      </c>
      <c r="L149" s="198">
        <f ca="1">SUMIF('综合单价分析表（商业）'!D:D,C149,'综合单价分析表（商业）'!K:K)</f>
        <v>416.085404379862</v>
      </c>
      <c r="M149" s="198"/>
    </row>
    <row r="150" customHeight="1" spans="1:13">
      <c r="A150" s="199">
        <f>MAX($A$3:$A149)+1</f>
        <v>146</v>
      </c>
      <c r="B150" s="213"/>
      <c r="C150" s="131" t="s">
        <v>477</v>
      </c>
      <c r="D150" s="143" t="s">
        <v>701</v>
      </c>
      <c r="E150" s="195">
        <f t="shared" si="12"/>
        <v>10.6194690265487</v>
      </c>
      <c r="F150" s="196">
        <v>0.15</v>
      </c>
      <c r="G150" s="143" t="s">
        <v>716</v>
      </c>
      <c r="H150" s="136">
        <v>1.13</v>
      </c>
      <c r="I150" s="136">
        <v>12</v>
      </c>
      <c r="K150" s="198">
        <f ca="1">SUMIF('综合单价分析表 (11#楼)'!D:D,C150,'综合单价分析表 (11#楼)'!K:K)</f>
        <v>105.76291434</v>
      </c>
      <c r="L150" s="198">
        <f ca="1">SUMIF('综合单价分析表（商业）'!D:D,C150,'综合单价分析表（商业）'!K:K)</f>
        <v>198.28630556</v>
      </c>
      <c r="M150" s="198"/>
    </row>
    <row r="151" customHeight="1" spans="1:13">
      <c r="A151" s="199">
        <f>MAX($A$3:$A150)+1</f>
        <v>147</v>
      </c>
      <c r="B151" s="225"/>
      <c r="C151" s="131" t="s">
        <v>603</v>
      </c>
      <c r="D151" s="143" t="s">
        <v>715</v>
      </c>
      <c r="E151" s="195">
        <f t="shared" si="12"/>
        <v>30.9734513274336</v>
      </c>
      <c r="F151" s="196">
        <v>0.15</v>
      </c>
      <c r="G151" s="143"/>
      <c r="H151" s="136">
        <v>1.13</v>
      </c>
      <c r="I151" s="136">
        <v>35</v>
      </c>
      <c r="K151" s="198">
        <f ca="1">SUMIF('综合单价分析表 (11#楼)'!D:D,C151,'综合单价分析表 (11#楼)'!K:K)</f>
        <v>110.492</v>
      </c>
      <c r="L151" s="198">
        <f ca="1">SUMIF('综合单价分析表（商业）'!D:D,C151,'综合单价分析表（商业）'!K:K)</f>
        <v>314.64</v>
      </c>
      <c r="M151" s="198"/>
    </row>
    <row r="152" customHeight="1" spans="1:13">
      <c r="A152" s="199">
        <f>MAX($A$3:$A151)+1</f>
        <v>148</v>
      </c>
      <c r="B152" s="224" t="s">
        <v>718</v>
      </c>
      <c r="C152" s="226" t="s">
        <v>438</v>
      </c>
      <c r="D152" s="143" t="s">
        <v>719</v>
      </c>
      <c r="E152" s="195">
        <f t="shared" ref="E152:E160" si="13">+I152/H152</f>
        <v>247.787610619469</v>
      </c>
      <c r="F152" s="196">
        <v>0</v>
      </c>
      <c r="G152" s="143"/>
      <c r="H152" s="136">
        <v>1.13</v>
      </c>
      <c r="I152" s="136">
        <v>280</v>
      </c>
      <c r="K152" s="198">
        <f ca="1">SUMIF('综合单价分析表 (11#楼)'!D:D,C152,'综合单价分析表 (11#楼)'!K:K)</f>
        <v>4.00000000000001</v>
      </c>
      <c r="L152" s="198">
        <f ca="1">SUMIF('综合单价分析表（商业）'!D:D,C152,'综合单价分析表（商业）'!K:K)</f>
        <v>0</v>
      </c>
      <c r="M152" s="198"/>
    </row>
    <row r="153" customHeight="1" spans="1:13">
      <c r="A153" s="199">
        <f>MAX($A$3:$A152)+1</f>
        <v>149</v>
      </c>
      <c r="B153" s="213"/>
      <c r="C153" s="226" t="s">
        <v>456</v>
      </c>
      <c r="D153" s="143" t="s">
        <v>719</v>
      </c>
      <c r="E153" s="195">
        <f t="shared" si="13"/>
        <v>1327.43362831858</v>
      </c>
      <c r="F153" s="196">
        <v>0</v>
      </c>
      <c r="G153" s="143"/>
      <c r="H153" s="136">
        <v>1.13</v>
      </c>
      <c r="I153" s="136">
        <v>1500</v>
      </c>
      <c r="K153" s="198">
        <f ca="1">SUMIF('综合单价分析表 (11#楼)'!D:D,C153,'综合单价分析表 (11#楼)'!K:K)</f>
        <v>2</v>
      </c>
      <c r="L153" s="198">
        <f ca="1">SUMIF('综合单价分析表（商业）'!D:D,C153,'综合单价分析表（商业）'!K:K)</f>
        <v>0</v>
      </c>
      <c r="M153" s="198"/>
    </row>
    <row r="154" customHeight="1" spans="1:13">
      <c r="A154" s="199">
        <f>MAX($A$3:$A153)+1</f>
        <v>150</v>
      </c>
      <c r="B154" s="213"/>
      <c r="C154" s="226" t="s">
        <v>720</v>
      </c>
      <c r="D154" s="143" t="s">
        <v>719</v>
      </c>
      <c r="E154" s="195">
        <f t="shared" si="13"/>
        <v>106.194690265487</v>
      </c>
      <c r="F154" s="196">
        <v>0</v>
      </c>
      <c r="G154" s="143"/>
      <c r="H154" s="136">
        <v>1.13</v>
      </c>
      <c r="I154" s="136">
        <v>120</v>
      </c>
      <c r="K154" s="198">
        <f ca="1">SUMIF('综合单价分析表 (11#楼)'!D:D,C154,'综合单价分析表 (11#楼)'!K:K)</f>
        <v>0</v>
      </c>
      <c r="L154" s="198">
        <f ca="1">SUMIF('综合单价分析表（商业）'!D:D,C154,'综合单价分析表（商业）'!K:K)</f>
        <v>0</v>
      </c>
      <c r="M154" s="198"/>
    </row>
    <row r="155" customHeight="1" spans="1:13">
      <c r="A155" s="199">
        <f>MAX($A$3:$A154)+1</f>
        <v>151</v>
      </c>
      <c r="B155" s="213"/>
      <c r="C155" s="226" t="s">
        <v>583</v>
      </c>
      <c r="D155" s="143" t="s">
        <v>719</v>
      </c>
      <c r="E155" s="195">
        <f t="shared" si="13"/>
        <v>1061.94690265487</v>
      </c>
      <c r="F155" s="196">
        <v>0</v>
      </c>
      <c r="G155" s="143"/>
      <c r="H155" s="136">
        <v>1.13</v>
      </c>
      <c r="I155" s="136">
        <v>1200</v>
      </c>
      <c r="K155" s="198">
        <v>1100</v>
      </c>
      <c r="L155" s="198">
        <f ca="1">SUMIF('综合单价分析表（商业）'!D:D,C155,'综合单价分析表（商业）'!K:K)</f>
        <v>7.23282135174926</v>
      </c>
      <c r="M155" s="198"/>
    </row>
    <row r="156" customHeight="1" spans="1:13">
      <c r="A156" s="199">
        <f>MAX($A$3:$A155)+1</f>
        <v>152</v>
      </c>
      <c r="B156" s="213"/>
      <c r="C156" s="88" t="s">
        <v>721</v>
      </c>
      <c r="D156" s="143" t="s">
        <v>719</v>
      </c>
      <c r="E156" s="195">
        <f t="shared" si="13"/>
        <v>530.973451327434</v>
      </c>
      <c r="F156" s="196">
        <v>0</v>
      </c>
      <c r="G156" s="143"/>
      <c r="H156" s="136">
        <v>1.13</v>
      </c>
      <c r="I156" s="136">
        <v>600</v>
      </c>
      <c r="K156" s="198">
        <v>580</v>
      </c>
      <c r="L156" s="198">
        <f ca="1">SUMIF('综合单价分析表（商业）'!D:D,C156,'综合单价分析表（商业）'!K:K)</f>
        <v>61.5519999999999</v>
      </c>
      <c r="M156" s="198"/>
    </row>
    <row r="157" customHeight="1" spans="1:13">
      <c r="A157" s="199">
        <f>MAX($A$3:$A156)+1</f>
        <v>153</v>
      </c>
      <c r="B157" s="213"/>
      <c r="C157" s="88" t="s">
        <v>722</v>
      </c>
      <c r="D157" s="143" t="s">
        <v>719</v>
      </c>
      <c r="E157" s="195">
        <f t="shared" si="13"/>
        <v>247.787610619469</v>
      </c>
      <c r="F157" s="196">
        <v>0</v>
      </c>
      <c r="G157" s="143"/>
      <c r="H157" s="136">
        <v>1.13</v>
      </c>
      <c r="I157" s="136">
        <v>280</v>
      </c>
      <c r="K157" s="198">
        <v>300</v>
      </c>
      <c r="L157" s="198">
        <f ca="1">SUMIF('综合单价分析表（商业）'!D:D,C157,'综合单价分析表（商业）'!K:K)</f>
        <v>61.5519999999999</v>
      </c>
      <c r="M157" s="198"/>
    </row>
    <row r="158" customHeight="1" spans="1:13">
      <c r="A158" s="199">
        <f>MAX($A$3:$A157)+1</f>
        <v>154</v>
      </c>
      <c r="B158" s="213"/>
      <c r="C158" s="88" t="s">
        <v>723</v>
      </c>
      <c r="D158" s="143" t="s">
        <v>719</v>
      </c>
      <c r="E158" s="195">
        <f t="shared" si="13"/>
        <v>75.2212389380531</v>
      </c>
      <c r="F158" s="196">
        <v>0</v>
      </c>
      <c r="G158" s="143"/>
      <c r="H158" s="136">
        <v>1.13</v>
      </c>
      <c r="I158" s="136">
        <v>85</v>
      </c>
      <c r="K158" s="198">
        <v>80</v>
      </c>
      <c r="L158" s="198">
        <f ca="1">SUMIF('综合单价分析表（商业）'!D:D,C158,'综合单价分析表（商业）'!K:K)</f>
        <v>61.5519999999999</v>
      </c>
      <c r="M158" s="198"/>
    </row>
    <row r="159" customHeight="1" spans="1:13">
      <c r="A159" s="199">
        <f>MAX($A$3:$A158)+1</f>
        <v>155</v>
      </c>
      <c r="B159" s="213" t="s">
        <v>210</v>
      </c>
      <c r="C159" s="131" t="s">
        <v>602</v>
      </c>
      <c r="D159" s="143" t="s">
        <v>423</v>
      </c>
      <c r="E159" s="195">
        <f t="shared" si="13"/>
        <v>30.9734513274336</v>
      </c>
      <c r="F159" s="196">
        <v>0</v>
      </c>
      <c r="G159" s="143"/>
      <c r="H159" s="136">
        <v>1.13</v>
      </c>
      <c r="I159" s="136">
        <v>35</v>
      </c>
      <c r="K159" s="198">
        <f ca="1">SUMIF('综合单价分析表 (11#楼)'!D:D,C159,'综合单价分析表 (11#楼)'!K:K)</f>
        <v>96.08</v>
      </c>
      <c r="L159" s="198">
        <f ca="1">SUMIF('综合单价分析表（商业）'!D:D,C159,'综合单价分析表（商业）'!K:K)</f>
        <v>273.6</v>
      </c>
      <c r="M159" s="198"/>
    </row>
    <row r="160" customHeight="1" spans="1:13">
      <c r="A160" s="199">
        <f>MAX($A$3:$A159)+1</f>
        <v>156</v>
      </c>
      <c r="B160" s="213"/>
      <c r="C160" s="131" t="s">
        <v>435</v>
      </c>
      <c r="D160" s="143" t="s">
        <v>701</v>
      </c>
      <c r="E160" s="195">
        <f t="shared" si="13"/>
        <v>19.4690265486726</v>
      </c>
      <c r="F160" s="196">
        <v>0.03</v>
      </c>
      <c r="G160" s="143"/>
      <c r="H160" s="136">
        <v>1.13</v>
      </c>
      <c r="I160" s="197">
        <v>22</v>
      </c>
      <c r="K160" s="198">
        <f ca="1">SUMIF('综合单价分析表 (11#楼)'!D:D,C160,'综合单价分析表 (11#楼)'!K:K)</f>
        <v>84.531043838</v>
      </c>
      <c r="L160" s="198">
        <f ca="1">SUMIF('综合单价分析表（商业）'!D:D,C160,'综合单价分析表（商业）'!K:K)</f>
        <v>5057.92701382606</v>
      </c>
      <c r="M160" s="198"/>
    </row>
    <row r="161" customHeight="1" spans="1:13">
      <c r="A161" s="199">
        <f>MAX($A$3:$A160)+1</f>
        <v>157</v>
      </c>
      <c r="B161" s="213"/>
      <c r="C161" s="131" t="s">
        <v>469</v>
      </c>
      <c r="D161" s="143" t="s">
        <v>719</v>
      </c>
      <c r="E161" s="195">
        <f t="shared" ref="E161:E166" si="14">+I161/H161</f>
        <v>5.30973451327434</v>
      </c>
      <c r="F161" s="196">
        <v>0</v>
      </c>
      <c r="G161" s="143"/>
      <c r="H161" s="136">
        <v>1.13</v>
      </c>
      <c r="I161" s="136">
        <v>6</v>
      </c>
      <c r="K161" s="198">
        <f ca="1">SUMIF('综合单价分析表 (11#楼)'!D:D,C161,'综合单价分析表 (11#楼)'!K:K)</f>
        <v>4606.92917934583</v>
      </c>
      <c r="L161" s="198">
        <f ca="1">SUMIF('综合单价分析表（商业）'!D:D,C161,'综合单价分析表（商业）'!K:K)</f>
        <v>4018.64289380948</v>
      </c>
      <c r="M161" s="198"/>
    </row>
    <row r="162" customHeight="1" spans="1:13">
      <c r="A162" s="199">
        <f>MAX($A$3:$A161)+1</f>
        <v>158</v>
      </c>
      <c r="B162" s="213"/>
      <c r="C162" s="131" t="s">
        <v>724</v>
      </c>
      <c r="D162" s="143" t="s">
        <v>719</v>
      </c>
      <c r="E162" s="195">
        <f t="shared" si="14"/>
        <v>1.32743362831858</v>
      </c>
      <c r="F162" s="196">
        <v>0</v>
      </c>
      <c r="G162" s="143"/>
      <c r="H162" s="136">
        <v>1.13</v>
      </c>
      <c r="I162" s="136">
        <v>1.5</v>
      </c>
      <c r="K162" s="198">
        <f ca="1">SUMIF('综合单价分析表 (11#楼)'!D:D,C162,'综合单价分析表 (11#楼)'!K:K)</f>
        <v>0</v>
      </c>
      <c r="L162" s="198">
        <f ca="1">SUMIF('综合单价分析表（商业）'!D:D,C162,'综合单价分析表（商业）'!K:K)</f>
        <v>0</v>
      </c>
      <c r="M162" s="198"/>
    </row>
    <row r="163" customHeight="1" spans="1:13">
      <c r="A163" s="199">
        <f>MAX($A$3:$A162)+1</f>
        <v>159</v>
      </c>
      <c r="B163" s="213"/>
      <c r="C163" s="131" t="s">
        <v>725</v>
      </c>
      <c r="D163" s="143" t="s">
        <v>719</v>
      </c>
      <c r="E163" s="195">
        <f t="shared" si="14"/>
        <v>1.76991150442478</v>
      </c>
      <c r="F163" s="196">
        <v>0</v>
      </c>
      <c r="G163" s="143"/>
      <c r="H163" s="136">
        <v>1.13</v>
      </c>
      <c r="I163" s="136">
        <v>2</v>
      </c>
      <c r="K163" s="198">
        <f ca="1">SUMIF('综合单价分析表 (11#楼)'!D:D,C163,'综合单价分析表 (11#楼)'!K:K)</f>
        <v>0</v>
      </c>
      <c r="L163" s="198">
        <f ca="1">SUMIF('综合单价分析表（商业）'!D:D,C163,'综合单价分析表（商业）'!K:K)</f>
        <v>0</v>
      </c>
      <c r="M163" s="198"/>
    </row>
    <row r="164" customHeight="1" spans="1:13">
      <c r="A164" s="199">
        <f>MAX($A$3:$A163)+1</f>
        <v>160</v>
      </c>
      <c r="B164" s="213"/>
      <c r="C164" s="131" t="s">
        <v>474</v>
      </c>
      <c r="D164" s="143" t="s">
        <v>719</v>
      </c>
      <c r="E164" s="195">
        <f t="shared" si="14"/>
        <v>2.21238938053097</v>
      </c>
      <c r="F164" s="196">
        <v>0</v>
      </c>
      <c r="G164" s="143"/>
      <c r="H164" s="136">
        <v>1.13</v>
      </c>
      <c r="I164" s="136">
        <v>2.5</v>
      </c>
      <c r="K164" s="198">
        <f ca="1">SUMIF('综合单价分析表 (11#楼)'!D:D,C164,'综合单价分析表 (11#楼)'!K:K)</f>
        <v>5830.78995560888</v>
      </c>
      <c r="L164" s="198">
        <f ca="1">SUMIF('综合单价分析表（商业）'!D:D,C164,'综合单价分析表（商业）'!K:K)</f>
        <v>13971.3434983975</v>
      </c>
      <c r="M164" s="198"/>
    </row>
    <row r="165" customHeight="1" spans="1:13">
      <c r="A165" s="199">
        <f>MAX($A$3:$A164)+1</f>
        <v>161</v>
      </c>
      <c r="B165" s="213"/>
      <c r="C165" s="131" t="s">
        <v>726</v>
      </c>
      <c r="D165" s="143" t="s">
        <v>719</v>
      </c>
      <c r="E165" s="195">
        <f t="shared" si="14"/>
        <v>1.32743362831858</v>
      </c>
      <c r="F165" s="196">
        <v>0</v>
      </c>
      <c r="G165" s="143"/>
      <c r="H165" s="136">
        <v>1.13</v>
      </c>
      <c r="I165" s="136">
        <v>1.5</v>
      </c>
      <c r="K165" s="198">
        <f ca="1">SUMIF('综合单价分析表 (11#楼)'!D:D,C165,'综合单价分析表 (11#楼)'!K:K)</f>
        <v>0</v>
      </c>
      <c r="L165" s="198">
        <f ca="1">SUMIF('综合单价分析表（商业）'!D:D,C165,'综合单价分析表（商业）'!K:K)</f>
        <v>0</v>
      </c>
      <c r="M165" s="198"/>
    </row>
    <row r="166" customHeight="1" spans="1:13">
      <c r="A166" s="199">
        <f>MAX($A$3:$A165)+1</f>
        <v>162</v>
      </c>
      <c r="B166" s="213"/>
      <c r="C166" s="88" t="s">
        <v>471</v>
      </c>
      <c r="D166" s="143" t="s">
        <v>719</v>
      </c>
      <c r="E166" s="195">
        <f t="shared" si="14"/>
        <v>1.32743362831858</v>
      </c>
      <c r="F166" s="196">
        <v>0</v>
      </c>
      <c r="G166" s="143"/>
      <c r="H166" s="136">
        <v>1.13</v>
      </c>
      <c r="I166" s="136">
        <v>1.5</v>
      </c>
      <c r="K166" s="198">
        <f ca="1">SUMIF('综合单价分析表 (11#楼)'!D:D,C166,'综合单价分析表 (11#楼)'!K:K)</f>
        <v>4606.92917934583</v>
      </c>
      <c r="L166" s="198">
        <f ca="1">SUMIF('综合单价分析表（商业）'!D:D,C166,'综合单价分析表（商业）'!K:K)</f>
        <v>4018.64289380948</v>
      </c>
      <c r="M166" s="198"/>
    </row>
    <row r="167" customHeight="1" spans="1:13">
      <c r="A167" s="199">
        <f>MAX($A$3:$A166)+1</f>
        <v>163</v>
      </c>
      <c r="B167" s="213"/>
      <c r="C167" s="131" t="s">
        <v>472</v>
      </c>
      <c r="D167" s="143" t="s">
        <v>719</v>
      </c>
      <c r="E167" s="195">
        <f t="shared" ref="E167:E176" si="15">+I167/H167</f>
        <v>2.47787610619469</v>
      </c>
      <c r="F167" s="196">
        <v>0</v>
      </c>
      <c r="G167" s="143"/>
      <c r="H167" s="136">
        <v>1.13</v>
      </c>
      <c r="I167" s="136">
        <v>2.8</v>
      </c>
      <c r="K167" s="198">
        <f ca="1">SUMIF('综合单价分析表 (11#楼)'!D:D,C167,'综合单价分析表 (11#楼)'!K:K)</f>
        <v>737.622431653287</v>
      </c>
      <c r="L167" s="198">
        <f ca="1">SUMIF('综合单价分析表（商业）'!D:D,C167,'综合单价分析表（商业）'!K:K)</f>
        <v>4875.54669816617</v>
      </c>
      <c r="M167" s="198"/>
    </row>
    <row r="168" customHeight="1" spans="1:13">
      <c r="A168" s="199">
        <f>MAX($A$3:$A167)+1</f>
        <v>164</v>
      </c>
      <c r="B168" s="213"/>
      <c r="C168" s="124" t="s">
        <v>473</v>
      </c>
      <c r="D168" s="143" t="s">
        <v>719</v>
      </c>
      <c r="E168" s="195">
        <f t="shared" si="15"/>
        <v>0.247787610619469</v>
      </c>
      <c r="F168" s="196">
        <v>0</v>
      </c>
      <c r="G168" s="143"/>
      <c r="H168" s="136">
        <v>1.13</v>
      </c>
      <c r="I168" s="136">
        <v>0.28</v>
      </c>
      <c r="K168" s="198">
        <f ca="1">SUMIF('综合单价分析表 (11#楼)'!D:D,C168,'综合单价分析表 (11#楼)'!K:K)</f>
        <v>13820.7875380375</v>
      </c>
      <c r="L168" s="198">
        <f ca="1">SUMIF('综合单价分析表（商业）'!D:D,C168,'综合单价分析表（商业）'!K:K)</f>
        <v>10854.8091983575</v>
      </c>
      <c r="M168" s="198"/>
    </row>
    <row r="169" customHeight="1" spans="1:13">
      <c r="A169" s="199">
        <f>MAX($A$3:$A168)+1</f>
        <v>165</v>
      </c>
      <c r="B169" s="213"/>
      <c r="C169" s="124" t="s">
        <v>499</v>
      </c>
      <c r="D169" s="143" t="s">
        <v>719</v>
      </c>
      <c r="E169" s="195">
        <f t="shared" si="15"/>
        <v>1.32743362831858</v>
      </c>
      <c r="F169" s="196">
        <v>0</v>
      </c>
      <c r="G169" s="143"/>
      <c r="H169" s="136">
        <v>1.13</v>
      </c>
      <c r="I169" s="136">
        <v>1.5</v>
      </c>
      <c r="K169" s="198">
        <f ca="1">SUMIF('综合单价分析表 (11#楼)'!D:D,C169,'综合单价分析表 (11#楼)'!K:K)</f>
        <v>587.145247615053</v>
      </c>
      <c r="L169" s="198">
        <f ca="1">SUMIF('综合单价分析表（商业）'!D:D,C169,'综合单价分析表（商业）'!K:K)</f>
        <v>0</v>
      </c>
      <c r="M169" s="198"/>
    </row>
    <row r="170" customHeight="1" spans="1:13">
      <c r="A170" s="199">
        <f>MAX($A$3:$A169)+1</f>
        <v>166</v>
      </c>
      <c r="B170" s="213"/>
      <c r="C170" s="227" t="s">
        <v>727</v>
      </c>
      <c r="D170" s="143" t="s">
        <v>719</v>
      </c>
      <c r="E170" s="195">
        <f t="shared" si="15"/>
        <v>1.32743362831858</v>
      </c>
      <c r="F170" s="196">
        <v>0</v>
      </c>
      <c r="G170" s="143"/>
      <c r="H170" s="136">
        <v>1.13</v>
      </c>
      <c r="I170" s="136">
        <v>1.5</v>
      </c>
      <c r="K170" s="198">
        <f ca="1">SUMIF('综合单价分析表 (11#楼)'!D:D,C170,'综合单价分析表 (11#楼)'!K:K)</f>
        <v>0</v>
      </c>
      <c r="L170" s="198">
        <f ca="1">SUMIF('综合单价分析表（商业）'!D:D,C170,'综合单价分析表（商业）'!K:K)</f>
        <v>506.139593865919</v>
      </c>
      <c r="M170" s="198"/>
    </row>
    <row r="171" customHeight="1" spans="1:13">
      <c r="A171" s="199">
        <f>MAX($A$3:$A170)+1</f>
        <v>167</v>
      </c>
      <c r="B171" s="213"/>
      <c r="C171" s="131" t="s">
        <v>728</v>
      </c>
      <c r="D171" s="143" t="s">
        <v>719</v>
      </c>
      <c r="E171" s="195">
        <f t="shared" si="15"/>
        <v>1.5929203539823</v>
      </c>
      <c r="F171" s="196">
        <v>0</v>
      </c>
      <c r="G171" s="143"/>
      <c r="H171" s="136">
        <v>1.13</v>
      </c>
      <c r="I171" s="136">
        <v>1.8</v>
      </c>
      <c r="K171" s="198">
        <f ca="1">SUMIF('综合单价分析表 (11#楼)'!D:D,C171,'综合单价分析表 (11#楼)'!K:K)</f>
        <v>0</v>
      </c>
      <c r="L171" s="198">
        <f ca="1">SUMIF('综合单价分析表（商业）'!D:D,C171,'综合单价分析表（商业）'!K:K)</f>
        <v>605.73950177936</v>
      </c>
      <c r="M171" s="198"/>
    </row>
    <row r="172" customHeight="1" spans="1:13">
      <c r="A172" s="199">
        <f>MAX($A$3:$A171)+1</f>
        <v>168</v>
      </c>
      <c r="B172" s="213"/>
      <c r="C172" s="124" t="s">
        <v>729</v>
      </c>
      <c r="D172" s="143" t="s">
        <v>43</v>
      </c>
      <c r="E172" s="195">
        <f t="shared" si="15"/>
        <v>26.5486725663717</v>
      </c>
      <c r="F172" s="196">
        <v>0</v>
      </c>
      <c r="G172" s="143"/>
      <c r="H172" s="136">
        <v>1.13</v>
      </c>
      <c r="I172" s="136">
        <v>30</v>
      </c>
      <c r="K172" s="198">
        <f ca="1">SUMIF('综合单价分析表 (11#楼)'!D:D,C172,'综合单价分析表 (11#楼)'!K:K)</f>
        <v>0</v>
      </c>
      <c r="L172" s="198">
        <f ca="1">SUMIF('综合单价分析表（商业）'!D:D,C172,'综合单价分析表（商业）'!K:K)</f>
        <v>987.434064</v>
      </c>
      <c r="M172" s="198"/>
    </row>
    <row r="173" customHeight="1" spans="1:13">
      <c r="A173" s="199">
        <f>MAX($A$3:$A172)+1</f>
        <v>169</v>
      </c>
      <c r="B173" s="213"/>
      <c r="C173" s="131" t="s">
        <v>582</v>
      </c>
      <c r="D173" s="143" t="s">
        <v>43</v>
      </c>
      <c r="E173" s="195">
        <f t="shared" si="15"/>
        <v>53.0973451327434</v>
      </c>
      <c r="F173" s="196">
        <v>0</v>
      </c>
      <c r="G173" s="143"/>
      <c r="H173" s="136">
        <v>1.13</v>
      </c>
      <c r="I173" s="136">
        <v>60</v>
      </c>
      <c r="K173" s="198">
        <f ca="1">SUMIF('综合单价分析表 (11#楼)'!D:D,C173,'综合单价分析表 (11#楼)'!K:K)</f>
        <v>33.2560747663551</v>
      </c>
      <c r="L173" s="198">
        <f ca="1">SUMIF('综合单价分析表（商业）'!D:D,C173,'综合单价分析表（商业）'!K:K)</f>
        <v>0</v>
      </c>
      <c r="M173" s="198"/>
    </row>
    <row r="174" customHeight="1" spans="1:13">
      <c r="A174" s="199">
        <f>MAX($A$3:$A173)+1</f>
        <v>170</v>
      </c>
      <c r="B174" s="213"/>
      <c r="C174" s="131" t="s">
        <v>517</v>
      </c>
      <c r="D174" s="143" t="s">
        <v>43</v>
      </c>
      <c r="E174" s="195">
        <f t="shared" si="15"/>
        <v>84.070796460177</v>
      </c>
      <c r="F174" s="196">
        <v>0</v>
      </c>
      <c r="G174" s="143"/>
      <c r="H174" s="136">
        <v>1.13</v>
      </c>
      <c r="I174" s="136">
        <v>95</v>
      </c>
      <c r="K174" s="198">
        <f ca="1">SUMIF('综合单价分析表 (11#楼)'!D:D,C174,'综合单价分析表 (11#楼)'!K:K)</f>
        <v>87.6489145834094</v>
      </c>
      <c r="L174" s="198">
        <f ca="1">SUMIF('综合单价分析表（商业）'!D:D,C174,'综合单价分析表（商业）'!K:K)</f>
        <v>16.9607060498221</v>
      </c>
      <c r="M174" s="198"/>
    </row>
    <row r="175" customHeight="1" spans="1:13">
      <c r="A175" s="199">
        <f>MAX($A$3:$A174)+1</f>
        <v>171</v>
      </c>
      <c r="B175" s="213"/>
      <c r="C175" s="88" t="s">
        <v>437</v>
      </c>
      <c r="D175" s="143" t="s">
        <v>708</v>
      </c>
      <c r="E175" s="195">
        <f t="shared" si="15"/>
        <v>0</v>
      </c>
      <c r="F175" s="196">
        <v>0</v>
      </c>
      <c r="G175" s="143"/>
      <c r="H175" s="136">
        <v>1.13</v>
      </c>
      <c r="I175" s="136">
        <v>0</v>
      </c>
      <c r="K175" s="198">
        <f ca="1">SUMIF('综合单价分析表 (11#楼)'!D:D,C175,'综合单价分析表 (11#楼)'!K:K)</f>
        <v>48.98</v>
      </c>
      <c r="L175" s="198">
        <f ca="1">SUMIF('综合单价分析表（商业）'!D:D,C175,'综合单价分析表（商业）'!K:K)</f>
        <v>0</v>
      </c>
      <c r="M175" s="198"/>
    </row>
    <row r="176" customHeight="1" spans="1:13">
      <c r="A176" s="199">
        <f>MAX($A$3:$A175)+1</f>
        <v>172</v>
      </c>
      <c r="B176" s="225"/>
      <c r="C176" s="124" t="s">
        <v>500</v>
      </c>
      <c r="D176" s="143" t="s">
        <v>701</v>
      </c>
      <c r="E176" s="195">
        <f t="shared" si="15"/>
        <v>14.1592920353982</v>
      </c>
      <c r="F176" s="196">
        <v>0.03</v>
      </c>
      <c r="G176" s="143"/>
      <c r="H176" s="136">
        <v>1.13</v>
      </c>
      <c r="I176" s="197">
        <v>16</v>
      </c>
      <c r="K176" s="198">
        <f ca="1">SUMIF('综合单价分析表 (11#楼)'!D:D,C176,'综合单价分析表 (11#楼)'!K:K)</f>
        <v>230.475583601288</v>
      </c>
      <c r="L176" s="198">
        <f ca="1">SUMIF('综合单价分析表（商业）'!D:D,C176,'综合单价分析表（商业）'!K:K)</f>
        <v>1839.34191889657</v>
      </c>
      <c r="M176" s="198"/>
    </row>
    <row r="177" customHeight="1" spans="1:7">
      <c r="A177" s="199">
        <f>MAX($A$3:$A176)+1</f>
        <v>173</v>
      </c>
      <c r="B177" s="143"/>
      <c r="C177" s="124"/>
      <c r="D177" s="228"/>
      <c r="E177" s="195"/>
      <c r="F177" s="196"/>
    </row>
    <row r="178" ht="24" customHeight="1" spans="1:7">
      <c r="A178" s="199">
        <f>MAX($A$3:$A177)+1</f>
        <v>174</v>
      </c>
      <c r="B178" s="143"/>
      <c r="C178" s="229" t="s">
        <v>406</v>
      </c>
      <c r="D178" s="143"/>
      <c r="E178" s="230">
        <v>0</v>
      </c>
      <c r="F178" s="231"/>
      <c r="G178" s="215"/>
    </row>
    <row r="179" ht="56" customHeight="1" spans="1:7">
      <c r="A179" s="199">
        <f>MAX($A$3:$A178)+1</f>
        <v>175</v>
      </c>
      <c r="B179" s="143"/>
      <c r="C179" s="232" t="s">
        <v>409</v>
      </c>
      <c r="D179" s="143"/>
      <c r="E179" s="230">
        <v>0</v>
      </c>
      <c r="F179" s="231"/>
      <c r="G179" s="215" t="s">
        <v>730</v>
      </c>
    </row>
    <row r="180" customHeight="1" spans="1:7">
      <c r="A180" s="199">
        <f>MAX($A$3:$A179)+1</f>
        <v>176</v>
      </c>
      <c r="B180" s="143"/>
      <c r="C180" s="131" t="s">
        <v>412</v>
      </c>
      <c r="D180" s="143"/>
      <c r="E180" s="230">
        <v>0.09</v>
      </c>
      <c r="F180" s="233"/>
      <c r="G180" s="143"/>
    </row>
    <row r="194" customHeight="1" spans="9:10">
      <c r="I194" s="197"/>
      <c r="J194" s="197"/>
    </row>
    <row r="215" customHeight="1" spans="9:10">
      <c r="I215" s="161"/>
      <c r="J215" s="161"/>
    </row>
    <row r="216" customHeight="1" spans="9:10">
      <c r="I216" s="161"/>
      <c r="J216" s="161"/>
    </row>
    <row r="217" customHeight="1" spans="9:10">
      <c r="I217" s="161"/>
      <c r="J217" s="161"/>
    </row>
    <row r="228" customHeight="1" spans="9:10">
      <c r="I228" s="234"/>
      <c r="J228" s="234"/>
    </row>
    <row r="229" customHeight="1" spans="9:10">
      <c r="I229" s="234"/>
      <c r="J229" s="234"/>
    </row>
  </sheetData>
  <autoFilter xmlns:etc="http://www.wps.cn/officeDocument/2017/etCustomData" ref="A2:P186" etc:filterBottomFollowUsedRange="0">
    <extLst/>
  </autoFilter>
  <mergeCells count="10">
    <mergeCell ref="A1:G1"/>
    <mergeCell ref="B3:B21"/>
    <mergeCell ref="B22:B55"/>
    <mergeCell ref="B56:B121"/>
    <mergeCell ref="B122:B128"/>
    <mergeCell ref="B131:B141"/>
    <mergeCell ref="B142:B146"/>
    <mergeCell ref="B147:B151"/>
    <mergeCell ref="B152:B158"/>
    <mergeCell ref="B159:B176"/>
  </mergeCells>
  <pageMargins left="0.75" right="0.75" top="1" bottom="1" header="0.5" footer="0.5"/>
  <pageSetup paperSize="9" scale="58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6"/>
  <sheetViews>
    <sheetView view="pageBreakPreview" zoomScaleNormal="100" topLeftCell="A18" workbookViewId="0">
      <selection activeCell="A31" sqref="A31"/>
    </sheetView>
  </sheetViews>
  <sheetFormatPr defaultColWidth="9" defaultRowHeight="15.2" outlineLevelCol="6"/>
  <cols>
    <col min="1" max="1" width="36.125" style="1" customWidth="1"/>
    <col min="2" max="2" width="16.625" style="1" customWidth="1"/>
    <col min="3" max="3" width="6.25" style="3" customWidth="1"/>
    <col min="4" max="4" width="49" style="1" customWidth="1"/>
    <col min="5" max="5" width="9.375" style="4"/>
    <col min="6" max="6" width="13.125" style="3" customWidth="1"/>
    <col min="7" max="7" width="10.375" style="1" customWidth="1"/>
    <col min="8" max="8" width="9" style="1" customWidth="1"/>
    <col min="9" max="16384" width="9" style="1"/>
  </cols>
  <sheetData>
    <row r="1" ht="25" customHeight="1" spans="1:6">
      <c r="A1" s="5" t="s">
        <v>396</v>
      </c>
      <c r="B1" s="5" t="s">
        <v>731</v>
      </c>
      <c r="C1" s="5" t="s">
        <v>37</v>
      </c>
      <c r="D1" s="5" t="s">
        <v>732</v>
      </c>
      <c r="E1" s="7" t="s">
        <v>733</v>
      </c>
      <c r="F1" s="5" t="s">
        <v>6</v>
      </c>
    </row>
    <row r="2" ht="25" customHeight="1" spans="1:6">
      <c r="A2" s="5" t="s">
        <v>99</v>
      </c>
      <c r="B2" s="5"/>
      <c r="C2" s="5"/>
      <c r="D2" s="5"/>
      <c r="E2" s="8">
        <f ca="1">SUM(E3:E32)</f>
        <v>459.33362</v>
      </c>
      <c r="F2" s="5"/>
    </row>
    <row r="3" ht="31" customHeight="1" spans="1:6">
      <c r="A3" s="7" t="s">
        <v>467</v>
      </c>
      <c r="B3" s="176" t="s">
        <v>734</v>
      </c>
      <c r="C3" s="5" t="s">
        <v>423</v>
      </c>
      <c r="D3" s="177" t="s">
        <v>735</v>
      </c>
      <c r="E3" s="11" cm="1">
        <f ca="1" t="array" ref="E3">+EVALUATE(D3)</f>
        <v>7.1</v>
      </c>
      <c r="F3" s="5"/>
    </row>
    <row r="4" ht="30" customHeight="1" spans="1:6">
      <c r="A4" s="7" t="s">
        <v>467</v>
      </c>
      <c r="B4" s="176" t="s">
        <v>736</v>
      </c>
      <c r="C4" s="5" t="s">
        <v>423</v>
      </c>
      <c r="D4" s="177" t="s">
        <v>737</v>
      </c>
      <c r="E4" s="11" cm="1">
        <f ca="1" t="array" ref="E4">+EVALUATE(D4)</f>
        <v>13.3232</v>
      </c>
      <c r="F4" s="5"/>
    </row>
    <row r="5" ht="35" customHeight="1" spans="1:6">
      <c r="A5" s="7" t="s">
        <v>467</v>
      </c>
      <c r="B5" s="176" t="s">
        <v>738</v>
      </c>
      <c r="C5" s="5" t="s">
        <v>423</v>
      </c>
      <c r="D5" s="177" t="s">
        <v>739</v>
      </c>
      <c r="E5" s="11" cm="1">
        <f ca="1" t="array" ref="E5">+EVALUATE(D5)</f>
        <v>6.0775</v>
      </c>
      <c r="F5" s="5"/>
    </row>
    <row r="6" ht="26" customHeight="1" spans="1:6">
      <c r="A6" s="7" t="s">
        <v>467</v>
      </c>
      <c r="B6" s="176" t="s">
        <v>740</v>
      </c>
      <c r="C6" s="5" t="s">
        <v>423</v>
      </c>
      <c r="D6" s="177" t="s">
        <v>741</v>
      </c>
      <c r="E6" s="11" cm="1">
        <f ca="1" t="array" ref="E6">+EVALUATE(D6)</f>
        <v>10.62</v>
      </c>
      <c r="F6" s="5"/>
    </row>
    <row r="7" ht="39" customHeight="1" spans="1:6">
      <c r="A7" s="7" t="s">
        <v>467</v>
      </c>
      <c r="B7" s="176" t="s">
        <v>742</v>
      </c>
      <c r="C7" s="5" t="s">
        <v>423</v>
      </c>
      <c r="D7" s="177" t="s">
        <v>743</v>
      </c>
      <c r="E7" s="11" cm="1">
        <f ca="1" t="array" ref="E7">+EVALUATE(D7)</f>
        <v>5.152</v>
      </c>
      <c r="F7" s="5"/>
    </row>
    <row r="8" ht="37" customHeight="1" spans="1:6">
      <c r="A8" s="10" t="s">
        <v>103</v>
      </c>
      <c r="B8" s="176" t="s">
        <v>744</v>
      </c>
      <c r="C8" s="5" t="s">
        <v>423</v>
      </c>
      <c r="D8" s="178" t="s">
        <v>745</v>
      </c>
      <c r="E8" s="11" cm="1">
        <f ca="1" t="array" ref="E8">+EVALUATE(D8)</f>
        <v>31.1108</v>
      </c>
      <c r="F8" s="5"/>
    </row>
    <row r="9" ht="37" customHeight="1" spans="1:6">
      <c r="A9" s="10" t="s">
        <v>103</v>
      </c>
      <c r="B9" s="176" t="s">
        <v>746</v>
      </c>
      <c r="C9" s="5" t="s">
        <v>423</v>
      </c>
      <c r="D9" s="178" t="s">
        <v>747</v>
      </c>
      <c r="E9" s="11" cm="1">
        <f ca="1" t="array" ref="E9">+EVALUATE(D9)</f>
        <v>35.751</v>
      </c>
      <c r="F9" s="5"/>
    </row>
    <row r="10" ht="37" customHeight="1" spans="1:6">
      <c r="A10" s="10" t="s">
        <v>103</v>
      </c>
      <c r="B10" s="176" t="s">
        <v>748</v>
      </c>
      <c r="C10" s="5" t="s">
        <v>423</v>
      </c>
      <c r="D10" s="177" t="s">
        <v>749</v>
      </c>
      <c r="E10" s="11" cm="1">
        <f ca="1" t="array" ref="E10">+EVALUATE(D10)</f>
        <v>27.3568</v>
      </c>
      <c r="F10" s="5"/>
    </row>
    <row r="11" ht="27" customHeight="1" spans="1:6">
      <c r="A11" s="10" t="s">
        <v>103</v>
      </c>
      <c r="B11" s="176" t="s">
        <v>750</v>
      </c>
      <c r="C11" s="5" t="s">
        <v>423</v>
      </c>
      <c r="D11" s="179" t="s">
        <v>751</v>
      </c>
      <c r="E11" s="11" cm="1">
        <f ca="1" t="array" ref="E11">+EVALUATE(D11)</f>
        <v>40.564</v>
      </c>
      <c r="F11" s="5"/>
    </row>
    <row r="12" ht="28" customHeight="1" spans="1:6">
      <c r="A12" s="10" t="s">
        <v>107</v>
      </c>
      <c r="B12" s="176" t="s">
        <v>752</v>
      </c>
      <c r="C12" s="180" t="s">
        <v>109</v>
      </c>
      <c r="D12" s="177">
        <v>10.73</v>
      </c>
      <c r="E12" s="11" cm="1">
        <f ca="1" t="array" ref="E12">+EVALUATE(D12)</f>
        <v>10.73</v>
      </c>
      <c r="F12" s="5"/>
    </row>
    <row r="13" ht="28" customHeight="1" spans="1:6">
      <c r="A13" s="10" t="s">
        <v>107</v>
      </c>
      <c r="B13" s="176" t="s">
        <v>753</v>
      </c>
      <c r="C13" s="180" t="s">
        <v>109</v>
      </c>
      <c r="D13" s="177">
        <f>11.7+9.1+11.7</f>
        <v>32.5</v>
      </c>
      <c r="E13" s="11" cm="1">
        <f ca="1" t="array" ref="E13">+EVALUATE(D13)</f>
        <v>32.5</v>
      </c>
      <c r="F13" s="5"/>
    </row>
    <row r="14" ht="28" customHeight="1" spans="1:6">
      <c r="A14" s="10" t="s">
        <v>107</v>
      </c>
      <c r="B14" s="176" t="s">
        <v>754</v>
      </c>
      <c r="C14" s="180" t="s">
        <v>109</v>
      </c>
      <c r="D14" s="177">
        <v>10.75</v>
      </c>
      <c r="E14" s="11" cm="1">
        <f ca="1" t="array" ref="E14">+EVALUATE(D14)</f>
        <v>10.75</v>
      </c>
      <c r="F14" s="5"/>
    </row>
    <row r="15" ht="30" customHeight="1" spans="1:6">
      <c r="A15" s="10" t="s">
        <v>107</v>
      </c>
      <c r="B15" s="176" t="s">
        <v>755</v>
      </c>
      <c r="C15" s="180" t="s">
        <v>109</v>
      </c>
      <c r="D15" s="177">
        <f>12.06+1.26+7.3+1.26+9.02+1.26+4.7+1.26+12.06</f>
        <v>50.18</v>
      </c>
      <c r="E15" s="11" cm="1">
        <f ca="1" t="array" ref="E15">+EVALUATE(D15)</f>
        <v>50.18</v>
      </c>
      <c r="F15" s="5"/>
    </row>
    <row r="16" ht="34" customHeight="1" spans="1:6">
      <c r="A16" s="14" t="s">
        <v>110</v>
      </c>
      <c r="B16" s="176" t="s">
        <v>756</v>
      </c>
      <c r="C16" s="180" t="s">
        <v>423</v>
      </c>
      <c r="D16" s="178" t="s">
        <v>757</v>
      </c>
      <c r="E16" s="11" cm="1">
        <f ca="1" t="array" ref="E16">+EVALUATE(D16)</f>
        <v>22.816</v>
      </c>
      <c r="F16" s="5"/>
    </row>
    <row r="17" ht="34" customHeight="1" spans="1:6">
      <c r="A17" s="14" t="s">
        <v>110</v>
      </c>
      <c r="B17" s="176" t="s">
        <v>758</v>
      </c>
      <c r="C17" s="180" t="s">
        <v>423</v>
      </c>
      <c r="D17" s="177" t="s">
        <v>759</v>
      </c>
      <c r="E17" s="11" cm="1">
        <f ca="1" t="array" ref="E17">+EVALUATE(D17)</f>
        <v>3.8956</v>
      </c>
      <c r="F17" s="5"/>
    </row>
    <row r="18" ht="36" customHeight="1" spans="1:6">
      <c r="A18" s="14" t="s">
        <v>110</v>
      </c>
      <c r="B18" s="176" t="s">
        <v>760</v>
      </c>
      <c r="C18" s="180" t="s">
        <v>423</v>
      </c>
      <c r="D18" s="177" t="s">
        <v>761</v>
      </c>
      <c r="E18" s="11" cm="1">
        <f ca="1" t="array" ref="E18">+EVALUATE(D18)</f>
        <v>9.7666</v>
      </c>
      <c r="F18" s="5"/>
    </row>
    <row r="19" ht="27" customHeight="1" spans="1:6">
      <c r="A19" s="14" t="s">
        <v>110</v>
      </c>
      <c r="B19" s="176" t="s">
        <v>762</v>
      </c>
      <c r="C19" s="180" t="s">
        <v>423</v>
      </c>
      <c r="D19" s="177" t="s">
        <v>763</v>
      </c>
      <c r="E19" s="11" cm="1">
        <f ca="1" t="array" ref="E19">+EVALUATE(D19)</f>
        <v>0.95974</v>
      </c>
      <c r="F19" s="5"/>
    </row>
    <row r="20" ht="43" customHeight="1" spans="1:6">
      <c r="A20" s="14" t="s">
        <v>110</v>
      </c>
      <c r="B20" s="176" t="s">
        <v>764</v>
      </c>
      <c r="C20" s="180" t="s">
        <v>423</v>
      </c>
      <c r="D20" s="177" t="s">
        <v>765</v>
      </c>
      <c r="E20" s="11" cm="1">
        <f ca="1" t="array" ref="E20">+EVALUATE(D20)</f>
        <v>3.0912</v>
      </c>
      <c r="F20" s="5"/>
    </row>
    <row r="21" ht="43" customHeight="1" spans="1:6">
      <c r="A21" s="14" t="s">
        <v>110</v>
      </c>
      <c r="B21" s="176" t="s">
        <v>766</v>
      </c>
      <c r="C21" s="180" t="s">
        <v>423</v>
      </c>
      <c r="D21" s="177" t="s">
        <v>767</v>
      </c>
      <c r="E21" s="11" cm="1">
        <f ca="1" t="array" ref="E21">+EVALUATE(D21)</f>
        <v>9.5095</v>
      </c>
      <c r="F21" s="5"/>
    </row>
    <row r="22" ht="28" customHeight="1" spans="1:6">
      <c r="A22" s="14" t="s">
        <v>110</v>
      </c>
      <c r="B22" s="176" t="s">
        <v>768</v>
      </c>
      <c r="C22" s="180" t="s">
        <v>423</v>
      </c>
      <c r="D22" s="177" t="s">
        <v>769</v>
      </c>
      <c r="E22" s="11" cm="1">
        <f ca="1" t="array" ref="E22">+EVALUATE(D22)</f>
        <v>2.80775</v>
      </c>
      <c r="F22" s="5"/>
    </row>
    <row r="23" ht="30" customHeight="1" spans="1:6">
      <c r="A23" s="14" t="s">
        <v>110</v>
      </c>
      <c r="B23" s="176" t="s">
        <v>770</v>
      </c>
      <c r="C23" s="180" t="s">
        <v>423</v>
      </c>
      <c r="D23" s="177" t="s">
        <v>771</v>
      </c>
      <c r="E23" s="11" cm="1">
        <f ca="1" t="array" ref="E23">+EVALUATE(D23)</f>
        <v>7.4925</v>
      </c>
      <c r="F23" s="5"/>
    </row>
    <row r="24" ht="31" customHeight="1" spans="1:6">
      <c r="A24" s="14" t="s">
        <v>113</v>
      </c>
      <c r="B24" s="176" t="s">
        <v>114</v>
      </c>
      <c r="C24" s="5" t="s">
        <v>423</v>
      </c>
      <c r="D24" s="177" t="s">
        <v>772</v>
      </c>
      <c r="E24" s="11" cm="1">
        <f ca="1" t="array" ref="E24">+EVALUATE(D24)</f>
        <v>1.8606</v>
      </c>
      <c r="F24" s="5"/>
    </row>
    <row r="25" ht="31" customHeight="1" spans="1:6">
      <c r="A25" s="7" t="s">
        <v>467</v>
      </c>
      <c r="B25" s="7" t="s">
        <v>773</v>
      </c>
      <c r="C25" s="5" t="s">
        <v>423</v>
      </c>
      <c r="D25" s="7" t="s">
        <v>774</v>
      </c>
      <c r="E25" s="11" cm="1">
        <f ca="1" t="array" ref="E25">+EVALUATE(D25)</f>
        <v>4.3625</v>
      </c>
      <c r="F25" s="5"/>
    </row>
    <row r="26" ht="31" customHeight="1" spans="1:6">
      <c r="A26" s="7" t="s">
        <v>467</v>
      </c>
      <c r="B26" s="7" t="s">
        <v>773</v>
      </c>
      <c r="C26" s="5" t="s">
        <v>423</v>
      </c>
      <c r="D26" s="10" t="s">
        <v>775</v>
      </c>
      <c r="E26" s="11" cm="1">
        <f ca="1" t="array" ref="E26">+EVALUATE(D26)</f>
        <v>5.0135</v>
      </c>
      <c r="F26" s="5"/>
    </row>
    <row r="27" ht="31" customHeight="1" spans="1:6">
      <c r="A27" s="7" t="s">
        <v>467</v>
      </c>
      <c r="B27" s="7" t="s">
        <v>773</v>
      </c>
      <c r="C27" s="5" t="s">
        <v>423</v>
      </c>
      <c r="D27" s="10" t="s">
        <v>776</v>
      </c>
      <c r="E27" s="11" cm="1">
        <f ca="1" t="array" ref="E27">+EVALUATE(D27)</f>
        <v>4.9445</v>
      </c>
      <c r="F27" s="5"/>
    </row>
    <row r="28" ht="31" customHeight="1" spans="1:6">
      <c r="A28" s="7" t="s">
        <v>467</v>
      </c>
      <c r="B28" s="7" t="s">
        <v>773</v>
      </c>
      <c r="C28" s="5" t="s">
        <v>423</v>
      </c>
      <c r="D28" s="10" t="s">
        <v>777</v>
      </c>
      <c r="E28" s="11" cm="1">
        <f ca="1" t="array" ref="E28">+EVALUATE(D28)</f>
        <v>3.185</v>
      </c>
      <c r="F28" s="5"/>
    </row>
    <row r="29" ht="31" customHeight="1" spans="1:6">
      <c r="A29" s="7" t="s">
        <v>467</v>
      </c>
      <c r="B29" s="7" t="s">
        <v>773</v>
      </c>
      <c r="C29" s="5" t="s">
        <v>423</v>
      </c>
      <c r="D29" s="10" t="s">
        <v>778</v>
      </c>
      <c r="E29" s="11" cm="1">
        <f ca="1" t="array" ref="E29">+EVALUATE(D29)</f>
        <v>2.84</v>
      </c>
      <c r="F29" s="5"/>
    </row>
    <row r="30" ht="31" customHeight="1" spans="1:6">
      <c r="A30" s="7" t="s">
        <v>467</v>
      </c>
      <c r="B30" s="7" t="s">
        <v>773</v>
      </c>
      <c r="C30" s="5" t="s">
        <v>423</v>
      </c>
      <c r="D30" s="10" t="s">
        <v>779</v>
      </c>
      <c r="E30" s="11" cm="1">
        <f ca="1" t="array" ref="E30">+EVALUATE(D30)</f>
        <v>5.186</v>
      </c>
      <c r="F30" s="5"/>
    </row>
    <row r="31" ht="39" customHeight="1" spans="1:6">
      <c r="A31" s="14" t="s">
        <v>115</v>
      </c>
      <c r="B31" s="181" t="s">
        <v>116</v>
      </c>
      <c r="C31" s="5" t="s">
        <v>423</v>
      </c>
      <c r="D31" s="10" t="s">
        <v>780</v>
      </c>
      <c r="E31" s="23" cm="1">
        <f ca="1" t="array" ref="E31">+EVALUATE(D31)*3</f>
        <v>90.38733</v>
      </c>
      <c r="F31" s="5" t="s">
        <v>781</v>
      </c>
    </row>
    <row r="32" ht="32" customHeight="1" spans="1:6">
      <c r="A32" s="14"/>
      <c r="B32" s="181"/>
      <c r="C32" s="5"/>
      <c r="D32" s="7"/>
      <c r="E32" s="23"/>
      <c r="F32" s="5"/>
    </row>
    <row r="33" ht="24" customHeight="1" spans="1:7">
      <c r="A33" s="19" t="s">
        <v>119</v>
      </c>
      <c r="B33" s="7"/>
      <c r="C33" s="5"/>
      <c r="D33" s="7"/>
      <c r="E33" s="8">
        <f ca="1">SUM(E34:E115)</f>
        <v>1865.430189</v>
      </c>
      <c r="F33" s="5"/>
    </row>
    <row r="34" ht="23" customHeight="1" spans="1:7">
      <c r="A34" s="14" t="s">
        <v>121</v>
      </c>
      <c r="B34" s="7" t="s">
        <v>782</v>
      </c>
      <c r="C34" s="5" t="s">
        <v>423</v>
      </c>
      <c r="D34" s="7" t="s">
        <v>783</v>
      </c>
      <c r="E34" s="11" cm="1">
        <f ca="1" t="array" ref="E34">+EVALUATE(D34)</f>
        <v>20.3547</v>
      </c>
      <c r="F34" s="5"/>
    </row>
    <row r="35" ht="21" customHeight="1" spans="1:7">
      <c r="A35" s="14" t="s">
        <v>121</v>
      </c>
      <c r="B35" s="7" t="s">
        <v>782</v>
      </c>
      <c r="C35" s="5" t="s">
        <v>423</v>
      </c>
      <c r="D35" s="7" t="s">
        <v>784</v>
      </c>
      <c r="E35" s="11" cm="1">
        <f ca="1" t="array" ref="E35">+EVALUATE(D35)</f>
        <v>6.05385</v>
      </c>
      <c r="F35" s="5"/>
    </row>
    <row r="36" ht="18" customHeight="1" spans="1:7">
      <c r="A36" s="14" t="s">
        <v>121</v>
      </c>
      <c r="B36" s="7" t="s">
        <v>785</v>
      </c>
      <c r="C36" s="5" t="s">
        <v>423</v>
      </c>
      <c r="D36" s="7" t="s">
        <v>786</v>
      </c>
      <c r="E36" s="11" cm="1">
        <f ca="1" t="array" ref="E36">+EVALUATE(D36)</f>
        <v>3.3</v>
      </c>
      <c r="F36" s="5"/>
    </row>
    <row r="37" ht="18" customHeight="1" spans="1:7">
      <c r="A37" s="14" t="s">
        <v>121</v>
      </c>
      <c r="B37" s="10" t="s">
        <v>787</v>
      </c>
      <c r="C37" s="5" t="s">
        <v>423</v>
      </c>
      <c r="D37" s="7" t="s">
        <v>788</v>
      </c>
      <c r="E37" s="11" cm="1">
        <f ca="1" t="array" ref="E37">+EVALUATE(D37)</f>
        <v>3.8225</v>
      </c>
      <c r="F37" s="5"/>
    </row>
    <row r="38" ht="33" customHeight="1" spans="1:7">
      <c r="A38" s="14" t="s">
        <v>125</v>
      </c>
      <c r="B38" s="7" t="s">
        <v>789</v>
      </c>
      <c r="C38" s="5" t="s">
        <v>423</v>
      </c>
      <c r="D38" s="10" t="s">
        <v>790</v>
      </c>
      <c r="E38" s="11" cm="1">
        <f ca="1" t="array" ref="E38">+EVALUATE(D38)</f>
        <v>17.2127</v>
      </c>
      <c r="F38" s="5"/>
    </row>
    <row r="39" ht="22" customHeight="1" spans="1:7">
      <c r="A39" s="14" t="s">
        <v>125</v>
      </c>
      <c r="B39" s="7" t="s">
        <v>518</v>
      </c>
      <c r="C39" s="5" t="s">
        <v>423</v>
      </c>
      <c r="D39" s="7" t="s">
        <v>791</v>
      </c>
      <c r="E39" s="11" cm="1">
        <f ca="1" t="array" ref="E39">+EVALUATE(D39)</f>
        <v>20.175</v>
      </c>
      <c r="F39" s="5"/>
    </row>
    <row r="40" ht="30" customHeight="1" spans="1:7">
      <c r="A40" s="14" t="s">
        <v>125</v>
      </c>
      <c r="B40" s="7" t="s">
        <v>792</v>
      </c>
      <c r="C40" s="5" t="s">
        <v>423</v>
      </c>
      <c r="D40" s="10" t="s">
        <v>793</v>
      </c>
      <c r="E40" s="11" cm="1">
        <f ca="1" t="array" ref="E40">+EVALUATE(D40)</f>
        <v>13.0091</v>
      </c>
      <c r="F40" s="5"/>
    </row>
    <row r="41" ht="24" customHeight="1" spans="1:7">
      <c r="A41" s="14" t="s">
        <v>125</v>
      </c>
      <c r="B41" s="7" t="s">
        <v>794</v>
      </c>
      <c r="C41" s="5" t="s">
        <v>423</v>
      </c>
      <c r="D41" s="7" t="s">
        <v>795</v>
      </c>
      <c r="E41" s="11" cm="1">
        <f ca="1" t="array" ref="E41">+EVALUATE(D41)</f>
        <v>11.6948</v>
      </c>
      <c r="F41" s="5"/>
    </row>
    <row r="42" ht="34" customHeight="1" spans="1:7">
      <c r="A42" s="14" t="s">
        <v>125</v>
      </c>
      <c r="B42" s="7" t="s">
        <v>796</v>
      </c>
      <c r="C42" s="5" t="s">
        <v>423</v>
      </c>
      <c r="D42" s="10" t="s">
        <v>797</v>
      </c>
      <c r="E42" s="11" cm="1">
        <f ca="1" t="array" ref="E42">+EVALUATE(D42)</f>
        <v>19.8305</v>
      </c>
      <c r="F42" s="5"/>
    </row>
    <row r="43" ht="25" customHeight="1" spans="1:7">
      <c r="A43" s="7" t="s">
        <v>123</v>
      </c>
      <c r="B43" s="7" t="s">
        <v>789</v>
      </c>
      <c r="C43" s="5" t="s">
        <v>423</v>
      </c>
      <c r="D43" s="7" t="s">
        <v>798</v>
      </c>
      <c r="E43" s="11" cm="1">
        <f ca="1" t="array" ref="E43">+EVALUATE(D43)</f>
        <v>16.0878</v>
      </c>
      <c r="F43" s="5"/>
    </row>
    <row r="44" ht="21" customHeight="1" spans="1:7">
      <c r="A44" s="7" t="s">
        <v>123</v>
      </c>
      <c r="B44" s="7" t="s">
        <v>518</v>
      </c>
      <c r="C44" s="5" t="s">
        <v>423</v>
      </c>
      <c r="D44" s="7" t="s">
        <v>799</v>
      </c>
      <c r="E44" s="11" cm="1">
        <f ca="1" t="array" ref="E44">+EVALUATE(D44)</f>
        <v>10.3046</v>
      </c>
      <c r="F44" s="5"/>
    </row>
    <row r="45" ht="16" customHeight="1" spans="1:7">
      <c r="A45" s="7" t="s">
        <v>123</v>
      </c>
      <c r="B45" s="7" t="s">
        <v>792</v>
      </c>
      <c r="C45" s="5" t="s">
        <v>423</v>
      </c>
      <c r="D45" s="7" t="s">
        <v>800</v>
      </c>
      <c r="E45" s="11" cm="1">
        <f ca="1" t="array" ref="E45">+EVALUATE(D45)</f>
        <v>11.8614</v>
      </c>
      <c r="F45" s="5"/>
    </row>
    <row r="46" ht="16" customHeight="1" spans="1:7">
      <c r="A46" s="7" t="s">
        <v>123</v>
      </c>
      <c r="B46" s="7" t="s">
        <v>794</v>
      </c>
      <c r="C46" s="5" t="s">
        <v>423</v>
      </c>
      <c r="D46" s="7" t="s">
        <v>801</v>
      </c>
      <c r="E46" s="11" cm="1">
        <f ca="1" t="array" ref="E46">+EVALUATE(D46)</f>
        <v>6.3058</v>
      </c>
      <c r="F46" s="5"/>
    </row>
    <row r="47" ht="16" customHeight="1" spans="1:7">
      <c r="A47" s="7" t="s">
        <v>123</v>
      </c>
      <c r="B47" s="7" t="s">
        <v>796</v>
      </c>
      <c r="C47" s="5" t="s">
        <v>423</v>
      </c>
      <c r="D47" s="7" t="s">
        <v>798</v>
      </c>
      <c r="E47" s="11" cm="1">
        <f ca="1" t="array" ref="E47">+EVALUATE(D47)</f>
        <v>16.0878</v>
      </c>
      <c r="F47" s="5"/>
      <c r="G47" s="1" t="s">
        <v>802</v>
      </c>
    </row>
    <row r="48" ht="22" customHeight="1" spans="1:7">
      <c r="A48" s="24" t="s">
        <v>155</v>
      </c>
      <c r="B48" s="7" t="s">
        <v>803</v>
      </c>
      <c r="C48" s="5" t="s">
        <v>423</v>
      </c>
      <c r="D48" s="10" t="s">
        <v>804</v>
      </c>
      <c r="E48" s="11" cm="1">
        <f ca="1" t="array" ref="E48">+EVALUATE(D48)</f>
        <v>41.064</v>
      </c>
      <c r="F48" s="5"/>
      <c r="G48" s="1" t="s">
        <v>805</v>
      </c>
    </row>
    <row r="49" ht="32" customHeight="1" spans="1:7">
      <c r="A49" s="10" t="s">
        <v>520</v>
      </c>
      <c r="B49" s="7" t="s">
        <v>806</v>
      </c>
      <c r="C49" s="5" t="s">
        <v>423</v>
      </c>
      <c r="D49" s="10" t="s">
        <v>807</v>
      </c>
      <c r="E49" s="11" cm="1">
        <f ca="1" t="array" ref="E49">+EVALUATE(D49)</f>
        <v>35.1175</v>
      </c>
      <c r="F49" s="5"/>
    </row>
    <row r="50" ht="24" customHeight="1" spans="1:7">
      <c r="A50" s="14" t="s">
        <v>121</v>
      </c>
      <c r="B50" s="7" t="s">
        <v>806</v>
      </c>
      <c r="C50" s="5" t="s">
        <v>423</v>
      </c>
      <c r="D50" s="10" t="s">
        <v>808</v>
      </c>
      <c r="E50" s="11" cm="1">
        <f ca="1" t="array" ref="E50">+EVALUATE(D50)</f>
        <v>3.10526</v>
      </c>
      <c r="F50" s="5"/>
    </row>
    <row r="51" ht="16" customHeight="1" spans="1:7">
      <c r="A51" s="7" t="s">
        <v>157</v>
      </c>
      <c r="B51" s="7" t="s">
        <v>313</v>
      </c>
      <c r="C51" s="5" t="s">
        <v>423</v>
      </c>
      <c r="D51" s="7" t="s">
        <v>809</v>
      </c>
      <c r="E51" s="11" cm="1">
        <f ca="1" t="array" ref="E51">+EVALUATE(D51)</f>
        <v>28.5482</v>
      </c>
      <c r="F51" s="5"/>
    </row>
    <row r="52" ht="16" customHeight="1" spans="1:7">
      <c r="A52" s="7" t="s">
        <v>159</v>
      </c>
      <c r="B52" s="7" t="s">
        <v>313</v>
      </c>
      <c r="C52" s="5" t="s">
        <v>423</v>
      </c>
      <c r="D52" s="7" t="s">
        <v>810</v>
      </c>
      <c r="E52" s="11" cm="1">
        <f ca="1" t="array" ref="E52">+EVALUATE(D52)</f>
        <v>57.6198</v>
      </c>
      <c r="F52" s="5"/>
    </row>
    <row r="53" ht="16" customHeight="1" spans="1:7">
      <c r="A53" s="14" t="s">
        <v>121</v>
      </c>
      <c r="B53" s="7" t="s">
        <v>811</v>
      </c>
      <c r="C53" s="5" t="s">
        <v>423</v>
      </c>
      <c r="D53" s="7" t="s">
        <v>812</v>
      </c>
      <c r="E53" s="11" cm="1">
        <f ca="1" t="array" ref="E53">+EVALUATE(D53)</f>
        <v>5.376</v>
      </c>
      <c r="F53" s="5"/>
    </row>
    <row r="54" ht="16" customHeight="1" spans="1:7">
      <c r="A54" s="7" t="s">
        <v>146</v>
      </c>
      <c r="B54" s="7" t="s">
        <v>813</v>
      </c>
      <c r="C54" s="5" t="s">
        <v>423</v>
      </c>
      <c r="D54" s="7" t="s">
        <v>814</v>
      </c>
      <c r="E54" s="11" cm="1">
        <f ca="1" t="array" ref="E54">+EVALUATE(D54)</f>
        <v>120.9941</v>
      </c>
      <c r="F54" s="5"/>
    </row>
    <row r="55" ht="18" customHeight="1" spans="1:7">
      <c r="A55" s="7" t="s">
        <v>127</v>
      </c>
      <c r="B55" s="7" t="s">
        <v>313</v>
      </c>
      <c r="C55" s="5" t="s">
        <v>423</v>
      </c>
      <c r="D55" s="7" t="s">
        <v>815</v>
      </c>
      <c r="E55" s="11" cm="1">
        <f ca="1" t="array" ref="E55">+EVALUATE(D55)</f>
        <v>13.65015</v>
      </c>
      <c r="F55" s="5" t="s">
        <v>816</v>
      </c>
    </row>
    <row r="56" ht="18" customHeight="1" spans="1:7">
      <c r="A56" s="7" t="s">
        <v>129</v>
      </c>
      <c r="B56" s="7" t="s">
        <v>313</v>
      </c>
      <c r="C56" s="5" t="s">
        <v>423</v>
      </c>
      <c r="D56" s="7" t="s">
        <v>817</v>
      </c>
      <c r="E56" s="11" cm="1">
        <f ca="1" t="array" ref="E56">+EVALUATE(D56)</f>
        <v>6.6568</v>
      </c>
      <c r="F56" s="5"/>
    </row>
    <row r="57" ht="29" customHeight="1" spans="1:7">
      <c r="A57" s="10" t="s">
        <v>162</v>
      </c>
      <c r="B57" s="7" t="s">
        <v>313</v>
      </c>
      <c r="C57" s="5" t="s">
        <v>423</v>
      </c>
      <c r="D57" s="10" t="s">
        <v>818</v>
      </c>
      <c r="E57" s="11" cm="1">
        <f ca="1" t="array" ref="E57">+EVALUATE(D57)</f>
        <v>57.57392</v>
      </c>
      <c r="F57" s="5" t="s">
        <v>819</v>
      </c>
      <c r="G57" s="1" t="s">
        <v>820</v>
      </c>
    </row>
    <row r="58" ht="29" customHeight="1" spans="1:7">
      <c r="A58" s="10" t="s">
        <v>163</v>
      </c>
      <c r="B58" s="7" t="s">
        <v>313</v>
      </c>
      <c r="C58" s="5" t="s">
        <v>423</v>
      </c>
      <c r="D58" s="10" t="s">
        <v>821</v>
      </c>
      <c r="E58" s="11" cm="1">
        <f ca="1" t="array" ref="E58">+EVALUATE(D58)</f>
        <v>7.2848</v>
      </c>
      <c r="F58" s="5"/>
    </row>
    <row r="59" ht="23" customHeight="1" spans="1:7">
      <c r="A59" s="7" t="s">
        <v>150</v>
      </c>
      <c r="B59" s="7" t="s">
        <v>313</v>
      </c>
      <c r="C59" s="5" t="s">
        <v>423</v>
      </c>
      <c r="D59" s="182" t="s">
        <v>822</v>
      </c>
      <c r="E59" s="11" cm="1">
        <f ca="1" t="array" ref="E59">+EVALUATE(D59)</f>
        <v>43.1642</v>
      </c>
      <c r="F59" s="5" t="s">
        <v>823</v>
      </c>
    </row>
    <row r="60" ht="16" customHeight="1" spans="1:7">
      <c r="A60" s="7" t="s">
        <v>152</v>
      </c>
      <c r="B60" s="7" t="s">
        <v>313</v>
      </c>
      <c r="C60" s="5" t="s">
        <v>423</v>
      </c>
      <c r="D60" s="182" t="s">
        <v>824</v>
      </c>
      <c r="E60" s="11" cm="1">
        <f ca="1" t="array" ref="E60">+EVALUATE(D60)</f>
        <v>1.7936</v>
      </c>
      <c r="F60" s="5" t="s">
        <v>825</v>
      </c>
    </row>
    <row r="61" ht="16" customHeight="1" spans="1:7">
      <c r="A61" s="7" t="s">
        <v>150</v>
      </c>
      <c r="B61" s="7" t="s">
        <v>313</v>
      </c>
      <c r="C61" s="5" t="s">
        <v>423</v>
      </c>
      <c r="D61" s="7" t="s">
        <v>826</v>
      </c>
      <c r="E61" s="11" cm="1">
        <f ca="1" t="array" ref="E61">+EVALUATE(D61)</f>
        <v>5.256</v>
      </c>
      <c r="F61" s="5" t="s">
        <v>827</v>
      </c>
    </row>
    <row r="62" ht="16" customHeight="1" spans="1:7">
      <c r="A62" s="7" t="s">
        <v>152</v>
      </c>
      <c r="B62" s="7" t="s">
        <v>313</v>
      </c>
      <c r="C62" s="5" t="s">
        <v>423</v>
      </c>
      <c r="D62" s="7" t="s">
        <v>828</v>
      </c>
      <c r="E62" s="11" cm="1">
        <f ca="1" t="array" ref="E62">+EVALUATE(D62)</f>
        <v>0.33984</v>
      </c>
      <c r="F62" s="5"/>
    </row>
    <row r="63" ht="16" customHeight="1" spans="1:7">
      <c r="A63" s="7" t="s">
        <v>150</v>
      </c>
      <c r="B63" s="7" t="s">
        <v>313</v>
      </c>
      <c r="C63" s="5" t="s">
        <v>423</v>
      </c>
      <c r="D63" s="7" t="s">
        <v>829</v>
      </c>
      <c r="E63" s="11" cm="1">
        <f ca="1" t="array" ref="E63">+EVALUATE(D63)</f>
        <v>1.2019</v>
      </c>
      <c r="F63" s="5" t="s">
        <v>830</v>
      </c>
    </row>
    <row r="64" ht="16" customHeight="1" spans="1:7">
      <c r="A64" s="7" t="s">
        <v>150</v>
      </c>
      <c r="B64" s="7" t="s">
        <v>313</v>
      </c>
      <c r="C64" s="5" t="s">
        <v>423</v>
      </c>
      <c r="D64" s="7" t="s">
        <v>831</v>
      </c>
      <c r="E64" s="11" cm="1">
        <f ca="1" t="array" ref="E64">+EVALUATE(D64)</f>
        <v>13.042428</v>
      </c>
      <c r="F64" s="5" t="s">
        <v>534</v>
      </c>
    </row>
    <row r="65" ht="16" customHeight="1" spans="1:7">
      <c r="A65" s="7" t="s">
        <v>159</v>
      </c>
      <c r="B65" s="7" t="s">
        <v>832</v>
      </c>
      <c r="C65" s="5" t="s">
        <v>423</v>
      </c>
      <c r="D65" s="7" t="s">
        <v>833</v>
      </c>
      <c r="E65" s="11" cm="1">
        <f ca="1" t="array" ref="E65">+EVALUATE(D65)</f>
        <v>60.78564</v>
      </c>
      <c r="F65" s="5"/>
    </row>
    <row r="66" ht="16" customHeight="1" spans="1:7">
      <c r="A66" s="7" t="s">
        <v>161</v>
      </c>
      <c r="B66" s="7" t="s">
        <v>832</v>
      </c>
      <c r="C66" s="5" t="s">
        <v>423</v>
      </c>
      <c r="D66" s="7" t="s">
        <v>834</v>
      </c>
      <c r="E66" s="11" cm="1">
        <f ca="1" t="array" ref="E66">+EVALUATE(D66)</f>
        <v>10.35432</v>
      </c>
      <c r="F66" s="5"/>
    </row>
    <row r="67" ht="16" customHeight="1" spans="1:7">
      <c r="A67" s="7" t="s">
        <v>148</v>
      </c>
      <c r="B67" s="7" t="s">
        <v>832</v>
      </c>
      <c r="C67" s="5" t="s">
        <v>423</v>
      </c>
      <c r="D67" s="7" t="s">
        <v>835</v>
      </c>
      <c r="E67" s="11" cm="1">
        <f ca="1" t="array" ref="E67">+EVALUATE(D67)</f>
        <v>4.2328</v>
      </c>
      <c r="F67" s="5"/>
    </row>
    <row r="68" ht="16" customHeight="1" spans="1:7">
      <c r="A68" s="7" t="s">
        <v>127</v>
      </c>
      <c r="B68" s="7" t="s">
        <v>832</v>
      </c>
      <c r="C68" s="5" t="s">
        <v>423</v>
      </c>
      <c r="D68" s="7" t="s">
        <v>836</v>
      </c>
      <c r="E68" s="11" cm="1">
        <f ca="1" t="array" ref="E68">+EVALUATE(D68)</f>
        <v>17.21122</v>
      </c>
      <c r="F68" s="5" t="s">
        <v>508</v>
      </c>
    </row>
    <row r="69" ht="16" customHeight="1" spans="1:7">
      <c r="A69" s="7" t="s">
        <v>129</v>
      </c>
      <c r="B69" s="7" t="s">
        <v>832</v>
      </c>
      <c r="C69" s="5" t="s">
        <v>423</v>
      </c>
      <c r="D69" s="7" t="s">
        <v>837</v>
      </c>
      <c r="E69" s="11" cm="1">
        <f ca="1" t="array" ref="E69">+EVALUATE(D69)</f>
        <v>1.33136</v>
      </c>
      <c r="F69" s="5"/>
    </row>
    <row r="70" ht="16" customHeight="1" spans="1:7">
      <c r="A70" s="7" t="s">
        <v>127</v>
      </c>
      <c r="B70" s="7" t="s">
        <v>832</v>
      </c>
      <c r="C70" s="5" t="s">
        <v>423</v>
      </c>
      <c r="D70" s="7" t="s">
        <v>838</v>
      </c>
      <c r="E70" s="11" cm="1">
        <f ca="1" t="array" ref="E70">+EVALUATE(D70)</f>
        <v>4.312</v>
      </c>
      <c r="F70" s="5" t="s">
        <v>839</v>
      </c>
    </row>
    <row r="71" ht="16" customHeight="1" spans="1:7">
      <c r="A71" s="7" t="s">
        <v>129</v>
      </c>
      <c r="B71" s="7" t="s">
        <v>832</v>
      </c>
      <c r="C71" s="5" t="s">
        <v>423</v>
      </c>
      <c r="D71" s="7" t="s">
        <v>840</v>
      </c>
      <c r="E71" s="11" cm="1">
        <f ca="1" t="array" ref="E71">+EVALUATE(D71)</f>
        <v>1.10528</v>
      </c>
      <c r="F71" s="5"/>
    </row>
    <row r="72" ht="16" customHeight="1" spans="1:7">
      <c r="A72" s="14" t="s">
        <v>121</v>
      </c>
      <c r="B72" s="7" t="s">
        <v>832</v>
      </c>
      <c r="C72" s="5" t="s">
        <v>423</v>
      </c>
      <c r="D72" s="7" t="s">
        <v>841</v>
      </c>
      <c r="E72" s="11" cm="1">
        <f ca="1" t="array" ref="E72">+EVALUATE(D72)</f>
        <v>6.4948</v>
      </c>
      <c r="F72" s="5"/>
    </row>
    <row r="73" ht="16" customHeight="1" spans="1:7">
      <c r="A73" s="7" t="s">
        <v>164</v>
      </c>
      <c r="B73" s="7" t="s">
        <v>842</v>
      </c>
      <c r="C73" s="5" t="s">
        <v>423</v>
      </c>
      <c r="D73" s="7" t="s">
        <v>843</v>
      </c>
      <c r="E73" s="11" cm="1">
        <f ca="1" t="array" ref="E73">+EVALUATE(D73)</f>
        <v>22.40616</v>
      </c>
      <c r="F73" s="5" t="s">
        <v>844</v>
      </c>
    </row>
    <row r="74" ht="16" customHeight="1" spans="1:7">
      <c r="A74" s="7" t="s">
        <v>165</v>
      </c>
      <c r="B74" s="7" t="s">
        <v>842</v>
      </c>
      <c r="C74" s="5" t="s">
        <v>423</v>
      </c>
      <c r="D74" s="7" t="s">
        <v>845</v>
      </c>
      <c r="E74" s="11" cm="1">
        <f ca="1" t="array" ref="E74">+EVALUATE(D74)</f>
        <v>1.00128</v>
      </c>
      <c r="F74" s="5"/>
    </row>
    <row r="75" ht="16" customHeight="1" spans="1:7">
      <c r="A75" s="7" t="s">
        <v>131</v>
      </c>
      <c r="B75" s="7" t="s">
        <v>842</v>
      </c>
      <c r="C75" s="5" t="s">
        <v>423</v>
      </c>
      <c r="D75" s="7" t="s">
        <v>846</v>
      </c>
      <c r="E75" s="11" cm="1">
        <f ca="1" t="array" ref="E75">+EVALUATE(D75)</f>
        <v>6.16</v>
      </c>
      <c r="F75" s="5" t="s">
        <v>847</v>
      </c>
      <c r="G75" s="1" t="s">
        <v>848</v>
      </c>
    </row>
    <row r="76" ht="16" customHeight="1" spans="1:7">
      <c r="A76" s="7" t="s">
        <v>133</v>
      </c>
      <c r="B76" s="7" t="s">
        <v>842</v>
      </c>
      <c r="C76" s="5" t="s">
        <v>423</v>
      </c>
      <c r="D76" s="7" t="s">
        <v>849</v>
      </c>
      <c r="E76" s="11" cm="1">
        <f ca="1" t="array" ref="E76">+EVALUATE(D76)</f>
        <v>1.192</v>
      </c>
      <c r="F76" s="5" t="s">
        <v>847</v>
      </c>
    </row>
    <row r="77" ht="16" customHeight="1" spans="1:7">
      <c r="A77" s="7" t="s">
        <v>127</v>
      </c>
      <c r="B77" s="7" t="s">
        <v>842</v>
      </c>
      <c r="C77" s="5" t="s">
        <v>423</v>
      </c>
      <c r="D77" s="7" t="s">
        <v>850</v>
      </c>
      <c r="E77" s="11" cm="1">
        <f ca="1" t="array" ref="E77">+EVALUATE(D77)</f>
        <v>12.66048</v>
      </c>
      <c r="F77" s="5" t="s">
        <v>844</v>
      </c>
    </row>
    <row r="78" ht="16" customHeight="1" spans="1:7">
      <c r="A78" s="7" t="s">
        <v>129</v>
      </c>
      <c r="B78" s="7" t="s">
        <v>842</v>
      </c>
      <c r="C78" s="5" t="s">
        <v>423</v>
      </c>
      <c r="D78" s="7" t="s">
        <v>851</v>
      </c>
      <c r="E78" s="11" cm="1">
        <f ca="1" t="array" ref="E78">+EVALUATE(D78)</f>
        <v>1.71864</v>
      </c>
      <c r="F78" s="5" t="s">
        <v>844</v>
      </c>
    </row>
    <row r="79" ht="16" customHeight="1" spans="1:7">
      <c r="A79" s="7" t="s">
        <v>121</v>
      </c>
      <c r="B79" s="10" t="s">
        <v>852</v>
      </c>
      <c r="C79" s="5" t="s">
        <v>423</v>
      </c>
      <c r="D79" s="7" t="s">
        <v>853</v>
      </c>
      <c r="E79" s="11" cm="1">
        <f ca="1" t="array" ref="E79">+EVALUATE(D79)</f>
        <v>2.2284</v>
      </c>
      <c r="F79" s="5"/>
    </row>
    <row r="80" ht="16" customHeight="1" spans="1:7">
      <c r="A80" s="7" t="s">
        <v>121</v>
      </c>
      <c r="B80" s="7" t="s">
        <v>114</v>
      </c>
      <c r="C80" s="5" t="s">
        <v>423</v>
      </c>
      <c r="D80" s="7" t="s">
        <v>854</v>
      </c>
      <c r="E80" s="11" cm="1">
        <f ca="1" t="array" ref="E80">+EVALUATE(D80)</f>
        <v>36.66663</v>
      </c>
      <c r="F80" s="5" t="s">
        <v>855</v>
      </c>
    </row>
    <row r="81" ht="16" customHeight="1" spans="1:6">
      <c r="A81" s="7" t="s">
        <v>123</v>
      </c>
      <c r="B81" s="7" t="s">
        <v>114</v>
      </c>
      <c r="C81" s="5" t="s">
        <v>423</v>
      </c>
      <c r="D81" s="7" t="s">
        <v>856</v>
      </c>
      <c r="E81" s="11" cm="1">
        <f ca="1" t="array" ref="E81">+EVALUATE(D81)</f>
        <v>39.82902</v>
      </c>
      <c r="F81" s="5"/>
    </row>
    <row r="82" ht="16" customHeight="1" spans="1:6">
      <c r="A82" s="7" t="s">
        <v>127</v>
      </c>
      <c r="B82" s="7" t="s">
        <v>857</v>
      </c>
      <c r="C82" s="5" t="s">
        <v>423</v>
      </c>
      <c r="D82" s="7" t="s">
        <v>858</v>
      </c>
      <c r="E82" s="11" cm="1">
        <f ca="1" t="array" ref="E82">+EVALUATE(D82)</f>
        <v>11.7612</v>
      </c>
      <c r="F82" s="5" t="s">
        <v>859</v>
      </c>
    </row>
    <row r="83" ht="16" customHeight="1" spans="1:6">
      <c r="A83" s="7" t="s">
        <v>127</v>
      </c>
      <c r="B83" s="7" t="s">
        <v>857</v>
      </c>
      <c r="C83" s="5" t="s">
        <v>423</v>
      </c>
      <c r="D83" s="7" t="s">
        <v>860</v>
      </c>
      <c r="E83" s="11" cm="1">
        <f ca="1" t="array" ref="E83">+EVALUATE(D83)</f>
        <v>18.11724</v>
      </c>
      <c r="F83" s="5" t="s">
        <v>205</v>
      </c>
    </row>
    <row r="84" ht="16" customHeight="1" spans="1:6">
      <c r="A84" s="7" t="s">
        <v>129</v>
      </c>
      <c r="B84" s="7" t="s">
        <v>857</v>
      </c>
      <c r="C84" s="5" t="s">
        <v>423</v>
      </c>
      <c r="D84" s="7" t="s">
        <v>861</v>
      </c>
      <c r="E84" s="11" cm="1">
        <f ca="1" t="array" ref="E84">+EVALUATE(D84)</f>
        <v>2.08496</v>
      </c>
      <c r="F84" s="5"/>
    </row>
    <row r="85" ht="16" customHeight="1" spans="1:6">
      <c r="A85" s="12" t="s">
        <v>150</v>
      </c>
      <c r="B85" s="12" t="s">
        <v>114</v>
      </c>
      <c r="C85" s="5" t="s">
        <v>423</v>
      </c>
      <c r="D85" s="182" t="s">
        <v>862</v>
      </c>
      <c r="E85" s="11" cm="1">
        <f ca="1" t="array" ref="E85">+EVALUATE(D85)</f>
        <v>11.942925</v>
      </c>
      <c r="F85" s="5"/>
    </row>
    <row r="86" ht="16" customHeight="1" spans="1:6">
      <c r="A86" s="12" t="s">
        <v>152</v>
      </c>
      <c r="B86" s="12" t="s">
        <v>114</v>
      </c>
      <c r="C86" s="5" t="s">
        <v>423</v>
      </c>
      <c r="D86" s="182" t="s">
        <v>863</v>
      </c>
      <c r="E86" s="11" cm="1">
        <f ca="1" t="array" ref="E86">+EVALUATE(D86)</f>
        <v>2.0577</v>
      </c>
      <c r="F86" s="5"/>
    </row>
    <row r="87" ht="16" customHeight="1" spans="1:6">
      <c r="A87" s="7" t="s">
        <v>127</v>
      </c>
      <c r="B87" s="7" t="s">
        <v>864</v>
      </c>
      <c r="C87" s="5" t="s">
        <v>423</v>
      </c>
      <c r="D87" s="7" t="s">
        <v>865</v>
      </c>
      <c r="E87" s="11" cm="1">
        <f ca="1" t="array" ref="E87">+EVALUATE(D87)</f>
        <v>8.2806</v>
      </c>
      <c r="F87" s="5" t="s">
        <v>538</v>
      </c>
    </row>
    <row r="88" ht="16" customHeight="1" spans="1:6">
      <c r="A88" s="7" t="s">
        <v>129</v>
      </c>
      <c r="B88" s="7" t="s">
        <v>866</v>
      </c>
      <c r="C88" s="5" t="s">
        <v>423</v>
      </c>
      <c r="D88" s="7" t="s">
        <v>867</v>
      </c>
      <c r="E88" s="11" cm="1">
        <f ca="1" t="array" ref="E88">+EVALUATE(D88)</f>
        <v>0.58164</v>
      </c>
      <c r="F88" s="5" t="s">
        <v>538</v>
      </c>
    </row>
    <row r="89" ht="16" customHeight="1" spans="1:6">
      <c r="A89" s="12" t="s">
        <v>150</v>
      </c>
      <c r="B89" s="12" t="s">
        <v>868</v>
      </c>
      <c r="C89" s="5" t="s">
        <v>423</v>
      </c>
      <c r="D89" s="182" t="s">
        <v>869</v>
      </c>
      <c r="E89" s="11" cm="1">
        <f ca="1" t="array" ref="E89">+EVALUATE(D89)</f>
        <v>5.7285</v>
      </c>
      <c r="F89" s="5"/>
    </row>
    <row r="90" ht="16" customHeight="1" spans="1:6">
      <c r="A90" s="12" t="s">
        <v>125</v>
      </c>
      <c r="B90" s="12" t="s">
        <v>870</v>
      </c>
      <c r="C90" s="5" t="s">
        <v>423</v>
      </c>
      <c r="D90" s="7" t="s">
        <v>871</v>
      </c>
      <c r="E90" s="11" cm="1">
        <f ca="1" t="array" ref="E90">+EVALUATE(D90)</f>
        <v>20.7082</v>
      </c>
      <c r="F90" s="5" t="s">
        <v>872</v>
      </c>
    </row>
    <row r="91" ht="16" customHeight="1" spans="1:6">
      <c r="A91" s="7" t="s">
        <v>127</v>
      </c>
      <c r="B91" s="7" t="s">
        <v>873</v>
      </c>
      <c r="C91" s="5" t="s">
        <v>423</v>
      </c>
      <c r="D91" s="182" t="s">
        <v>874</v>
      </c>
      <c r="E91" s="11" cm="1">
        <f ca="1" t="array" ref="E91">+EVALUATE(D91)</f>
        <v>103.70542</v>
      </c>
      <c r="F91" s="5" t="s">
        <v>875</v>
      </c>
    </row>
    <row r="92" ht="16" customHeight="1" spans="1:6">
      <c r="A92" s="7" t="s">
        <v>129</v>
      </c>
      <c r="B92" s="7" t="s">
        <v>873</v>
      </c>
      <c r="C92" s="5" t="s">
        <v>423</v>
      </c>
      <c r="D92" s="7" t="s">
        <v>876</v>
      </c>
      <c r="E92" s="11" cm="1">
        <f ca="1" t="array" ref="E92">+EVALUATE(D92)</f>
        <v>10.88952</v>
      </c>
      <c r="F92" s="5" t="s">
        <v>875</v>
      </c>
    </row>
    <row r="93" ht="30" customHeight="1" spans="1:6">
      <c r="A93" s="10" t="s">
        <v>134</v>
      </c>
      <c r="B93" s="7" t="s">
        <v>873</v>
      </c>
      <c r="C93" s="5" t="s">
        <v>423</v>
      </c>
      <c r="D93" s="7" t="s">
        <v>877</v>
      </c>
      <c r="E93" s="11" cm="1">
        <f ca="1" t="array" ref="E93">+EVALUATE(D93)</f>
        <v>72.715876</v>
      </c>
      <c r="F93" s="5" t="s">
        <v>875</v>
      </c>
    </row>
    <row r="94" ht="30" customHeight="1" spans="1:6">
      <c r="A94" s="10" t="s">
        <v>137</v>
      </c>
      <c r="B94" s="7" t="s">
        <v>873</v>
      </c>
      <c r="C94" s="5" t="s">
        <v>423</v>
      </c>
      <c r="D94" s="7" t="s">
        <v>878</v>
      </c>
      <c r="E94" s="11" cm="1">
        <f ca="1" t="array" ref="E94">+EVALUATE(D94)</f>
        <v>2.64922</v>
      </c>
      <c r="F94" s="5" t="s">
        <v>875</v>
      </c>
    </row>
    <row r="95" ht="26" customHeight="1" spans="1:6">
      <c r="A95" s="14" t="s">
        <v>879</v>
      </c>
      <c r="B95" s="7" t="s">
        <v>114</v>
      </c>
      <c r="C95" s="5" t="s">
        <v>423</v>
      </c>
      <c r="D95" s="7" t="s">
        <v>880</v>
      </c>
      <c r="E95" s="11" cm="1">
        <f ca="1" t="array" ref="E95">+EVALUATE(D95)</f>
        <v>13.4343</v>
      </c>
      <c r="F95" s="5"/>
    </row>
    <row r="96" ht="24" customHeight="1" spans="1:6">
      <c r="A96" s="14" t="s">
        <v>879</v>
      </c>
      <c r="B96" s="7" t="s">
        <v>114</v>
      </c>
      <c r="C96" s="5" t="s">
        <v>423</v>
      </c>
      <c r="D96" s="7" t="s">
        <v>881</v>
      </c>
      <c r="E96" s="11" cm="1">
        <f ca="1" t="array" ref="E96">+EVALUATE(D96)</f>
        <v>1.24344</v>
      </c>
      <c r="F96" s="5"/>
    </row>
    <row r="97" ht="16" customHeight="1" spans="1:6">
      <c r="A97" s="7" t="s">
        <v>164</v>
      </c>
      <c r="B97" s="7" t="s">
        <v>882</v>
      </c>
      <c r="C97" s="5" t="s">
        <v>423</v>
      </c>
      <c r="D97" s="7" t="s">
        <v>883</v>
      </c>
      <c r="E97" s="11" cm="1">
        <f ca="1" t="array" ref="E97">+EVALUATE(D97)</f>
        <v>5.94468</v>
      </c>
      <c r="F97" s="5"/>
    </row>
    <row r="98" ht="16" customHeight="1" spans="1:6">
      <c r="A98" s="7" t="s">
        <v>165</v>
      </c>
      <c r="B98" s="7" t="s">
        <v>882</v>
      </c>
      <c r="C98" s="5" t="s">
        <v>423</v>
      </c>
      <c r="D98" s="7" t="s">
        <v>884</v>
      </c>
      <c r="E98" s="11" cm="1">
        <f ca="1" t="array" ref="E98">+EVALUATE(D98)</f>
        <v>0.50064</v>
      </c>
      <c r="F98" s="5"/>
    </row>
    <row r="99" ht="16" customHeight="1" spans="1:6">
      <c r="A99" s="7" t="s">
        <v>127</v>
      </c>
      <c r="B99" s="12" t="s">
        <v>885</v>
      </c>
      <c r="C99" s="5" t="s">
        <v>423</v>
      </c>
      <c r="D99" s="182" t="s">
        <v>886</v>
      </c>
      <c r="E99" s="11" cm="1">
        <f ca="1" t="array" ref="E99">+EVALUATE(D99)</f>
        <v>18.9588</v>
      </c>
      <c r="F99" s="5"/>
    </row>
    <row r="100" ht="16" customHeight="1" spans="1:6">
      <c r="A100" s="7" t="s">
        <v>129</v>
      </c>
      <c r="B100" s="12" t="s">
        <v>887</v>
      </c>
      <c r="C100" s="5" t="s">
        <v>423</v>
      </c>
      <c r="D100" s="182" t="s">
        <v>888</v>
      </c>
      <c r="E100" s="11" cm="1">
        <f ca="1" t="array" ref="E100">+EVALUATE(D100)</f>
        <v>1.74492</v>
      </c>
      <c r="F100" s="5"/>
    </row>
    <row r="101" ht="16" customHeight="1" spans="1:6">
      <c r="A101" s="7" t="s">
        <v>127</v>
      </c>
      <c r="B101" s="7" t="s">
        <v>889</v>
      </c>
      <c r="C101" s="5" t="s">
        <v>423</v>
      </c>
      <c r="D101" s="182" t="s">
        <v>890</v>
      </c>
      <c r="E101" s="11" cm="1">
        <f ca="1" t="array" ref="E101">+EVALUATE(D101)</f>
        <v>118.14356</v>
      </c>
      <c r="F101" s="5" t="s">
        <v>891</v>
      </c>
    </row>
    <row r="102" ht="16" customHeight="1" spans="1:6">
      <c r="A102" s="7" t="s">
        <v>129</v>
      </c>
      <c r="B102" s="7" t="s">
        <v>889</v>
      </c>
      <c r="C102" s="5" t="s">
        <v>423</v>
      </c>
      <c r="D102" s="7" t="s">
        <v>876</v>
      </c>
      <c r="E102" s="11" cm="1">
        <f ca="1" t="array" ref="E102">+EVALUATE(D102)</f>
        <v>10.88952</v>
      </c>
      <c r="F102" s="5" t="s">
        <v>891</v>
      </c>
    </row>
    <row r="103" ht="16" customHeight="1" spans="1:6">
      <c r="A103" s="12" t="s">
        <v>125</v>
      </c>
      <c r="B103" s="12" t="s">
        <v>892</v>
      </c>
      <c r="C103" s="5" t="s">
        <v>423</v>
      </c>
      <c r="D103" s="7" t="s">
        <v>893</v>
      </c>
      <c r="E103" s="11" cm="1">
        <f ca="1" t="array" ref="E103">+EVALUATE(D103)</f>
        <v>58.15326</v>
      </c>
      <c r="F103" s="5"/>
    </row>
    <row r="104" ht="16" customHeight="1" spans="1:6">
      <c r="A104" s="10" t="s">
        <v>134</v>
      </c>
      <c r="B104" s="7" t="s">
        <v>889</v>
      </c>
      <c r="C104" s="5" t="s">
        <v>423</v>
      </c>
      <c r="D104" s="7" t="s">
        <v>894</v>
      </c>
      <c r="E104" s="11" cm="1">
        <f ca="1" t="array" ref="E104">+EVALUATE(D104)</f>
        <v>101.830626</v>
      </c>
      <c r="F104" s="5" t="s">
        <v>891</v>
      </c>
    </row>
    <row r="105" ht="26" customHeight="1" spans="1:6">
      <c r="A105" s="10" t="s">
        <v>137</v>
      </c>
      <c r="B105" s="7" t="s">
        <v>889</v>
      </c>
      <c r="C105" s="5" t="s">
        <v>423</v>
      </c>
      <c r="D105" s="7" t="s">
        <v>895</v>
      </c>
      <c r="E105" s="11" cm="1">
        <f ca="1" t="array" ref="E105">+EVALUATE(D105)</f>
        <v>5.29844</v>
      </c>
      <c r="F105" s="5" t="s">
        <v>891</v>
      </c>
    </row>
    <row r="106" ht="16" customHeight="1" spans="1:6">
      <c r="A106" s="10" t="s">
        <v>150</v>
      </c>
      <c r="B106" s="7" t="s">
        <v>896</v>
      </c>
      <c r="C106" s="5" t="s">
        <v>423</v>
      </c>
      <c r="D106" s="7" t="s">
        <v>897</v>
      </c>
      <c r="E106" s="11" cm="1">
        <f ca="1" t="array" ref="E106">+EVALUATE(D106)</f>
        <v>6.0469</v>
      </c>
      <c r="F106" s="5" t="s">
        <v>898</v>
      </c>
    </row>
    <row r="107" ht="16" customHeight="1" spans="1:6">
      <c r="A107" s="7" t="s">
        <v>141</v>
      </c>
      <c r="B107" s="7" t="s">
        <v>899</v>
      </c>
      <c r="C107" s="5" t="s">
        <v>423</v>
      </c>
      <c r="D107" s="7" t="s">
        <v>900</v>
      </c>
      <c r="E107" s="11" cm="1">
        <f ca="1" t="array" ref="E107">+EVALUATE(D107)</f>
        <v>49.3247</v>
      </c>
      <c r="F107" s="5" t="s">
        <v>901</v>
      </c>
    </row>
    <row r="108" ht="16" customHeight="1" spans="1:6">
      <c r="A108" s="7" t="s">
        <v>143</v>
      </c>
      <c r="B108" s="7" t="s">
        <v>899</v>
      </c>
      <c r="C108" s="5" t="s">
        <v>423</v>
      </c>
      <c r="D108" s="7" t="s">
        <v>902</v>
      </c>
      <c r="E108" s="11" cm="1">
        <f ca="1" t="array" ref="E108">+EVALUATE(D108)</f>
        <v>2.88252</v>
      </c>
      <c r="F108" s="5"/>
    </row>
    <row r="109" ht="16" customHeight="1" spans="1:6">
      <c r="A109" s="7" t="s">
        <v>539</v>
      </c>
      <c r="B109" s="7" t="s">
        <v>903</v>
      </c>
      <c r="C109" s="5" t="s">
        <v>423</v>
      </c>
      <c r="D109" s="7" t="s">
        <v>904</v>
      </c>
      <c r="E109" s="11" cm="1">
        <f ca="1" t="array" ref="E109">+EVALUATE(D109)</f>
        <v>21.4253</v>
      </c>
      <c r="F109" s="5" t="s">
        <v>538</v>
      </c>
    </row>
    <row r="110" ht="42" customHeight="1" spans="1:6">
      <c r="A110" s="7" t="s">
        <v>144</v>
      </c>
      <c r="B110" s="7"/>
      <c r="C110" s="5" t="s">
        <v>423</v>
      </c>
      <c r="D110" s="10" t="s">
        <v>905</v>
      </c>
      <c r="E110" s="11" cm="1">
        <f ca="1" t="array" ref="E110">+EVALUATE(D110)</f>
        <v>271.865</v>
      </c>
      <c r="F110" s="5"/>
    </row>
    <row r="111" ht="16" customHeight="1" spans="1:6">
      <c r="A111" s="7" t="s">
        <v>144</v>
      </c>
      <c r="B111" s="7" t="s">
        <v>906</v>
      </c>
      <c r="C111" s="5" t="s">
        <v>423</v>
      </c>
      <c r="D111" s="7" t="s">
        <v>907</v>
      </c>
      <c r="E111" s="11" cm="1">
        <f ca="1" t="array" ref="E111">+EVALUATE(D111)</f>
        <v>14.877504</v>
      </c>
      <c r="F111" s="5" t="s">
        <v>706</v>
      </c>
    </row>
    <row r="112" ht="16" customHeight="1" spans="1:6">
      <c r="A112" s="14" t="s">
        <v>121</v>
      </c>
      <c r="B112" s="7"/>
      <c r="C112" s="5" t="s">
        <v>423</v>
      </c>
      <c r="D112" s="7" t="s">
        <v>908</v>
      </c>
      <c r="E112" s="11" cm="1">
        <f ca="1" t="array" ref="E112">+EVALUATE(D112)</f>
        <v>30</v>
      </c>
      <c r="F112" s="5"/>
    </row>
    <row r="113" ht="16" customHeight="1" spans="1:6">
      <c r="A113" s="14" t="s">
        <v>166</v>
      </c>
      <c r="B113" s="7" t="s">
        <v>116</v>
      </c>
      <c r="C113" s="5" t="s">
        <v>423</v>
      </c>
      <c r="D113" s="7" t="s">
        <v>909</v>
      </c>
      <c r="E113" s="11" cm="1">
        <f ca="1" t="array" ref="E113">+EVALUATE(D113)</f>
        <v>14.064</v>
      </c>
      <c r="F113" s="5"/>
    </row>
    <row r="114" ht="16" customHeight="1" spans="1:6">
      <c r="A114" s="7"/>
      <c r="B114" s="7"/>
      <c r="C114" s="5"/>
      <c r="D114" s="7"/>
      <c r="E114" s="11"/>
      <c r="F114" s="5"/>
    </row>
    <row r="115" ht="16" customHeight="1" spans="1:6">
      <c r="A115" s="7"/>
      <c r="B115" s="7"/>
      <c r="C115" s="5"/>
      <c r="D115" s="7"/>
      <c r="E115" s="11"/>
      <c r="F115" s="5"/>
    </row>
    <row r="116" ht="16" customHeight="1" spans="1:6">
      <c r="A116" s="7"/>
      <c r="B116" s="7"/>
      <c r="C116" s="5" t="s">
        <v>423</v>
      </c>
      <c r="D116" s="7"/>
      <c r="E116" s="11"/>
      <c r="F116" s="5"/>
    </row>
    <row r="117" ht="16" customHeight="1" spans="1:6">
      <c r="A117" s="7"/>
      <c r="B117" s="7"/>
      <c r="C117" s="5" t="s">
        <v>423</v>
      </c>
      <c r="D117" s="7"/>
      <c r="E117" s="11"/>
      <c r="F117" s="5"/>
    </row>
    <row r="118" ht="16" customHeight="1" spans="1:6">
      <c r="A118" s="7" t="s">
        <v>178</v>
      </c>
      <c r="B118" s="7" t="s">
        <v>782</v>
      </c>
      <c r="C118" s="5" t="s">
        <v>109</v>
      </c>
      <c r="D118" s="7" t="s">
        <v>910</v>
      </c>
      <c r="E118" s="11" cm="1">
        <f ca="1" t="array" ref="E118">+EVALUATE(D118)</f>
        <v>91.7</v>
      </c>
      <c r="F118" s="5"/>
    </row>
    <row r="119" ht="16" customHeight="1" spans="1:6">
      <c r="A119" s="7" t="s">
        <v>182</v>
      </c>
      <c r="B119" s="7" t="s">
        <v>782</v>
      </c>
      <c r="C119" s="5" t="s">
        <v>109</v>
      </c>
      <c r="D119" s="7" t="s">
        <v>911</v>
      </c>
      <c r="E119" s="11" cm="1">
        <f ca="1" t="array" ref="E119">+EVALUATE(D119)</f>
        <v>10.65</v>
      </c>
      <c r="F119" s="5"/>
    </row>
    <row r="120" ht="16" customHeight="1" spans="1:6">
      <c r="A120" s="7" t="s">
        <v>187</v>
      </c>
      <c r="B120" s="7" t="s">
        <v>313</v>
      </c>
      <c r="C120" s="5" t="s">
        <v>109</v>
      </c>
      <c r="D120" s="24">
        <v>108.856</v>
      </c>
      <c r="E120" s="11" cm="1">
        <f ca="1" t="array" ref="E120">+EVALUATE(D120)</f>
        <v>108.856</v>
      </c>
      <c r="F120" s="5"/>
    </row>
    <row r="121" ht="16" customHeight="1" spans="1:6">
      <c r="A121" s="7" t="s">
        <v>187</v>
      </c>
      <c r="B121" s="7" t="s">
        <v>832</v>
      </c>
      <c r="C121" s="5" t="s">
        <v>109</v>
      </c>
      <c r="D121" s="24" t="s">
        <v>912</v>
      </c>
      <c r="E121" s="11" cm="1">
        <f ca="1" t="array" ref="E121">+EVALUATE(D121)</f>
        <v>52.03</v>
      </c>
      <c r="F121" s="5"/>
    </row>
    <row r="122" ht="16" customHeight="1" spans="1:6">
      <c r="A122" s="7" t="s">
        <v>190</v>
      </c>
      <c r="B122" s="7" t="s">
        <v>832</v>
      </c>
      <c r="C122" s="5" t="s">
        <v>109</v>
      </c>
      <c r="D122" s="24" t="s">
        <v>913</v>
      </c>
      <c r="E122" s="11" cm="1">
        <f ca="1" t="array" ref="E122">+EVALUATE(D122)</f>
        <v>5.024</v>
      </c>
      <c r="F122" s="5"/>
    </row>
    <row r="123" ht="16" customHeight="1" spans="1:6">
      <c r="A123" s="7" t="s">
        <v>191</v>
      </c>
      <c r="B123" s="7" t="s">
        <v>914</v>
      </c>
      <c r="C123" s="5" t="s">
        <v>109</v>
      </c>
      <c r="D123" s="7" t="s">
        <v>915</v>
      </c>
      <c r="E123" s="11" cm="1">
        <f ca="1" t="array" ref="E123">+EVALUATE(D123)</f>
        <v>53.348</v>
      </c>
      <c r="F123" s="5"/>
    </row>
    <row r="124" ht="16" customHeight="1" spans="1:6">
      <c r="A124" s="7" t="s">
        <v>916</v>
      </c>
      <c r="B124" s="7" t="s">
        <v>832</v>
      </c>
      <c r="C124" s="5" t="s">
        <v>109</v>
      </c>
      <c r="D124" s="7" t="s">
        <v>917</v>
      </c>
      <c r="E124" s="11" cm="1">
        <f ca="1" t="array" ref="E124">+EVALUATE(D124)</f>
        <v>2.384</v>
      </c>
      <c r="F124" s="5"/>
    </row>
    <row r="125" ht="16" customHeight="1" spans="1:6">
      <c r="A125" s="7" t="s">
        <v>185</v>
      </c>
      <c r="B125" s="7" t="s">
        <v>832</v>
      </c>
      <c r="C125" s="5" t="s">
        <v>109</v>
      </c>
      <c r="D125" s="7" t="s">
        <v>918</v>
      </c>
      <c r="E125" s="11" cm="1">
        <f ca="1" t="array" ref="E125">+EVALUATE(D125)</f>
        <v>21.68</v>
      </c>
      <c r="F125" s="5"/>
    </row>
    <row r="126" ht="16" customHeight="1" spans="1:6">
      <c r="A126" s="7" t="s">
        <v>189</v>
      </c>
      <c r="B126" s="7" t="s">
        <v>832</v>
      </c>
      <c r="C126" s="5" t="s">
        <v>109</v>
      </c>
      <c r="D126" s="7" t="s">
        <v>919</v>
      </c>
      <c r="E126" s="11" cm="1">
        <f ca="1" t="array" ref="E126">+EVALUATE(D126)</f>
        <v>2.512</v>
      </c>
      <c r="F126" s="5"/>
    </row>
    <row r="127" ht="16" customHeight="1" spans="1:6">
      <c r="A127" s="7" t="s">
        <v>180</v>
      </c>
      <c r="B127" s="7" t="s">
        <v>114</v>
      </c>
      <c r="C127" s="5" t="s">
        <v>109</v>
      </c>
      <c r="D127" s="7" t="s">
        <v>920</v>
      </c>
      <c r="E127" s="11" cm="1">
        <f ca="1" t="array" ref="E127">+EVALUATE(D127)</f>
        <v>28.49</v>
      </c>
      <c r="F127" s="5"/>
    </row>
    <row r="128" ht="16" customHeight="1" spans="1:6">
      <c r="A128" s="7" t="s">
        <v>187</v>
      </c>
      <c r="B128" s="7" t="s">
        <v>921</v>
      </c>
      <c r="C128" s="5" t="s">
        <v>109</v>
      </c>
      <c r="D128" s="7" t="s">
        <v>922</v>
      </c>
      <c r="E128" s="11" cm="1">
        <f ca="1" t="array" ref="E128">+EVALUATE(D128)</f>
        <v>76.18</v>
      </c>
      <c r="F128" s="5"/>
    </row>
    <row r="129" ht="16" customHeight="1" spans="1:6">
      <c r="A129" s="7" t="s">
        <v>190</v>
      </c>
      <c r="B129" s="7" t="s">
        <v>921</v>
      </c>
      <c r="C129" s="5" t="s">
        <v>109</v>
      </c>
      <c r="D129" s="7" t="s">
        <v>923</v>
      </c>
      <c r="E129" s="11" cm="1">
        <f ca="1" t="array" ref="E129">+EVALUATE(D129)</f>
        <v>9.42</v>
      </c>
      <c r="F129" s="5"/>
    </row>
    <row r="130" ht="16" customHeight="1" spans="1:6">
      <c r="A130" s="7" t="s">
        <v>191</v>
      </c>
      <c r="B130" s="7" t="s">
        <v>114</v>
      </c>
      <c r="C130" s="5" t="s">
        <v>109</v>
      </c>
      <c r="D130" s="24" t="s">
        <v>924</v>
      </c>
      <c r="E130" s="11" cm="1">
        <f ca="1" t="array" ref="E130">+EVALUATE(D130)</f>
        <v>64.448</v>
      </c>
      <c r="F130" s="5"/>
    </row>
    <row r="131" ht="16" customHeight="1" spans="1:6">
      <c r="A131" s="7" t="s">
        <v>193</v>
      </c>
      <c r="B131" s="7" t="s">
        <v>114</v>
      </c>
      <c r="C131" s="5" t="s">
        <v>109</v>
      </c>
      <c r="D131" s="7" t="s">
        <v>925</v>
      </c>
      <c r="E131" s="11" cm="1">
        <f ca="1" t="array" ref="E131">+EVALUATE(D131)</f>
        <v>5.524</v>
      </c>
      <c r="F131" s="5"/>
    </row>
    <row r="132" ht="16" customHeight="1" spans="1:6">
      <c r="A132" s="7" t="s">
        <v>185</v>
      </c>
      <c r="B132" s="7" t="s">
        <v>114</v>
      </c>
      <c r="C132" s="5" t="s">
        <v>109</v>
      </c>
      <c r="D132" s="7" t="s">
        <v>926</v>
      </c>
      <c r="E132" s="11" cm="1">
        <f ca="1" t="array" ref="E132">+EVALUATE(D132)</f>
        <v>45.18</v>
      </c>
      <c r="F132" s="5"/>
    </row>
    <row r="133" ht="16" customHeight="1" spans="1:6">
      <c r="A133" s="7" t="s">
        <v>189</v>
      </c>
      <c r="B133" s="7" t="s">
        <v>114</v>
      </c>
      <c r="C133" s="5" t="s">
        <v>109</v>
      </c>
      <c r="D133" s="7" t="s">
        <v>927</v>
      </c>
      <c r="E133" s="11" cm="1">
        <f ca="1" t="array" ref="E133">+EVALUATE(D133)</f>
        <v>3.144</v>
      </c>
      <c r="F133" s="5"/>
    </row>
    <row r="134" ht="27" customHeight="1" spans="1:6">
      <c r="A134" s="7" t="s">
        <v>183</v>
      </c>
      <c r="B134" s="10" t="s">
        <v>928</v>
      </c>
      <c r="C134" s="5" t="s">
        <v>109</v>
      </c>
      <c r="D134" s="7" t="s">
        <v>929</v>
      </c>
      <c r="E134" s="11" cm="1">
        <f ca="1" t="array" ref="E134">+EVALUATE(D134)</f>
        <v>257.04</v>
      </c>
      <c r="F134" s="5"/>
    </row>
    <row r="135" ht="27" customHeight="1" spans="1:6">
      <c r="A135" s="7" t="s">
        <v>194</v>
      </c>
      <c r="B135" s="10" t="s">
        <v>195</v>
      </c>
      <c r="C135" s="5" t="s">
        <v>109</v>
      </c>
      <c r="D135" s="7" t="s">
        <v>930</v>
      </c>
      <c r="E135" s="11" cm="1">
        <f ca="1" t="array" ref="E135">+EVALUATE(D135)</f>
        <v>32.7</v>
      </c>
      <c r="F135" s="5"/>
    </row>
    <row r="136" ht="16" customHeight="1" spans="1:6">
      <c r="A136" s="7"/>
      <c r="B136" s="7"/>
      <c r="C136" s="5"/>
      <c r="D136" s="7"/>
      <c r="E136" s="11"/>
      <c r="F136" s="5"/>
    </row>
    <row r="137" ht="16" customHeight="1" spans="1:6">
      <c r="A137" s="7"/>
      <c r="B137" s="7"/>
      <c r="C137" s="5"/>
      <c r="D137" s="7"/>
      <c r="E137" s="11"/>
      <c r="F137" s="5"/>
    </row>
    <row r="138" ht="16" customHeight="1" spans="1:6">
      <c r="A138" s="7"/>
      <c r="B138" s="7"/>
      <c r="C138" s="5" t="s">
        <v>423</v>
      </c>
      <c r="D138" s="7"/>
      <c r="E138" s="11"/>
      <c r="F138" s="5"/>
    </row>
    <row r="139" ht="16" customHeight="1" spans="1:6">
      <c r="A139" s="7" t="s">
        <v>168</v>
      </c>
      <c r="B139" s="7" t="s">
        <v>313</v>
      </c>
      <c r="C139" s="5" t="s">
        <v>423</v>
      </c>
      <c r="D139" s="7" t="s">
        <v>931</v>
      </c>
      <c r="E139" s="11" cm="1">
        <f ca="1" t="array" ref="E139">+EVALUATE(D139)</f>
        <v>33.863</v>
      </c>
      <c r="F139" s="5"/>
    </row>
    <row r="140" ht="16" customHeight="1" spans="1:6">
      <c r="A140" s="7" t="s">
        <v>170</v>
      </c>
      <c r="B140" s="7" t="s">
        <v>114</v>
      </c>
      <c r="C140" s="5" t="s">
        <v>423</v>
      </c>
      <c r="D140" s="7" t="s">
        <v>932</v>
      </c>
      <c r="E140" s="11" cm="1">
        <f ca="1" t="array" ref="E140">+EVALUATE(D140)</f>
        <v>25.6221</v>
      </c>
      <c r="F140" s="5"/>
    </row>
    <row r="141" ht="16" customHeight="1" spans="1:6">
      <c r="A141" s="7" t="s">
        <v>172</v>
      </c>
      <c r="B141" s="7" t="s">
        <v>625</v>
      </c>
      <c r="C141" s="5" t="s">
        <v>423</v>
      </c>
      <c r="D141" s="7" t="s">
        <v>933</v>
      </c>
      <c r="E141" s="11" cm="1">
        <f ca="1" t="array" ref="E141">+EVALUATE(D141)</f>
        <v>9.955</v>
      </c>
      <c r="F141" s="5"/>
    </row>
    <row r="142" ht="16" customHeight="1" spans="1:6">
      <c r="A142" s="7" t="s">
        <v>173</v>
      </c>
      <c r="B142" s="7" t="s">
        <v>773</v>
      </c>
      <c r="C142" s="5" t="s">
        <v>708</v>
      </c>
      <c r="D142" s="7" t="s">
        <v>934</v>
      </c>
      <c r="E142" s="11" cm="1">
        <f ca="1" t="array" ref="E142">+EVALUATE(D142)</f>
        <v>0</v>
      </c>
      <c r="F142" s="5" t="s">
        <v>175</v>
      </c>
    </row>
    <row r="143" ht="16" customHeight="1" spans="1:6">
      <c r="A143" s="7" t="s">
        <v>173</v>
      </c>
      <c r="B143" s="7" t="s">
        <v>174</v>
      </c>
      <c r="C143" s="5" t="s">
        <v>708</v>
      </c>
      <c r="D143" s="7" t="s">
        <v>935</v>
      </c>
      <c r="E143" s="11" cm="1">
        <f ca="1" t="array" ref="E143">+EVALUATE(D143)</f>
        <v>4.108</v>
      </c>
      <c r="F143" s="5"/>
    </row>
    <row r="144" ht="16" customHeight="1" spans="1:6">
      <c r="A144" s="7"/>
      <c r="B144" s="7"/>
      <c r="C144" s="5" t="s">
        <v>423</v>
      </c>
      <c r="D144" s="7"/>
      <c r="E144" s="11" t="e" cm="1">
        <f ca="1" t="array" ref="E144">+EVALUATE(D144)</f>
        <v>#VALUE!</v>
      </c>
      <c r="F144" s="5"/>
    </row>
    <row r="145" ht="16" customHeight="1" spans="1:6">
      <c r="A145" s="7" t="s">
        <v>571</v>
      </c>
      <c r="B145" s="7"/>
      <c r="C145" s="5" t="s">
        <v>423</v>
      </c>
      <c r="D145" s="7" t="s">
        <v>936</v>
      </c>
      <c r="E145" s="11" cm="1">
        <f ca="1" t="array" ref="E145">+EVALUATE(D145)</f>
        <v>55.95</v>
      </c>
      <c r="F145" s="5"/>
    </row>
    <row r="146" ht="16" customHeight="1" spans="1:6">
      <c r="A146" s="7" t="s">
        <v>200</v>
      </c>
      <c r="B146" s="7"/>
      <c r="C146" s="5" t="s">
        <v>423</v>
      </c>
      <c r="D146" s="7" t="s">
        <v>937</v>
      </c>
      <c r="E146" s="11" cm="1">
        <f ca="1" t="array" ref="E146">+EVALUATE(D146)</f>
        <v>43.09</v>
      </c>
      <c r="F146" s="5"/>
    </row>
    <row r="147" ht="16" customHeight="1" spans="1:6">
      <c r="A147" s="7" t="s">
        <v>590</v>
      </c>
      <c r="B147" s="7"/>
      <c r="C147" s="5" t="s">
        <v>708</v>
      </c>
      <c r="D147" s="7" t="s">
        <v>938</v>
      </c>
      <c r="E147" s="11" cm="1">
        <f ca="1" t="array" ref="E147">+EVALUATE(D147)</f>
        <v>92.282</v>
      </c>
      <c r="F147" s="5"/>
    </row>
    <row r="148" ht="16" customHeight="1" spans="1:6">
      <c r="A148" s="7" t="s">
        <v>358</v>
      </c>
      <c r="B148" s="7"/>
      <c r="C148" s="5" t="s">
        <v>708</v>
      </c>
      <c r="D148" s="7" t="s">
        <v>939</v>
      </c>
      <c r="E148" s="11" cm="1">
        <f ca="1" t="array" ref="E148">+EVALUATE(D148)</f>
        <v>8.478</v>
      </c>
      <c r="F148" s="5"/>
    </row>
    <row r="149" ht="16" customHeight="1" spans="1:6">
      <c r="A149" s="7" t="s">
        <v>598</v>
      </c>
      <c r="B149" s="7" t="s">
        <v>116</v>
      </c>
      <c r="C149" s="5" t="s">
        <v>708</v>
      </c>
      <c r="D149" s="7" t="s">
        <v>940</v>
      </c>
      <c r="E149" s="23" cm="1">
        <f ca="1" t="array" ref="E149">+EVALUATE(D149)*3</f>
        <v>20.181</v>
      </c>
      <c r="F149" s="5" t="s">
        <v>781</v>
      </c>
    </row>
    <row r="150" ht="16" customHeight="1" spans="1:6">
      <c r="A150" s="7"/>
      <c r="B150" s="7"/>
      <c r="C150" s="5" t="s">
        <v>708</v>
      </c>
      <c r="D150" s="7"/>
      <c r="E150" s="11" t="e" cm="1">
        <f ca="1" t="array" ref="E150">+EVALUATE(D150)</f>
        <v>#VALUE!</v>
      </c>
      <c r="F150" s="5"/>
    </row>
    <row r="151" ht="16" customHeight="1" spans="1:6">
      <c r="A151" s="7" t="s">
        <v>213</v>
      </c>
      <c r="B151" s="7" t="s">
        <v>941</v>
      </c>
      <c r="C151" s="5" t="s">
        <v>708</v>
      </c>
      <c r="D151" s="7" t="s">
        <v>942</v>
      </c>
      <c r="E151" s="11" cm="1">
        <f ca="1" t="array" ref="E151">+EVALUATE(D151)</f>
        <v>246.4</v>
      </c>
      <c r="F151" s="5"/>
    </row>
    <row r="152" ht="16" customHeight="1" spans="1:6">
      <c r="A152" s="7" t="s">
        <v>213</v>
      </c>
      <c r="B152" s="7" t="s">
        <v>114</v>
      </c>
      <c r="C152" s="5" t="s">
        <v>708</v>
      </c>
      <c r="D152" s="7" t="s">
        <v>943</v>
      </c>
      <c r="E152" s="11" cm="1">
        <f ca="1" t="array" ref="E152">+EVALUATE(D152)</f>
        <v>234</v>
      </c>
      <c r="F152" s="5"/>
    </row>
    <row r="153" ht="16" customHeight="1" spans="1:6">
      <c r="A153" s="7"/>
      <c r="B153" s="7"/>
      <c r="C153" s="5" t="s">
        <v>423</v>
      </c>
      <c r="D153" s="7"/>
      <c r="E153" s="11" t="e" cm="1">
        <f ca="1" t="array" ref="E153">+EVALUATE(D153)</f>
        <v>#VALUE!</v>
      </c>
      <c r="F153" s="5"/>
    </row>
    <row r="154" ht="16" customHeight="1" spans="1:6">
      <c r="A154" s="7" t="s">
        <v>336</v>
      </c>
      <c r="B154" s="7" t="s">
        <v>944</v>
      </c>
      <c r="C154" s="5" t="s">
        <v>423</v>
      </c>
      <c r="D154" s="7" t="s">
        <v>945</v>
      </c>
      <c r="E154" s="11" cm="1">
        <f ca="1" t="array" ref="E154">+EVALUATE(D154)</f>
        <v>4.83458</v>
      </c>
      <c r="F154" s="5"/>
    </row>
    <row r="155" ht="16" customHeight="1" spans="1:6">
      <c r="A155" s="7" t="s">
        <v>336</v>
      </c>
      <c r="B155" s="7" t="s">
        <v>946</v>
      </c>
      <c r="C155" s="5" t="s">
        <v>423</v>
      </c>
      <c r="D155" s="7" t="s">
        <v>947</v>
      </c>
      <c r="E155" s="11" cm="1">
        <f ca="1" t="array" ref="E155">+EVALUATE(D155)</f>
        <v>13.4406</v>
      </c>
      <c r="F155" s="5"/>
    </row>
    <row r="156" ht="16" customHeight="1" spans="1:6">
      <c r="A156" s="7" t="s">
        <v>336</v>
      </c>
      <c r="B156" s="7" t="s">
        <v>948</v>
      </c>
      <c r="C156" s="5" t="s">
        <v>423</v>
      </c>
      <c r="D156" s="7" t="s">
        <v>949</v>
      </c>
      <c r="E156" s="11" cm="1">
        <f ca="1" t="array" ref="E156">+EVALUATE(D156)</f>
        <v>8.712</v>
      </c>
      <c r="F156" s="5" t="s">
        <v>215</v>
      </c>
    </row>
    <row r="157" ht="16" customHeight="1" spans="1:6">
      <c r="A157" s="7" t="s">
        <v>336</v>
      </c>
      <c r="B157" s="7" t="s">
        <v>950</v>
      </c>
      <c r="C157" s="5" t="s">
        <v>423</v>
      </c>
      <c r="D157" s="7" t="s">
        <v>951</v>
      </c>
      <c r="E157" s="11" cm="1">
        <f ca="1" t="array" ref="E157">+EVALUATE(D157)</f>
        <v>13.9104</v>
      </c>
      <c r="F157" s="5"/>
    </row>
    <row r="158" ht="16" customHeight="1" spans="1:6">
      <c r="A158" s="7"/>
      <c r="B158" s="7"/>
      <c r="C158" s="5" t="s">
        <v>423</v>
      </c>
      <c r="D158" s="7"/>
      <c r="E158" s="11" t="e" cm="1">
        <f ca="1" t="array" ref="E158">+EVALUATE(D158)</f>
        <v>#VALUE!</v>
      </c>
      <c r="F158" s="5"/>
    </row>
    <row r="159" ht="16" customHeight="1" spans="1:6">
      <c r="A159" s="7" t="s">
        <v>608</v>
      </c>
      <c r="B159" s="7" t="s">
        <v>114</v>
      </c>
      <c r="C159" s="5" t="s">
        <v>423</v>
      </c>
      <c r="D159" s="7" t="s">
        <v>952</v>
      </c>
      <c r="E159" s="11" cm="1">
        <f ca="1" t="array" ref="E159">+EVALUATE(D159)</f>
        <v>5.51356</v>
      </c>
      <c r="F159" s="5"/>
    </row>
    <row r="160" ht="16" customHeight="1" spans="1:6">
      <c r="A160" s="7" t="s">
        <v>218</v>
      </c>
      <c r="B160" s="7"/>
      <c r="C160" s="5" t="s">
        <v>109</v>
      </c>
      <c r="D160" s="7" t="s">
        <v>953</v>
      </c>
      <c r="E160" s="11" cm="1">
        <f ca="1" t="array" ref="E160">+EVALUATE(D160)</f>
        <v>45.9</v>
      </c>
      <c r="F160" s="5"/>
    </row>
    <row r="161" ht="16" customHeight="1" spans="1:6">
      <c r="A161" s="7"/>
      <c r="B161" s="7"/>
      <c r="C161" s="5" t="s">
        <v>423</v>
      </c>
      <c r="D161" s="7"/>
      <c r="E161" s="11" t="e" cm="1">
        <f ca="1" t="array" ref="E161">+EVALUATE(D161)</f>
        <v>#VALUE!</v>
      </c>
      <c r="F161" s="5"/>
    </row>
    <row r="162" ht="16" customHeight="1" spans="1:6">
      <c r="A162" s="7"/>
      <c r="B162" s="7"/>
      <c r="C162" s="5" t="s">
        <v>708</v>
      </c>
      <c r="D162" s="7"/>
      <c r="E162" s="11" t="e" cm="1">
        <f ca="1" t="array" ref="E162">+EVALUATE(D162)</f>
        <v>#VALUE!</v>
      </c>
      <c r="F162" s="5"/>
    </row>
    <row r="163" ht="16" customHeight="1" spans="1:6">
      <c r="A163" s="7"/>
      <c r="B163" s="7"/>
      <c r="C163" s="5" t="s">
        <v>708</v>
      </c>
      <c r="D163" s="7"/>
      <c r="E163" s="11" t="e" cm="1">
        <f ca="1" t="array" ref="E163">+EVALUATE(D163)</f>
        <v>#VALUE!</v>
      </c>
      <c r="F163" s="5"/>
    </row>
    <row r="164" ht="16" customHeight="1" spans="1:6">
      <c r="A164" s="7"/>
      <c r="B164" s="7"/>
      <c r="C164" s="5" t="s">
        <v>708</v>
      </c>
      <c r="D164" s="7"/>
      <c r="E164" s="11" t="e" cm="1">
        <f ca="1" t="array" ref="E164">+EVALUATE(D164)</f>
        <v>#VALUE!</v>
      </c>
      <c r="F164" s="5"/>
    </row>
    <row r="165" ht="16" customHeight="1" spans="1:6">
      <c r="A165" s="7"/>
      <c r="B165" s="7"/>
      <c r="C165" s="5" t="s">
        <v>708</v>
      </c>
      <c r="D165" s="7"/>
      <c r="E165" s="11" t="e" cm="1">
        <f ca="1" t="array" ref="E165">+EVALUATE(D165)</f>
        <v>#VALUE!</v>
      </c>
      <c r="F165" s="5"/>
    </row>
    <row r="166" ht="16" customHeight="1" spans="1:6">
      <c r="A166" s="7"/>
      <c r="B166" s="7"/>
      <c r="C166" s="5" t="s">
        <v>423</v>
      </c>
      <c r="D166" s="7"/>
      <c r="E166" s="11" t="e" cm="1">
        <f ca="1" t="array" ref="E166">+EVALUATE(D166)</f>
        <v>#VALUE!</v>
      </c>
      <c r="F166" s="5"/>
    </row>
    <row r="167" ht="16" customHeight="1" spans="1:6">
      <c r="A167" s="7"/>
      <c r="B167" s="7"/>
      <c r="C167" s="5" t="s">
        <v>423</v>
      </c>
      <c r="D167" s="7"/>
      <c r="E167" s="11" t="e" cm="1">
        <f ca="1" t="array" ref="E167">+EVALUATE(D167)</f>
        <v>#VALUE!</v>
      </c>
      <c r="F167" s="5"/>
    </row>
    <row r="168" ht="16" customHeight="1" spans="1:6">
      <c r="A168" s="7"/>
      <c r="B168" s="7"/>
      <c r="C168" s="5" t="s">
        <v>708</v>
      </c>
      <c r="D168" s="7"/>
      <c r="E168" s="11" t="e" cm="1">
        <f ca="1" t="array" ref="E168">+EVALUATE(D168)</f>
        <v>#VALUE!</v>
      </c>
      <c r="F168" s="5"/>
    </row>
    <row r="169" ht="16" customHeight="1" spans="1:6">
      <c r="A169" s="7"/>
      <c r="B169" s="7"/>
      <c r="C169" s="5" t="s">
        <v>423</v>
      </c>
      <c r="D169" s="7"/>
      <c r="E169" s="11" t="e" cm="1">
        <f ca="1" t="array" ref="E169">+EVALUATE(D169)</f>
        <v>#VALUE!</v>
      </c>
      <c r="F169" s="5"/>
    </row>
    <row r="170" ht="16" customHeight="1" spans="1:6">
      <c r="A170" s="7"/>
      <c r="B170" s="7"/>
      <c r="C170" s="5" t="s">
        <v>423</v>
      </c>
      <c r="D170" s="7"/>
      <c r="E170" s="11" t="e" cm="1">
        <f ca="1" t="array" ref="E170">+EVALUATE(D170)</f>
        <v>#VALUE!</v>
      </c>
      <c r="F170" s="5"/>
    </row>
    <row r="171" ht="16" customHeight="1" spans="1:6">
      <c r="A171" s="7"/>
      <c r="B171" s="7"/>
      <c r="C171" s="5" t="s">
        <v>423</v>
      </c>
      <c r="D171" s="7"/>
      <c r="E171" s="11" t="e" cm="1">
        <f ca="1" t="array" ref="E171">+EVALUATE(D171)</f>
        <v>#VALUE!</v>
      </c>
      <c r="F171" s="5"/>
    </row>
    <row r="172" ht="16" customHeight="1" spans="1:6">
      <c r="A172" s="7"/>
      <c r="B172" s="7"/>
      <c r="C172" s="5" t="s">
        <v>423</v>
      </c>
      <c r="D172" s="7"/>
      <c r="E172" s="11" t="e" cm="1">
        <f ca="1" t="array" ref="E172">+EVALUATE(D172)</f>
        <v>#VALUE!</v>
      </c>
      <c r="F172" s="5"/>
    </row>
    <row r="173" ht="16" customHeight="1" spans="1:6">
      <c r="A173" s="7"/>
      <c r="B173" s="7"/>
      <c r="C173" s="5" t="s">
        <v>423</v>
      </c>
      <c r="D173" s="7"/>
      <c r="E173" s="11" t="e" cm="1">
        <f ca="1" t="array" ref="E173">+EVALUATE(D173)</f>
        <v>#VALUE!</v>
      </c>
      <c r="F173" s="5"/>
    </row>
    <row r="174" ht="16" customHeight="1" spans="1:6">
      <c r="A174" s="7"/>
      <c r="B174" s="7"/>
      <c r="C174" s="5" t="s">
        <v>708</v>
      </c>
      <c r="D174" s="7"/>
      <c r="E174" s="11" t="e" cm="1">
        <f ca="1" t="array" ref="E174">+EVALUATE(D174)</f>
        <v>#VALUE!</v>
      </c>
      <c r="F174" s="5"/>
    </row>
    <row r="175" ht="16" customHeight="1" spans="1:6">
      <c r="A175" s="7"/>
      <c r="B175" s="7"/>
      <c r="C175" s="5" t="s">
        <v>423</v>
      </c>
      <c r="D175" s="7"/>
      <c r="E175" s="11" t="e" cm="1">
        <f ca="1" t="array" ref="E175">+EVALUATE(D175)</f>
        <v>#VALUE!</v>
      </c>
      <c r="F175" s="5"/>
    </row>
    <row r="176" ht="16" customHeight="1" spans="1:6">
      <c r="A176" s="7"/>
      <c r="B176" s="7"/>
      <c r="C176" s="5" t="s">
        <v>708</v>
      </c>
      <c r="D176" s="7"/>
      <c r="E176" s="11" t="e" cm="1">
        <f ca="1" t="array" ref="E176">+EVALUATE(D176)</f>
        <v>#VALUE!</v>
      </c>
      <c r="F176" s="5"/>
    </row>
    <row r="177" ht="16" customHeight="1" spans="1:6">
      <c r="A177" s="7"/>
      <c r="B177" s="7"/>
      <c r="C177" s="5" t="s">
        <v>423</v>
      </c>
      <c r="D177" s="7"/>
      <c r="E177" s="11" t="e" cm="1">
        <f ca="1" t="array" ref="E177">+EVALUATE(D177)</f>
        <v>#VALUE!</v>
      </c>
      <c r="F177" s="5"/>
    </row>
    <row r="178" ht="16" customHeight="1" spans="1:6">
      <c r="A178" s="7"/>
      <c r="B178" s="7"/>
      <c r="C178" s="5" t="s">
        <v>423</v>
      </c>
      <c r="D178" s="7"/>
      <c r="E178" s="11" t="e" cm="1">
        <f ca="1" t="array" ref="E178">+EVALUATE(D178)</f>
        <v>#VALUE!</v>
      </c>
      <c r="F178" s="5"/>
    </row>
    <row r="179" ht="16" customHeight="1" spans="1:6">
      <c r="A179" s="7"/>
      <c r="B179" s="7"/>
      <c r="C179" s="5" t="s">
        <v>708</v>
      </c>
      <c r="D179" s="7"/>
      <c r="E179" s="11" t="e" cm="1">
        <f ca="1" t="array" ref="E179">+EVALUATE(D179)</f>
        <v>#VALUE!</v>
      </c>
      <c r="F179" s="5"/>
    </row>
    <row r="180" ht="16" customHeight="1" spans="1:6">
      <c r="A180" s="7"/>
      <c r="B180" s="7"/>
      <c r="C180" s="5" t="s">
        <v>423</v>
      </c>
      <c r="D180" s="7"/>
      <c r="E180" s="11" t="e" cm="1">
        <f ca="1" t="array" ref="E180">+EVALUATE(D180)</f>
        <v>#VALUE!</v>
      </c>
      <c r="F180" s="5"/>
    </row>
    <row r="181" ht="16" customHeight="1" spans="1:6">
      <c r="A181" s="7"/>
      <c r="B181" s="7"/>
      <c r="C181" s="5" t="s">
        <v>423</v>
      </c>
      <c r="D181" s="7"/>
      <c r="E181" s="11" t="e" cm="1">
        <f ca="1" t="array" ref="E181">+EVALUATE(D181)</f>
        <v>#VALUE!</v>
      </c>
      <c r="F181" s="5"/>
    </row>
    <row r="182" ht="16" customHeight="1" spans="1:6">
      <c r="A182" s="7"/>
      <c r="B182" s="7"/>
      <c r="C182" s="5" t="s">
        <v>708</v>
      </c>
      <c r="D182" s="7"/>
      <c r="E182" s="11" t="e" cm="1">
        <f ca="1" t="array" ref="E182">+EVALUATE(D182)</f>
        <v>#VALUE!</v>
      </c>
      <c r="F182" s="5"/>
    </row>
    <row r="183" ht="16" customHeight="1" spans="1:6">
      <c r="A183" s="7"/>
      <c r="B183" s="7"/>
      <c r="C183" s="5" t="s">
        <v>423</v>
      </c>
      <c r="D183" s="7"/>
      <c r="E183" s="11" t="e" cm="1">
        <f ca="1" t="array" ref="E183">+EVALUATE(D183)</f>
        <v>#VALUE!</v>
      </c>
      <c r="F183" s="5"/>
    </row>
    <row r="184" ht="16" customHeight="1" spans="1:6">
      <c r="A184" s="7"/>
      <c r="B184" s="7"/>
      <c r="C184" s="5" t="s">
        <v>423</v>
      </c>
      <c r="D184" s="7"/>
      <c r="E184" s="11" t="e" cm="1">
        <f ca="1" t="array" ref="E184">+EVALUATE(D184)</f>
        <v>#VALUE!</v>
      </c>
      <c r="F184" s="5"/>
    </row>
    <row r="185" ht="16" customHeight="1" spans="1:6">
      <c r="A185" s="7"/>
      <c r="B185" s="7"/>
      <c r="C185" s="5" t="s">
        <v>423</v>
      </c>
      <c r="D185" s="7"/>
      <c r="E185" s="11" t="e" cm="1">
        <f ca="1" t="array" ref="E185">+EVALUATE(D185)</f>
        <v>#VALUE!</v>
      </c>
      <c r="F185" s="5"/>
    </row>
    <row r="186" ht="16" customHeight="1" spans="1:6">
      <c r="A186" s="7"/>
      <c r="B186" s="7"/>
      <c r="C186" s="5" t="s">
        <v>423</v>
      </c>
      <c r="D186" s="7"/>
      <c r="E186" s="11" t="e" cm="1">
        <f ca="1" t="array" ref="E186">+EVALUATE(D186)</f>
        <v>#VALUE!</v>
      </c>
      <c r="F186" s="5"/>
    </row>
    <row r="187" ht="16" customHeight="1" spans="1:6">
      <c r="A187" s="7"/>
      <c r="B187" s="7"/>
      <c r="C187" s="5" t="s">
        <v>423</v>
      </c>
      <c r="D187" s="7"/>
      <c r="E187" s="11" t="e" cm="1">
        <f ca="1" t="array" ref="E187">+EVALUATE(D187)</f>
        <v>#VALUE!</v>
      </c>
      <c r="F187" s="5"/>
    </row>
    <row r="188" ht="16" customHeight="1" spans="1:6">
      <c r="A188" s="7"/>
      <c r="B188" s="7"/>
      <c r="C188" s="5" t="s">
        <v>708</v>
      </c>
      <c r="D188" s="7"/>
      <c r="E188" s="11" t="e" cm="1">
        <f ca="1" t="array" ref="E188">+EVALUATE(D188)</f>
        <v>#VALUE!</v>
      </c>
      <c r="F188" s="5"/>
    </row>
    <row r="189" ht="16" customHeight="1" spans="1:6">
      <c r="A189" s="7"/>
      <c r="B189" s="7"/>
      <c r="C189" s="5" t="s">
        <v>708</v>
      </c>
      <c r="D189" s="7"/>
      <c r="E189" s="11" t="e" cm="1">
        <f ca="1" t="array" ref="E189">+EVALUATE(D189)</f>
        <v>#VALUE!</v>
      </c>
      <c r="F189" s="5"/>
    </row>
    <row r="190" ht="16" customHeight="1" spans="1:6">
      <c r="A190" s="7"/>
      <c r="B190" s="7"/>
      <c r="C190" s="5" t="s">
        <v>708</v>
      </c>
      <c r="D190" s="7"/>
      <c r="E190" s="11" t="e" cm="1">
        <f ca="1" t="array" ref="E190">+EVALUATE(D190)</f>
        <v>#VALUE!</v>
      </c>
      <c r="F190" s="5"/>
    </row>
    <row r="191" ht="16" customHeight="1" spans="1:6">
      <c r="A191" s="7"/>
      <c r="B191" s="7"/>
      <c r="C191" s="5" t="s">
        <v>708</v>
      </c>
      <c r="D191" s="7"/>
      <c r="E191" s="11" t="e" cm="1">
        <f ca="1" t="array" ref="E191">+EVALUATE(D191)</f>
        <v>#VALUE!</v>
      </c>
      <c r="F191" s="5"/>
    </row>
    <row r="192" ht="16" customHeight="1" spans="1:6">
      <c r="A192" s="7"/>
      <c r="B192" s="7"/>
      <c r="C192" s="5" t="s">
        <v>423</v>
      </c>
      <c r="D192" s="7"/>
      <c r="E192" s="11" t="e" cm="1">
        <f ca="1" t="array" ref="E192">+EVALUATE(D192)</f>
        <v>#VALUE!</v>
      </c>
      <c r="F192" s="5"/>
    </row>
    <row r="193" ht="16" customHeight="1" spans="1:6">
      <c r="A193" s="7"/>
      <c r="B193" s="7"/>
      <c r="C193" s="5" t="s">
        <v>423</v>
      </c>
      <c r="D193" s="7"/>
      <c r="E193" s="11" t="e" cm="1">
        <f ca="1" t="array" ref="E193">+EVALUATE(D193)</f>
        <v>#VALUE!</v>
      </c>
      <c r="F193" s="5"/>
    </row>
    <row r="194" ht="16" customHeight="1" spans="1:6">
      <c r="A194" s="7"/>
      <c r="B194" s="7"/>
      <c r="C194" s="5" t="s">
        <v>708</v>
      </c>
      <c r="D194" s="7"/>
      <c r="E194" s="11" t="e" cm="1">
        <f ca="1" t="array" ref="E194">+EVALUATE(D194)</f>
        <v>#VALUE!</v>
      </c>
      <c r="F194" s="5"/>
    </row>
    <row r="195" ht="16" customHeight="1" spans="1:6">
      <c r="A195" s="7"/>
      <c r="B195" s="7"/>
      <c r="C195" s="5" t="s">
        <v>423</v>
      </c>
      <c r="D195" s="7"/>
      <c r="E195" s="11" t="e" cm="1">
        <f ca="1" t="array" ref="E195">+EVALUATE(D195)</f>
        <v>#VALUE!</v>
      </c>
      <c r="F195" s="5"/>
    </row>
    <row r="196" ht="16" customHeight="1" spans="1:6">
      <c r="A196" s="7"/>
      <c r="B196" s="7"/>
      <c r="C196" s="5" t="s">
        <v>423</v>
      </c>
      <c r="D196" s="7"/>
      <c r="E196" s="11" t="e" cm="1">
        <f ca="1" t="array" ref="E196">+EVALUATE(D196)</f>
        <v>#VALUE!</v>
      </c>
      <c r="F196" s="5"/>
    </row>
    <row r="197" ht="16" customHeight="1" spans="1:6">
      <c r="A197" s="7"/>
      <c r="B197" s="7"/>
      <c r="C197" s="5" t="s">
        <v>423</v>
      </c>
      <c r="D197" s="7"/>
      <c r="E197" s="11" t="e" cm="1">
        <f ca="1" t="array" ref="E197">+EVALUATE(D197)</f>
        <v>#VALUE!</v>
      </c>
      <c r="F197" s="5"/>
    </row>
    <row r="198" ht="16" customHeight="1" spans="1:6">
      <c r="A198" s="7"/>
      <c r="B198" s="7"/>
      <c r="C198" s="5" t="s">
        <v>423</v>
      </c>
      <c r="D198" s="7"/>
      <c r="E198" s="11" t="e" cm="1">
        <f ca="1" t="array" ref="E198">+EVALUATE(D198)</f>
        <v>#VALUE!</v>
      </c>
      <c r="F198" s="5"/>
    </row>
    <row r="199" ht="16" customHeight="1" spans="1:6">
      <c r="A199" s="7"/>
      <c r="B199" s="7"/>
      <c r="C199" s="5" t="s">
        <v>423</v>
      </c>
      <c r="D199" s="7"/>
      <c r="E199" s="11" t="e" cm="1">
        <f ca="1" t="array" ref="E199">+EVALUATE(D199)</f>
        <v>#VALUE!</v>
      </c>
      <c r="F199" s="5"/>
    </row>
    <row r="200" ht="16" customHeight="1" spans="1:6">
      <c r="A200" s="7"/>
      <c r="B200" s="7"/>
      <c r="C200" s="5" t="s">
        <v>423</v>
      </c>
      <c r="D200" s="7"/>
      <c r="E200" s="11" t="e" cm="1">
        <f ca="1" t="array" ref="E200">+EVALUATE(D200)</f>
        <v>#VALUE!</v>
      </c>
      <c r="F200" s="5"/>
    </row>
    <row r="201" ht="16" customHeight="1" spans="1:6">
      <c r="A201" s="7"/>
      <c r="B201" s="7"/>
      <c r="C201" s="5" t="s">
        <v>423</v>
      </c>
      <c r="D201" s="7"/>
      <c r="E201" s="11" t="e" cm="1">
        <f ca="1" t="array" ref="E201">+EVALUATE(D201)</f>
        <v>#VALUE!</v>
      </c>
      <c r="F201" s="5"/>
    </row>
    <row r="202" ht="16" customHeight="1" spans="1:6">
      <c r="A202" s="7"/>
      <c r="B202" s="7"/>
      <c r="C202" s="5" t="s">
        <v>423</v>
      </c>
      <c r="D202" s="7"/>
      <c r="E202" s="11" t="e" cm="1">
        <f ca="1" t="array" ref="E202">+EVALUATE(D202)</f>
        <v>#VALUE!</v>
      </c>
      <c r="F202" s="5"/>
    </row>
    <row r="203" ht="16" customHeight="1" spans="1:6">
      <c r="A203" s="7"/>
      <c r="B203" s="7"/>
      <c r="C203" s="5" t="s">
        <v>423</v>
      </c>
      <c r="D203" s="7"/>
      <c r="E203" s="11" t="e" cm="1">
        <f ca="1" t="array" ref="E203">+EVALUATE(D203)</f>
        <v>#VALUE!</v>
      </c>
      <c r="F203" s="5"/>
    </row>
    <row r="204" ht="16" customHeight="1" spans="1:6">
      <c r="A204" s="7"/>
      <c r="B204" s="7"/>
      <c r="C204" s="5" t="s">
        <v>423</v>
      </c>
      <c r="D204" s="7"/>
      <c r="E204" s="11" t="e" cm="1">
        <f ca="1" t="array" ref="E204">+EVALUATE(D204)</f>
        <v>#VALUE!</v>
      </c>
      <c r="F204" s="5"/>
    </row>
    <row r="205" ht="16" customHeight="1" spans="1:6">
      <c r="A205" s="7"/>
      <c r="B205" s="7"/>
      <c r="C205" s="5" t="s">
        <v>423</v>
      </c>
      <c r="D205" s="7"/>
      <c r="E205" s="11" t="e" cm="1">
        <f ca="1" t="array" ref="E205">+EVALUATE(D205)</f>
        <v>#VALUE!</v>
      </c>
      <c r="F205" s="5"/>
    </row>
    <row r="206" ht="16" customHeight="1" spans="1:6">
      <c r="A206" s="7"/>
      <c r="B206" s="7"/>
      <c r="C206" s="5" t="s">
        <v>423</v>
      </c>
      <c r="D206" s="7"/>
      <c r="E206" s="11" t="e" cm="1">
        <f ca="1" t="array" ref="E206">+EVALUATE(D206)</f>
        <v>#VALUE!</v>
      </c>
      <c r="F206" s="5"/>
    </row>
    <row r="207" ht="16" customHeight="1" spans="1:6">
      <c r="A207" s="7"/>
      <c r="B207" s="7"/>
      <c r="C207" s="5" t="s">
        <v>423</v>
      </c>
      <c r="D207" s="7"/>
      <c r="E207" s="11" t="e" cm="1">
        <f ca="1" t="array" ref="E207">+EVALUATE(D207)</f>
        <v>#VALUE!</v>
      </c>
      <c r="F207" s="5"/>
    </row>
    <row r="208" ht="16" customHeight="1" spans="1:6">
      <c r="A208" s="7"/>
      <c r="B208" s="7"/>
      <c r="C208" s="5" t="s">
        <v>423</v>
      </c>
      <c r="D208" s="7"/>
      <c r="E208" s="11" t="e" cm="1">
        <f ca="1" t="array" ref="E208">+EVALUATE(D208)</f>
        <v>#VALUE!</v>
      </c>
      <c r="F208" s="5"/>
    </row>
    <row r="209" ht="16" customHeight="1" spans="1:6">
      <c r="A209" s="7"/>
      <c r="B209" s="7"/>
      <c r="C209" s="5" t="s">
        <v>423</v>
      </c>
      <c r="D209" s="7"/>
      <c r="E209" s="11" t="e" cm="1">
        <f ca="1" t="array" ref="E209">+EVALUATE(D209)</f>
        <v>#VALUE!</v>
      </c>
      <c r="F209" s="5"/>
    </row>
    <row r="210" ht="16" customHeight="1" spans="1:6">
      <c r="A210" s="7"/>
      <c r="B210" s="7"/>
      <c r="C210" s="5" t="s">
        <v>423</v>
      </c>
      <c r="D210" s="7"/>
      <c r="E210" s="11" t="e" cm="1">
        <f ca="1" t="array" ref="E210">+EVALUATE(D210)</f>
        <v>#VALUE!</v>
      </c>
      <c r="F210" s="5"/>
    </row>
    <row r="211" ht="16" customHeight="1" spans="1:6">
      <c r="A211" s="7"/>
      <c r="B211" s="7"/>
      <c r="C211" s="5" t="s">
        <v>423</v>
      </c>
      <c r="D211" s="7"/>
      <c r="E211" s="11" t="e" cm="1">
        <f ca="1" t="array" ref="E211">+EVALUATE(D211)</f>
        <v>#VALUE!</v>
      </c>
      <c r="F211" s="5"/>
    </row>
    <row r="212" ht="16" customHeight="1" spans="1:6">
      <c r="A212" s="7"/>
      <c r="B212" s="7"/>
      <c r="C212" s="5" t="s">
        <v>423</v>
      </c>
      <c r="D212" s="7"/>
      <c r="E212" s="11" t="e" cm="1">
        <f ca="1" t="array" ref="E212">+EVALUATE(D212)</f>
        <v>#VALUE!</v>
      </c>
      <c r="F212" s="5"/>
    </row>
    <row r="213" ht="16" customHeight="1" spans="1:6">
      <c r="A213" s="7"/>
      <c r="B213" s="7"/>
      <c r="C213" s="5" t="s">
        <v>423</v>
      </c>
      <c r="D213" s="7"/>
      <c r="E213" s="11" t="e" cm="1">
        <f ca="1" t="array" ref="E213">+EVALUATE(D213)</f>
        <v>#VALUE!</v>
      </c>
      <c r="F213" s="5"/>
    </row>
    <row r="214" ht="16" customHeight="1" spans="1:6">
      <c r="A214" s="7"/>
      <c r="B214" s="7"/>
      <c r="C214" s="5" t="s">
        <v>423</v>
      </c>
      <c r="D214" s="7"/>
      <c r="E214" s="11" t="e" cm="1">
        <f ca="1" t="array" ref="E214">+EVALUATE(D214)</f>
        <v>#VALUE!</v>
      </c>
      <c r="F214" s="5"/>
    </row>
    <row r="215" ht="16" customHeight="1" spans="1:6">
      <c r="A215" s="7"/>
      <c r="B215" s="7"/>
      <c r="C215" s="5" t="s">
        <v>423</v>
      </c>
      <c r="D215" s="7"/>
      <c r="E215" s="11" t="e" cm="1">
        <f ca="1" t="array" ref="E215">+EVALUATE(D215)</f>
        <v>#VALUE!</v>
      </c>
      <c r="F215" s="5"/>
    </row>
    <row r="216" ht="16" customHeight="1" spans="1:6">
      <c r="A216" s="7"/>
      <c r="B216" s="7"/>
      <c r="C216" s="5" t="s">
        <v>423</v>
      </c>
      <c r="D216" s="7"/>
      <c r="E216" s="11" t="e" cm="1">
        <f ca="1" t="array" ref="E216">+EVALUATE(D216)</f>
        <v>#VALUE!</v>
      </c>
      <c r="F216" s="5"/>
    </row>
    <row r="217" ht="16" customHeight="1" spans="1:6">
      <c r="A217" s="7"/>
      <c r="B217" s="7"/>
      <c r="C217" s="5" t="s">
        <v>423</v>
      </c>
      <c r="D217" s="7"/>
      <c r="E217" s="11" t="e" cm="1">
        <f ca="1" t="array" ref="E217">+EVALUATE(D217)</f>
        <v>#VALUE!</v>
      </c>
      <c r="F217" s="5"/>
    </row>
    <row r="218" ht="16" customHeight="1" spans="1:6">
      <c r="A218" s="7"/>
      <c r="B218" s="7"/>
      <c r="C218" s="5" t="s">
        <v>423</v>
      </c>
      <c r="D218" s="7"/>
      <c r="E218" s="11" t="e" cm="1">
        <f ca="1" t="array" ref="E218">+EVALUATE(D218)</f>
        <v>#VALUE!</v>
      </c>
      <c r="F218" s="5"/>
    </row>
    <row r="219" ht="16" customHeight="1" spans="1:6">
      <c r="A219" s="7"/>
      <c r="B219" s="7"/>
      <c r="C219" s="5" t="s">
        <v>423</v>
      </c>
      <c r="D219" s="10"/>
      <c r="E219" s="11" t="e" cm="1">
        <f ca="1" t="array" ref="E219">+EVALUATE(D219)</f>
        <v>#VALUE!</v>
      </c>
      <c r="F219" s="5"/>
    </row>
    <row r="220" ht="16" customHeight="1" spans="1:6">
      <c r="A220" s="7"/>
      <c r="B220" s="7"/>
      <c r="C220" s="5" t="s">
        <v>423</v>
      </c>
      <c r="D220" s="10"/>
      <c r="E220" s="11" t="e" cm="1">
        <f ca="1" t="array" ref="E220">+EVALUATE(D220)</f>
        <v>#VALUE!</v>
      </c>
      <c r="F220" s="5"/>
    </row>
    <row r="221" ht="16" customHeight="1" spans="1:6">
      <c r="A221" s="7"/>
      <c r="B221" s="7"/>
      <c r="C221" s="5" t="s">
        <v>708</v>
      </c>
      <c r="D221" s="10"/>
      <c r="E221" s="11" t="e" cm="1">
        <f ca="1" t="array" ref="E221">+EVALUATE(D221)</f>
        <v>#VALUE!</v>
      </c>
      <c r="F221" s="5"/>
    </row>
    <row r="222" ht="16" customHeight="1" spans="1:6">
      <c r="A222" s="7"/>
      <c r="B222" s="7"/>
      <c r="C222" s="5" t="s">
        <v>423</v>
      </c>
      <c r="D222" s="7"/>
      <c r="E222" s="11" t="e" cm="1">
        <f ca="1" t="array" ref="E222">+EVALUATE(D222)</f>
        <v>#VALUE!</v>
      </c>
      <c r="F222" s="5"/>
    </row>
    <row r="223" ht="16" customHeight="1" spans="1:6">
      <c r="A223" s="7"/>
      <c r="B223" s="7"/>
      <c r="C223" s="5" t="s">
        <v>423</v>
      </c>
      <c r="D223" s="7"/>
      <c r="E223" s="11" t="e" cm="1">
        <f ca="1" t="array" ref="E223">+EVALUATE(D223)</f>
        <v>#VALUE!</v>
      </c>
      <c r="F223" s="5"/>
    </row>
    <row r="224" ht="16" customHeight="1" spans="1:6">
      <c r="A224" s="7"/>
      <c r="B224" s="7"/>
      <c r="C224" s="5" t="s">
        <v>423</v>
      </c>
      <c r="D224" s="7"/>
      <c r="E224" s="11" t="e" cm="1">
        <f ca="1" t="array" ref="E224">+EVALUATE(D224)</f>
        <v>#VALUE!</v>
      </c>
      <c r="F224" s="5"/>
    </row>
    <row r="225" ht="16" customHeight="1" spans="1:6">
      <c r="A225" s="7"/>
      <c r="B225" s="7"/>
      <c r="C225" s="5" t="s">
        <v>423</v>
      </c>
      <c r="D225" s="7"/>
      <c r="E225" s="11" t="e" cm="1">
        <f ca="1" t="array" ref="E225">+EVALUATE(D225)</f>
        <v>#VALUE!</v>
      </c>
      <c r="F225" s="5"/>
    </row>
    <row r="226" ht="16" customHeight="1" spans="1:6">
      <c r="A226" s="7"/>
      <c r="B226" s="7"/>
      <c r="C226" s="5" t="s">
        <v>423</v>
      </c>
      <c r="D226" s="7"/>
      <c r="E226" s="11" t="e" cm="1">
        <f ca="1" t="array" ref="E226">+EVALUATE(D226)</f>
        <v>#VALUE!</v>
      </c>
      <c r="F226" s="5"/>
    </row>
    <row r="227" ht="16" customHeight="1" spans="1:6">
      <c r="A227" s="7"/>
      <c r="B227" s="7"/>
      <c r="C227" s="5" t="s">
        <v>423</v>
      </c>
      <c r="D227" s="7"/>
      <c r="E227" s="11" t="e" cm="1">
        <f ca="1" t="array" ref="E227">+EVALUATE(D227)</f>
        <v>#VALUE!</v>
      </c>
      <c r="F227" s="5"/>
    </row>
    <row r="228" ht="16" customHeight="1" spans="1:6">
      <c r="A228" s="7"/>
      <c r="B228" s="7"/>
      <c r="C228" s="5" t="s">
        <v>423</v>
      </c>
      <c r="D228" s="7"/>
      <c r="E228" s="11" t="e" cm="1">
        <f ca="1" t="array" ref="E228">+EVALUATE(D228)</f>
        <v>#VALUE!</v>
      </c>
      <c r="F228" s="5"/>
    </row>
    <row r="229" ht="16" customHeight="1" spans="1:6">
      <c r="A229" s="7"/>
      <c r="B229" s="7"/>
      <c r="C229" s="5" t="s">
        <v>708</v>
      </c>
      <c r="D229" s="7"/>
      <c r="E229" s="11" t="e" cm="1">
        <f ca="1" t="array" ref="E229">+EVALUATE(D229)</f>
        <v>#VALUE!</v>
      </c>
      <c r="F229" s="5"/>
    </row>
    <row r="230" ht="16" customHeight="1" spans="1:6">
      <c r="A230" s="7"/>
      <c r="B230" s="7"/>
      <c r="C230" s="5" t="s">
        <v>708</v>
      </c>
      <c r="D230" s="7"/>
      <c r="E230" s="11" t="e" cm="1">
        <f ca="1" t="array" ref="E230">+EVALUATE(D230)</f>
        <v>#VALUE!</v>
      </c>
      <c r="F230" s="5"/>
    </row>
    <row r="231" ht="16" customHeight="1" spans="1:6">
      <c r="A231" s="7"/>
      <c r="B231" s="7"/>
      <c r="C231" s="5" t="s">
        <v>423</v>
      </c>
      <c r="D231" s="7"/>
      <c r="E231" s="11" t="e" cm="1">
        <f ca="1" t="array" ref="E231">+EVALUATE(D231)</f>
        <v>#VALUE!</v>
      </c>
      <c r="F231" s="5"/>
    </row>
    <row r="232" ht="16" customHeight="1" spans="1:6">
      <c r="A232" s="7"/>
      <c r="B232" s="7"/>
      <c r="C232" s="5" t="s">
        <v>423</v>
      </c>
      <c r="D232" s="7"/>
      <c r="E232" s="11" t="e" cm="1">
        <f ca="1" t="array" ref="E232">+EVALUATE(D232)</f>
        <v>#VALUE!</v>
      </c>
      <c r="F232" s="5"/>
    </row>
    <row r="233" ht="16" customHeight="1" spans="1:6">
      <c r="A233" s="7"/>
      <c r="B233" s="7"/>
      <c r="C233" s="5" t="s">
        <v>423</v>
      </c>
      <c r="D233" s="7"/>
      <c r="E233" s="11" t="e" cm="1">
        <f ca="1" t="array" ref="E233">+EVALUATE(D233)</f>
        <v>#VALUE!</v>
      </c>
      <c r="F233" s="5"/>
    </row>
    <row r="234" ht="16" customHeight="1" spans="1:6">
      <c r="A234" s="7"/>
      <c r="B234" s="7"/>
      <c r="C234" s="5" t="s">
        <v>423</v>
      </c>
      <c r="D234" s="7"/>
      <c r="E234" s="11" t="e" cm="1">
        <f ca="1" t="array" ref="E234">+EVALUATE(D234)</f>
        <v>#VALUE!</v>
      </c>
      <c r="F234" s="5"/>
    </row>
    <row r="235" ht="16" customHeight="1" spans="1:6">
      <c r="A235" s="7"/>
      <c r="B235" s="7"/>
      <c r="C235" s="5" t="s">
        <v>708</v>
      </c>
      <c r="D235" s="7"/>
      <c r="E235" s="11" t="e" cm="1">
        <f ca="1" t="array" ref="E235">+EVALUATE(D235)</f>
        <v>#VALUE!</v>
      </c>
      <c r="F235" s="5"/>
    </row>
    <row r="236" ht="16" customHeight="1" spans="1:6">
      <c r="A236" s="7"/>
      <c r="B236" s="7"/>
      <c r="C236" s="5" t="s">
        <v>708</v>
      </c>
      <c r="D236" s="7"/>
      <c r="E236" s="11" t="e" cm="1">
        <f ca="1" t="array" ref="E236">+EVALUATE(D236)</f>
        <v>#VALUE!</v>
      </c>
      <c r="F236" s="5"/>
    </row>
    <row r="237" ht="16" customHeight="1" spans="1:6">
      <c r="A237" s="7"/>
      <c r="B237" s="7"/>
      <c r="C237" s="5" t="s">
        <v>423</v>
      </c>
      <c r="D237" s="7"/>
      <c r="E237" s="11" t="e" cm="1">
        <f ca="1" t="array" ref="E237">+EVALUATE(D237)</f>
        <v>#VALUE!</v>
      </c>
      <c r="F237" s="5"/>
    </row>
    <row r="238" ht="16" customHeight="1" spans="1:6">
      <c r="A238" s="7"/>
      <c r="B238" s="7"/>
      <c r="C238" s="5" t="s">
        <v>423</v>
      </c>
      <c r="D238" s="7"/>
      <c r="E238" s="11" t="e" cm="1">
        <f ca="1" t="array" ref="E238">+EVALUATE(D238)</f>
        <v>#VALUE!</v>
      </c>
      <c r="F238" s="5"/>
    </row>
    <row r="239" ht="16" customHeight="1" spans="1:6">
      <c r="A239" s="7"/>
      <c r="B239" s="7"/>
      <c r="C239" s="5" t="s">
        <v>423</v>
      </c>
      <c r="D239" s="7"/>
      <c r="E239" s="11" t="e" cm="1">
        <f ca="1" t="array" ref="E239">+EVALUATE(D239)</f>
        <v>#VALUE!</v>
      </c>
      <c r="F239" s="5"/>
    </row>
    <row r="240" ht="16" customHeight="1" spans="1:6">
      <c r="A240" s="7"/>
      <c r="B240" s="7"/>
      <c r="C240" s="5" t="s">
        <v>423</v>
      </c>
      <c r="D240" s="7"/>
      <c r="E240" s="11" t="e" cm="1">
        <f ca="1" t="array" ref="E240">+EVALUATE(D240)</f>
        <v>#VALUE!</v>
      </c>
      <c r="F240" s="5"/>
    </row>
    <row r="241" ht="16" customHeight="1" spans="1:6">
      <c r="A241" s="7"/>
      <c r="B241" s="7"/>
      <c r="C241" s="5" t="s">
        <v>423</v>
      </c>
      <c r="D241" s="7"/>
      <c r="E241" s="11" t="e" cm="1">
        <f ca="1" t="array" ref="E241">+EVALUATE(D241)</f>
        <v>#VALUE!</v>
      </c>
      <c r="F241" s="5"/>
    </row>
    <row r="242" ht="16" customHeight="1" spans="1:6">
      <c r="A242" s="7"/>
      <c r="B242" s="7"/>
      <c r="C242" s="5" t="s">
        <v>423</v>
      </c>
      <c r="D242" s="7"/>
      <c r="E242" s="11" t="e" cm="1">
        <f ca="1" t="array" ref="E242">+EVALUATE(D242)</f>
        <v>#VALUE!</v>
      </c>
      <c r="F242" s="5"/>
    </row>
    <row r="243" ht="16" customHeight="1" spans="1:6">
      <c r="A243" s="7"/>
      <c r="B243" s="7"/>
      <c r="C243" s="5" t="s">
        <v>708</v>
      </c>
      <c r="D243" s="7"/>
      <c r="E243" s="11" t="e" cm="1">
        <f ca="1" t="array" ref="E243">+EVALUATE(D243)</f>
        <v>#VALUE!</v>
      </c>
      <c r="F243" s="5"/>
    </row>
    <row r="244" ht="16" customHeight="1" spans="1:6">
      <c r="A244" s="7"/>
      <c r="B244" s="7"/>
      <c r="C244" s="5" t="s">
        <v>708</v>
      </c>
      <c r="D244" s="7"/>
      <c r="E244" s="11" t="e" cm="1">
        <f ca="1" t="array" ref="E244">+EVALUATE(D244)</f>
        <v>#VALUE!</v>
      </c>
      <c r="F244" s="6"/>
    </row>
    <row r="245" ht="16" customHeight="1" spans="1:6">
      <c r="A245" s="5"/>
      <c r="B245" s="7"/>
      <c r="C245" s="5" t="s">
        <v>423</v>
      </c>
      <c r="D245" s="7"/>
      <c r="E245" s="11" t="e" cm="1">
        <f ca="1" t="array" ref="E245">+EVALUATE(D245)</f>
        <v>#VALUE!</v>
      </c>
      <c r="F245" s="6"/>
    </row>
    <row r="246" ht="16" customHeight="1" spans="1:6">
      <c r="A246" s="7"/>
      <c r="B246" s="7"/>
      <c r="C246" s="5" t="s">
        <v>423</v>
      </c>
      <c r="D246" s="7"/>
      <c r="E246" s="11" t="e" cm="1">
        <f ca="1" t="array" ref="E246">+EVALUATE(D246)</f>
        <v>#VALUE!</v>
      </c>
      <c r="F246" s="5"/>
    </row>
    <row r="247" ht="16" customHeight="1" spans="1:6">
      <c r="A247" s="10"/>
      <c r="B247" s="7"/>
      <c r="C247" s="5" t="s">
        <v>423</v>
      </c>
      <c r="D247" s="7"/>
      <c r="E247" s="11" t="e" cm="1">
        <f ca="1" t="array" ref="E247">+EVALUATE(D247)</f>
        <v>#VALUE!</v>
      </c>
      <c r="F247" s="5"/>
    </row>
    <row r="248" ht="16" customHeight="1" spans="1:6">
      <c r="A248" s="10"/>
      <c r="B248" s="7"/>
      <c r="C248" s="5" t="s">
        <v>423</v>
      </c>
      <c r="D248" s="7"/>
      <c r="E248" s="11" t="e" cm="1">
        <f ca="1" t="array" ref="E248">+EVALUATE(D248)</f>
        <v>#VALUE!</v>
      </c>
      <c r="F248" s="5"/>
    </row>
    <row r="249" ht="16" customHeight="1" spans="1:6">
      <c r="A249" s="7"/>
      <c r="B249" s="7"/>
      <c r="C249" s="5" t="s">
        <v>423</v>
      </c>
      <c r="D249" s="7"/>
      <c r="E249" s="11" t="e" cm="1">
        <f ca="1" t="array" ref="E249">+EVALUATE(D249)</f>
        <v>#VALUE!</v>
      </c>
      <c r="F249" s="5"/>
    </row>
    <row r="250" ht="16" customHeight="1" spans="1:6">
      <c r="A250" s="7"/>
      <c r="B250" s="7"/>
      <c r="C250" s="5" t="s">
        <v>423</v>
      </c>
      <c r="D250" s="7"/>
      <c r="E250" s="11" t="e" cm="1">
        <f ca="1" t="array" ref="E250">+EVALUATE(D250)</f>
        <v>#VALUE!</v>
      </c>
      <c r="F250" s="5"/>
    </row>
    <row r="251" ht="16" customHeight="1" spans="1:6">
      <c r="A251" s="7"/>
      <c r="B251" s="7"/>
      <c r="C251" s="5" t="s">
        <v>423</v>
      </c>
      <c r="D251" s="7"/>
      <c r="E251" s="11" t="e" cm="1">
        <f ca="1" t="array" ref="E251">+EVALUATE(D251)</f>
        <v>#VALUE!</v>
      </c>
      <c r="F251" s="5"/>
    </row>
    <row r="252" ht="16" customHeight="1" spans="1:6">
      <c r="A252" s="7"/>
      <c r="B252" s="7"/>
      <c r="C252" s="5" t="s">
        <v>423</v>
      </c>
      <c r="D252" s="7"/>
      <c r="E252" s="11" t="e" cm="1">
        <f ca="1" t="array" ref="E252">+EVALUATE(D252)</f>
        <v>#VALUE!</v>
      </c>
      <c r="F252" s="5"/>
    </row>
    <row r="253" ht="16" customHeight="1" spans="1:6">
      <c r="A253" s="7"/>
      <c r="B253" s="7"/>
      <c r="C253" s="5" t="s">
        <v>423</v>
      </c>
      <c r="D253" s="7"/>
      <c r="E253" s="11" t="e" cm="1">
        <f ca="1" t="array" ref="E253">+EVALUATE(D253)</f>
        <v>#VALUE!</v>
      </c>
      <c r="F253" s="5"/>
    </row>
    <row r="254" ht="16" customHeight="1" spans="1:6">
      <c r="A254" s="7"/>
      <c r="B254" s="7"/>
      <c r="C254" s="5" t="s">
        <v>423</v>
      </c>
      <c r="D254" s="7"/>
      <c r="E254" s="11" t="e" cm="1">
        <f ca="1" t="array" ref="E254">+EVALUATE(D254)</f>
        <v>#VALUE!</v>
      </c>
      <c r="F254" s="6"/>
    </row>
    <row r="255" ht="16" customHeight="1" spans="1:6">
      <c r="A255" s="7"/>
      <c r="B255" s="7"/>
      <c r="C255" s="5" t="s">
        <v>423</v>
      </c>
      <c r="D255" s="7"/>
      <c r="E255" s="11" t="e" cm="1">
        <f ca="1" t="array" ref="E255">+EVALUATE(D255)</f>
        <v>#VALUE!</v>
      </c>
      <c r="F255" s="6"/>
    </row>
    <row r="256" ht="16" customHeight="1" spans="1:6">
      <c r="A256" s="7"/>
      <c r="B256" s="7"/>
      <c r="C256" s="5" t="s">
        <v>708</v>
      </c>
      <c r="D256" s="7"/>
      <c r="E256" s="11" t="e" cm="1">
        <f ca="1" t="array" ref="E256">+EVALUATE(D256)</f>
        <v>#VALUE!</v>
      </c>
      <c r="F256" s="5"/>
    </row>
    <row r="257" ht="16" customHeight="1" spans="1:6">
      <c r="A257" s="7"/>
      <c r="B257" s="7"/>
      <c r="C257" s="5" t="s">
        <v>708</v>
      </c>
      <c r="D257" s="7"/>
      <c r="E257" s="11" t="e" cm="1">
        <f ca="1" t="array" ref="E257">+EVALUATE(D257)</f>
        <v>#VALUE!</v>
      </c>
      <c r="F257" s="5"/>
    </row>
    <row r="258" ht="16" customHeight="1" spans="1:6">
      <c r="A258" s="7"/>
      <c r="B258" s="7"/>
      <c r="C258" s="5" t="s">
        <v>423</v>
      </c>
      <c r="D258" s="7"/>
      <c r="E258" s="11" t="e" cm="1">
        <f ca="1" t="array" ref="E258">+EVALUATE(D258)</f>
        <v>#VALUE!</v>
      </c>
      <c r="F258" s="5"/>
    </row>
    <row r="259" ht="16" customHeight="1" spans="1:6">
      <c r="A259" s="7"/>
      <c r="B259" s="7"/>
      <c r="C259" s="5" t="s">
        <v>708</v>
      </c>
      <c r="D259" s="7"/>
      <c r="E259" s="11" t="e" cm="1">
        <f ca="1" t="array" ref="E259">+EVALUATE(D259)</f>
        <v>#VALUE!</v>
      </c>
      <c r="F259" s="5"/>
    </row>
    <row r="260" ht="16" customHeight="1" spans="1:6">
      <c r="A260" s="7"/>
      <c r="B260" s="7"/>
      <c r="C260" s="5" t="s">
        <v>708</v>
      </c>
      <c r="D260" s="7"/>
      <c r="E260" s="11" t="e" cm="1">
        <f ca="1" t="array" ref="E260">+EVALUATE(D260)</f>
        <v>#VALUE!</v>
      </c>
      <c r="F260" s="5"/>
    </row>
    <row r="261" ht="16" customHeight="1" spans="1:6">
      <c r="A261" s="7"/>
      <c r="B261" s="7"/>
      <c r="C261" s="5" t="s">
        <v>423</v>
      </c>
      <c r="D261" s="7"/>
      <c r="E261" s="11" t="e" cm="1">
        <f ca="1" t="array" ref="E261">+EVALUATE(D261)</f>
        <v>#VALUE!</v>
      </c>
      <c r="F261" s="5"/>
    </row>
    <row r="262" ht="16" customHeight="1" spans="1:6">
      <c r="A262" s="7"/>
      <c r="B262" s="7"/>
      <c r="C262" s="5" t="s">
        <v>423</v>
      </c>
      <c r="D262" s="7"/>
      <c r="E262" s="11" t="e" cm="1">
        <f ca="1" t="array" ref="E262">+EVALUATE(D262)</f>
        <v>#VALUE!</v>
      </c>
      <c r="F262" s="5"/>
    </row>
    <row r="263" ht="16" customHeight="1" spans="1:6">
      <c r="A263" s="7"/>
      <c r="B263" s="7"/>
      <c r="C263" s="5" t="s">
        <v>423</v>
      </c>
      <c r="D263" s="7"/>
      <c r="E263" s="11" t="e" cm="1">
        <f ca="1" t="array" ref="E263">+EVALUATE(D263)</f>
        <v>#VALUE!</v>
      </c>
      <c r="F263" s="5"/>
    </row>
    <row r="264" ht="16" customHeight="1" spans="1:6">
      <c r="A264" s="7"/>
      <c r="B264" s="7"/>
      <c r="C264" s="5" t="s">
        <v>423</v>
      </c>
      <c r="D264" s="7"/>
      <c r="E264" s="11" t="e" cm="1">
        <f ca="1" t="array" ref="E264">+EVALUATE(D264)</f>
        <v>#VALUE!</v>
      </c>
      <c r="F264" s="6"/>
    </row>
    <row r="265" ht="16" customHeight="1" spans="1:6">
      <c r="A265" s="7"/>
      <c r="B265" s="7"/>
      <c r="C265" s="5" t="s">
        <v>423</v>
      </c>
      <c r="D265" s="7"/>
      <c r="E265" s="11" t="e" cm="1">
        <f ca="1" t="array" ref="E265">+EVALUATE(D265)</f>
        <v>#VALUE!</v>
      </c>
      <c r="F265" s="6"/>
    </row>
    <row r="266" ht="16" customHeight="1" spans="1:6">
      <c r="A266" s="7"/>
      <c r="B266" s="7"/>
      <c r="C266" s="5" t="s">
        <v>423</v>
      </c>
      <c r="D266" s="7"/>
      <c r="E266" s="11" t="e" cm="1">
        <f ca="1" t="array" ref="E266">+EVALUATE(D266)</f>
        <v>#VALUE!</v>
      </c>
      <c r="F266" s="5"/>
    </row>
    <row r="267" ht="16" customHeight="1" spans="1:6">
      <c r="A267" s="7"/>
      <c r="B267" s="7"/>
      <c r="C267" s="5" t="s">
        <v>423</v>
      </c>
      <c r="D267" s="7"/>
      <c r="E267" s="11" t="e" cm="1">
        <f ca="1" t="array" ref="E267">+EVALUATE(D267)</f>
        <v>#VALUE!</v>
      </c>
      <c r="F267" s="5"/>
    </row>
    <row r="268" ht="16" customHeight="1" spans="1:6">
      <c r="A268" s="7"/>
      <c r="B268" s="7"/>
      <c r="C268" s="5" t="s">
        <v>423</v>
      </c>
      <c r="D268" s="7"/>
      <c r="E268" s="11" t="e" cm="1">
        <f ca="1" t="array" ref="E268">+EVALUATE(D268)</f>
        <v>#VALUE!</v>
      </c>
      <c r="F268" s="5"/>
    </row>
    <row r="269" ht="16" customHeight="1" spans="1:6">
      <c r="A269" s="7"/>
      <c r="B269" s="7"/>
      <c r="C269" s="5" t="s">
        <v>423</v>
      </c>
      <c r="D269" s="7"/>
      <c r="E269" s="11" t="e" cm="1">
        <f ca="1" t="array" ref="E269">+EVALUATE(D269)</f>
        <v>#VALUE!</v>
      </c>
      <c r="F269" s="5"/>
    </row>
    <row r="270" ht="16" customHeight="1" spans="1:6">
      <c r="A270" s="7"/>
      <c r="B270" s="7"/>
      <c r="C270" s="5" t="s">
        <v>423</v>
      </c>
      <c r="D270" s="7"/>
      <c r="E270" s="11" t="e" cm="1">
        <f ca="1" t="array" ref="E270">+EVALUATE(D270)</f>
        <v>#VALUE!</v>
      </c>
      <c r="F270" s="5"/>
    </row>
    <row r="271" ht="16" customHeight="1" spans="1:6">
      <c r="A271" s="7"/>
      <c r="B271" s="7"/>
      <c r="C271" s="5" t="s">
        <v>423</v>
      </c>
      <c r="D271" s="7"/>
      <c r="E271" s="11" t="e" cm="1">
        <f ca="1" t="array" ref="E271">+EVALUATE(D271)</f>
        <v>#VALUE!</v>
      </c>
      <c r="F271" s="5"/>
    </row>
    <row r="272" ht="16" customHeight="1" spans="1:6">
      <c r="A272" s="7"/>
      <c r="B272" s="7"/>
      <c r="C272" s="5" t="s">
        <v>423</v>
      </c>
      <c r="D272" s="7"/>
      <c r="E272" s="11" t="e" cm="1">
        <f ca="1" t="array" ref="E272">+EVALUATE(D272)</f>
        <v>#VALUE!</v>
      </c>
      <c r="F272" s="5"/>
    </row>
    <row r="273" ht="16" customHeight="1" spans="1:6">
      <c r="A273" s="7"/>
      <c r="B273" s="7"/>
      <c r="C273" s="5" t="s">
        <v>423</v>
      </c>
      <c r="D273" s="7"/>
      <c r="E273" s="11" t="e" cm="1">
        <f ca="1" t="array" ref="E273">+EVALUATE(D273)</f>
        <v>#VALUE!</v>
      </c>
      <c r="F273" s="5"/>
    </row>
    <row r="274" ht="16" customHeight="1" spans="1:6">
      <c r="A274" s="7"/>
      <c r="B274" s="7"/>
      <c r="C274" s="5" t="s">
        <v>423</v>
      </c>
      <c r="D274" s="7"/>
      <c r="E274" s="11" t="e" cm="1">
        <f ca="1" t="array" ref="E274">+EVALUATE(D274)</f>
        <v>#VALUE!</v>
      </c>
      <c r="F274" s="6"/>
    </row>
    <row r="275" ht="16" customHeight="1" spans="1:6">
      <c r="A275" s="7"/>
      <c r="B275" s="7"/>
      <c r="C275" s="5" t="s">
        <v>423</v>
      </c>
      <c r="D275" s="7"/>
      <c r="E275" s="11" t="e" cm="1">
        <f ca="1" t="array" ref="E275">+EVALUATE(D275)</f>
        <v>#VALUE!</v>
      </c>
      <c r="F275" s="6"/>
    </row>
    <row r="276" ht="16" customHeight="1" spans="1:6">
      <c r="A276" s="7"/>
      <c r="B276" s="7"/>
      <c r="C276" s="5" t="s">
        <v>423</v>
      </c>
      <c r="D276" s="10"/>
      <c r="E276" s="11" t="e" cm="1">
        <f ca="1" t="array" ref="E276">+EVALUATE(D276)</f>
        <v>#VALUE!</v>
      </c>
      <c r="F276" s="5"/>
    </row>
  </sheetData>
  <autoFilter xmlns:etc="http://www.wps.cn/officeDocument/2017/etCustomData" ref="A1:E276" etc:filterBottomFollowUsedRange="0">
    <extLst/>
  </autoFilter>
  <pageMargins left="0.75" right="0.75" top="1" bottom="1" header="0.5" footer="0.5"/>
  <pageSetup paperSize="9" scale="65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view="pageBreakPreview" zoomScaleNormal="100" workbookViewId="0">
      <selection activeCell="K10" sqref="K10"/>
    </sheetView>
  </sheetViews>
  <sheetFormatPr defaultColWidth="18.25" defaultRowHeight="24" customHeight="1"/>
  <cols>
    <col min="1" max="1" width="7.75" style="166" customWidth="1"/>
    <col min="2" max="2" width="23.9038461538462" style="166" customWidth="1"/>
    <col min="3" max="3" width="10.25" style="166" customWidth="1"/>
    <col min="4" max="4" width="12.4134615384615" style="166" customWidth="1"/>
    <col min="5" max="5" width="10.125" style="166" customWidth="1"/>
    <col min="6" max="6" width="10.75" style="166" customWidth="1"/>
    <col min="7" max="7" width="11.75" style="166" customWidth="1"/>
    <col min="8" max="8" width="13.625" style="166" customWidth="1"/>
    <col min="9" max="16384" width="18.25" style="166"/>
  </cols>
  <sheetData>
    <row r="1" customHeight="1" spans="1:9">
      <c r="A1" s="167" t="s">
        <v>954</v>
      </c>
      <c r="B1" s="168"/>
      <c r="C1" s="168"/>
      <c r="D1" s="168"/>
      <c r="E1" s="168"/>
      <c r="F1" s="168"/>
      <c r="G1" s="168"/>
      <c r="H1" s="168"/>
    </row>
    <row r="2" ht="32" customHeight="1" spans="1:9">
      <c r="A2" s="169" t="s">
        <v>1</v>
      </c>
      <c r="B2" s="169" t="s">
        <v>396</v>
      </c>
      <c r="C2" s="169" t="s">
        <v>37</v>
      </c>
      <c r="D2" s="169" t="s">
        <v>955</v>
      </c>
      <c r="E2" s="169" t="s">
        <v>956</v>
      </c>
      <c r="F2" s="169" t="s">
        <v>957</v>
      </c>
      <c r="G2" s="169" t="s">
        <v>958</v>
      </c>
      <c r="H2" s="169" t="s">
        <v>32</v>
      </c>
    </row>
    <row r="3" customHeight="1" spans="1:9">
      <c r="A3" s="169">
        <v>1</v>
      </c>
      <c r="B3" s="169" t="s">
        <v>119</v>
      </c>
      <c r="C3" s="169" t="s">
        <v>959</v>
      </c>
      <c r="D3" s="169"/>
      <c r="E3" s="170">
        <v>5</v>
      </c>
      <c r="F3" s="170">
        <v>5</v>
      </c>
      <c r="G3" s="171">
        <v>165</v>
      </c>
      <c r="H3" s="170">
        <f>+SUM(E3:G3)</f>
        <v>175</v>
      </c>
    </row>
    <row r="4" customFormat="1" customHeight="1" spans="1:9">
      <c r="A4" s="169">
        <v>2</v>
      </c>
      <c r="B4" s="169" t="s">
        <v>960</v>
      </c>
      <c r="C4" s="169" t="s">
        <v>959</v>
      </c>
      <c r="D4" s="169"/>
      <c r="E4" s="170">
        <v>5</v>
      </c>
      <c r="F4" s="170">
        <v>5</v>
      </c>
      <c r="G4" s="171">
        <v>68</v>
      </c>
      <c r="H4" s="170">
        <f>+SUM(E4:G4)</f>
        <v>78</v>
      </c>
      <c r="I4" s="166"/>
    </row>
    <row r="5" customFormat="1" customHeight="1" spans="1:9">
      <c r="A5" s="169">
        <v>3</v>
      </c>
      <c r="B5" s="169" t="s">
        <v>453</v>
      </c>
      <c r="C5" s="169" t="s">
        <v>959</v>
      </c>
      <c r="D5" s="169">
        <v>40</v>
      </c>
      <c r="E5" s="170">
        <v>5</v>
      </c>
      <c r="F5" s="170">
        <v>5</v>
      </c>
      <c r="G5" s="171">
        <v>175</v>
      </c>
      <c r="H5" s="170">
        <f>+SUM(D5:G5)</f>
        <v>225</v>
      </c>
      <c r="I5" s="172">
        <v>35</v>
      </c>
    </row>
    <row r="6" customFormat="1" customHeight="1" spans="1:9">
      <c r="A6" s="169">
        <v>5</v>
      </c>
      <c r="B6" s="169" t="s">
        <v>203</v>
      </c>
      <c r="C6" s="169" t="s">
        <v>959</v>
      </c>
      <c r="D6" s="169"/>
      <c r="E6" s="170">
        <v>10</v>
      </c>
      <c r="F6" s="170">
        <v>5</v>
      </c>
      <c r="G6" s="171">
        <v>135</v>
      </c>
      <c r="H6" s="170">
        <f t="shared" ref="H6:H13" si="0">+SUM(E6:G6)</f>
        <v>150</v>
      </c>
    </row>
    <row r="7" customHeight="1" spans="1:9">
      <c r="A7" s="169">
        <v>6</v>
      </c>
      <c r="B7" s="173" t="s">
        <v>961</v>
      </c>
      <c r="C7" s="169" t="s">
        <v>959</v>
      </c>
      <c r="D7" s="169"/>
      <c r="E7" s="170">
        <v>10</v>
      </c>
      <c r="F7" s="170">
        <v>5</v>
      </c>
      <c r="G7" s="171">
        <f>40+115</f>
        <v>155</v>
      </c>
      <c r="H7" s="170">
        <f t="shared" si="0"/>
        <v>170</v>
      </c>
    </row>
    <row r="8" customHeight="1" spans="1:9">
      <c r="A8" s="169">
        <v>7</v>
      </c>
      <c r="B8" s="173" t="s">
        <v>99</v>
      </c>
      <c r="C8" s="169" t="s">
        <v>959</v>
      </c>
      <c r="D8" s="169">
        <v>12</v>
      </c>
      <c r="E8" s="170">
        <v>10</v>
      </c>
      <c r="F8" s="170">
        <v>5</v>
      </c>
      <c r="G8" s="171">
        <v>210</v>
      </c>
      <c r="H8" s="170">
        <f>+SUM(D8:G8)</f>
        <v>237</v>
      </c>
    </row>
    <row r="9" customHeight="1" spans="1:9">
      <c r="A9" s="169">
        <v>8</v>
      </c>
      <c r="B9" s="173" t="s">
        <v>962</v>
      </c>
      <c r="C9" s="169" t="s">
        <v>484</v>
      </c>
      <c r="D9" s="169"/>
      <c r="E9" s="170">
        <v>2</v>
      </c>
      <c r="F9" s="170">
        <v>2</v>
      </c>
      <c r="G9" s="171">
        <v>25</v>
      </c>
      <c r="H9" s="170">
        <f t="shared" si="0"/>
        <v>29</v>
      </c>
    </row>
    <row r="10" customHeight="1" spans="1:9">
      <c r="A10" s="169">
        <v>9</v>
      </c>
      <c r="B10" s="173" t="s">
        <v>41</v>
      </c>
      <c r="C10" s="169" t="s">
        <v>959</v>
      </c>
      <c r="D10" s="169">
        <v>40</v>
      </c>
      <c r="E10" s="170">
        <v>10</v>
      </c>
      <c r="F10" s="170">
        <v>10</v>
      </c>
      <c r="G10" s="171">
        <v>80</v>
      </c>
      <c r="H10" s="170">
        <f>+SUM(D10:G10)</f>
        <v>140</v>
      </c>
    </row>
    <row r="11" customHeight="1" spans="1:9">
      <c r="A11" s="169">
        <v>10</v>
      </c>
      <c r="B11" s="173" t="s">
        <v>173</v>
      </c>
      <c r="C11" s="169" t="s">
        <v>959</v>
      </c>
      <c r="D11" s="169">
        <v>30</v>
      </c>
      <c r="E11" s="170">
        <v>10</v>
      </c>
      <c r="F11" s="170">
        <v>5</v>
      </c>
      <c r="G11" s="171">
        <v>65</v>
      </c>
      <c r="H11" s="170">
        <f>+SUM(D11:G11)</f>
        <v>110</v>
      </c>
    </row>
    <row r="12" customHeight="1" spans="1:9">
      <c r="A12" s="169">
        <v>11</v>
      </c>
      <c r="B12" s="173" t="s">
        <v>177</v>
      </c>
      <c r="C12" s="169" t="s">
        <v>484</v>
      </c>
      <c r="D12" s="169"/>
      <c r="E12" s="170">
        <v>2</v>
      </c>
      <c r="F12" s="170">
        <v>1</v>
      </c>
      <c r="G12" s="171">
        <v>15</v>
      </c>
      <c r="H12" s="170">
        <f t="shared" si="0"/>
        <v>18</v>
      </c>
    </row>
    <row r="13" customHeight="1" spans="1:9">
      <c r="A13" s="169">
        <v>12</v>
      </c>
      <c r="B13" s="173" t="s">
        <v>963</v>
      </c>
      <c r="C13" s="169" t="s">
        <v>959</v>
      </c>
      <c r="D13" s="169"/>
      <c r="E13" s="170">
        <v>10</v>
      </c>
      <c r="F13" s="170">
        <v>5</v>
      </c>
      <c r="G13" s="171">
        <f>40+170</f>
        <v>210</v>
      </c>
      <c r="H13" s="170">
        <f t="shared" si="0"/>
        <v>225</v>
      </c>
    </row>
    <row r="14" customHeight="1" spans="1:9">
      <c r="A14" s="169">
        <v>13</v>
      </c>
      <c r="B14" s="173" t="s">
        <v>213</v>
      </c>
      <c r="C14" s="169" t="s">
        <v>484</v>
      </c>
      <c r="D14" s="169"/>
      <c r="E14" s="170">
        <v>2</v>
      </c>
      <c r="F14" s="170">
        <v>2</v>
      </c>
      <c r="G14" s="171">
        <v>25</v>
      </c>
      <c r="H14" s="170">
        <f t="shared" ref="H14:H21" si="1">+SUM(E14:G14)</f>
        <v>29</v>
      </c>
    </row>
    <row r="15" customHeight="1" spans="1:9">
      <c r="A15" s="169">
        <v>14</v>
      </c>
      <c r="B15" s="173" t="s">
        <v>964</v>
      </c>
      <c r="C15" s="169" t="s">
        <v>959</v>
      </c>
      <c r="D15" s="169"/>
      <c r="E15" s="170">
        <v>1</v>
      </c>
      <c r="F15" s="170">
        <v>1</v>
      </c>
      <c r="G15" s="171">
        <v>35</v>
      </c>
      <c r="H15" s="170">
        <f t="shared" si="1"/>
        <v>37</v>
      </c>
    </row>
    <row r="16" customHeight="1" spans="1:9">
      <c r="A16" s="169">
        <v>15</v>
      </c>
      <c r="B16" s="173" t="s">
        <v>218</v>
      </c>
      <c r="C16" s="169" t="s">
        <v>484</v>
      </c>
      <c r="D16" s="169"/>
      <c r="E16" s="170">
        <v>5</v>
      </c>
      <c r="F16" s="170">
        <v>1</v>
      </c>
      <c r="G16" s="171">
        <v>130</v>
      </c>
      <c r="H16" s="170">
        <f t="shared" si="1"/>
        <v>136</v>
      </c>
    </row>
    <row r="17" customHeight="1" spans="1:8">
      <c r="A17" s="169">
        <v>16</v>
      </c>
      <c r="B17" s="173" t="s">
        <v>965</v>
      </c>
      <c r="C17" s="169" t="s">
        <v>959</v>
      </c>
      <c r="D17" s="169"/>
      <c r="E17" s="170">
        <v>10</v>
      </c>
      <c r="F17" s="170">
        <v>5</v>
      </c>
      <c r="G17" s="171">
        <f>20+170</f>
        <v>190</v>
      </c>
      <c r="H17" s="170">
        <f t="shared" si="1"/>
        <v>205</v>
      </c>
    </row>
    <row r="18" customHeight="1" spans="1:8">
      <c r="A18" s="169">
        <v>17</v>
      </c>
      <c r="B18" s="173" t="s">
        <v>966</v>
      </c>
      <c r="C18" s="169" t="s">
        <v>959</v>
      </c>
      <c r="D18" s="169"/>
      <c r="E18" s="170">
        <v>10</v>
      </c>
      <c r="F18" s="170">
        <v>5</v>
      </c>
      <c r="G18" s="171">
        <v>180</v>
      </c>
      <c r="H18" s="170">
        <f t="shared" si="1"/>
        <v>195</v>
      </c>
    </row>
    <row r="19" customHeight="1" spans="1:8">
      <c r="A19" s="169">
        <v>18</v>
      </c>
      <c r="B19" s="173" t="s">
        <v>967</v>
      </c>
      <c r="C19" s="169" t="s">
        <v>959</v>
      </c>
      <c r="D19" s="169"/>
      <c r="E19" s="170">
        <v>10</v>
      </c>
      <c r="F19" s="170">
        <v>5</v>
      </c>
      <c r="G19" s="171">
        <v>170</v>
      </c>
      <c r="H19" s="170">
        <f t="shared" si="1"/>
        <v>185</v>
      </c>
    </row>
    <row r="20" customHeight="1" spans="1:8">
      <c r="A20" s="169">
        <v>19</v>
      </c>
      <c r="B20" s="173" t="s">
        <v>968</v>
      </c>
      <c r="C20" s="169" t="s">
        <v>959</v>
      </c>
      <c r="D20" s="169"/>
      <c r="E20" s="170">
        <v>10</v>
      </c>
      <c r="F20" s="170">
        <v>5</v>
      </c>
      <c r="G20" s="171">
        <v>130</v>
      </c>
      <c r="H20" s="170">
        <f t="shared" si="1"/>
        <v>145</v>
      </c>
    </row>
    <row r="21" customHeight="1" spans="1:8">
      <c r="A21" s="169">
        <v>20</v>
      </c>
      <c r="B21" s="174" t="s">
        <v>969</v>
      </c>
      <c r="C21" s="169" t="s">
        <v>959</v>
      </c>
      <c r="D21" s="169"/>
      <c r="E21" s="170">
        <v>5</v>
      </c>
      <c r="F21" s="170">
        <v>5</v>
      </c>
      <c r="G21" s="171">
        <v>35</v>
      </c>
      <c r="H21" s="170">
        <f t="shared" si="1"/>
        <v>45</v>
      </c>
    </row>
    <row r="22" customHeight="1" spans="1:8">
      <c r="A22" s="175"/>
      <c r="B22" s="175"/>
      <c r="C22" s="175"/>
      <c r="D22" s="175"/>
      <c r="E22" s="175"/>
      <c r="F22" s="175"/>
      <c r="G22" s="175"/>
      <c r="H22" s="175"/>
    </row>
    <row r="23" customHeight="1" spans="1:8">
      <c r="A23" s="175"/>
      <c r="B23" s="175"/>
      <c r="C23" s="175"/>
      <c r="D23" s="175"/>
      <c r="E23" s="175"/>
      <c r="F23" s="175"/>
      <c r="G23" s="175"/>
      <c r="H23" s="175"/>
    </row>
    <row r="24" customHeight="1" spans="1:8">
      <c r="A24" s="175"/>
      <c r="B24" s="175"/>
      <c r="C24" s="175"/>
      <c r="D24" s="175"/>
      <c r="E24" s="175"/>
      <c r="F24" s="175"/>
      <c r="G24" s="175"/>
      <c r="H24" s="175"/>
    </row>
    <row r="25" customHeight="1" spans="1:8">
      <c r="A25" s="175"/>
      <c r="B25" s="175"/>
      <c r="C25" s="175"/>
      <c r="D25" s="175"/>
      <c r="E25" s="175"/>
      <c r="F25" s="175"/>
      <c r="G25" s="175"/>
      <c r="H25" s="175"/>
    </row>
  </sheetData>
  <mergeCells count="1">
    <mergeCell ref="A1:H1"/>
  </mergeCells>
  <pageMargins left="0.75" right="0.75" top="1" bottom="1" header="0.5" footer="0.5"/>
  <pageSetup paperSize="9" scale="5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"/>
  <sheetViews>
    <sheetView view="pageBreakPreview" zoomScale="120" zoomScaleNormal="100" topLeftCell="A13" workbookViewId="0">
      <selection activeCell="D14" sqref="D14"/>
    </sheetView>
  </sheetViews>
  <sheetFormatPr defaultColWidth="9" defaultRowHeight="15.2"/>
  <cols>
    <col min="1" max="1" width="4.63461538461539" style="136" customWidth="1"/>
    <col min="2" max="2" width="25" style="135" customWidth="1"/>
    <col min="3" max="3" width="9" style="136"/>
    <col min="4" max="4" width="11.1346153846154" style="135"/>
    <col min="5" max="5" width="11.8942307692308" style="137"/>
    <col min="6" max="6" width="11.1346153846154" style="137"/>
    <col min="7" max="7" width="16.4423076923077" style="137" customWidth="1"/>
    <col min="8" max="8" width="12.7788461538462" style="137" customWidth="1"/>
    <col min="9" max="9" width="12.75" style="135" customWidth="1"/>
    <col min="10" max="10" width="9" style="135"/>
    <col min="11" max="11" width="21.25" style="135" customWidth="1"/>
    <col min="12" max="13" width="11.1346153846154" style="135"/>
    <col min="14" max="14" width="9.25" style="135" customWidth="1"/>
    <col min="15" max="15" width="11.8942307692308" style="135"/>
    <col min="16" max="16" width="9.25" style="135" customWidth="1"/>
    <col min="17" max="16384" width="9" style="135"/>
  </cols>
  <sheetData>
    <row r="1" s="133" customFormat="1" ht="20" customHeight="1" spans="1:20">
      <c r="A1" s="138"/>
      <c r="B1" s="138" t="s">
        <v>222</v>
      </c>
      <c r="C1" s="138"/>
      <c r="D1" s="138"/>
      <c r="E1" s="138"/>
      <c r="F1" s="138"/>
      <c r="G1" s="138"/>
      <c r="H1" s="138"/>
    </row>
    <row r="2" s="134" customFormat="1" ht="28" customHeight="1" spans="1:20">
      <c r="A2" s="134" t="s">
        <v>1</v>
      </c>
      <c r="B2" s="139" t="s">
        <v>2</v>
      </c>
      <c r="C2" s="139" t="s">
        <v>37</v>
      </c>
      <c r="D2" s="139" t="s">
        <v>399</v>
      </c>
      <c r="E2" s="140" t="s">
        <v>420</v>
      </c>
      <c r="F2" s="140" t="s">
        <v>10</v>
      </c>
      <c r="G2" s="140" t="s">
        <v>970</v>
      </c>
      <c r="H2" s="140" t="s">
        <v>364</v>
      </c>
      <c r="I2" s="141">
        <v>0</v>
      </c>
      <c r="L2" s="134">
        <f>88044/1000/6+6</f>
        <v>20.674</v>
      </c>
    </row>
    <row r="3" s="135" customFormat="1" ht="28" customHeight="1" spans="1:20">
      <c r="A3" s="136">
        <v>1</v>
      </c>
      <c r="B3" s="142" t="s">
        <v>971</v>
      </c>
      <c r="C3" s="143" t="s">
        <v>360</v>
      </c>
      <c r="D3" s="142">
        <v>0</v>
      </c>
      <c r="E3" s="144">
        <f>+O70</f>
        <v>0</v>
      </c>
      <c r="F3" s="144">
        <f t="shared" ref="F3:F21" si="0">D3*E3</f>
        <v>0</v>
      </c>
      <c r="G3" s="144">
        <f t="shared" ref="G3:G21" si="1">F3*$I$2</f>
        <v>0</v>
      </c>
      <c r="H3" s="144">
        <f t="shared" ref="H3:H21" si="2">F3+G3</f>
        <v>0</v>
      </c>
      <c r="I3" s="145">
        <f t="shared" ref="I3:I21" si="3">+H3/$H$22</f>
        <v>0</v>
      </c>
      <c r="L3" s="136" t="s">
        <v>399</v>
      </c>
      <c r="M3" s="136" t="s">
        <v>972</v>
      </c>
      <c r="N3" s="146" t="s">
        <v>973</v>
      </c>
      <c r="O3" s="146" t="s">
        <v>974</v>
      </c>
      <c r="P3" s="146" t="s">
        <v>975</v>
      </c>
      <c r="Q3" s="146" t="s">
        <v>976</v>
      </c>
      <c r="R3" s="146" t="s">
        <v>977</v>
      </c>
      <c r="S3" s="135" t="s">
        <v>978</v>
      </c>
    </row>
    <row r="4" s="135" customFormat="1" ht="28" customHeight="1" spans="1:20">
      <c r="A4" s="136">
        <v>2</v>
      </c>
      <c r="B4" s="142" t="s">
        <v>979</v>
      </c>
      <c r="C4" s="143" t="s">
        <v>360</v>
      </c>
      <c r="D4" s="142">
        <v>0</v>
      </c>
      <c r="E4" s="144">
        <v>0</v>
      </c>
      <c r="F4" s="144">
        <f t="shared" si="0"/>
        <v>0</v>
      </c>
      <c r="G4" s="144">
        <f t="shared" si="1"/>
        <v>0</v>
      </c>
      <c r="H4" s="144">
        <f t="shared" si="2"/>
        <v>0</v>
      </c>
      <c r="I4" s="147">
        <f t="shared" si="3"/>
        <v>0</v>
      </c>
      <c r="J4" s="148" t="s">
        <v>980</v>
      </c>
      <c r="K4" s="148"/>
      <c r="L4" s="136">
        <v>0</v>
      </c>
      <c r="M4" s="136">
        <v>4</v>
      </c>
      <c r="N4" s="136">
        <f t="shared" ref="N4:N6" si="4">26*30</f>
        <v>780</v>
      </c>
      <c r="O4" s="136">
        <v>900</v>
      </c>
      <c r="P4" s="136">
        <v>200</v>
      </c>
      <c r="Q4" s="136">
        <v>550</v>
      </c>
      <c r="R4" s="136">
        <v>270</v>
      </c>
      <c r="S4" s="136">
        <v>0</v>
      </c>
      <c r="T4" s="149">
        <f>L4*(M4*N4+O4+P4+R4)</f>
        <v>0</v>
      </c>
    </row>
    <row r="5" s="135" customFormat="1" ht="28" customHeight="1" spans="1:20">
      <c r="A5" s="136">
        <v>3</v>
      </c>
      <c r="B5" s="142" t="s">
        <v>381</v>
      </c>
      <c r="C5" s="143" t="s">
        <v>360</v>
      </c>
      <c r="D5" s="142">
        <v>0</v>
      </c>
      <c r="E5" s="144">
        <v>0</v>
      </c>
      <c r="F5" s="144">
        <f t="shared" si="0"/>
        <v>0</v>
      </c>
      <c r="G5" s="144">
        <f t="shared" si="1"/>
        <v>0</v>
      </c>
      <c r="H5" s="144">
        <f t="shared" si="2"/>
        <v>0</v>
      </c>
      <c r="I5" s="147">
        <f t="shared" si="3"/>
        <v>0</v>
      </c>
      <c r="J5" s="148"/>
      <c r="K5" s="148"/>
      <c r="L5" s="136"/>
      <c r="M5" s="150"/>
      <c r="N5" s="136">
        <f t="shared" si="4"/>
        <v>780</v>
      </c>
      <c r="O5" s="136">
        <v>900</v>
      </c>
      <c r="P5" s="136">
        <v>200</v>
      </c>
      <c r="Q5" s="136">
        <v>550</v>
      </c>
      <c r="R5" s="136">
        <v>270</v>
      </c>
      <c r="S5" s="136"/>
      <c r="T5" s="135">
        <f t="shared" ref="T4:T9" si="5">L5*(M5*N5+O5+P5+Q5+R5)</f>
        <v>0</v>
      </c>
    </row>
    <row r="6" s="135" customFormat="1" ht="28" customHeight="1" spans="1:20">
      <c r="A6" s="136">
        <v>4</v>
      </c>
      <c r="B6" s="142" t="s">
        <v>981</v>
      </c>
      <c r="C6" s="143" t="s">
        <v>982</v>
      </c>
      <c r="D6" s="151">
        <v>1</v>
      </c>
      <c r="E6" s="144">
        <v>1.5</v>
      </c>
      <c r="F6" s="144">
        <f t="shared" si="0"/>
        <v>1.5</v>
      </c>
      <c r="G6" s="144">
        <f t="shared" si="1"/>
        <v>0</v>
      </c>
      <c r="H6" s="144">
        <f t="shared" si="2"/>
        <v>1.5</v>
      </c>
      <c r="I6" s="147">
        <f t="shared" si="3"/>
        <v>1.53044046076461e-5</v>
      </c>
      <c r="J6" s="148"/>
      <c r="K6" s="148"/>
      <c r="L6" s="136"/>
      <c r="M6" s="136"/>
      <c r="N6" s="136">
        <f t="shared" si="4"/>
        <v>780</v>
      </c>
      <c r="O6" s="136">
        <v>900</v>
      </c>
      <c r="P6" s="136">
        <v>200</v>
      </c>
      <c r="Q6" s="136">
        <v>550</v>
      </c>
      <c r="R6" s="136">
        <v>270</v>
      </c>
      <c r="S6" s="136"/>
      <c r="T6" s="135">
        <f t="shared" si="5"/>
        <v>0</v>
      </c>
    </row>
    <row r="7" s="135" customFormat="1" ht="28" customHeight="1" spans="1:20">
      <c r="A7" s="136">
        <v>5</v>
      </c>
      <c r="B7" s="142" t="s">
        <v>983</v>
      </c>
      <c r="C7" s="143" t="s">
        <v>982</v>
      </c>
      <c r="D7" s="151">
        <f>+D6</f>
        <v>1</v>
      </c>
      <c r="E7" s="144">
        <v>1.5</v>
      </c>
      <c r="F7" s="144">
        <f t="shared" si="0"/>
        <v>1.5</v>
      </c>
      <c r="G7" s="144">
        <f t="shared" si="1"/>
        <v>0</v>
      </c>
      <c r="H7" s="144">
        <f t="shared" si="2"/>
        <v>1.5</v>
      </c>
      <c r="I7" s="147">
        <f t="shared" si="3"/>
        <v>1.53044046076461e-5</v>
      </c>
      <c r="L7" s="136"/>
      <c r="M7" s="136"/>
      <c r="N7" s="136"/>
      <c r="O7" s="136"/>
      <c r="P7" s="136"/>
      <c r="Q7" s="136"/>
      <c r="R7" s="136"/>
      <c r="S7" s="136"/>
      <c r="T7" s="135">
        <f t="shared" si="5"/>
        <v>0</v>
      </c>
    </row>
    <row r="8" s="135" customFormat="1" ht="28" customHeight="1" spans="1:20">
      <c r="A8" s="136">
        <v>6</v>
      </c>
      <c r="B8" s="152" t="s">
        <v>984</v>
      </c>
      <c r="C8" s="143" t="s">
        <v>982</v>
      </c>
      <c r="D8" s="151">
        <f>D6</f>
        <v>1</v>
      </c>
      <c r="E8" s="144">
        <v>2</v>
      </c>
      <c r="F8" s="144">
        <f t="shared" si="0"/>
        <v>2</v>
      </c>
      <c r="G8" s="144">
        <f t="shared" si="1"/>
        <v>0</v>
      </c>
      <c r="H8" s="144">
        <f t="shared" si="2"/>
        <v>2</v>
      </c>
      <c r="I8" s="147">
        <f t="shared" si="3"/>
        <v>2.04058728101948e-5</v>
      </c>
      <c r="L8" s="136"/>
      <c r="M8" s="136"/>
      <c r="N8" s="136"/>
      <c r="O8" s="136"/>
      <c r="P8" s="136"/>
      <c r="Q8" s="136"/>
      <c r="R8" s="136"/>
      <c r="S8" s="136"/>
      <c r="T8" s="135">
        <f t="shared" si="5"/>
        <v>0</v>
      </c>
    </row>
    <row r="9" s="135" customFormat="1" ht="28" customHeight="1" spans="1:20">
      <c r="A9" s="136">
        <v>7</v>
      </c>
      <c r="B9" s="142" t="s">
        <v>985</v>
      </c>
      <c r="C9" s="143" t="s">
        <v>982</v>
      </c>
      <c r="D9" s="151">
        <f>D8</f>
        <v>1</v>
      </c>
      <c r="E9" s="144">
        <v>0</v>
      </c>
      <c r="F9" s="144">
        <f t="shared" si="0"/>
        <v>0</v>
      </c>
      <c r="G9" s="144">
        <f t="shared" si="1"/>
        <v>0</v>
      </c>
      <c r="H9" s="144">
        <f t="shared" si="2"/>
        <v>0</v>
      </c>
      <c r="I9" s="147">
        <f t="shared" si="3"/>
        <v>0</v>
      </c>
      <c r="L9" s="136"/>
      <c r="M9" s="136"/>
      <c r="N9" s="136"/>
      <c r="O9" s="136"/>
      <c r="P9" s="136"/>
      <c r="Q9" s="136"/>
      <c r="R9" s="136"/>
      <c r="S9" s="136"/>
      <c r="T9" s="135">
        <f t="shared" si="5"/>
        <v>0</v>
      </c>
    </row>
    <row r="10" s="135" customFormat="1" ht="28" customHeight="1" spans="1:20">
      <c r="A10" s="136">
        <v>8</v>
      </c>
      <c r="B10" s="142" t="s">
        <v>986</v>
      </c>
      <c r="C10" s="143" t="s">
        <v>360</v>
      </c>
      <c r="D10" s="151">
        <f>D9</f>
        <v>1</v>
      </c>
      <c r="E10" s="153">
        <v>1</v>
      </c>
      <c r="F10" s="144">
        <f t="shared" si="0"/>
        <v>1</v>
      </c>
      <c r="G10" s="144">
        <f t="shared" si="1"/>
        <v>0</v>
      </c>
      <c r="H10" s="144">
        <f t="shared" si="2"/>
        <v>1</v>
      </c>
      <c r="I10" s="147">
        <f t="shared" si="3"/>
        <v>1.02029364050974e-5</v>
      </c>
      <c r="L10" s="136"/>
      <c r="M10" s="136"/>
      <c r="N10" s="136"/>
      <c r="O10" s="136"/>
      <c r="P10" s="136"/>
      <c r="Q10" s="136"/>
      <c r="R10" s="136"/>
      <c r="T10" s="135">
        <f>SUM(S4:T9)</f>
        <v>0</v>
      </c>
    </row>
    <row r="11" s="135" customFormat="1" ht="28" customHeight="1" spans="1:20">
      <c r="A11" s="136">
        <v>9</v>
      </c>
      <c r="B11" s="142" t="s">
        <v>987</v>
      </c>
      <c r="C11" s="143" t="s">
        <v>360</v>
      </c>
      <c r="D11" s="142">
        <v>1</v>
      </c>
      <c r="E11" s="144">
        <v>20000</v>
      </c>
      <c r="F11" s="144">
        <f t="shared" si="0"/>
        <v>20000</v>
      </c>
      <c r="G11" s="144">
        <f t="shared" si="1"/>
        <v>0</v>
      </c>
      <c r="H11" s="144">
        <f t="shared" si="2"/>
        <v>20000</v>
      </c>
      <c r="I11" s="147">
        <f t="shared" si="3"/>
        <v>0.204058728101948</v>
      </c>
      <c r="L11" s="136" t="s">
        <v>399</v>
      </c>
      <c r="M11" s="136" t="s">
        <v>420</v>
      </c>
      <c r="N11" s="136"/>
      <c r="O11" s="136"/>
      <c r="P11" s="136"/>
    </row>
    <row r="12" s="135" customFormat="1" ht="28" customHeight="1" spans="1:20">
      <c r="A12" s="136">
        <v>10</v>
      </c>
      <c r="B12" s="142" t="s">
        <v>988</v>
      </c>
      <c r="C12" s="143" t="s">
        <v>982</v>
      </c>
      <c r="D12" s="151">
        <f>D6</f>
        <v>1</v>
      </c>
      <c r="E12" s="144">
        <v>1</v>
      </c>
      <c r="F12" s="144">
        <f t="shared" si="0"/>
        <v>1</v>
      </c>
      <c r="G12" s="144">
        <f t="shared" si="1"/>
        <v>0</v>
      </c>
      <c r="H12" s="144">
        <f t="shared" si="2"/>
        <v>1</v>
      </c>
      <c r="I12" s="147">
        <f t="shared" si="3"/>
        <v>1.02029364050974e-5</v>
      </c>
      <c r="K12" s="135" t="s">
        <v>989</v>
      </c>
      <c r="L12" s="135">
        <f>125000/1000*16</f>
        <v>2000</v>
      </c>
      <c r="M12" s="135">
        <v>35</v>
      </c>
      <c r="N12" s="135">
        <f>L12*M12</f>
        <v>70000</v>
      </c>
    </row>
    <row r="13" s="135" customFormat="1" ht="28" customHeight="1" spans="1:20">
      <c r="A13" s="136">
        <v>11</v>
      </c>
      <c r="B13" s="142" t="s">
        <v>990</v>
      </c>
      <c r="C13" s="143" t="s">
        <v>982</v>
      </c>
      <c r="D13" s="151">
        <f>+D12</f>
        <v>1</v>
      </c>
      <c r="E13" s="144">
        <v>1.5</v>
      </c>
      <c r="F13" s="144">
        <f t="shared" si="0"/>
        <v>1.5</v>
      </c>
      <c r="G13" s="144">
        <f t="shared" si="1"/>
        <v>0</v>
      </c>
      <c r="H13" s="144">
        <f t="shared" si="2"/>
        <v>1.5</v>
      </c>
      <c r="I13" s="147">
        <f t="shared" si="3"/>
        <v>1.53044046076461e-5</v>
      </c>
      <c r="K13" s="135" t="s">
        <v>991</v>
      </c>
      <c r="L13" s="135">
        <f>+T16</f>
        <v>0</v>
      </c>
      <c r="M13" s="135">
        <v>17</v>
      </c>
      <c r="N13" s="135">
        <f>L13*M13</f>
        <v>0</v>
      </c>
      <c r="O13" s="154"/>
      <c r="P13" s="154"/>
    </row>
    <row r="14" s="135" customFormat="1" ht="28" customHeight="1" spans="1:20">
      <c r="A14" s="136">
        <v>12</v>
      </c>
      <c r="B14" s="142" t="s">
        <v>992</v>
      </c>
      <c r="C14" s="143" t="s">
        <v>360</v>
      </c>
      <c r="D14" s="142">
        <v>1</v>
      </c>
      <c r="E14" s="144">
        <f>T10+N12+N13</f>
        <v>70000</v>
      </c>
      <c r="F14" s="144">
        <f t="shared" si="0"/>
        <v>70000</v>
      </c>
      <c r="G14" s="144">
        <f t="shared" si="1"/>
        <v>0</v>
      </c>
      <c r="H14" s="144">
        <f t="shared" si="2"/>
        <v>70000</v>
      </c>
      <c r="I14" s="145">
        <f t="shared" si="3"/>
        <v>0.714205548356817</v>
      </c>
    </row>
    <row r="15" s="135" customFormat="1" ht="28" customHeight="1" spans="1:20">
      <c r="A15" s="136">
        <v>13</v>
      </c>
      <c r="B15" s="142" t="s">
        <v>993</v>
      </c>
      <c r="C15" s="143" t="s">
        <v>360</v>
      </c>
      <c r="D15" s="142">
        <v>1</v>
      </c>
      <c r="E15" s="144">
        <v>3000</v>
      </c>
      <c r="F15" s="144">
        <f t="shared" si="0"/>
        <v>3000</v>
      </c>
      <c r="G15" s="144">
        <f t="shared" si="1"/>
        <v>0</v>
      </c>
      <c r="H15" s="144">
        <f t="shared" si="2"/>
        <v>3000</v>
      </c>
      <c r="I15" s="147">
        <f t="shared" si="3"/>
        <v>0.0306088092152922</v>
      </c>
    </row>
    <row r="16" s="135" customFormat="1" ht="28" customHeight="1" spans="1:20">
      <c r="A16" s="136">
        <v>14</v>
      </c>
      <c r="B16" s="155" t="s">
        <v>378</v>
      </c>
      <c r="C16" s="143" t="s">
        <v>360</v>
      </c>
      <c r="D16" s="142">
        <v>0</v>
      </c>
      <c r="E16" s="144">
        <v>0</v>
      </c>
      <c r="F16" s="144">
        <f t="shared" si="0"/>
        <v>0</v>
      </c>
      <c r="G16" s="144">
        <f t="shared" si="1"/>
        <v>0</v>
      </c>
      <c r="H16" s="144">
        <f t="shared" si="2"/>
        <v>0</v>
      </c>
      <c r="I16" s="145">
        <f t="shared" si="3"/>
        <v>0</v>
      </c>
      <c r="N16" s="156"/>
      <c r="T16" s="156"/>
    </row>
    <row r="17" s="135" customFormat="1" ht="28" customHeight="1" spans="1:20">
      <c r="A17" s="136">
        <v>15</v>
      </c>
      <c r="B17" s="142" t="s">
        <v>994</v>
      </c>
      <c r="C17" s="143" t="s">
        <v>982</v>
      </c>
      <c r="D17" s="151">
        <f>+D12</f>
        <v>1</v>
      </c>
      <c r="E17" s="144">
        <v>1.5</v>
      </c>
      <c r="F17" s="144">
        <f t="shared" si="0"/>
        <v>1.5</v>
      </c>
      <c r="G17" s="144">
        <f t="shared" si="1"/>
        <v>0</v>
      </c>
      <c r="H17" s="144">
        <f t="shared" si="2"/>
        <v>1.5</v>
      </c>
      <c r="I17" s="147">
        <f t="shared" si="3"/>
        <v>1.53044046076461e-5</v>
      </c>
    </row>
    <row r="18" s="135" customFormat="1" ht="28" customHeight="1" spans="1:20">
      <c r="A18" s="136">
        <v>16</v>
      </c>
      <c r="B18" s="142" t="s">
        <v>995</v>
      </c>
      <c r="C18" s="143" t="s">
        <v>982</v>
      </c>
      <c r="D18" s="151">
        <f>+D17</f>
        <v>1</v>
      </c>
      <c r="E18" s="144">
        <v>1</v>
      </c>
      <c r="F18" s="144">
        <f t="shared" si="0"/>
        <v>1</v>
      </c>
      <c r="G18" s="144">
        <f t="shared" si="1"/>
        <v>0</v>
      </c>
      <c r="H18" s="144">
        <f t="shared" si="2"/>
        <v>1</v>
      </c>
      <c r="I18" s="147">
        <f t="shared" si="3"/>
        <v>1.02029364050974e-5</v>
      </c>
      <c r="T18" s="157"/>
    </row>
    <row r="19" s="135" customFormat="1" ht="28" customHeight="1" spans="1:20">
      <c r="A19" s="136">
        <v>17</v>
      </c>
      <c r="B19" s="142" t="s">
        <v>996</v>
      </c>
      <c r="C19" s="143" t="s">
        <v>360</v>
      </c>
      <c r="D19" s="142">
        <v>1</v>
      </c>
      <c r="E19" s="144">
        <v>5000</v>
      </c>
      <c r="F19" s="144">
        <f t="shared" si="0"/>
        <v>5000</v>
      </c>
      <c r="G19" s="144">
        <f t="shared" si="1"/>
        <v>0</v>
      </c>
      <c r="H19" s="144">
        <f t="shared" si="2"/>
        <v>5000</v>
      </c>
      <c r="I19" s="147">
        <f t="shared" si="3"/>
        <v>0.0510146820254869</v>
      </c>
      <c r="T19" s="157"/>
    </row>
    <row r="20" s="135" customFormat="1" ht="28" customHeight="1" spans="1:20">
      <c r="A20" s="136">
        <v>18</v>
      </c>
      <c r="B20" s="142" t="s">
        <v>997</v>
      </c>
      <c r="C20" s="143" t="s">
        <v>360</v>
      </c>
      <c r="D20" s="142">
        <v>1</v>
      </c>
      <c r="E20" s="144"/>
      <c r="F20" s="144">
        <f t="shared" si="0"/>
        <v>0</v>
      </c>
      <c r="G20" s="144">
        <f t="shared" si="1"/>
        <v>0</v>
      </c>
      <c r="H20" s="144">
        <f t="shared" si="2"/>
        <v>0</v>
      </c>
      <c r="I20" s="147">
        <f t="shared" si="3"/>
        <v>0</v>
      </c>
      <c r="T20" s="157"/>
    </row>
    <row r="21" s="135" customFormat="1" ht="24" customHeight="1" spans="1:20">
      <c r="A21" s="136">
        <v>19</v>
      </c>
      <c r="B21" s="155" t="s">
        <v>998</v>
      </c>
      <c r="C21" s="143" t="s">
        <v>360</v>
      </c>
      <c r="D21" s="142">
        <v>1</v>
      </c>
      <c r="E21" s="144">
        <v>0</v>
      </c>
      <c r="F21" s="144">
        <f t="shared" si="0"/>
        <v>0</v>
      </c>
      <c r="G21" s="144">
        <f t="shared" si="1"/>
        <v>0</v>
      </c>
      <c r="H21" s="144">
        <f t="shared" si="2"/>
        <v>0</v>
      </c>
      <c r="I21" s="147">
        <f t="shared" si="3"/>
        <v>0</v>
      </c>
      <c r="T21" s="157"/>
    </row>
    <row r="22" s="135" customFormat="1" ht="24" customHeight="1" spans="1:20">
      <c r="A22" s="136">
        <v>20</v>
      </c>
      <c r="B22" s="142" t="s">
        <v>999</v>
      </c>
      <c r="C22" s="143"/>
      <c r="D22" s="142"/>
      <c r="E22" s="144"/>
      <c r="F22" s="144"/>
      <c r="G22" s="144"/>
      <c r="H22" s="144">
        <f>SUM(H3:H21)</f>
        <v>98011</v>
      </c>
      <c r="T22" s="157"/>
    </row>
    <row r="23" s="135" customFormat="1" ht="20" customHeight="1" spans="1:20">
      <c r="A23" s="136"/>
      <c r="C23" s="136"/>
      <c r="E23" s="137"/>
      <c r="F23" s="137"/>
      <c r="G23" s="137"/>
      <c r="H23" s="137">
        <f>H22/D18</f>
        <v>98011</v>
      </c>
    </row>
    <row r="25" s="135" customFormat="1" ht="17.6" spans="1:20">
      <c r="A25" s="136"/>
      <c r="C25" s="136"/>
      <c r="E25" s="137"/>
      <c r="F25" s="137"/>
      <c r="G25" s="137"/>
      <c r="H25" s="137"/>
      <c r="P25" s="158"/>
    </row>
    <row r="26" s="135" customFormat="1" ht="10" customHeight="1" spans="1:20">
      <c r="A26" s="136"/>
      <c r="C26" s="136"/>
      <c r="E26" s="137"/>
      <c r="F26" s="137"/>
      <c r="G26" s="137"/>
      <c r="H26" s="137"/>
      <c r="P26" s="158"/>
    </row>
    <row r="27" s="135" customFormat="1" ht="10" customHeight="1" spans="1:20">
      <c r="A27" s="136"/>
      <c r="C27" s="136"/>
      <c r="E27" s="137"/>
      <c r="F27" s="137"/>
      <c r="G27" s="137"/>
      <c r="H27" s="137"/>
      <c r="P27" s="158"/>
    </row>
    <row r="28" s="135" customFormat="1" ht="17.6" spans="1:20">
      <c r="A28" s="136"/>
      <c r="C28" s="136"/>
      <c r="E28" s="137"/>
      <c r="F28" s="137"/>
      <c r="G28" s="137"/>
      <c r="H28" s="137"/>
      <c r="P28" s="158"/>
    </row>
    <row r="39" s="135" customFormat="1" spans="1:15">
      <c r="A39" s="136"/>
      <c r="C39" s="136"/>
      <c r="E39" s="137"/>
      <c r="F39" s="137"/>
      <c r="G39" s="137"/>
      <c r="H39" s="137"/>
      <c r="I39" s="137"/>
      <c r="J39" s="137"/>
    </row>
    <row r="40" s="135" customFormat="1" spans="1:15">
      <c r="A40" s="136"/>
      <c r="C40" s="136"/>
      <c r="E40" s="137"/>
      <c r="F40" s="137"/>
      <c r="G40" s="154"/>
      <c r="H40" s="137"/>
      <c r="J40" s="159"/>
      <c r="M40" s="137"/>
      <c r="N40" s="160"/>
      <c r="O40" s="137"/>
    </row>
    <row r="41" s="135" customFormat="1" spans="1:15">
      <c r="A41" s="136"/>
      <c r="C41" s="136"/>
      <c r="E41" s="137"/>
      <c r="F41" s="137"/>
      <c r="G41" s="154"/>
      <c r="H41" s="137"/>
      <c r="J41" s="159"/>
      <c r="M41" s="137"/>
      <c r="N41" s="159"/>
      <c r="O41" s="137"/>
    </row>
    <row r="42" s="135" customFormat="1" spans="1:15">
      <c r="A42" s="136"/>
      <c r="C42" s="136"/>
      <c r="E42" s="137"/>
      <c r="F42" s="161"/>
      <c r="G42" s="161"/>
      <c r="H42" s="137"/>
      <c r="M42" s="137"/>
      <c r="N42" s="137"/>
      <c r="O42" s="137"/>
    </row>
    <row r="43" s="135" customFormat="1" spans="1:15">
      <c r="A43" s="136"/>
      <c r="C43" s="136"/>
      <c r="E43" s="137"/>
      <c r="F43" s="161"/>
      <c r="G43" s="161"/>
      <c r="H43" s="137"/>
      <c r="M43" s="137"/>
      <c r="N43" s="137"/>
      <c r="O43" s="137"/>
    </row>
    <row r="44" s="135" customFormat="1" spans="1:15">
      <c r="A44" s="136"/>
      <c r="C44" s="136"/>
      <c r="E44" s="137"/>
      <c r="F44" s="161"/>
      <c r="G44" s="161"/>
      <c r="H44" s="137"/>
      <c r="M44" s="137"/>
      <c r="N44" s="137"/>
      <c r="O44" s="137"/>
    </row>
    <row r="45" s="135" customFormat="1" spans="1:15">
      <c r="A45" s="136"/>
      <c r="C45" s="136"/>
      <c r="E45" s="137"/>
      <c r="F45" s="137"/>
      <c r="G45" s="137"/>
      <c r="H45" s="137"/>
      <c r="M45" s="137"/>
      <c r="N45" s="137"/>
      <c r="O45" s="137"/>
    </row>
    <row r="46" s="135" customFormat="1" spans="1:15">
      <c r="A46" s="136"/>
      <c r="C46" s="136"/>
      <c r="E46" s="137"/>
      <c r="F46" s="137"/>
      <c r="G46" s="137"/>
      <c r="H46" s="137"/>
      <c r="M46" s="137"/>
      <c r="N46" s="137"/>
      <c r="O46" s="137"/>
    </row>
    <row r="47" s="135" customFormat="1" spans="1:15">
      <c r="A47" s="136"/>
      <c r="C47" s="136"/>
      <c r="E47" s="137"/>
      <c r="F47" s="137"/>
      <c r="G47" s="137"/>
      <c r="H47" s="137"/>
      <c r="M47" s="137"/>
      <c r="N47" s="137"/>
      <c r="O47" s="137"/>
    </row>
    <row r="48" s="135" customFormat="1" spans="1:15">
      <c r="A48" s="136"/>
      <c r="C48" s="136"/>
      <c r="E48" s="137"/>
      <c r="F48" s="137"/>
      <c r="G48" s="137"/>
      <c r="H48" s="137"/>
      <c r="M48" s="137"/>
      <c r="O48" s="137"/>
    </row>
    <row r="49" s="135" customFormat="1" spans="1:16">
      <c r="A49" s="136"/>
      <c r="C49" s="136"/>
      <c r="E49" s="137"/>
      <c r="F49" s="137"/>
      <c r="G49" s="137"/>
      <c r="H49" s="137"/>
      <c r="M49" s="137"/>
      <c r="O49" s="137"/>
    </row>
    <row r="50" s="135" customFormat="1" spans="1:16">
      <c r="A50" s="136"/>
      <c r="C50" s="136"/>
      <c r="E50" s="137"/>
      <c r="F50" s="162"/>
      <c r="G50" s="162"/>
      <c r="H50" s="137"/>
      <c r="M50" s="137"/>
      <c r="N50" s="137"/>
      <c r="O50" s="137"/>
    </row>
    <row r="51" s="135" customFormat="1" spans="1:16">
      <c r="A51" s="136"/>
      <c r="C51" s="136"/>
      <c r="E51" s="137"/>
      <c r="F51" s="162"/>
      <c r="G51" s="162"/>
      <c r="H51" s="137"/>
      <c r="M51" s="137"/>
      <c r="N51" s="137"/>
      <c r="O51" s="137"/>
    </row>
    <row r="52" s="135" customFormat="1" spans="1:16">
      <c r="A52" s="136"/>
      <c r="C52" s="136"/>
      <c r="E52" s="137"/>
      <c r="F52" s="162"/>
      <c r="G52" s="162"/>
      <c r="H52" s="137"/>
      <c r="M52" s="137"/>
      <c r="N52" s="137"/>
      <c r="O52" s="137"/>
    </row>
    <row r="53" s="135" customFormat="1" spans="1:16">
      <c r="A53" s="136"/>
      <c r="C53" s="136"/>
      <c r="E53" s="137"/>
      <c r="F53" s="137"/>
      <c r="G53" s="137"/>
      <c r="H53" s="137"/>
      <c r="M53" s="137"/>
      <c r="N53" s="137"/>
      <c r="O53" s="137"/>
    </row>
    <row r="54" s="135" customFormat="1" spans="1:16">
      <c r="A54" s="136"/>
      <c r="C54" s="136"/>
      <c r="E54" s="137"/>
      <c r="F54" s="137"/>
      <c r="G54" s="137"/>
      <c r="H54" s="137"/>
      <c r="M54" s="137"/>
      <c r="N54" s="137"/>
      <c r="O54" s="137"/>
    </row>
    <row r="55" s="135" customFormat="1" spans="1:16">
      <c r="A55" s="136"/>
      <c r="C55" s="136"/>
      <c r="E55" s="137"/>
      <c r="F55" s="137"/>
      <c r="G55" s="137"/>
      <c r="H55" s="137"/>
      <c r="M55" s="137"/>
      <c r="N55" s="137"/>
      <c r="O55" s="137"/>
    </row>
    <row r="56" s="135" customFormat="1" spans="1:16">
      <c r="A56" s="136"/>
      <c r="C56" s="136"/>
      <c r="E56" s="137"/>
      <c r="F56" s="137"/>
      <c r="G56" s="137"/>
      <c r="H56" s="137"/>
      <c r="M56" s="137"/>
      <c r="N56" s="137"/>
      <c r="O56" s="137"/>
    </row>
    <row r="57" s="135" customFormat="1" spans="1:16">
      <c r="A57" s="136"/>
      <c r="C57" s="136"/>
      <c r="E57" s="137"/>
      <c r="F57" s="137"/>
      <c r="G57" s="137"/>
      <c r="H57" s="137"/>
      <c r="M57" s="137"/>
      <c r="N57" s="137"/>
      <c r="O57" s="137"/>
    </row>
    <row r="58" s="135" customFormat="1" spans="1:16">
      <c r="A58" s="136"/>
      <c r="C58" s="136"/>
      <c r="E58" s="137"/>
      <c r="F58" s="137"/>
      <c r="G58" s="137"/>
      <c r="H58" s="137"/>
      <c r="M58" s="137"/>
      <c r="N58" s="137"/>
      <c r="O58" s="137"/>
    </row>
    <row r="59" s="135" customFormat="1" spans="1:16">
      <c r="A59" s="136"/>
      <c r="C59" s="136"/>
      <c r="E59" s="137"/>
      <c r="F59" s="137"/>
      <c r="G59" s="137"/>
      <c r="H59" s="137"/>
      <c r="M59" s="137"/>
      <c r="N59" s="137"/>
      <c r="O59" s="137"/>
    </row>
    <row r="60" s="135" customFormat="1" ht="14" customHeight="1" spans="1:16">
      <c r="A60" s="136"/>
      <c r="C60" s="136"/>
      <c r="E60" s="137"/>
      <c r="F60" s="137"/>
      <c r="G60" s="137"/>
      <c r="H60" s="137"/>
      <c r="M60" s="137"/>
      <c r="O60" s="137"/>
    </row>
    <row r="61" s="135" customFormat="1" ht="30" customHeight="1" spans="1:16">
      <c r="A61" s="136"/>
      <c r="C61" s="136"/>
      <c r="E61" s="137"/>
      <c r="F61" s="162"/>
      <c r="G61" s="162"/>
      <c r="H61" s="137"/>
      <c r="M61" s="137"/>
      <c r="N61" s="137"/>
      <c r="O61" s="137"/>
      <c r="P61" s="163"/>
    </row>
    <row r="62" s="135" customFormat="1" spans="1:16">
      <c r="A62" s="136"/>
      <c r="C62" s="136"/>
      <c r="E62" s="137"/>
      <c r="F62" s="162"/>
      <c r="G62" s="162"/>
      <c r="H62" s="137"/>
      <c r="M62" s="137"/>
      <c r="N62" s="137"/>
      <c r="O62" s="137"/>
      <c r="P62" s="163"/>
    </row>
    <row r="63" s="135" customFormat="1" spans="1:16">
      <c r="A63" s="136"/>
      <c r="C63" s="136"/>
      <c r="E63" s="137"/>
      <c r="F63" s="162"/>
      <c r="G63" s="162"/>
      <c r="H63" s="137"/>
      <c r="M63" s="137"/>
      <c r="N63" s="137"/>
      <c r="O63" s="137"/>
      <c r="P63" s="163"/>
    </row>
    <row r="64" s="135" customFormat="1" spans="1:16">
      <c r="A64" s="136"/>
      <c r="C64" s="136"/>
      <c r="E64" s="137"/>
      <c r="F64" s="162"/>
      <c r="G64" s="162"/>
      <c r="H64" s="137"/>
      <c r="M64" s="137"/>
      <c r="N64" s="137"/>
      <c r="O64" s="137"/>
      <c r="P64" s="163"/>
    </row>
    <row r="65" s="135" customFormat="1" spans="1:16">
      <c r="A65" s="136"/>
      <c r="C65" s="136"/>
      <c r="E65" s="137"/>
      <c r="F65" s="137"/>
      <c r="G65" s="137"/>
      <c r="H65" s="137"/>
      <c r="M65" s="137"/>
      <c r="N65" s="137"/>
      <c r="O65" s="137"/>
      <c r="P65" s="163"/>
    </row>
    <row r="66" s="135" customFormat="1" spans="1:16">
      <c r="A66" s="136"/>
      <c r="C66" s="136"/>
      <c r="E66" s="137"/>
      <c r="F66" s="137"/>
      <c r="G66" s="137"/>
      <c r="H66" s="137"/>
      <c r="M66" s="137"/>
      <c r="N66" s="137"/>
      <c r="O66" s="137"/>
      <c r="P66" s="163"/>
    </row>
    <row r="67" s="135" customFormat="1" spans="1:16">
      <c r="A67" s="136"/>
      <c r="C67" s="136"/>
      <c r="E67" s="137"/>
      <c r="F67" s="137"/>
      <c r="G67" s="137"/>
      <c r="H67" s="137"/>
      <c r="O67" s="137"/>
    </row>
    <row r="68" s="135" customFormat="1" spans="1:16">
      <c r="A68" s="136"/>
      <c r="C68" s="136"/>
      <c r="E68" s="137"/>
      <c r="F68" s="137"/>
      <c r="G68" s="137"/>
      <c r="H68" s="137"/>
      <c r="O68" s="164"/>
    </row>
    <row r="69" s="135" customFormat="1" spans="1:16">
      <c r="A69" s="136"/>
      <c r="C69" s="136"/>
      <c r="E69" s="137"/>
      <c r="F69" s="137"/>
      <c r="G69" s="137"/>
      <c r="H69" s="137"/>
      <c r="O69" s="137"/>
    </row>
    <row r="70" s="135" customFormat="1" spans="1:16">
      <c r="A70" s="136"/>
      <c r="C70" s="136"/>
      <c r="E70" s="137"/>
      <c r="F70" s="137"/>
      <c r="G70" s="137"/>
      <c r="H70" s="137"/>
      <c r="O70" s="165"/>
    </row>
    <row r="86" s="135" customFormat="1" spans="1:13">
      <c r="A86" s="136"/>
      <c r="C86" s="136"/>
      <c r="E86" s="137"/>
      <c r="F86" s="137"/>
      <c r="G86" s="137" t="s">
        <v>1000</v>
      </c>
      <c r="H86" s="137">
        <v>13.345</v>
      </c>
      <c r="I86" s="135">
        <v>0.77</v>
      </c>
      <c r="J86" s="135">
        <v>1</v>
      </c>
      <c r="K86" s="135">
        <f t="shared" ref="K86:K89" si="6">+J86*I86*H86</f>
        <v>10.27565</v>
      </c>
      <c r="L86" s="137">
        <v>3.91150442477876</v>
      </c>
      <c r="M86" s="137">
        <f t="shared" ref="M86:M90" si="7">+L86*K86</f>
        <v>40.1932504424779</v>
      </c>
    </row>
    <row r="87" s="135" customFormat="1" spans="1:13">
      <c r="A87" s="136"/>
      <c r="C87" s="136"/>
      <c r="E87" s="137"/>
      <c r="F87" s="137"/>
      <c r="G87" s="137" t="s">
        <v>1001</v>
      </c>
      <c r="H87" s="137">
        <v>10.99</v>
      </c>
      <c r="I87" s="135">
        <v>0.25</v>
      </c>
      <c r="J87" s="135">
        <v>2</v>
      </c>
      <c r="K87" s="135">
        <f t="shared" si="6"/>
        <v>5.495</v>
      </c>
      <c r="L87" s="137">
        <v>3.91150442477876</v>
      </c>
      <c r="M87" s="137">
        <f t="shared" si="7"/>
        <v>21.4937168141593</v>
      </c>
    </row>
    <row r="88" s="135" customFormat="1" spans="1:13">
      <c r="A88" s="136"/>
      <c r="C88" s="136"/>
      <c r="E88" s="137"/>
      <c r="F88" s="137"/>
      <c r="G88" s="137" t="s">
        <v>490</v>
      </c>
      <c r="H88" s="137">
        <f>0.3*0.2*10*7.85</f>
        <v>4.71</v>
      </c>
      <c r="I88" s="135">
        <v>1</v>
      </c>
      <c r="J88" s="135">
        <v>2</v>
      </c>
      <c r="K88" s="135">
        <f t="shared" si="6"/>
        <v>9.42</v>
      </c>
      <c r="L88" s="137">
        <v>5.13274336283186</v>
      </c>
      <c r="M88" s="137">
        <f t="shared" si="7"/>
        <v>48.3504424778761</v>
      </c>
    </row>
    <row r="89" s="135" customFormat="1" spans="1:13">
      <c r="A89" s="136"/>
      <c r="C89" s="136"/>
      <c r="E89" s="137"/>
      <c r="F89" s="137"/>
      <c r="G89" s="137" t="s">
        <v>1002</v>
      </c>
      <c r="H89" s="137">
        <v>1.01</v>
      </c>
      <c r="I89" s="135">
        <v>2</v>
      </c>
      <c r="J89" s="135">
        <v>2</v>
      </c>
      <c r="K89" s="135">
        <f t="shared" si="6"/>
        <v>4.04</v>
      </c>
      <c r="L89" s="137">
        <v>5.13274336283186</v>
      </c>
      <c r="M89" s="137">
        <f t="shared" si="7"/>
        <v>20.7362831858407</v>
      </c>
    </row>
    <row r="90" s="135" customFormat="1" spans="1:13">
      <c r="A90" s="136"/>
      <c r="C90" s="136"/>
      <c r="E90" s="137"/>
      <c r="F90" s="137"/>
      <c r="G90" s="137" t="s">
        <v>1003</v>
      </c>
      <c r="H90" s="137"/>
      <c r="K90" s="135">
        <f>+J88*I88*4</f>
        <v>8</v>
      </c>
      <c r="L90" s="137">
        <v>1.94690265486726</v>
      </c>
      <c r="M90" s="137">
        <f t="shared" si="7"/>
        <v>15.5752212389381</v>
      </c>
    </row>
    <row r="91" s="135" customFormat="1" spans="1:13">
      <c r="A91" s="136"/>
      <c r="C91" s="136"/>
      <c r="E91" s="137"/>
      <c r="F91" s="137"/>
      <c r="G91" s="137"/>
      <c r="H91" s="137"/>
      <c r="L91" s="148" t="s">
        <v>394</v>
      </c>
      <c r="M91" s="154">
        <f>SUM(M86:M90)</f>
        <v>146.348914159292</v>
      </c>
    </row>
    <row r="92" s="135" customFormat="1" spans="1:13">
      <c r="A92" s="136"/>
      <c r="C92" s="136"/>
      <c r="E92" s="137"/>
      <c r="F92" s="137"/>
      <c r="G92" s="137"/>
      <c r="H92" s="137"/>
      <c r="L92" s="148" t="s">
        <v>1004</v>
      </c>
      <c r="M92" s="148">
        <v>80</v>
      </c>
    </row>
    <row r="93" s="135" customFormat="1" spans="1:13">
      <c r="A93" s="136"/>
      <c r="C93" s="136"/>
      <c r="E93" s="137"/>
      <c r="F93" s="137"/>
      <c r="G93" s="137"/>
      <c r="H93" s="137"/>
      <c r="M93" s="148">
        <f>SUM(M91:M92)</f>
        <v>226.348914159292</v>
      </c>
    </row>
  </sheetData>
  <mergeCells count="8">
    <mergeCell ref="B1:H1"/>
    <mergeCell ref="J4:K4"/>
    <mergeCell ref="J5:K5"/>
    <mergeCell ref="J6:K6"/>
    <mergeCell ref="S4:S9"/>
    <mergeCell ref="F42:G44"/>
    <mergeCell ref="F50:G52"/>
    <mergeCell ref="F61:G64"/>
  </mergeCells>
  <pageMargins left="0.75" right="0.75" top="1" bottom="1" header="0.5" footer="0.5"/>
  <pageSetup paperSize="9" scale="8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83"/>
  <sheetViews>
    <sheetView view="pageBreakPreview" zoomScaleNormal="100" topLeftCell="A3521" workbookViewId="0">
      <selection activeCell="F3543" sqref="F3543"/>
    </sheetView>
  </sheetViews>
  <sheetFormatPr defaultColWidth="9" defaultRowHeight="16.8"/>
  <cols>
    <col min="1" max="1" width="11.375" customWidth="1"/>
    <col min="2" max="2" width="6.625" customWidth="1"/>
    <col min="3" max="3" width="10.5" customWidth="1"/>
    <col min="4" max="4" width="25.5" customWidth="1"/>
    <col min="10" max="10" width="14.125" customWidth="1"/>
    <col min="11" max="11" width="11.5"/>
    <col min="12" max="12" width="17.875" customWidth="1"/>
    <col min="13" max="13" width="19.625" customWidth="1"/>
    <col min="15" max="15" width="11.125"/>
    <col min="18" max="18" width="11.125"/>
    <col min="21" max="21" width="9.375" customWidth="1"/>
  </cols>
  <sheetData>
    <row r="1" s="26" customFormat="1" ht="30" customHeight="1" spans="1:21">
      <c r="A1" s="28"/>
      <c r="B1" s="29" t="s">
        <v>386</v>
      </c>
      <c r="C1" s="29"/>
      <c r="D1" s="29"/>
      <c r="E1" s="29"/>
      <c r="F1" s="29"/>
      <c r="G1" s="29"/>
      <c r="H1" s="29"/>
      <c r="I1" s="29"/>
      <c r="J1" s="29"/>
      <c r="K1" s="29"/>
      <c r="L1" s="30"/>
      <c r="M1" s="31"/>
      <c r="N1" s="31"/>
      <c r="O1" s="31"/>
      <c r="P1" s="31"/>
      <c r="Q1" s="31"/>
      <c r="R1" s="32"/>
      <c r="S1" s="33"/>
      <c r="T1" s="33"/>
    </row>
    <row r="2" s="27" customFormat="1" ht="33.75" customHeight="1" spans="1:21">
      <c r="A2" s="34">
        <v>1</v>
      </c>
      <c r="B2" s="35" t="s">
        <v>1</v>
      </c>
      <c r="C2" s="35" t="s">
        <v>387</v>
      </c>
      <c r="D2" s="36" t="str">
        <f>+A10</f>
        <v>首层座槽式玻璃幕墙（15+2.25SGP+15㎜全超白钢化夹层玻璃）（超宽）</v>
      </c>
      <c r="E2" s="37"/>
      <c r="F2" s="38" t="s">
        <v>225</v>
      </c>
      <c r="G2" s="39"/>
      <c r="H2" s="35" t="s">
        <v>388</v>
      </c>
      <c r="I2" s="40" t="s">
        <v>389</v>
      </c>
      <c r="J2" s="41" t="s">
        <v>37</v>
      </c>
      <c r="K2" s="42">
        <f ca="1">VLOOKUP(A2,'商业工程量清单 '!$A$4:$D$44,4,FALSE)</f>
        <v>25.92</v>
      </c>
      <c r="L2" s="43"/>
      <c r="M2" s="44"/>
      <c r="N2" s="44"/>
      <c r="O2" s="44"/>
      <c r="P2" s="45"/>
      <c r="Q2" s="44"/>
      <c r="R2" s="46"/>
      <c r="S2" s="47"/>
      <c r="T2" s="47"/>
    </row>
    <row r="3" s="27" customFormat="1" ht="25" customHeight="1" spans="1:21">
      <c r="A3" s="34"/>
      <c r="B3" s="48">
        <v>1</v>
      </c>
      <c r="C3" s="49" t="s">
        <v>390</v>
      </c>
      <c r="D3" s="48" t="s">
        <v>391</v>
      </c>
      <c r="E3" s="48"/>
      <c r="F3" s="50"/>
      <c r="G3" s="48"/>
      <c r="H3" s="51"/>
      <c r="I3" s="52">
        <f>J15</f>
        <v>210</v>
      </c>
      <c r="J3" s="53" t="s">
        <v>392</v>
      </c>
      <c r="K3" s="54"/>
      <c r="L3" s="55" t="s">
        <v>1005</v>
      </c>
      <c r="M3" s="56" t="s">
        <v>1006</v>
      </c>
      <c r="N3" s="57"/>
      <c r="O3" s="57">
        <v>7.2</v>
      </c>
      <c r="P3" s="57">
        <v>3.6</v>
      </c>
      <c r="Q3" s="57">
        <v>1</v>
      </c>
      <c r="R3" s="58">
        <f>+Q3*P3*O3</f>
        <v>25.92</v>
      </c>
      <c r="S3" s="47"/>
      <c r="T3" s="47"/>
    </row>
    <row r="4" s="27" customFormat="1" ht="18" customHeight="1" spans="1:21">
      <c r="A4" s="34"/>
      <c r="B4" s="48">
        <v>2</v>
      </c>
      <c r="C4" s="59"/>
      <c r="D4" s="48" t="s">
        <v>394</v>
      </c>
      <c r="E4" s="48"/>
      <c r="F4" s="50"/>
      <c r="G4" s="48"/>
      <c r="H4" s="51"/>
      <c r="I4" s="52">
        <f>J42</f>
        <v>1437.1360377547</v>
      </c>
      <c r="J4" s="53" t="s">
        <v>392</v>
      </c>
      <c r="K4" s="60"/>
      <c r="L4" s="61"/>
      <c r="M4" s="44"/>
      <c r="N4" s="44"/>
      <c r="O4" s="44"/>
      <c r="P4" s="44"/>
      <c r="Q4" s="44"/>
      <c r="R4" s="62"/>
      <c r="S4" s="47"/>
      <c r="T4" s="47"/>
    </row>
    <row r="5" s="27" customFormat="1" ht="18" customHeight="1" spans="1:21">
      <c r="A5" s="34"/>
      <c r="B5" s="48">
        <v>3</v>
      </c>
      <c r="C5" s="63"/>
      <c r="D5" s="48" t="s">
        <v>395</v>
      </c>
      <c r="E5" s="48"/>
      <c r="F5" s="50"/>
      <c r="G5" s="48"/>
      <c r="H5" s="51"/>
      <c r="I5" s="52">
        <f>J43</f>
        <v>5</v>
      </c>
      <c r="J5" s="53" t="s">
        <v>392</v>
      </c>
      <c r="K5" s="60"/>
      <c r="L5" s="60"/>
      <c r="M5" s="64" t="s">
        <v>396</v>
      </c>
      <c r="N5" s="65" t="s">
        <v>397</v>
      </c>
      <c r="O5" s="65" t="s">
        <v>398</v>
      </c>
      <c r="P5" s="65" t="s">
        <v>399</v>
      </c>
      <c r="Q5" s="65" t="s">
        <v>400</v>
      </c>
      <c r="R5" s="66" t="s">
        <v>401</v>
      </c>
      <c r="S5" s="47"/>
      <c r="T5" s="47"/>
    </row>
    <row r="6" s="27" customFormat="1" ht="18" customHeight="1" spans="1:21">
      <c r="A6" s="34"/>
      <c r="B6" s="48">
        <v>4</v>
      </c>
      <c r="C6" s="48" t="s">
        <v>402</v>
      </c>
      <c r="D6" s="67" t="s">
        <v>403</v>
      </c>
      <c r="E6" s="67"/>
      <c r="F6" s="50"/>
      <c r="G6" s="67"/>
      <c r="H6" s="68"/>
      <c r="I6" s="52">
        <f>SUM(I3:I5)</f>
        <v>1652.1360377547</v>
      </c>
      <c r="J6" s="53" t="s">
        <v>392</v>
      </c>
      <c r="K6" s="60"/>
      <c r="L6" s="69" t="s">
        <v>427</v>
      </c>
      <c r="M6" s="70" t="s">
        <v>1007</v>
      </c>
      <c r="N6" s="34">
        <v>3.111</v>
      </c>
      <c r="O6" s="34">
        <f>P3</f>
        <v>3.6</v>
      </c>
      <c r="P6" s="34">
        <v>1</v>
      </c>
      <c r="Q6" s="44">
        <f t="shared" ref="Q6:Q14" si="0">+P6*O6*N6</f>
        <v>11.1996</v>
      </c>
      <c r="R6" s="71">
        <f>+Q6/R3</f>
        <v>0.432083333333333</v>
      </c>
      <c r="S6" s="47"/>
      <c r="T6" s="47"/>
    </row>
    <row r="7" s="27" customFormat="1" ht="28" customHeight="1" spans="1:21">
      <c r="A7" s="34"/>
      <c r="B7" s="48">
        <v>5</v>
      </c>
      <c r="C7" s="72" t="s">
        <v>406</v>
      </c>
      <c r="D7" s="48" t="s">
        <v>407</v>
      </c>
      <c r="E7" s="48"/>
      <c r="F7" s="50"/>
      <c r="G7" s="48"/>
      <c r="H7" s="73">
        <f>+'材料表 '!$E$178</f>
        <v>0</v>
      </c>
      <c r="I7" s="52">
        <f>H7*I6</f>
        <v>0</v>
      </c>
      <c r="J7" s="53" t="s">
        <v>392</v>
      </c>
      <c r="K7" s="60"/>
      <c r="L7" s="69" t="s">
        <v>433</v>
      </c>
      <c r="M7" s="70" t="s">
        <v>1008</v>
      </c>
      <c r="N7" s="34">
        <v>0.507</v>
      </c>
      <c r="O7" s="34">
        <f>O6*2</f>
        <v>7.2</v>
      </c>
      <c r="P7" s="34">
        <v>1</v>
      </c>
      <c r="Q7" s="44">
        <f t="shared" si="0"/>
        <v>3.6504</v>
      </c>
      <c r="R7" s="71">
        <f>+Q7/R3</f>
        <v>0.140833333333333</v>
      </c>
      <c r="S7" s="47"/>
      <c r="T7" s="47"/>
    </row>
    <row r="8" s="27" customFormat="1" ht="18" customHeight="1" spans="1:21">
      <c r="A8" s="34"/>
      <c r="B8" s="48">
        <v>6</v>
      </c>
      <c r="C8" s="48" t="s">
        <v>409</v>
      </c>
      <c r="D8" s="48" t="s">
        <v>410</v>
      </c>
      <c r="E8" s="48"/>
      <c r="F8" s="50"/>
      <c r="G8" s="48"/>
      <c r="H8" s="73">
        <f>+'材料表 '!$E$179</f>
        <v>0</v>
      </c>
      <c r="I8" s="52">
        <f>H8*I6</f>
        <v>0</v>
      </c>
      <c r="J8" s="74" t="s">
        <v>392</v>
      </c>
      <c r="K8" s="75"/>
      <c r="L8" s="69" t="s">
        <v>429</v>
      </c>
      <c r="M8" s="70" t="s">
        <v>1009</v>
      </c>
      <c r="N8" s="34">
        <v>0.499</v>
      </c>
      <c r="O8" s="34">
        <f>P3/0.3*0.05</f>
        <v>0.6</v>
      </c>
      <c r="P8" s="34">
        <v>1</v>
      </c>
      <c r="Q8" s="44">
        <f t="shared" si="0"/>
        <v>0.2994</v>
      </c>
      <c r="R8" s="71">
        <f>+Q8/R3</f>
        <v>0.0115509259259259</v>
      </c>
      <c r="S8" s="47"/>
      <c r="T8" s="47"/>
      <c r="U8" s="76"/>
    </row>
    <row r="9" s="27" customFormat="1" ht="18" customHeight="1" spans="1:21">
      <c r="A9" s="34"/>
      <c r="B9" s="48">
        <v>7</v>
      </c>
      <c r="C9" s="48" t="s">
        <v>412</v>
      </c>
      <c r="D9" s="72" t="s">
        <v>413</v>
      </c>
      <c r="E9" s="72"/>
      <c r="F9" s="77"/>
      <c r="G9" s="72"/>
      <c r="H9" s="73">
        <f>+'材料表 '!$E$180</f>
        <v>0.09</v>
      </c>
      <c r="I9" s="52">
        <f>(I6+I7+I8)*H9</f>
        <v>148.692243397923</v>
      </c>
      <c r="J9" s="74" t="s">
        <v>392</v>
      </c>
      <c r="K9" s="75"/>
      <c r="L9" s="69" t="s">
        <v>429</v>
      </c>
      <c r="M9" s="70" t="s">
        <v>1010</v>
      </c>
      <c r="N9" s="34">
        <f>2.9</f>
        <v>2.9</v>
      </c>
      <c r="O9" s="34">
        <v>0.2</v>
      </c>
      <c r="P9" s="34">
        <v>1</v>
      </c>
      <c r="Q9" s="44">
        <f t="shared" si="0"/>
        <v>0.58</v>
      </c>
      <c r="R9" s="71">
        <f>+Q9/R3</f>
        <v>0.0223765432098765</v>
      </c>
      <c r="S9" s="47"/>
      <c r="T9" s="47"/>
    </row>
    <row r="10" s="27" customFormat="1" ht="18" customHeight="1" spans="1:21">
      <c r="A10" s="78" t="s">
        <v>1011</v>
      </c>
      <c r="B10" s="48">
        <v>8</v>
      </c>
      <c r="C10" s="48" t="s">
        <v>363</v>
      </c>
      <c r="D10" s="72" t="s">
        <v>415</v>
      </c>
      <c r="E10" s="72"/>
      <c r="F10" s="77"/>
      <c r="G10" s="72"/>
      <c r="H10" s="51"/>
      <c r="I10" s="74">
        <f>SUM(I6:I9)</f>
        <v>1800.82828115262</v>
      </c>
      <c r="J10" s="74" t="s">
        <v>416</v>
      </c>
      <c r="K10" s="75"/>
      <c r="L10" s="69" t="s">
        <v>429</v>
      </c>
      <c r="M10" s="70"/>
      <c r="N10" s="34"/>
      <c r="O10" s="34"/>
      <c r="P10" s="34">
        <v>1</v>
      </c>
      <c r="Q10" s="44">
        <f t="shared" si="0"/>
        <v>0</v>
      </c>
      <c r="R10" s="71">
        <f>+Q10/R3</f>
        <v>0</v>
      </c>
      <c r="S10" s="79"/>
      <c r="T10" s="47"/>
    </row>
    <row r="11" s="27" customFormat="1" ht="18" customHeight="1" spans="1:21">
      <c r="A11" s="34"/>
      <c r="B11" s="48" t="s">
        <v>418</v>
      </c>
      <c r="C11" s="48"/>
      <c r="D11" s="48"/>
      <c r="E11" s="48"/>
      <c r="F11" s="48"/>
      <c r="G11" s="48"/>
      <c r="H11" s="48"/>
      <c r="I11" s="48"/>
      <c r="J11" s="48"/>
      <c r="K11" s="80"/>
      <c r="L11" s="69" t="s">
        <v>447</v>
      </c>
      <c r="M11" s="70"/>
      <c r="N11" s="34"/>
      <c r="O11" s="34"/>
      <c r="P11" s="34">
        <v>1</v>
      </c>
      <c r="Q11" s="44">
        <f t="shared" si="0"/>
        <v>0</v>
      </c>
      <c r="R11" s="71">
        <f>+Q11/R3</f>
        <v>0</v>
      </c>
      <c r="S11" s="47"/>
      <c r="T11" s="47"/>
      <c r="U11" s="76"/>
    </row>
    <row r="12" s="27" customFormat="1" ht="18" customHeight="1" spans="1:21">
      <c r="A12" s="34"/>
      <c r="B12" s="48">
        <v>1</v>
      </c>
      <c r="C12" s="48" t="s">
        <v>391</v>
      </c>
      <c r="D12" s="48" t="s">
        <v>396</v>
      </c>
      <c r="E12" s="48" t="s">
        <v>37</v>
      </c>
      <c r="F12" s="50"/>
      <c r="G12" s="48"/>
      <c r="H12" s="51" t="s">
        <v>399</v>
      </c>
      <c r="I12" s="51" t="s">
        <v>420</v>
      </c>
      <c r="J12" s="51" t="s">
        <v>421</v>
      </c>
      <c r="K12" s="43"/>
      <c r="L12" s="69" t="s">
        <v>404</v>
      </c>
      <c r="M12" s="81"/>
      <c r="N12" s="82"/>
      <c r="O12" s="34"/>
      <c r="P12" s="34">
        <v>1</v>
      </c>
      <c r="Q12" s="44">
        <f t="shared" si="0"/>
        <v>0</v>
      </c>
      <c r="R12" s="71">
        <f>+Q12/R3</f>
        <v>0</v>
      </c>
      <c r="S12" s="47"/>
      <c r="T12" s="47"/>
    </row>
    <row r="13" s="27" customFormat="1" ht="18" customHeight="1" spans="1:21">
      <c r="A13" s="34"/>
      <c r="B13" s="48">
        <v>2</v>
      </c>
      <c r="C13" s="48"/>
      <c r="D13" s="48" t="s">
        <v>965</v>
      </c>
      <c r="E13" s="72" t="s">
        <v>423</v>
      </c>
      <c r="F13" s="50"/>
      <c r="G13" s="48"/>
      <c r="H13" s="51">
        <v>1</v>
      </c>
      <c r="I13" s="51">
        <f>+辅材及安装费!$G$17+20</f>
        <v>210</v>
      </c>
      <c r="J13" s="51">
        <f t="shared" ref="J13:J29" si="1">H13*I13</f>
        <v>210</v>
      </c>
      <c r="K13" s="43"/>
      <c r="L13" s="69" t="s">
        <v>427</v>
      </c>
      <c r="M13" s="70"/>
      <c r="N13" s="83"/>
      <c r="O13" s="34"/>
      <c r="P13" s="34">
        <v>1</v>
      </c>
      <c r="Q13" s="44">
        <f t="shared" si="0"/>
        <v>0</v>
      </c>
      <c r="R13" s="84">
        <f>+Q13/R3</f>
        <v>0</v>
      </c>
      <c r="S13" s="47"/>
      <c r="T13" s="47"/>
    </row>
    <row r="14" s="27" customFormat="1" ht="18" customHeight="1" spans="1:21">
      <c r="A14" s="34"/>
      <c r="B14" s="48">
        <v>3</v>
      </c>
      <c r="C14" s="48"/>
      <c r="D14" s="48"/>
      <c r="E14" s="72"/>
      <c r="F14" s="50"/>
      <c r="G14" s="48"/>
      <c r="H14" s="51"/>
      <c r="I14" s="51"/>
      <c r="J14" s="51"/>
      <c r="K14" s="43"/>
      <c r="L14" s="69"/>
      <c r="M14" s="81"/>
      <c r="N14" s="82"/>
      <c r="O14" s="44"/>
      <c r="P14" s="34">
        <v>1</v>
      </c>
      <c r="Q14" s="44">
        <f t="shared" si="0"/>
        <v>0</v>
      </c>
      <c r="R14" s="84">
        <f>+Q14/R3</f>
        <v>0</v>
      </c>
      <c r="S14" s="47"/>
      <c r="T14" s="47"/>
    </row>
    <row r="15" s="27" customFormat="1" ht="18" customHeight="1" spans="1:21">
      <c r="A15" s="34"/>
      <c r="B15" s="48">
        <v>4</v>
      </c>
      <c r="C15" s="48"/>
      <c r="D15" s="85" t="s">
        <v>426</v>
      </c>
      <c r="E15" s="48" t="s">
        <v>392</v>
      </c>
      <c r="F15" s="50"/>
      <c r="G15" s="48"/>
      <c r="H15" s="86"/>
      <c r="I15" s="86"/>
      <c r="J15" s="51">
        <f>SUM(J13:J13)</f>
        <v>210</v>
      </c>
      <c r="K15" s="75"/>
      <c r="L15" s="69"/>
      <c r="M15" s="70"/>
      <c r="N15" s="83"/>
      <c r="O15" s="83"/>
      <c r="P15" s="34">
        <v>1</v>
      </c>
      <c r="Q15" s="83"/>
      <c r="R15" s="87"/>
      <c r="S15" s="47"/>
      <c r="T15" s="47"/>
    </row>
    <row r="16" s="27" customFormat="1" ht="23" customHeight="1" spans="1:21">
      <c r="A16" s="34"/>
      <c r="B16" s="48">
        <v>1</v>
      </c>
      <c r="C16" s="48" t="s">
        <v>394</v>
      </c>
      <c r="D16" s="88" t="s">
        <v>427</v>
      </c>
      <c r="E16" s="72" t="str">
        <f>+VLOOKUP(D16,'材料表 '!C:F,2,0)</f>
        <v>kg</v>
      </c>
      <c r="F16" s="77">
        <f>+SUMIF($L$3:$L$43,D16,$R$3:$R$43)</f>
        <v>0.432083333333333</v>
      </c>
      <c r="G16" s="89">
        <f>+VLOOKUP(D16,'材料表 '!C:F,4,0)</f>
        <v>0.03</v>
      </c>
      <c r="H16" s="74">
        <f t="shared" ref="H16:H29" si="2">F16*(G16+1)</f>
        <v>0.445045833333333</v>
      </c>
      <c r="I16" s="74">
        <f>+VLOOKUP(D16,'材料表 '!C:F,3,0)</f>
        <v>25.8495575221239</v>
      </c>
      <c r="J16" s="51">
        <f t="shared" si="1"/>
        <v>11.5042378687316</v>
      </c>
      <c r="K16" s="75">
        <f ca="1">H16*K2</f>
        <v>11.535588</v>
      </c>
      <c r="L16" s="69"/>
      <c r="M16" s="70"/>
      <c r="N16" s="83"/>
      <c r="O16" s="83"/>
      <c r="P16" s="34">
        <v>1</v>
      </c>
      <c r="Q16" s="83"/>
      <c r="R16" s="87"/>
      <c r="S16" s="47"/>
      <c r="T16" s="47"/>
    </row>
    <row r="17" s="27" customFormat="1" ht="18" customHeight="1" spans="1:20">
      <c r="A17" s="34"/>
      <c r="B17" s="48">
        <v>2</v>
      </c>
      <c r="C17" s="48"/>
      <c r="D17" s="88" t="s">
        <v>404</v>
      </c>
      <c r="E17" s="72" t="str">
        <f>+VLOOKUP(D17,'材料表 '!C:F,2,0)</f>
        <v>kg</v>
      </c>
      <c r="F17" s="77">
        <f t="shared" ref="F17:F25" si="3">+SUMIF($L$3:$L$43,D17,$R$3:$R$43)</f>
        <v>0</v>
      </c>
      <c r="G17" s="89">
        <f>+VLOOKUP(D17,'材料表 '!C:F,4,0)</f>
        <v>0.03</v>
      </c>
      <c r="H17" s="74">
        <f t="shared" si="2"/>
        <v>0</v>
      </c>
      <c r="I17" s="74">
        <f>+VLOOKUP(D17,'材料表 '!C:F,3,0)</f>
        <v>25.6725663716814</v>
      </c>
      <c r="J17" s="51">
        <f t="shared" si="1"/>
        <v>0</v>
      </c>
      <c r="K17" s="75">
        <f ca="1">H17*K2</f>
        <v>0</v>
      </c>
      <c r="L17" s="69"/>
      <c r="M17" s="70"/>
      <c r="N17" s="83"/>
      <c r="O17" s="83"/>
      <c r="P17" s="83"/>
      <c r="Q17" s="83"/>
      <c r="R17" s="87"/>
      <c r="S17" s="47"/>
      <c r="T17" s="47"/>
    </row>
    <row r="18" s="27" customFormat="1" ht="18" customHeight="1" spans="1:20">
      <c r="A18" s="34"/>
      <c r="B18" s="48">
        <v>3</v>
      </c>
      <c r="C18" s="48"/>
      <c r="D18" s="88" t="s">
        <v>433</v>
      </c>
      <c r="E18" s="72" t="str">
        <f>+VLOOKUP(D18,'材料表 '!C:F,2,0)</f>
        <v>kg</v>
      </c>
      <c r="F18" s="77">
        <f t="shared" si="3"/>
        <v>0.140833333333333</v>
      </c>
      <c r="G18" s="89">
        <f>+VLOOKUP(D18,'材料表 '!C:F,4,0)</f>
        <v>0.03</v>
      </c>
      <c r="H18" s="74">
        <f t="shared" si="2"/>
        <v>0.145058333333333</v>
      </c>
      <c r="I18" s="74">
        <f>+VLOOKUP(D18,'材料表 '!C:F,3,0)</f>
        <v>26.1150442477876</v>
      </c>
      <c r="J18" s="51">
        <f t="shared" si="1"/>
        <v>3.78820479351031</v>
      </c>
      <c r="K18" s="75">
        <f ca="1">H18*K2</f>
        <v>3.75991199999999</v>
      </c>
      <c r="L18" s="69"/>
      <c r="N18" s="83"/>
      <c r="O18" s="83"/>
      <c r="P18" s="83"/>
      <c r="Q18" s="83"/>
      <c r="R18" s="87"/>
      <c r="S18" s="47"/>
      <c r="T18" s="47"/>
    </row>
    <row r="19" s="27" customFormat="1" ht="18" customHeight="1" spans="1:20">
      <c r="A19" s="34"/>
      <c r="B19" s="48">
        <v>4</v>
      </c>
      <c r="C19" s="48"/>
      <c r="D19" s="88" t="s">
        <v>429</v>
      </c>
      <c r="E19" s="72" t="str">
        <f>+VLOOKUP(D19,'材料表 '!C:F,2,0)</f>
        <v>kg</v>
      </c>
      <c r="F19" s="77">
        <f t="shared" si="3"/>
        <v>0.0339274691358024</v>
      </c>
      <c r="G19" s="89">
        <f>+VLOOKUP(D19,'材料表 '!C:F,4,0)</f>
        <v>0.03</v>
      </c>
      <c r="H19" s="74">
        <f t="shared" si="2"/>
        <v>0.0349452932098765</v>
      </c>
      <c r="I19" s="74">
        <f>+VLOOKUP(D19,'材料表 '!C:F,3,0)</f>
        <v>26.1150442477876</v>
      </c>
      <c r="J19" s="51">
        <f t="shared" si="1"/>
        <v>0.912597878427836</v>
      </c>
      <c r="K19" s="75">
        <f ca="1">H19*K2</f>
        <v>0.905781999999999</v>
      </c>
      <c r="L19" s="90" t="s">
        <v>428</v>
      </c>
      <c r="M19" s="44"/>
      <c r="N19" s="82"/>
      <c r="O19" s="44">
        <f>(O6*P6)</f>
        <v>3.6</v>
      </c>
      <c r="P19" s="44">
        <v>1</v>
      </c>
      <c r="Q19" s="44">
        <f>+P19*O19</f>
        <v>3.6</v>
      </c>
      <c r="R19" s="84">
        <f>+Q19/R3</f>
        <v>0.138888888888889</v>
      </c>
      <c r="S19" s="47"/>
      <c r="T19" s="47"/>
    </row>
    <row r="20" s="27" customFormat="1" ht="18" customHeight="1" spans="1:20">
      <c r="A20" s="34"/>
      <c r="B20" s="48">
        <v>5</v>
      </c>
      <c r="C20" s="48"/>
      <c r="D20" s="88" t="s">
        <v>447</v>
      </c>
      <c r="E20" s="72" t="str">
        <f>+VLOOKUP(D20,'材料表 '!C:F,2,0)</f>
        <v>kg</v>
      </c>
      <c r="F20" s="77">
        <f t="shared" si="3"/>
        <v>0</v>
      </c>
      <c r="G20" s="89">
        <f>+VLOOKUP(D20,'材料表 '!C:F,4,0)</f>
        <v>0.03</v>
      </c>
      <c r="H20" s="74">
        <f t="shared" si="2"/>
        <v>0</v>
      </c>
      <c r="I20" s="74">
        <f>+VLOOKUP(D20,'材料表 '!C:F,3,0)</f>
        <v>24.4336283185841</v>
      </c>
      <c r="J20" s="51">
        <f t="shared" si="1"/>
        <v>0</v>
      </c>
      <c r="K20" s="43">
        <f ca="1">H20*K2</f>
        <v>0</v>
      </c>
      <c r="L20" s="90"/>
      <c r="M20" s="44"/>
      <c r="N20" s="82"/>
      <c r="O20" s="44"/>
      <c r="P20" s="44"/>
      <c r="Q20" s="44"/>
      <c r="R20" s="84"/>
      <c r="S20" s="47"/>
      <c r="T20" s="47"/>
    </row>
    <row r="21" s="27" customFormat="1" ht="18" customHeight="1" spans="1:20">
      <c r="A21" s="34"/>
      <c r="B21" s="48">
        <v>6</v>
      </c>
      <c r="C21" s="48"/>
      <c r="D21" s="88" t="s">
        <v>434</v>
      </c>
      <c r="E21" s="72" t="str">
        <f>+VLOOKUP(D21,'材料表 '!C:F,2,0)</f>
        <v>m2</v>
      </c>
      <c r="F21" s="77">
        <f t="shared" si="3"/>
        <v>0</v>
      </c>
      <c r="G21" s="89">
        <f>+VLOOKUP(D21,'材料表 '!C:F,4,0)</f>
        <v>0</v>
      </c>
      <c r="H21" s="74">
        <f t="shared" si="2"/>
        <v>0</v>
      </c>
      <c r="I21" s="74">
        <f>+VLOOKUP(D21,'材料表 '!C:F,3,0)</f>
        <v>49.5575221238938</v>
      </c>
      <c r="J21" s="51">
        <f t="shared" si="1"/>
        <v>0</v>
      </c>
      <c r="K21" s="43">
        <f ca="1">H21*K2</f>
        <v>0</v>
      </c>
      <c r="L21" s="90" t="s">
        <v>463</v>
      </c>
      <c r="M21" s="91" t="s">
        <v>1012</v>
      </c>
      <c r="N21" s="82">
        <f>0.32*0.3*8*7.85</f>
        <v>6.0288</v>
      </c>
      <c r="O21" s="44">
        <v>2</v>
      </c>
      <c r="P21" s="44">
        <v>1</v>
      </c>
      <c r="Q21" s="44">
        <f>+P21*O21*N21</f>
        <v>12.0576</v>
      </c>
      <c r="R21" s="84">
        <f>+Q21/R3</f>
        <v>0.465185185185185</v>
      </c>
      <c r="S21" s="47"/>
      <c r="T21" s="47"/>
    </row>
    <row r="22" s="27" customFormat="1" ht="18" customHeight="1" spans="1:20">
      <c r="A22" s="34"/>
      <c r="B22" s="48">
        <v>7</v>
      </c>
      <c r="C22" s="48"/>
      <c r="D22" s="88"/>
      <c r="E22" s="72"/>
      <c r="F22" s="77"/>
      <c r="G22" s="89"/>
      <c r="H22" s="74"/>
      <c r="I22" s="74"/>
      <c r="J22" s="51"/>
      <c r="K22" s="43">
        <f ca="1">H22*K2</f>
        <v>0</v>
      </c>
      <c r="L22" s="69" t="s">
        <v>465</v>
      </c>
      <c r="M22" s="81" t="s">
        <v>1013</v>
      </c>
      <c r="N22" s="34">
        <v>9.88</v>
      </c>
      <c r="O22" s="34">
        <f>0.13</f>
        <v>0.13</v>
      </c>
      <c r="P22" s="34">
        <v>4</v>
      </c>
      <c r="Q22" s="44">
        <f>+P22*O22*N22</f>
        <v>5.1376</v>
      </c>
      <c r="R22" s="84">
        <f>Q22/R3</f>
        <v>0.19820987654321</v>
      </c>
      <c r="S22" s="47"/>
      <c r="T22" s="47"/>
    </row>
    <row r="23" s="27" customFormat="1" ht="18" customHeight="1" spans="1:20">
      <c r="A23" s="34"/>
      <c r="B23" s="48">
        <v>8</v>
      </c>
      <c r="C23" s="48"/>
      <c r="D23" s="88" t="s">
        <v>431</v>
      </c>
      <c r="E23" s="72" t="str">
        <f>+VLOOKUP(D23,'材料表 '!C:F,2,0)</f>
        <v>kg</v>
      </c>
      <c r="F23" s="77">
        <f t="shared" si="3"/>
        <v>0</v>
      </c>
      <c r="G23" s="89">
        <f>+VLOOKUP(D23,'材料表 '!C:F,4,0)</f>
        <v>0.03</v>
      </c>
      <c r="H23" s="74">
        <f t="shared" si="2"/>
        <v>0</v>
      </c>
      <c r="I23" s="74">
        <f>+VLOOKUP(D23,'材料表 '!C:F,3,0)</f>
        <v>3.80530973451327</v>
      </c>
      <c r="J23" s="51">
        <f t="shared" si="1"/>
        <v>0</v>
      </c>
      <c r="K23" s="43">
        <f ca="1">H23*K2</f>
        <v>0</v>
      </c>
      <c r="L23" s="90" t="s">
        <v>474</v>
      </c>
      <c r="M23" s="44"/>
      <c r="N23" s="82"/>
      <c r="O23" s="44">
        <v>6</v>
      </c>
      <c r="P23" s="44">
        <f>O21*P21</f>
        <v>2</v>
      </c>
      <c r="Q23" s="44">
        <f>O23*P23</f>
        <v>12</v>
      </c>
      <c r="R23" s="84">
        <f>Q23/R3</f>
        <v>0.462962962962963</v>
      </c>
      <c r="S23" s="47"/>
      <c r="T23" s="47"/>
    </row>
    <row r="24" s="27" customFormat="1" ht="18" customHeight="1" spans="1:20">
      <c r="A24" s="34"/>
      <c r="B24" s="48">
        <v>9</v>
      </c>
      <c r="C24" s="48"/>
      <c r="D24" s="88" t="s">
        <v>461</v>
      </c>
      <c r="E24" s="72" t="str">
        <f>+VLOOKUP(D24,'材料表 '!C:F,2,0)</f>
        <v>kg</v>
      </c>
      <c r="F24" s="77">
        <f t="shared" ref="F24:F29" si="4">+SUMIF($L$3:$L$43,D24,$R$3:$R$43)</f>
        <v>0</v>
      </c>
      <c r="G24" s="89">
        <f>+VLOOKUP(D24,'材料表 '!C:F,4,0)</f>
        <v>0.03</v>
      </c>
      <c r="H24" s="74">
        <f t="shared" ref="H24:H34" si="5">F24*(G24+1)</f>
        <v>0</v>
      </c>
      <c r="I24" s="74">
        <f>+VLOOKUP(D24,'材料表 '!C:F,3,0)</f>
        <v>3.53982300884956</v>
      </c>
      <c r="J24" s="51">
        <f t="shared" ref="J24:J34" si="6">H24*I24</f>
        <v>0</v>
      </c>
      <c r="K24" s="43">
        <f ca="1">H24*K2</f>
        <v>0</v>
      </c>
      <c r="L24" s="90" t="s">
        <v>472</v>
      </c>
      <c r="M24" s="91"/>
      <c r="N24" s="82"/>
      <c r="O24" s="44">
        <v>2</v>
      </c>
      <c r="P24" s="44">
        <v>2</v>
      </c>
      <c r="Q24" s="44">
        <f>O24*P24</f>
        <v>4</v>
      </c>
      <c r="R24" s="84">
        <f>Q24/R3</f>
        <v>0.154320987654321</v>
      </c>
      <c r="S24" s="47"/>
      <c r="T24" s="47"/>
    </row>
    <row r="25" s="27" customFormat="1" ht="18" customHeight="1" spans="1:20">
      <c r="A25" s="34"/>
      <c r="B25" s="48">
        <v>10</v>
      </c>
      <c r="C25" s="48"/>
      <c r="D25" s="88" t="s">
        <v>435</v>
      </c>
      <c r="E25" s="72" t="str">
        <f>+VLOOKUP(D25,'材料表 '!C:F,2,0)</f>
        <v>kg</v>
      </c>
      <c r="F25" s="77">
        <f t="shared" si="4"/>
        <v>0</v>
      </c>
      <c r="G25" s="89">
        <f>+VLOOKUP(D25,'材料表 '!C:F,4,0)</f>
        <v>0.03</v>
      </c>
      <c r="H25" s="74">
        <f t="shared" si="5"/>
        <v>0</v>
      </c>
      <c r="I25" s="74">
        <f>+VLOOKUP(D25,'材料表 '!C:F,3,0)</f>
        <v>19.4690265486726</v>
      </c>
      <c r="J25" s="51">
        <f t="shared" si="6"/>
        <v>0</v>
      </c>
      <c r="K25" s="43">
        <f ca="1">H25*K2</f>
        <v>0</v>
      </c>
      <c r="L25" s="69" t="s">
        <v>465</v>
      </c>
      <c r="M25" s="91"/>
      <c r="N25" s="82">
        <f>(0.058+0.04*2)*5*7.85</f>
        <v>5.4165</v>
      </c>
      <c r="O25" s="44">
        <f>O3</f>
        <v>7.2</v>
      </c>
      <c r="P25" s="44">
        <v>1</v>
      </c>
      <c r="Q25" s="44">
        <f>+P25*O25*N25</f>
        <v>38.9988</v>
      </c>
      <c r="R25" s="84">
        <f>+Q25/R3</f>
        <v>1.50458333333333</v>
      </c>
      <c r="S25" s="47"/>
      <c r="T25" s="47"/>
    </row>
    <row r="26" s="27" customFormat="1" ht="18" customHeight="1" spans="1:20">
      <c r="A26" s="34"/>
      <c r="B26" s="48">
        <v>11</v>
      </c>
      <c r="C26" s="48"/>
      <c r="D26" s="88" t="s">
        <v>463</v>
      </c>
      <c r="E26" s="72" t="str">
        <f>+VLOOKUP(D26,'材料表 '!C:F,2,0)</f>
        <v>kg</v>
      </c>
      <c r="F26" s="77">
        <f t="shared" si="4"/>
        <v>0.465185185185185</v>
      </c>
      <c r="G26" s="89">
        <f>+VLOOKUP(D26,'材料表 '!C:F,4,0)</f>
        <v>0.03</v>
      </c>
      <c r="H26" s="74">
        <f t="shared" si="5"/>
        <v>0.479140740740741</v>
      </c>
      <c r="I26" s="74">
        <f>+VLOOKUP(D26,'材料表 '!C:F,3,0)</f>
        <v>6.01769911504425</v>
      </c>
      <c r="J26" s="51">
        <f t="shared" si="6"/>
        <v>2.8833248115372</v>
      </c>
      <c r="K26" s="43">
        <f ca="1">H26*K2</f>
        <v>12.419328</v>
      </c>
      <c r="L26" s="69" t="s">
        <v>461</v>
      </c>
      <c r="M26" s="27"/>
      <c r="N26" s="83"/>
      <c r="O26" s="83"/>
      <c r="P26" s="83"/>
      <c r="Q26" s="83"/>
      <c r="R26" s="84"/>
      <c r="S26" s="47"/>
      <c r="T26" s="47"/>
    </row>
    <row r="27" s="27" customFormat="1" ht="18" customHeight="1" spans="1:20">
      <c r="A27" s="34"/>
      <c r="B27" s="48">
        <v>12</v>
      </c>
      <c r="C27" s="48"/>
      <c r="D27" s="88" t="s">
        <v>465</v>
      </c>
      <c r="E27" s="72" t="str">
        <f>+VLOOKUP(D27,'材料表 '!C:F,2,0)</f>
        <v>kg</v>
      </c>
      <c r="F27" s="77">
        <f t="shared" si="4"/>
        <v>1.70279320987654</v>
      </c>
      <c r="G27" s="89">
        <f>+VLOOKUP(D27,'材料表 '!C:F,4,0)</f>
        <v>0.03</v>
      </c>
      <c r="H27" s="74">
        <f t="shared" si="5"/>
        <v>1.75387700617284</v>
      </c>
      <c r="I27" s="74">
        <f>+VLOOKUP(D27,'材料表 '!C:F,3,0)</f>
        <v>6.01769911504425</v>
      </c>
      <c r="J27" s="51">
        <f t="shared" si="6"/>
        <v>10.5543041079427</v>
      </c>
      <c r="K27" s="43">
        <f ca="1">H27*K2</f>
        <v>45.460492</v>
      </c>
      <c r="L27" s="90"/>
      <c r="M27" s="44"/>
      <c r="N27" s="82"/>
      <c r="O27" s="44"/>
      <c r="P27" s="44"/>
      <c r="Q27" s="44"/>
      <c r="R27" s="84"/>
      <c r="S27" s="47"/>
      <c r="T27" s="47"/>
    </row>
    <row r="28" s="27" customFormat="1" ht="18" customHeight="1" spans="1:20">
      <c r="A28" s="34"/>
      <c r="B28" s="48">
        <v>13</v>
      </c>
      <c r="C28" s="48"/>
      <c r="D28" s="88" t="s">
        <v>474</v>
      </c>
      <c r="E28" s="72" t="str">
        <f>+VLOOKUP(D28,'材料表 '!C:F,2,0)</f>
        <v>套</v>
      </c>
      <c r="F28" s="77">
        <f t="shared" si="4"/>
        <v>0.462962962962963</v>
      </c>
      <c r="G28" s="89">
        <f>+VLOOKUP(D28,'材料表 '!C:F,4,0)</f>
        <v>0</v>
      </c>
      <c r="H28" s="74">
        <f t="shared" si="5"/>
        <v>0.462962962962963</v>
      </c>
      <c r="I28" s="74">
        <f>+VLOOKUP(D28,'材料表 '!C:F,3,0)</f>
        <v>2.21238938053097</v>
      </c>
      <c r="J28" s="51">
        <f t="shared" si="6"/>
        <v>1.02425434283841</v>
      </c>
      <c r="K28" s="43">
        <f ca="1">H28*K2</f>
        <v>12</v>
      </c>
      <c r="L28" s="90"/>
      <c r="M28" s="44"/>
      <c r="N28" s="82"/>
      <c r="O28" s="44"/>
      <c r="P28" s="44"/>
      <c r="Q28" s="44"/>
      <c r="R28" s="84"/>
      <c r="S28" s="47"/>
      <c r="T28" s="47"/>
    </row>
    <row r="29" s="27" customFormat="1" ht="18" customHeight="1" spans="1:20">
      <c r="A29" s="34"/>
      <c r="B29" s="48">
        <v>14</v>
      </c>
      <c r="C29" s="48"/>
      <c r="D29" s="88" t="s">
        <v>472</v>
      </c>
      <c r="E29" s="72" t="str">
        <f>+VLOOKUP(D29,'材料表 '!C:F,2,0)</f>
        <v>套</v>
      </c>
      <c r="F29" s="77">
        <f t="shared" si="4"/>
        <v>0.154320987654321</v>
      </c>
      <c r="G29" s="89">
        <f>+VLOOKUP(D29,'材料表 '!C:F,4,0)</f>
        <v>0</v>
      </c>
      <c r="H29" s="74">
        <f t="shared" si="5"/>
        <v>0.154320987654321</v>
      </c>
      <c r="I29" s="74">
        <f>+VLOOKUP(D29,'材料表 '!C:F,3,0)</f>
        <v>2.47787610619469</v>
      </c>
      <c r="J29" s="51">
        <f t="shared" si="6"/>
        <v>0.382388287993008</v>
      </c>
      <c r="K29" s="43">
        <f ca="1">H29*K2</f>
        <v>4</v>
      </c>
      <c r="L29" s="90"/>
      <c r="M29" s="44"/>
      <c r="N29" s="82"/>
      <c r="O29" s="44"/>
      <c r="P29" s="44"/>
      <c r="Q29" s="44"/>
      <c r="R29" s="84"/>
      <c r="S29" s="47"/>
      <c r="T29" s="47"/>
    </row>
    <row r="30" s="27" customFormat="1" ht="18" customHeight="1" spans="1:20">
      <c r="A30" s="34"/>
      <c r="B30" s="48">
        <v>15</v>
      </c>
      <c r="C30" s="48"/>
      <c r="D30" s="88" t="s">
        <v>476</v>
      </c>
      <c r="E30" s="72" t="str">
        <f>+VLOOKUP(D30,'材料表 '!C:F,2,0)</f>
        <v>支</v>
      </c>
      <c r="F30" s="77">
        <f>8*8*(O3*4+P3*4)/500/R3+16*32*(P3)/500/R3</f>
        <v>0.355555555555556</v>
      </c>
      <c r="G30" s="89">
        <f>+VLOOKUP(D30,'材料表 '!C:F,4,0)</f>
        <v>0.15</v>
      </c>
      <c r="H30" s="74">
        <f t="shared" si="5"/>
        <v>0.408888888888889</v>
      </c>
      <c r="I30" s="74">
        <f>+VLOOKUP(D30,'材料表 '!C:F,3,0)</f>
        <v>11.5044247787611</v>
      </c>
      <c r="J30" s="51">
        <f t="shared" si="6"/>
        <v>4.70403146509343</v>
      </c>
      <c r="K30" s="43">
        <f ca="1">H30*K2</f>
        <v>10.5984</v>
      </c>
      <c r="L30" s="92"/>
      <c r="M30" s="44"/>
      <c r="N30" s="82"/>
      <c r="O30" s="44"/>
      <c r="P30" s="44"/>
      <c r="Q30" s="44"/>
      <c r="R30" s="84"/>
      <c r="S30" s="47"/>
      <c r="T30" s="47"/>
    </row>
    <row r="31" s="27" customFormat="1" ht="18" customHeight="1" spans="1:20">
      <c r="A31" s="34"/>
      <c r="B31" s="48">
        <v>16</v>
      </c>
      <c r="C31" s="48"/>
      <c r="D31" s="88" t="s">
        <v>576</v>
      </c>
      <c r="E31" s="72" t="str">
        <f>+VLOOKUP(D31,'材料表 '!C:F,2,0)</f>
        <v>支</v>
      </c>
      <c r="F31" s="77">
        <f>16*8*(P3*P6)*2/500/R3</f>
        <v>0.0711111111111111</v>
      </c>
      <c r="G31" s="89">
        <f>+VLOOKUP(D31,'材料表 '!C:F,4,0)</f>
        <v>0.15</v>
      </c>
      <c r="H31" s="74">
        <f t="shared" si="5"/>
        <v>0.0817777777777778</v>
      </c>
      <c r="I31" s="74">
        <f>+VLOOKUP(D31,'材料表 '!C:F,3,0)</f>
        <v>14.1592920353982</v>
      </c>
      <c r="J31" s="51">
        <f t="shared" si="6"/>
        <v>1.15791543756145</v>
      </c>
      <c r="K31" s="43">
        <f ca="1">H31*K2</f>
        <v>2.11968</v>
      </c>
      <c r="L31" s="92"/>
      <c r="M31" s="44"/>
      <c r="N31" s="82"/>
      <c r="O31" s="44"/>
      <c r="P31" s="44"/>
      <c r="Q31" s="44"/>
      <c r="R31" s="84"/>
      <c r="S31" s="47"/>
      <c r="T31" s="47"/>
    </row>
    <row r="32" s="27" customFormat="1" ht="18" customHeight="1" spans="1:20">
      <c r="A32" s="34"/>
      <c r="B32" s="48">
        <v>17</v>
      </c>
      <c r="C32" s="48"/>
      <c r="D32" s="88"/>
      <c r="E32" s="72"/>
      <c r="F32" s="77"/>
      <c r="G32" s="89"/>
      <c r="H32" s="74"/>
      <c r="I32" s="74"/>
      <c r="J32" s="51"/>
      <c r="K32" s="43">
        <f ca="1">H32*K2</f>
        <v>0</v>
      </c>
      <c r="L32" s="92"/>
      <c r="M32" s="44"/>
      <c r="N32" s="82"/>
      <c r="O32" s="44"/>
      <c r="P32" s="44"/>
      <c r="Q32" s="44"/>
      <c r="R32" s="84"/>
      <c r="S32" s="47"/>
      <c r="T32" s="47"/>
    </row>
    <row r="33" s="27" customFormat="1" ht="18" customHeight="1" spans="1:20">
      <c r="A33" s="34"/>
      <c r="B33" s="48">
        <v>18</v>
      </c>
      <c r="C33" s="48"/>
      <c r="D33" s="88"/>
      <c r="E33" s="72"/>
      <c r="F33" s="77"/>
      <c r="G33" s="89"/>
      <c r="H33" s="74"/>
      <c r="I33" s="74"/>
      <c r="J33" s="51"/>
      <c r="K33" s="43">
        <f ca="1">H33*K2</f>
        <v>0</v>
      </c>
      <c r="L33" s="92"/>
      <c r="M33" s="44"/>
      <c r="N33" s="82"/>
      <c r="O33" s="44"/>
      <c r="P33" s="44"/>
      <c r="Q33" s="44"/>
      <c r="R33" s="84"/>
      <c r="S33" s="47"/>
      <c r="T33" s="47"/>
    </row>
    <row r="34" s="27" customFormat="1" ht="32" customHeight="1" spans="1:20">
      <c r="A34" s="34"/>
      <c r="B34" s="48">
        <v>19</v>
      </c>
      <c r="C34" s="48"/>
      <c r="D34" s="88" t="s">
        <v>659</v>
      </c>
      <c r="E34" s="72" t="str">
        <f>+VLOOKUP(D34,'材料表 '!C:F,2,0)</f>
        <v>m2</v>
      </c>
      <c r="F34" s="77">
        <v>1.01</v>
      </c>
      <c r="G34" s="89">
        <f>+VLOOKUP(D34,'材料表 '!C:F,4,0)</f>
        <v>0.01</v>
      </c>
      <c r="H34" s="74">
        <f t="shared" si="5"/>
        <v>1.0201</v>
      </c>
      <c r="I34" s="74">
        <f>+VLOOKUP(D34,'材料表 '!C:F,3,0)</f>
        <v>1362.83185840708</v>
      </c>
      <c r="J34" s="51">
        <f t="shared" si="6"/>
        <v>1390.22477876106</v>
      </c>
      <c r="K34" s="43">
        <f ca="1">H34*K2</f>
        <v>26.440992</v>
      </c>
      <c r="L34" s="90"/>
      <c r="M34" s="44"/>
      <c r="N34" s="82"/>
      <c r="O34" s="44"/>
      <c r="P34" s="44"/>
      <c r="Q34" s="44"/>
      <c r="R34" s="84"/>
      <c r="S34" s="47"/>
      <c r="T34" s="47"/>
    </row>
    <row r="35" s="27" customFormat="1" ht="21" customHeight="1" spans="1:20">
      <c r="A35" s="34"/>
      <c r="B35" s="48">
        <v>20</v>
      </c>
      <c r="C35" s="48"/>
      <c r="D35" s="88"/>
      <c r="E35" s="72"/>
      <c r="F35" s="77"/>
      <c r="G35" s="89"/>
      <c r="H35" s="74"/>
      <c r="I35" s="74"/>
      <c r="J35" s="51"/>
      <c r="K35" s="43">
        <f ca="1">H35*K2</f>
        <v>0</v>
      </c>
      <c r="L35" s="90"/>
      <c r="M35" s="44"/>
      <c r="N35" s="82"/>
      <c r="O35" s="44"/>
      <c r="P35" s="44"/>
      <c r="Q35" s="44"/>
      <c r="R35" s="84"/>
      <c r="S35" s="47"/>
      <c r="T35" s="47"/>
    </row>
    <row r="36" s="27" customFormat="1" ht="18" customHeight="1" spans="1:20">
      <c r="A36" s="34"/>
      <c r="B36" s="48">
        <v>21</v>
      </c>
      <c r="C36" s="48"/>
      <c r="D36" s="88"/>
      <c r="E36" s="72"/>
      <c r="F36" s="77"/>
      <c r="G36" s="89"/>
      <c r="H36" s="74"/>
      <c r="I36" s="74"/>
      <c r="J36" s="51"/>
      <c r="K36" s="43">
        <f ca="1">H36*K2</f>
        <v>0</v>
      </c>
      <c r="L36" s="92"/>
      <c r="M36" s="44"/>
      <c r="N36" s="82"/>
      <c r="O36" s="44"/>
      <c r="P36" s="44"/>
      <c r="Q36" s="44"/>
      <c r="R36" s="84"/>
      <c r="S36" s="47"/>
      <c r="T36" s="47"/>
    </row>
    <row r="37" s="27" customFormat="1" ht="18" customHeight="1" spans="1:20">
      <c r="A37" s="34"/>
      <c r="B37" s="48">
        <v>22</v>
      </c>
      <c r="C37" s="48"/>
      <c r="D37" s="88"/>
      <c r="E37" s="72"/>
      <c r="F37" s="77"/>
      <c r="G37" s="89"/>
      <c r="H37" s="74"/>
      <c r="I37" s="74"/>
      <c r="J37" s="51"/>
      <c r="K37" s="43">
        <f ca="1">H37*K2</f>
        <v>0</v>
      </c>
      <c r="L37" s="92"/>
      <c r="M37" s="44"/>
      <c r="N37" s="44"/>
      <c r="O37" s="44"/>
      <c r="P37" s="44"/>
      <c r="Q37" s="44"/>
      <c r="R37" s="84"/>
      <c r="S37" s="47"/>
      <c r="T37" s="47"/>
    </row>
    <row r="38" s="27" customFormat="1" ht="18" customHeight="1" spans="1:20">
      <c r="A38" s="34"/>
      <c r="B38" s="48">
        <v>23</v>
      </c>
      <c r="C38" s="48"/>
      <c r="D38" s="88"/>
      <c r="E38" s="72"/>
      <c r="F38" s="77"/>
      <c r="G38" s="89"/>
      <c r="H38" s="74"/>
      <c r="I38" s="74"/>
      <c r="J38" s="51"/>
      <c r="K38" s="75">
        <f ca="1">H38*K2</f>
        <v>0</v>
      </c>
      <c r="L38" s="92"/>
      <c r="M38" s="44"/>
      <c r="N38" s="44"/>
      <c r="O38" s="44"/>
      <c r="P38" s="44"/>
      <c r="Q38" s="44"/>
      <c r="R38" s="84"/>
      <c r="S38" s="47"/>
      <c r="T38" s="47"/>
    </row>
    <row r="39" s="27" customFormat="1" ht="18" customHeight="1" spans="1:20">
      <c r="A39" s="34"/>
      <c r="B39" s="48">
        <v>24</v>
      </c>
      <c r="C39" s="48"/>
      <c r="D39" s="88"/>
      <c r="E39" s="72"/>
      <c r="F39" s="77"/>
      <c r="G39" s="89"/>
      <c r="H39" s="74"/>
      <c r="I39" s="74"/>
      <c r="J39" s="51"/>
      <c r="K39" s="75">
        <f ca="1">H39*K2</f>
        <v>0</v>
      </c>
      <c r="L39" s="92"/>
      <c r="M39" s="44"/>
      <c r="N39" s="44"/>
      <c r="O39" s="44"/>
      <c r="P39" s="44"/>
      <c r="Q39" s="44"/>
      <c r="R39" s="84"/>
      <c r="S39" s="47"/>
      <c r="T39" s="47"/>
    </row>
    <row r="40" s="27" customFormat="1" ht="18" customHeight="1" spans="1:20">
      <c r="A40" s="34"/>
      <c r="B40" s="48">
        <v>25</v>
      </c>
      <c r="C40" s="48"/>
      <c r="D40" s="88"/>
      <c r="E40" s="72"/>
      <c r="F40" s="77"/>
      <c r="G40" s="89"/>
      <c r="H40" s="74"/>
      <c r="I40" s="74"/>
      <c r="J40" s="51"/>
      <c r="K40" s="75"/>
      <c r="L40" s="92"/>
      <c r="M40" s="44"/>
      <c r="N40" s="44"/>
      <c r="O40" s="44"/>
      <c r="P40" s="44"/>
      <c r="Q40" s="44"/>
      <c r="R40" s="84"/>
      <c r="S40" s="47"/>
      <c r="T40" s="47"/>
    </row>
    <row r="41" s="27" customFormat="1" ht="18" customHeight="1" spans="1:20">
      <c r="A41" s="34"/>
      <c r="B41" s="48">
        <v>26</v>
      </c>
      <c r="C41" s="48"/>
      <c r="D41" s="88" t="s">
        <v>441</v>
      </c>
      <c r="E41" s="72" t="s">
        <v>43</v>
      </c>
      <c r="F41" s="77"/>
      <c r="G41" s="72">
        <v>1</v>
      </c>
      <c r="H41" s="74">
        <v>1</v>
      </c>
      <c r="I41" s="74">
        <f>+辅材及安装费!$E$17</f>
        <v>10</v>
      </c>
      <c r="J41" s="51">
        <f>H41*I41</f>
        <v>10</v>
      </c>
      <c r="K41" s="75"/>
      <c r="L41" s="92"/>
      <c r="M41" s="44"/>
      <c r="N41" s="44"/>
      <c r="O41" s="44"/>
      <c r="P41" s="44"/>
      <c r="Q41" s="44"/>
      <c r="R41" s="62"/>
      <c r="S41" s="47"/>
      <c r="T41" s="47"/>
    </row>
    <row r="42" s="27" customFormat="1" ht="18" customHeight="1" spans="1:20">
      <c r="A42" s="34"/>
      <c r="B42" s="48">
        <v>27</v>
      </c>
      <c r="C42" s="48"/>
      <c r="D42" s="93" t="s">
        <v>442</v>
      </c>
      <c r="E42" s="72"/>
      <c r="F42" s="77"/>
      <c r="G42" s="72"/>
      <c r="H42" s="74"/>
      <c r="I42" s="74"/>
      <c r="J42" s="51">
        <f>SUM(J16:J41)</f>
        <v>1437.1360377547</v>
      </c>
      <c r="K42" s="75"/>
      <c r="L42" s="94"/>
      <c r="N42" s="83"/>
      <c r="O42" s="83"/>
      <c r="P42" s="83"/>
      <c r="Q42" s="83"/>
      <c r="R42" s="87"/>
      <c r="S42" s="47"/>
      <c r="T42" s="47"/>
    </row>
    <row r="43" s="27" customFormat="1" ht="18" customHeight="1" spans="1:20">
      <c r="A43" s="34"/>
      <c r="B43" s="48">
        <v>1</v>
      </c>
      <c r="C43" s="48" t="s">
        <v>443</v>
      </c>
      <c r="D43" s="48" t="s">
        <v>444</v>
      </c>
      <c r="E43" s="72" t="s">
        <v>43</v>
      </c>
      <c r="F43" s="50"/>
      <c r="G43" s="48"/>
      <c r="H43" s="51">
        <v>1</v>
      </c>
      <c r="I43" s="74">
        <f>+辅材及安装费!$F$17</f>
        <v>5</v>
      </c>
      <c r="J43" s="95">
        <f>H43*I43</f>
        <v>5</v>
      </c>
      <c r="K43" s="60"/>
      <c r="L43" s="96"/>
      <c r="M43" s="97"/>
      <c r="N43" s="98"/>
      <c r="O43" s="98"/>
      <c r="P43" s="98"/>
      <c r="Q43" s="98"/>
      <c r="R43" s="99"/>
      <c r="S43" s="47"/>
      <c r="T43" s="47"/>
    </row>
    <row r="44" s="26" customFormat="1" ht="30" customHeight="1" spans="1:20">
      <c r="A44" s="28"/>
      <c r="B44" s="29" t="s">
        <v>386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M44" s="31"/>
      <c r="N44" s="31"/>
      <c r="O44" s="31"/>
      <c r="P44" s="31"/>
      <c r="Q44" s="31"/>
      <c r="R44" s="32"/>
      <c r="S44" s="33"/>
      <c r="T44" s="33"/>
    </row>
    <row r="45" s="27" customFormat="1" ht="33.75" customHeight="1" spans="1:20">
      <c r="A45" s="34">
        <v>2</v>
      </c>
      <c r="B45" s="35" t="s">
        <v>1</v>
      </c>
      <c r="C45" s="35" t="s">
        <v>387</v>
      </c>
      <c r="D45" s="36" t="str">
        <f>+A53</f>
        <v>首层座槽式玻璃幕墙（12Low-E(双银)+12A+12全超白钢化中空玻璃）</v>
      </c>
      <c r="E45" s="37"/>
      <c r="F45" s="38" t="s">
        <v>225</v>
      </c>
      <c r="G45" s="39"/>
      <c r="H45" s="35" t="s">
        <v>388</v>
      </c>
      <c r="I45" s="40" t="s">
        <v>389</v>
      </c>
      <c r="J45" s="41" t="s">
        <v>37</v>
      </c>
      <c r="K45" s="42">
        <f ca="1">VLOOKUP(A45,'商业工程量清单 '!$A$4:$D$44,4,FALSE)</f>
        <v>10.98</v>
      </c>
      <c r="L45" s="43"/>
      <c r="M45" s="44"/>
      <c r="N45" s="44"/>
      <c r="O45" s="44"/>
      <c r="P45" s="45"/>
      <c r="Q45" s="44"/>
      <c r="R45" s="46"/>
      <c r="S45" s="47"/>
      <c r="T45" s="47"/>
    </row>
    <row r="46" s="27" customFormat="1" ht="25" customHeight="1" spans="1:20">
      <c r="A46" s="34"/>
      <c r="B46" s="48">
        <v>1</v>
      </c>
      <c r="C46" s="49" t="s">
        <v>390</v>
      </c>
      <c r="D46" s="48" t="s">
        <v>391</v>
      </c>
      <c r="E46" s="48"/>
      <c r="F46" s="50"/>
      <c r="G46" s="48"/>
      <c r="H46" s="51"/>
      <c r="I46" s="52">
        <f>J58</f>
        <v>190</v>
      </c>
      <c r="J46" s="53" t="s">
        <v>392</v>
      </c>
      <c r="K46" s="54"/>
      <c r="L46" s="55" t="s">
        <v>1005</v>
      </c>
      <c r="M46" s="56" t="s">
        <v>1006</v>
      </c>
      <c r="N46" s="57"/>
      <c r="O46" s="57">
        <f>1.85+1.2</f>
        <v>3.05</v>
      </c>
      <c r="P46" s="57">
        <v>3.6</v>
      </c>
      <c r="Q46" s="57">
        <v>1</v>
      </c>
      <c r="R46" s="58">
        <f>+Q46*P46*O46</f>
        <v>10.98</v>
      </c>
      <c r="S46" s="47"/>
      <c r="T46" s="47"/>
    </row>
    <row r="47" s="27" customFormat="1" ht="18" customHeight="1" spans="1:20">
      <c r="A47" s="34"/>
      <c r="B47" s="48">
        <v>2</v>
      </c>
      <c r="C47" s="59"/>
      <c r="D47" s="48" t="s">
        <v>394</v>
      </c>
      <c r="E47" s="48"/>
      <c r="F47" s="50"/>
      <c r="G47" s="48"/>
      <c r="H47" s="51"/>
      <c r="I47" s="52">
        <f>J85</f>
        <v>371.435635898738</v>
      </c>
      <c r="J47" s="53" t="s">
        <v>392</v>
      </c>
      <c r="K47" s="60"/>
      <c r="L47" s="61"/>
      <c r="M47" s="44"/>
      <c r="N47" s="44"/>
      <c r="O47" s="44"/>
      <c r="P47" s="44"/>
      <c r="Q47" s="44"/>
      <c r="R47" s="62"/>
      <c r="S47" s="47"/>
      <c r="T47" s="47"/>
    </row>
    <row r="48" s="27" customFormat="1" ht="18" customHeight="1" spans="1:20">
      <c r="A48" s="34"/>
      <c r="B48" s="48">
        <v>3</v>
      </c>
      <c r="C48" s="63"/>
      <c r="D48" s="48" t="s">
        <v>395</v>
      </c>
      <c r="E48" s="48"/>
      <c r="F48" s="50"/>
      <c r="G48" s="48"/>
      <c r="H48" s="51"/>
      <c r="I48" s="52">
        <f>J86</f>
        <v>5</v>
      </c>
      <c r="J48" s="53" t="s">
        <v>392</v>
      </c>
      <c r="K48" s="60"/>
      <c r="L48" s="60"/>
      <c r="M48" s="64" t="s">
        <v>396</v>
      </c>
      <c r="N48" s="65" t="s">
        <v>397</v>
      </c>
      <c r="O48" s="65" t="s">
        <v>398</v>
      </c>
      <c r="P48" s="65" t="s">
        <v>399</v>
      </c>
      <c r="Q48" s="65" t="s">
        <v>400</v>
      </c>
      <c r="R48" s="66" t="s">
        <v>401</v>
      </c>
      <c r="S48" s="47"/>
      <c r="T48" s="47"/>
    </row>
    <row r="49" s="27" customFormat="1" ht="18" customHeight="1" spans="1:21">
      <c r="A49" s="34"/>
      <c r="B49" s="48">
        <v>4</v>
      </c>
      <c r="C49" s="48" t="s">
        <v>402</v>
      </c>
      <c r="D49" s="67" t="s">
        <v>403</v>
      </c>
      <c r="E49" s="67"/>
      <c r="F49" s="50"/>
      <c r="G49" s="67"/>
      <c r="H49" s="68"/>
      <c r="I49" s="52">
        <f>SUM(I46:I48)</f>
        <v>566.435635898738</v>
      </c>
      <c r="J49" s="53" t="s">
        <v>392</v>
      </c>
      <c r="K49" s="60"/>
      <c r="L49" s="69" t="s">
        <v>427</v>
      </c>
      <c r="M49" s="70" t="s">
        <v>1007</v>
      </c>
      <c r="N49" s="34">
        <v>3.111</v>
      </c>
      <c r="O49" s="34">
        <f>P46</f>
        <v>3.6</v>
      </c>
      <c r="P49" s="34">
        <v>2.5</v>
      </c>
      <c r="Q49" s="44">
        <f t="shared" ref="Q49:Q57" si="7">+P49*O49*N49</f>
        <v>27.999</v>
      </c>
      <c r="R49" s="71">
        <f>+Q49/R46</f>
        <v>2.55</v>
      </c>
      <c r="S49" s="47"/>
      <c r="T49" s="47"/>
    </row>
    <row r="50" s="27" customFormat="1" ht="28" customHeight="1" spans="1:21">
      <c r="A50" s="34"/>
      <c r="B50" s="48">
        <v>5</v>
      </c>
      <c r="C50" s="72" t="s">
        <v>406</v>
      </c>
      <c r="D50" s="48" t="s">
        <v>407</v>
      </c>
      <c r="E50" s="48"/>
      <c r="F50" s="50"/>
      <c r="G50" s="48"/>
      <c r="H50" s="73">
        <f>+'材料表 '!$E$178</f>
        <v>0</v>
      </c>
      <c r="I50" s="52">
        <f>H50*I49</f>
        <v>0</v>
      </c>
      <c r="J50" s="53" t="s">
        <v>392</v>
      </c>
      <c r="K50" s="60"/>
      <c r="L50" s="69" t="s">
        <v>433</v>
      </c>
      <c r="M50" s="70" t="s">
        <v>1008</v>
      </c>
      <c r="N50" s="34">
        <v>0.507</v>
      </c>
      <c r="O50" s="34">
        <f>O49*2</f>
        <v>7.2</v>
      </c>
      <c r="P50" s="34">
        <f>P49</f>
        <v>2.5</v>
      </c>
      <c r="Q50" s="44">
        <f t="shared" si="7"/>
        <v>9.126</v>
      </c>
      <c r="R50" s="71">
        <f>+Q50/R46</f>
        <v>0.831147540983606</v>
      </c>
      <c r="S50" s="47"/>
      <c r="T50" s="47"/>
    </row>
    <row r="51" s="27" customFormat="1" ht="18" customHeight="1" spans="1:21">
      <c r="A51" s="34"/>
      <c r="B51" s="48">
        <v>6</v>
      </c>
      <c r="C51" s="48" t="s">
        <v>409</v>
      </c>
      <c r="D51" s="48" t="s">
        <v>410</v>
      </c>
      <c r="E51" s="48"/>
      <c r="F51" s="50"/>
      <c r="G51" s="48"/>
      <c r="H51" s="73">
        <f>+'材料表 '!$E$179</f>
        <v>0</v>
      </c>
      <c r="I51" s="52">
        <f>H51*I49</f>
        <v>0</v>
      </c>
      <c r="J51" s="74" t="s">
        <v>392</v>
      </c>
      <c r="K51" s="75"/>
      <c r="L51" s="69" t="s">
        <v>429</v>
      </c>
      <c r="M51" s="70" t="s">
        <v>1009</v>
      </c>
      <c r="N51" s="34">
        <v>0.499</v>
      </c>
      <c r="O51" s="34">
        <f>P46/0.3*0.05</f>
        <v>0.6</v>
      </c>
      <c r="P51" s="34">
        <f>P49</f>
        <v>2.5</v>
      </c>
      <c r="Q51" s="44">
        <f t="shared" si="7"/>
        <v>0.7485</v>
      </c>
      <c r="R51" s="71">
        <f>+Q51/R46</f>
        <v>0.0681693989071038</v>
      </c>
      <c r="S51" s="47"/>
      <c r="T51" s="47"/>
      <c r="U51" s="76"/>
    </row>
    <row r="52" s="27" customFormat="1" ht="18" customHeight="1" spans="1:21">
      <c r="A52" s="34"/>
      <c r="B52" s="48">
        <v>7</v>
      </c>
      <c r="C52" s="48" t="s">
        <v>412</v>
      </c>
      <c r="D52" s="72" t="s">
        <v>413</v>
      </c>
      <c r="E52" s="72"/>
      <c r="F52" s="77"/>
      <c r="G52" s="72"/>
      <c r="H52" s="73">
        <f>+'材料表 '!$E$180</f>
        <v>0.09</v>
      </c>
      <c r="I52" s="52">
        <f>(I49+I50+I51)*H52</f>
        <v>50.9792072308864</v>
      </c>
      <c r="J52" s="74" t="s">
        <v>392</v>
      </c>
      <c r="K52" s="75"/>
      <c r="L52" s="69" t="s">
        <v>429</v>
      </c>
      <c r="M52" s="70" t="s">
        <v>1010</v>
      </c>
      <c r="N52" s="34">
        <f>2.9</f>
        <v>2.9</v>
      </c>
      <c r="O52" s="34">
        <v>0.2</v>
      </c>
      <c r="P52" s="34">
        <f>P49</f>
        <v>2.5</v>
      </c>
      <c r="Q52" s="44">
        <f t="shared" si="7"/>
        <v>1.45</v>
      </c>
      <c r="R52" s="71">
        <f>+Q52/R46</f>
        <v>0.132058287795993</v>
      </c>
      <c r="S52" s="47"/>
      <c r="T52" s="47"/>
    </row>
    <row r="53" s="27" customFormat="1" ht="18" customHeight="1" spans="1:21">
      <c r="A53" s="78" t="s">
        <v>228</v>
      </c>
      <c r="B53" s="48">
        <v>8</v>
      </c>
      <c r="C53" s="48" t="s">
        <v>363</v>
      </c>
      <c r="D53" s="72" t="s">
        <v>415</v>
      </c>
      <c r="E53" s="72"/>
      <c r="F53" s="77"/>
      <c r="G53" s="72"/>
      <c r="H53" s="51"/>
      <c r="I53" s="74">
        <f>SUM(I49:I52)</f>
        <v>617.414843129624</v>
      </c>
      <c r="J53" s="74" t="s">
        <v>416</v>
      </c>
      <c r="K53" s="75"/>
      <c r="L53" s="69" t="s">
        <v>429</v>
      </c>
      <c r="M53" s="70"/>
      <c r="N53" s="34"/>
      <c r="O53" s="34"/>
      <c r="P53" s="34">
        <v>1</v>
      </c>
      <c r="Q53" s="44">
        <f t="shared" si="7"/>
        <v>0</v>
      </c>
      <c r="R53" s="71">
        <f>+Q53/R46</f>
        <v>0</v>
      </c>
      <c r="S53" s="79"/>
      <c r="T53" s="47"/>
    </row>
    <row r="54" s="27" customFormat="1" ht="18" customHeight="1" spans="1:21">
      <c r="A54" s="34"/>
      <c r="B54" s="48" t="s">
        <v>418</v>
      </c>
      <c r="C54" s="48"/>
      <c r="D54" s="48"/>
      <c r="E54" s="48"/>
      <c r="F54" s="48"/>
      <c r="G54" s="48"/>
      <c r="H54" s="48"/>
      <c r="I54" s="48"/>
      <c r="J54" s="48"/>
      <c r="K54" s="80"/>
      <c r="L54" s="69" t="s">
        <v>447</v>
      </c>
      <c r="M54" s="70"/>
      <c r="N54" s="34"/>
      <c r="O54" s="34"/>
      <c r="P54" s="34">
        <v>1</v>
      </c>
      <c r="Q54" s="44">
        <f t="shared" si="7"/>
        <v>0</v>
      </c>
      <c r="R54" s="71">
        <f>+Q54/R46</f>
        <v>0</v>
      </c>
      <c r="S54" s="47"/>
      <c r="T54" s="47"/>
      <c r="U54" s="76"/>
    </row>
    <row r="55" s="27" customFormat="1" ht="18" customHeight="1" spans="1:21">
      <c r="A55" s="34"/>
      <c r="B55" s="48">
        <v>1</v>
      </c>
      <c r="C55" s="48" t="s">
        <v>391</v>
      </c>
      <c r="D55" s="48" t="s">
        <v>396</v>
      </c>
      <c r="E55" s="48" t="s">
        <v>37</v>
      </c>
      <c r="F55" s="50"/>
      <c r="G55" s="48"/>
      <c r="H55" s="51" t="s">
        <v>399</v>
      </c>
      <c r="I55" s="51" t="s">
        <v>420</v>
      </c>
      <c r="J55" s="51" t="s">
        <v>421</v>
      </c>
      <c r="K55" s="43"/>
      <c r="L55" s="69" t="s">
        <v>404</v>
      </c>
      <c r="M55" s="81"/>
      <c r="N55" s="82"/>
      <c r="O55" s="34"/>
      <c r="P55" s="34">
        <v>1</v>
      </c>
      <c r="Q55" s="44">
        <f t="shared" si="7"/>
        <v>0</v>
      </c>
      <c r="R55" s="71">
        <f>+Q55/R46</f>
        <v>0</v>
      </c>
      <c r="S55" s="47"/>
      <c r="T55" s="47"/>
    </row>
    <row r="56" s="27" customFormat="1" ht="18" customHeight="1" spans="1:21">
      <c r="A56" s="34"/>
      <c r="B56" s="48">
        <v>2</v>
      </c>
      <c r="C56" s="48"/>
      <c r="D56" s="48" t="s">
        <v>965</v>
      </c>
      <c r="E56" s="72" t="s">
        <v>423</v>
      </c>
      <c r="F56" s="50"/>
      <c r="G56" s="48"/>
      <c r="H56" s="51">
        <v>1</v>
      </c>
      <c r="I56" s="51">
        <f>+辅材及安装费!$G$17</f>
        <v>190</v>
      </c>
      <c r="J56" s="51">
        <f t="shared" ref="J56:J64" si="8">H56*I56</f>
        <v>190</v>
      </c>
      <c r="K56" s="43"/>
      <c r="L56" s="69" t="s">
        <v>427</v>
      </c>
      <c r="M56" s="70"/>
      <c r="N56" s="83"/>
      <c r="O56" s="34"/>
      <c r="P56" s="34">
        <v>1</v>
      </c>
      <c r="Q56" s="44">
        <f t="shared" si="7"/>
        <v>0</v>
      </c>
      <c r="R56" s="84">
        <f>+Q56/R46</f>
        <v>0</v>
      </c>
      <c r="S56" s="47"/>
      <c r="T56" s="47"/>
    </row>
    <row r="57" s="27" customFormat="1" ht="18" customHeight="1" spans="1:21">
      <c r="A57" s="34"/>
      <c r="B57" s="48">
        <v>3</v>
      </c>
      <c r="C57" s="48"/>
      <c r="D57" s="48"/>
      <c r="E57" s="72"/>
      <c r="F57" s="50"/>
      <c r="G57" s="48"/>
      <c r="H57" s="51"/>
      <c r="I57" s="51"/>
      <c r="J57" s="51"/>
      <c r="K57" s="43"/>
      <c r="L57" s="69"/>
      <c r="M57" s="81"/>
      <c r="N57" s="82"/>
      <c r="O57" s="44"/>
      <c r="P57" s="34">
        <v>1</v>
      </c>
      <c r="Q57" s="44">
        <f t="shared" si="7"/>
        <v>0</v>
      </c>
      <c r="R57" s="84">
        <f>+Q57/R46</f>
        <v>0</v>
      </c>
      <c r="S57" s="47"/>
      <c r="T57" s="47"/>
    </row>
    <row r="58" s="27" customFormat="1" ht="18" customHeight="1" spans="1:21">
      <c r="A58" s="34"/>
      <c r="B58" s="48">
        <v>4</v>
      </c>
      <c r="C58" s="48"/>
      <c r="D58" s="85" t="s">
        <v>426</v>
      </c>
      <c r="E58" s="48" t="s">
        <v>392</v>
      </c>
      <c r="F58" s="50"/>
      <c r="G58" s="48"/>
      <c r="H58" s="86"/>
      <c r="I58" s="86"/>
      <c r="J58" s="51">
        <f>SUM(J56:J56)</f>
        <v>190</v>
      </c>
      <c r="K58" s="75"/>
      <c r="L58" s="69"/>
      <c r="M58" s="70"/>
      <c r="N58" s="83"/>
      <c r="O58" s="83"/>
      <c r="P58" s="34">
        <v>1</v>
      </c>
      <c r="Q58" s="83"/>
      <c r="R58" s="87"/>
      <c r="S58" s="47"/>
      <c r="T58" s="47"/>
    </row>
    <row r="59" s="27" customFormat="1" ht="23" customHeight="1" spans="1:21">
      <c r="A59" s="34"/>
      <c r="B59" s="48">
        <v>1</v>
      </c>
      <c r="C59" s="48" t="s">
        <v>394</v>
      </c>
      <c r="D59" s="88" t="s">
        <v>427</v>
      </c>
      <c r="E59" s="72" t="str">
        <f>+VLOOKUP(D59,'材料表 '!C:F,2,0)</f>
        <v>kg</v>
      </c>
      <c r="F59" s="77">
        <f>+SUMIF($L$46:$L$86,D59,$R$46:$R$86)</f>
        <v>2.55</v>
      </c>
      <c r="G59" s="89">
        <f>+VLOOKUP(D59,'材料表 '!C:F,4,0)</f>
        <v>0.03</v>
      </c>
      <c r="H59" s="74">
        <f t="shared" ref="H59:H64" si="9">F59*(G59+1)</f>
        <v>2.6265</v>
      </c>
      <c r="I59" s="74">
        <f>+VLOOKUP(D59,'材料表 '!C:F,3,0)</f>
        <v>25.8495575221239</v>
      </c>
      <c r="J59" s="51">
        <f t="shared" si="8"/>
        <v>67.8938628318584</v>
      </c>
      <c r="K59" s="75">
        <f ca="1">H59*K45</f>
        <v>28.83897</v>
      </c>
      <c r="L59" s="69"/>
      <c r="M59" s="70"/>
      <c r="N59" s="83"/>
      <c r="O59" s="83"/>
      <c r="P59" s="34">
        <v>1</v>
      </c>
      <c r="Q59" s="83"/>
      <c r="R59" s="87"/>
      <c r="S59" s="47"/>
      <c r="T59" s="47"/>
    </row>
    <row r="60" s="27" customFormat="1" ht="18" customHeight="1" spans="1:21">
      <c r="A60" s="34"/>
      <c r="B60" s="48">
        <v>2</v>
      </c>
      <c r="C60" s="48"/>
      <c r="D60" s="88" t="s">
        <v>404</v>
      </c>
      <c r="E60" s="72" t="str">
        <f>+VLOOKUP(D60,'材料表 '!C:F,2,0)</f>
        <v>kg</v>
      </c>
      <c r="F60" s="77">
        <f t="shared" ref="F60:F72" si="10">+SUMIF($L$46:$L$86,D60,$R$46:$R$86)</f>
        <v>0</v>
      </c>
      <c r="G60" s="89">
        <f>+VLOOKUP(D60,'材料表 '!C:F,4,0)</f>
        <v>0.03</v>
      </c>
      <c r="H60" s="74">
        <f t="shared" si="9"/>
        <v>0</v>
      </c>
      <c r="I60" s="74">
        <f>+VLOOKUP(D60,'材料表 '!C:F,3,0)</f>
        <v>25.6725663716814</v>
      </c>
      <c r="J60" s="51">
        <f t="shared" si="8"/>
        <v>0</v>
      </c>
      <c r="K60" s="75">
        <f ca="1">H60*K45</f>
        <v>0</v>
      </c>
      <c r="L60" s="69"/>
      <c r="M60" s="70"/>
      <c r="N60" s="83"/>
      <c r="O60" s="83"/>
      <c r="P60" s="83"/>
      <c r="Q60" s="83"/>
      <c r="R60" s="87"/>
      <c r="S60" s="47"/>
      <c r="T60" s="47"/>
    </row>
    <row r="61" s="27" customFormat="1" ht="18" customHeight="1" spans="1:21">
      <c r="A61" s="34"/>
      <c r="B61" s="48">
        <v>3</v>
      </c>
      <c r="C61" s="48"/>
      <c r="D61" s="88" t="s">
        <v>433</v>
      </c>
      <c r="E61" s="72" t="str">
        <f>+VLOOKUP(D61,'材料表 '!C:F,2,0)</f>
        <v>kg</v>
      </c>
      <c r="F61" s="77">
        <f t="shared" si="10"/>
        <v>0.831147540983606</v>
      </c>
      <c r="G61" s="89">
        <f>+VLOOKUP(D61,'材料表 '!C:F,4,0)</f>
        <v>0.03</v>
      </c>
      <c r="H61" s="74">
        <f t="shared" si="9"/>
        <v>0.856081967213114</v>
      </c>
      <c r="I61" s="74">
        <f>+VLOOKUP(D61,'材料表 '!C:F,3,0)</f>
        <v>26.1150442477876</v>
      </c>
      <c r="J61" s="51">
        <f t="shared" si="8"/>
        <v>22.3566184535035</v>
      </c>
      <c r="K61" s="75">
        <f ca="1">H61*K45</f>
        <v>9.39977999999999</v>
      </c>
      <c r="L61" s="69"/>
      <c r="N61" s="83"/>
      <c r="O61" s="83"/>
      <c r="P61" s="83"/>
      <c r="Q61" s="83"/>
      <c r="R61" s="87"/>
      <c r="S61" s="47"/>
      <c r="T61" s="47"/>
    </row>
    <row r="62" s="27" customFormat="1" ht="18" customHeight="1" spans="1:21">
      <c r="A62" s="34"/>
      <c r="B62" s="48">
        <v>4</v>
      </c>
      <c r="C62" s="48"/>
      <c r="D62" s="88" t="s">
        <v>429</v>
      </c>
      <c r="E62" s="72" t="str">
        <f>+VLOOKUP(D62,'材料表 '!C:F,2,0)</f>
        <v>kg</v>
      </c>
      <c r="F62" s="77">
        <f t="shared" si="10"/>
        <v>0.200227686703097</v>
      </c>
      <c r="G62" s="89">
        <f>+VLOOKUP(D62,'材料表 '!C:F,4,0)</f>
        <v>0.03</v>
      </c>
      <c r="H62" s="74">
        <f t="shared" si="9"/>
        <v>0.20623451730419</v>
      </c>
      <c r="I62" s="74">
        <f>+VLOOKUP(D62,'材料表 '!C:F,3,0)</f>
        <v>26.1150442477876</v>
      </c>
      <c r="J62" s="51">
        <f t="shared" si="8"/>
        <v>5.38582354482004</v>
      </c>
      <c r="K62" s="75">
        <f ca="1">H62*K45</f>
        <v>2.26445500000001</v>
      </c>
      <c r="L62" s="90" t="s">
        <v>428</v>
      </c>
      <c r="M62" s="44"/>
      <c r="N62" s="82"/>
      <c r="O62" s="44">
        <f>(O49*P49)</f>
        <v>9</v>
      </c>
      <c r="P62" s="44">
        <v>1</v>
      </c>
      <c r="Q62" s="44">
        <f>+P62*O62</f>
        <v>9</v>
      </c>
      <c r="R62" s="84">
        <f>+Q62/R46</f>
        <v>0.819672131147541</v>
      </c>
      <c r="S62" s="47"/>
      <c r="T62" s="47"/>
    </row>
    <row r="63" s="27" customFormat="1" ht="18" customHeight="1" spans="1:21">
      <c r="A63" s="34"/>
      <c r="B63" s="48">
        <v>5</v>
      </c>
      <c r="C63" s="48"/>
      <c r="D63" s="88" t="s">
        <v>447</v>
      </c>
      <c r="E63" s="72" t="str">
        <f>+VLOOKUP(D63,'材料表 '!C:F,2,0)</f>
        <v>kg</v>
      </c>
      <c r="F63" s="77">
        <f t="shared" si="10"/>
        <v>0</v>
      </c>
      <c r="G63" s="89">
        <f>+VLOOKUP(D63,'材料表 '!C:F,4,0)</f>
        <v>0.03</v>
      </c>
      <c r="H63" s="74">
        <f t="shared" si="9"/>
        <v>0</v>
      </c>
      <c r="I63" s="74">
        <f>+VLOOKUP(D63,'材料表 '!C:F,3,0)</f>
        <v>24.4336283185841</v>
      </c>
      <c r="J63" s="51">
        <f t="shared" si="8"/>
        <v>0</v>
      </c>
      <c r="K63" s="43">
        <f ca="1">H63*K45</f>
        <v>0</v>
      </c>
      <c r="L63" s="90"/>
      <c r="M63" s="44"/>
      <c r="N63" s="82"/>
      <c r="O63" s="44"/>
      <c r="P63" s="44"/>
      <c r="Q63" s="44"/>
      <c r="R63" s="84"/>
      <c r="S63" s="47"/>
      <c r="T63" s="47"/>
    </row>
    <row r="64" s="27" customFormat="1" ht="18" customHeight="1" spans="1:21">
      <c r="A64" s="34"/>
      <c r="B64" s="48">
        <v>6</v>
      </c>
      <c r="C64" s="48"/>
      <c r="D64" s="88" t="s">
        <v>434</v>
      </c>
      <c r="E64" s="72" t="str">
        <f>+VLOOKUP(D64,'材料表 '!C:F,2,0)</f>
        <v>m2</v>
      </c>
      <c r="F64" s="77">
        <f t="shared" si="10"/>
        <v>0</v>
      </c>
      <c r="G64" s="89">
        <f>+VLOOKUP(D64,'材料表 '!C:F,4,0)</f>
        <v>0</v>
      </c>
      <c r="H64" s="74">
        <f t="shared" si="9"/>
        <v>0</v>
      </c>
      <c r="I64" s="74">
        <f>+VLOOKUP(D64,'材料表 '!C:F,3,0)</f>
        <v>49.5575221238938</v>
      </c>
      <c r="J64" s="51">
        <f t="shared" si="8"/>
        <v>0</v>
      </c>
      <c r="K64" s="43">
        <f ca="1">H64*K45</f>
        <v>0</v>
      </c>
      <c r="L64" s="90" t="s">
        <v>463</v>
      </c>
      <c r="M64" s="91" t="s">
        <v>1012</v>
      </c>
      <c r="N64" s="82">
        <f>0.32*0.3*8*7.85</f>
        <v>6.0288</v>
      </c>
      <c r="O64" s="44">
        <v>2</v>
      </c>
      <c r="P64" s="44">
        <f>P49</f>
        <v>2.5</v>
      </c>
      <c r="Q64" s="44">
        <f t="shared" ref="Q64:Q68" si="11">+P64*O64*N64</f>
        <v>30.144</v>
      </c>
      <c r="R64" s="84">
        <f>+Q64/R46</f>
        <v>2.74535519125683</v>
      </c>
      <c r="S64" s="47"/>
      <c r="T64" s="47"/>
    </row>
    <row r="65" s="27" customFormat="1" ht="18" customHeight="1" spans="1:20">
      <c r="A65" s="34"/>
      <c r="B65" s="48">
        <v>7</v>
      </c>
      <c r="C65" s="48"/>
      <c r="D65" s="88"/>
      <c r="E65" s="72"/>
      <c r="F65" s="77">
        <f t="shared" si="10"/>
        <v>0</v>
      </c>
      <c r="G65" s="89"/>
      <c r="H65" s="74"/>
      <c r="I65" s="74"/>
      <c r="J65" s="51"/>
      <c r="K65" s="43">
        <f ca="1">H65*K45</f>
        <v>0</v>
      </c>
      <c r="L65" s="69" t="s">
        <v>465</v>
      </c>
      <c r="M65" s="81" t="s">
        <v>1013</v>
      </c>
      <c r="N65" s="34">
        <v>9.88</v>
      </c>
      <c r="O65" s="34">
        <f>0.13</f>
        <v>0.13</v>
      </c>
      <c r="P65" s="34">
        <f>2*P64</f>
        <v>5</v>
      </c>
      <c r="Q65" s="44">
        <f t="shared" si="11"/>
        <v>6.422</v>
      </c>
      <c r="R65" s="84">
        <f>Q65/R46</f>
        <v>0.58488160291439</v>
      </c>
      <c r="S65" s="47"/>
      <c r="T65" s="47"/>
    </row>
    <row r="66" s="27" customFormat="1" ht="18" customHeight="1" spans="1:20">
      <c r="A66" s="34"/>
      <c r="B66" s="48">
        <v>8</v>
      </c>
      <c r="C66" s="48"/>
      <c r="D66" s="88" t="s">
        <v>431</v>
      </c>
      <c r="E66" s="72" t="str">
        <f>+VLOOKUP(D66,'材料表 '!C:F,2,0)</f>
        <v>kg</v>
      </c>
      <c r="F66" s="77">
        <f t="shared" si="10"/>
        <v>0</v>
      </c>
      <c r="G66" s="89">
        <f>+VLOOKUP(D66,'材料表 '!C:F,4,0)</f>
        <v>0.03</v>
      </c>
      <c r="H66" s="74">
        <f t="shared" ref="H66:H74" si="12">F66*(G66+1)</f>
        <v>0</v>
      </c>
      <c r="I66" s="74">
        <f>+VLOOKUP(D66,'材料表 '!C:F,3,0)</f>
        <v>3.80530973451327</v>
      </c>
      <c r="J66" s="51">
        <f t="shared" ref="J66:J74" si="13">H66*I66</f>
        <v>0</v>
      </c>
      <c r="K66" s="43">
        <f ca="1">H66*K45</f>
        <v>0</v>
      </c>
      <c r="L66" s="90" t="s">
        <v>474</v>
      </c>
      <c r="M66" s="44"/>
      <c r="N66" s="82"/>
      <c r="O66" s="44">
        <v>6</v>
      </c>
      <c r="P66" s="44">
        <f>O64*P64</f>
        <v>5</v>
      </c>
      <c r="Q66" s="44">
        <f>O66*P66</f>
        <v>30</v>
      </c>
      <c r="R66" s="84">
        <f>Q66/R46</f>
        <v>2.73224043715847</v>
      </c>
      <c r="S66" s="47"/>
      <c r="T66" s="47"/>
    </row>
    <row r="67" s="27" customFormat="1" ht="18" customHeight="1" spans="1:20">
      <c r="A67" s="34"/>
      <c r="B67" s="48">
        <v>9</v>
      </c>
      <c r="C67" s="48"/>
      <c r="D67" s="88" t="s">
        <v>461</v>
      </c>
      <c r="E67" s="72" t="str">
        <f>+VLOOKUP(D67,'材料表 '!C:F,2,0)</f>
        <v>kg</v>
      </c>
      <c r="F67" s="77">
        <f t="shared" si="10"/>
        <v>0</v>
      </c>
      <c r="G67" s="89">
        <f>+VLOOKUP(D67,'材料表 '!C:F,4,0)</f>
        <v>0.03</v>
      </c>
      <c r="H67" s="74">
        <f t="shared" si="12"/>
        <v>0</v>
      </c>
      <c r="I67" s="74">
        <f>+VLOOKUP(D67,'材料表 '!C:F,3,0)</f>
        <v>3.53982300884956</v>
      </c>
      <c r="J67" s="51">
        <f t="shared" si="13"/>
        <v>0</v>
      </c>
      <c r="K67" s="43">
        <f ca="1">H67*K45</f>
        <v>0</v>
      </c>
      <c r="L67" s="90" t="s">
        <v>472</v>
      </c>
      <c r="M67" s="91"/>
      <c r="N67" s="82"/>
      <c r="O67" s="44">
        <v>2</v>
      </c>
      <c r="P67" s="44">
        <f>P49</f>
        <v>2.5</v>
      </c>
      <c r="Q67" s="44">
        <f>O67*P67</f>
        <v>5</v>
      </c>
      <c r="R67" s="84">
        <f>Q67/R46</f>
        <v>0.455373406193078</v>
      </c>
      <c r="S67" s="47"/>
      <c r="T67" s="47"/>
    </row>
    <row r="68" s="27" customFormat="1" ht="18" customHeight="1" spans="1:20">
      <c r="A68" s="34"/>
      <c r="B68" s="48">
        <v>10</v>
      </c>
      <c r="C68" s="48"/>
      <c r="D68" s="88" t="s">
        <v>435</v>
      </c>
      <c r="E68" s="72" t="str">
        <f>+VLOOKUP(D68,'材料表 '!C:F,2,0)</f>
        <v>kg</v>
      </c>
      <c r="F68" s="77">
        <f t="shared" si="10"/>
        <v>0</v>
      </c>
      <c r="G68" s="89">
        <f>+VLOOKUP(D68,'材料表 '!C:F,4,0)</f>
        <v>0.03</v>
      </c>
      <c r="H68" s="74">
        <f t="shared" si="12"/>
        <v>0</v>
      </c>
      <c r="I68" s="74">
        <f>+VLOOKUP(D68,'材料表 '!C:F,3,0)</f>
        <v>19.4690265486726</v>
      </c>
      <c r="J68" s="51">
        <f t="shared" si="13"/>
        <v>0</v>
      </c>
      <c r="K68" s="43">
        <f ca="1">H68*K45</f>
        <v>0</v>
      </c>
      <c r="L68" s="69" t="s">
        <v>465</v>
      </c>
      <c r="M68" s="91"/>
      <c r="N68" s="82">
        <f>(0.058+0.04*2)*5*7.85</f>
        <v>5.4165</v>
      </c>
      <c r="O68" s="44">
        <f>O46</f>
        <v>3.05</v>
      </c>
      <c r="P68" s="44">
        <v>1</v>
      </c>
      <c r="Q68" s="44">
        <f t="shared" si="11"/>
        <v>16.520325</v>
      </c>
      <c r="R68" s="84">
        <f>+Q68/R46</f>
        <v>1.50458333333333</v>
      </c>
      <c r="S68" s="47"/>
      <c r="T68" s="47"/>
    </row>
    <row r="69" s="27" customFormat="1" ht="18" customHeight="1" spans="1:20">
      <c r="A69" s="34"/>
      <c r="B69" s="48">
        <v>11</v>
      </c>
      <c r="C69" s="48"/>
      <c r="D69" s="88" t="s">
        <v>463</v>
      </c>
      <c r="E69" s="72" t="str">
        <f>+VLOOKUP(D69,'材料表 '!C:F,2,0)</f>
        <v>kg</v>
      </c>
      <c r="F69" s="77">
        <f t="shared" si="10"/>
        <v>2.74535519125683</v>
      </c>
      <c r="G69" s="89">
        <f>+VLOOKUP(D69,'材料表 '!C:F,4,0)</f>
        <v>0.03</v>
      </c>
      <c r="H69" s="74">
        <f t="shared" si="12"/>
        <v>2.82771584699453</v>
      </c>
      <c r="I69" s="74">
        <f>+VLOOKUP(D69,'材料表 '!C:F,3,0)</f>
        <v>6.01769911504425</v>
      </c>
      <c r="J69" s="51">
        <f t="shared" si="13"/>
        <v>17.0163431500556</v>
      </c>
      <c r="K69" s="43">
        <f ca="1">H69*K45</f>
        <v>31.0483199999999</v>
      </c>
      <c r="L69" s="69" t="s">
        <v>461</v>
      </c>
      <c r="N69" s="83"/>
      <c r="O69" s="83"/>
      <c r="P69" s="83"/>
      <c r="Q69" s="83"/>
      <c r="R69" s="84"/>
      <c r="S69" s="47"/>
      <c r="T69" s="47"/>
    </row>
    <row r="70" s="27" customFormat="1" ht="18" customHeight="1" spans="1:20">
      <c r="A70" s="34"/>
      <c r="B70" s="48">
        <v>12</v>
      </c>
      <c r="C70" s="48"/>
      <c r="D70" s="88" t="s">
        <v>465</v>
      </c>
      <c r="E70" s="72" t="str">
        <f>+VLOOKUP(D70,'材料表 '!C:F,2,0)</f>
        <v>kg</v>
      </c>
      <c r="F70" s="77">
        <f t="shared" si="10"/>
        <v>2.08946493624772</v>
      </c>
      <c r="G70" s="89">
        <f>+VLOOKUP(D70,'材料表 '!C:F,4,0)</f>
        <v>0.03</v>
      </c>
      <c r="H70" s="74">
        <f t="shared" si="12"/>
        <v>2.15214888433515</v>
      </c>
      <c r="I70" s="74">
        <f>+VLOOKUP(D70,'材料表 '!C:F,3,0)</f>
        <v>6.01769911504425</v>
      </c>
      <c r="J70" s="51">
        <f t="shared" si="13"/>
        <v>12.9509844367071</v>
      </c>
      <c r="K70" s="43">
        <f ca="1">H70*K45</f>
        <v>23.6305947499999</v>
      </c>
      <c r="L70" s="90"/>
      <c r="M70" s="44"/>
      <c r="N70" s="82"/>
      <c r="O70" s="44"/>
      <c r="P70" s="44"/>
      <c r="Q70" s="44"/>
      <c r="R70" s="84"/>
      <c r="S70" s="47"/>
      <c r="T70" s="47"/>
    </row>
    <row r="71" s="27" customFormat="1" ht="18" customHeight="1" spans="1:20">
      <c r="A71" s="34"/>
      <c r="B71" s="48">
        <v>13</v>
      </c>
      <c r="C71" s="48"/>
      <c r="D71" s="88" t="s">
        <v>474</v>
      </c>
      <c r="E71" s="72" t="str">
        <f>+VLOOKUP(D71,'材料表 '!C:F,2,0)</f>
        <v>套</v>
      </c>
      <c r="F71" s="77">
        <f t="shared" si="10"/>
        <v>2.73224043715847</v>
      </c>
      <c r="G71" s="89">
        <f>+VLOOKUP(D71,'材料表 '!C:F,4,0)</f>
        <v>0</v>
      </c>
      <c r="H71" s="74">
        <f t="shared" si="12"/>
        <v>2.73224043715847</v>
      </c>
      <c r="I71" s="74">
        <f>+VLOOKUP(D71,'材料表 '!C:F,3,0)</f>
        <v>2.21238938053097</v>
      </c>
      <c r="J71" s="51">
        <f t="shared" si="13"/>
        <v>6.04477972822669</v>
      </c>
      <c r="K71" s="43">
        <f ca="1">H71*K45</f>
        <v>30</v>
      </c>
      <c r="L71" s="90"/>
      <c r="M71" s="44"/>
      <c r="N71" s="82"/>
      <c r="O71" s="44"/>
      <c r="P71" s="44"/>
      <c r="Q71" s="44"/>
      <c r="R71" s="84"/>
      <c r="S71" s="47"/>
      <c r="T71" s="47"/>
    </row>
    <row r="72" s="27" customFormat="1" ht="18" customHeight="1" spans="1:20">
      <c r="A72" s="34"/>
      <c r="B72" s="48">
        <v>14</v>
      </c>
      <c r="C72" s="48"/>
      <c r="D72" s="88" t="s">
        <v>472</v>
      </c>
      <c r="E72" s="72" t="str">
        <f>+VLOOKUP(D72,'材料表 '!C:F,2,0)</f>
        <v>套</v>
      </c>
      <c r="F72" s="77">
        <f t="shared" si="10"/>
        <v>0.455373406193078</v>
      </c>
      <c r="G72" s="89">
        <f>+VLOOKUP(D72,'材料表 '!C:F,4,0)</f>
        <v>0</v>
      </c>
      <c r="H72" s="74">
        <f t="shared" si="12"/>
        <v>0.455373406193078</v>
      </c>
      <c r="I72" s="74">
        <f>+VLOOKUP(D72,'材料表 '!C:F,3,0)</f>
        <v>2.47787610619469</v>
      </c>
      <c r="J72" s="51">
        <f t="shared" si="13"/>
        <v>1.12835888260232</v>
      </c>
      <c r="K72" s="43">
        <f ca="1">H72*K45</f>
        <v>5</v>
      </c>
      <c r="L72" s="90"/>
      <c r="M72" s="44"/>
      <c r="N72" s="82"/>
      <c r="O72" s="44"/>
      <c r="P72" s="44"/>
      <c r="Q72" s="44"/>
      <c r="R72" s="84"/>
      <c r="S72" s="47"/>
      <c r="T72" s="47"/>
    </row>
    <row r="73" s="27" customFormat="1" ht="18" customHeight="1" spans="1:20">
      <c r="A73" s="34"/>
      <c r="B73" s="48">
        <v>15</v>
      </c>
      <c r="C73" s="48"/>
      <c r="D73" s="88" t="s">
        <v>476</v>
      </c>
      <c r="E73" s="72" t="str">
        <f>+VLOOKUP(D73,'材料表 '!C:F,2,0)</f>
        <v>支</v>
      </c>
      <c r="F73" s="77">
        <f>8*8*(O46*4+P46*4)/500/R46+16*36*(P46)/500/R46</f>
        <v>0.687795992714025</v>
      </c>
      <c r="G73" s="89">
        <f>+VLOOKUP(D73,'材料表 '!C:F,4,0)</f>
        <v>0.15</v>
      </c>
      <c r="H73" s="74">
        <f t="shared" si="12"/>
        <v>0.790965391621129</v>
      </c>
      <c r="I73" s="74">
        <f>+VLOOKUP(D73,'材料表 '!C:F,3,0)</f>
        <v>11.5044247787611</v>
      </c>
      <c r="J73" s="51">
        <f t="shared" si="13"/>
        <v>9.09960185050859</v>
      </c>
      <c r="K73" s="43">
        <f ca="1">H73*K45</f>
        <v>8.6848</v>
      </c>
      <c r="L73" s="92"/>
      <c r="M73" s="44"/>
      <c r="N73" s="82"/>
      <c r="O73" s="44"/>
      <c r="P73" s="44"/>
      <c r="Q73" s="44"/>
      <c r="R73" s="84"/>
      <c r="S73" s="47"/>
      <c r="T73" s="47"/>
    </row>
    <row r="74" s="27" customFormat="1" ht="18" customHeight="1" spans="1:20">
      <c r="A74" s="34"/>
      <c r="B74" s="48">
        <v>16</v>
      </c>
      <c r="C74" s="48"/>
      <c r="D74" s="88" t="s">
        <v>576</v>
      </c>
      <c r="E74" s="72" t="str">
        <f>+VLOOKUP(D74,'材料表 '!C:F,2,0)</f>
        <v>支</v>
      </c>
      <c r="F74" s="77">
        <f>16*8*(P46*P49)*2/500/R46</f>
        <v>0.419672131147541</v>
      </c>
      <c r="G74" s="89">
        <f>+VLOOKUP(D74,'材料表 '!C:F,4,0)</f>
        <v>0.15</v>
      </c>
      <c r="H74" s="74">
        <f t="shared" si="12"/>
        <v>0.482622950819672</v>
      </c>
      <c r="I74" s="74">
        <f>+VLOOKUP(D74,'材料表 '!C:F,3,0)</f>
        <v>14.1592920353982</v>
      </c>
      <c r="J74" s="51">
        <f t="shared" si="13"/>
        <v>6.83359930364136</v>
      </c>
      <c r="K74" s="43">
        <f ca="1">H74*K45</f>
        <v>5.2992</v>
      </c>
      <c r="L74" s="92"/>
      <c r="M74" s="44"/>
      <c r="N74" s="82"/>
      <c r="O74" s="44"/>
      <c r="P74" s="44"/>
      <c r="Q74" s="44"/>
      <c r="R74" s="84"/>
      <c r="S74" s="47"/>
      <c r="T74" s="47"/>
    </row>
    <row r="75" s="27" customFormat="1" ht="18" customHeight="1" spans="1:20">
      <c r="A75" s="34"/>
      <c r="B75" s="48">
        <v>17</v>
      </c>
      <c r="C75" s="48"/>
      <c r="D75" s="88"/>
      <c r="E75" s="72"/>
      <c r="F75" s="77"/>
      <c r="G75" s="89"/>
      <c r="H75" s="74"/>
      <c r="I75" s="74"/>
      <c r="J75" s="51"/>
      <c r="K75" s="43">
        <f ca="1">H75*K45</f>
        <v>0</v>
      </c>
      <c r="L75" s="92"/>
      <c r="M75" s="44"/>
      <c r="N75" s="82"/>
      <c r="O75" s="44"/>
      <c r="P75" s="44"/>
      <c r="Q75" s="44"/>
      <c r="R75" s="84"/>
      <c r="S75" s="47"/>
      <c r="T75" s="47"/>
    </row>
    <row r="76" s="27" customFormat="1" ht="21" customHeight="1" spans="1:20">
      <c r="A76" s="34"/>
      <c r="B76" s="48">
        <v>18</v>
      </c>
      <c r="C76" s="48"/>
      <c r="D76" s="88"/>
      <c r="E76" s="72"/>
      <c r="F76" s="77"/>
      <c r="G76" s="89"/>
      <c r="H76" s="74"/>
      <c r="I76" s="74"/>
      <c r="J76" s="51"/>
      <c r="K76" s="43">
        <f ca="1">H76*K45</f>
        <v>0</v>
      </c>
      <c r="L76" s="92"/>
      <c r="M76" s="44"/>
      <c r="N76" s="82"/>
      <c r="O76" s="44"/>
      <c r="P76" s="44"/>
      <c r="Q76" s="44"/>
      <c r="R76" s="84"/>
      <c r="S76" s="47"/>
      <c r="T76" s="47"/>
    </row>
    <row r="77" s="27" customFormat="1" ht="32" customHeight="1" spans="1:20">
      <c r="A77" s="34"/>
      <c r="B77" s="48">
        <v>19</v>
      </c>
      <c r="C77" s="48"/>
      <c r="D77" s="88" t="s">
        <v>650</v>
      </c>
      <c r="E77" s="72" t="str">
        <f>+VLOOKUP(D77,'材料表 '!C:F,2,0)</f>
        <v>m2</v>
      </c>
      <c r="F77" s="77">
        <v>1</v>
      </c>
      <c r="G77" s="89">
        <f>+VLOOKUP(D77,'材料表 '!C:F,4,0)</f>
        <v>0.01</v>
      </c>
      <c r="H77" s="74">
        <f>F77*(G77+1)</f>
        <v>1.01</v>
      </c>
      <c r="I77" s="74">
        <f>+VLOOKUP(D77,'材料表 '!C:F,3,0)</f>
        <v>210.619469026549</v>
      </c>
      <c r="J77" s="51">
        <f>H77*I77</f>
        <v>212.725663716814</v>
      </c>
      <c r="K77" s="43">
        <f ca="1">H77*K45</f>
        <v>11.0898</v>
      </c>
      <c r="L77" s="90"/>
      <c r="M77" s="44"/>
      <c r="N77" s="82"/>
      <c r="O77" s="44"/>
      <c r="P77" s="44"/>
      <c r="Q77" s="44"/>
      <c r="R77" s="84"/>
      <c r="S77" s="47"/>
      <c r="T77" s="47"/>
    </row>
    <row r="78" s="27" customFormat="1" ht="20" customHeight="1" spans="1:20">
      <c r="A78" s="34"/>
      <c r="B78" s="48">
        <v>20</v>
      </c>
      <c r="C78" s="48"/>
      <c r="D78" s="88"/>
      <c r="E78" s="72"/>
      <c r="F78" s="77"/>
      <c r="G78" s="89"/>
      <c r="H78" s="74"/>
      <c r="I78" s="74"/>
      <c r="J78" s="51"/>
      <c r="K78" s="43">
        <f ca="1">H78*K45</f>
        <v>0</v>
      </c>
      <c r="L78" s="90"/>
      <c r="M78" s="44"/>
      <c r="N78" s="82"/>
      <c r="O78" s="44"/>
      <c r="P78" s="44"/>
      <c r="Q78" s="44"/>
      <c r="R78" s="84"/>
      <c r="S78" s="47"/>
      <c r="T78" s="47"/>
    </row>
    <row r="79" s="27" customFormat="1" ht="18" customHeight="1" spans="1:20">
      <c r="A79" s="34"/>
      <c r="B79" s="48">
        <v>21</v>
      </c>
      <c r="C79" s="48"/>
      <c r="D79" s="88"/>
      <c r="E79" s="72"/>
      <c r="F79" s="77"/>
      <c r="G79" s="89"/>
      <c r="H79" s="74"/>
      <c r="I79" s="74"/>
      <c r="J79" s="51"/>
      <c r="K79" s="43">
        <f ca="1">H79*K45</f>
        <v>0</v>
      </c>
      <c r="L79" s="92"/>
      <c r="M79" s="44"/>
      <c r="N79" s="82"/>
      <c r="O79" s="44"/>
      <c r="P79" s="44"/>
      <c r="Q79" s="44"/>
      <c r="R79" s="84"/>
      <c r="S79" s="47"/>
      <c r="T79" s="47"/>
    </row>
    <row r="80" s="27" customFormat="1" ht="18" customHeight="1" spans="1:20">
      <c r="A80" s="34"/>
      <c r="B80" s="48">
        <v>22</v>
      </c>
      <c r="C80" s="48"/>
      <c r="D80" s="88"/>
      <c r="E80" s="72"/>
      <c r="F80" s="77"/>
      <c r="G80" s="89"/>
      <c r="H80" s="74"/>
      <c r="I80" s="74"/>
      <c r="J80" s="51"/>
      <c r="K80" s="43">
        <f ca="1">H80*K45</f>
        <v>0</v>
      </c>
      <c r="L80" s="92"/>
      <c r="M80" s="44"/>
      <c r="N80" s="44"/>
      <c r="O80" s="44"/>
      <c r="P80" s="44"/>
      <c r="Q80" s="44"/>
      <c r="R80" s="84"/>
      <c r="S80" s="47"/>
      <c r="T80" s="47"/>
    </row>
    <row r="81" s="27" customFormat="1" ht="18" customHeight="1" spans="1:21">
      <c r="A81" s="34"/>
      <c r="B81" s="48">
        <v>23</v>
      </c>
      <c r="C81" s="48"/>
      <c r="D81" s="88"/>
      <c r="E81" s="72"/>
      <c r="F81" s="77"/>
      <c r="G81" s="89"/>
      <c r="H81" s="74"/>
      <c r="I81" s="74"/>
      <c r="J81" s="51"/>
      <c r="K81" s="75">
        <f ca="1">H81*K45</f>
        <v>0</v>
      </c>
      <c r="L81" s="92"/>
      <c r="M81" s="44"/>
      <c r="N81" s="44"/>
      <c r="O81" s="44"/>
      <c r="P81" s="44"/>
      <c r="Q81" s="44"/>
      <c r="R81" s="84"/>
      <c r="S81" s="47"/>
      <c r="T81" s="47"/>
    </row>
    <row r="82" s="27" customFormat="1" ht="18" customHeight="1" spans="1:21">
      <c r="A82" s="34"/>
      <c r="B82" s="48">
        <v>24</v>
      </c>
      <c r="C82" s="48"/>
      <c r="D82" s="88"/>
      <c r="E82" s="72"/>
      <c r="F82" s="77"/>
      <c r="G82" s="89"/>
      <c r="H82" s="74"/>
      <c r="I82" s="74"/>
      <c r="J82" s="51"/>
      <c r="K82" s="75">
        <f ca="1">H82*K45</f>
        <v>0</v>
      </c>
      <c r="L82" s="92"/>
      <c r="M82" s="44"/>
      <c r="N82" s="44"/>
      <c r="O82" s="44"/>
      <c r="P82" s="44"/>
      <c r="Q82" s="44"/>
      <c r="R82" s="84"/>
      <c r="S82" s="47"/>
      <c r="T82" s="47"/>
    </row>
    <row r="83" s="27" customFormat="1" ht="18" customHeight="1" spans="1:21">
      <c r="A83" s="34"/>
      <c r="B83" s="48">
        <v>25</v>
      </c>
      <c r="C83" s="48"/>
      <c r="D83" s="88"/>
      <c r="E83" s="72"/>
      <c r="F83" s="77"/>
      <c r="G83" s="89"/>
      <c r="H83" s="74"/>
      <c r="I83" s="74"/>
      <c r="J83" s="51"/>
      <c r="K83" s="75"/>
      <c r="L83" s="92"/>
      <c r="M83" s="44"/>
      <c r="N83" s="44"/>
      <c r="O83" s="44"/>
      <c r="P83" s="44"/>
      <c r="Q83" s="44"/>
      <c r="R83" s="84"/>
      <c r="S83" s="47"/>
      <c r="T83" s="47"/>
    </row>
    <row r="84" s="27" customFormat="1" ht="18" customHeight="1" spans="1:21">
      <c r="A84" s="34"/>
      <c r="B84" s="48">
        <v>26</v>
      </c>
      <c r="C84" s="48"/>
      <c r="D84" s="88" t="s">
        <v>441</v>
      </c>
      <c r="E84" s="72" t="s">
        <v>43</v>
      </c>
      <c r="F84" s="77"/>
      <c r="G84" s="72">
        <v>1</v>
      </c>
      <c r="H84" s="74">
        <v>1</v>
      </c>
      <c r="I84" s="74">
        <f>+辅材及安装费!$E$17</f>
        <v>10</v>
      </c>
      <c r="J84" s="51">
        <f>H84*I84</f>
        <v>10</v>
      </c>
      <c r="K84" s="75"/>
      <c r="L84" s="92"/>
      <c r="M84" s="44"/>
      <c r="N84" s="44"/>
      <c r="O84" s="44"/>
      <c r="P84" s="44"/>
      <c r="Q84" s="44"/>
      <c r="R84" s="62"/>
      <c r="S84" s="47"/>
      <c r="T84" s="47"/>
    </row>
    <row r="85" s="27" customFormat="1" ht="18" customHeight="1" spans="1:21">
      <c r="A85" s="34"/>
      <c r="B85" s="48">
        <v>27</v>
      </c>
      <c r="C85" s="48"/>
      <c r="D85" s="93" t="s">
        <v>442</v>
      </c>
      <c r="E85" s="72"/>
      <c r="F85" s="77"/>
      <c r="G85" s="72"/>
      <c r="H85" s="74"/>
      <c r="I85" s="74"/>
      <c r="J85" s="51">
        <f>SUM(J59:J84)</f>
        <v>371.435635898738</v>
      </c>
      <c r="K85" s="75"/>
      <c r="L85" s="94"/>
      <c r="N85" s="83"/>
      <c r="O85" s="83"/>
      <c r="P85" s="83"/>
      <c r="Q85" s="83"/>
      <c r="R85" s="87"/>
      <c r="S85" s="47"/>
      <c r="T85" s="47"/>
    </row>
    <row r="86" s="27" customFormat="1" ht="18" customHeight="1" spans="1:21">
      <c r="A86" s="34"/>
      <c r="B86" s="48">
        <v>1</v>
      </c>
      <c r="C86" s="48" t="s">
        <v>443</v>
      </c>
      <c r="D86" s="48" t="s">
        <v>444</v>
      </c>
      <c r="E86" s="72" t="s">
        <v>43</v>
      </c>
      <c r="F86" s="50"/>
      <c r="G86" s="48"/>
      <c r="H86" s="51">
        <v>1</v>
      </c>
      <c r="I86" s="74">
        <f>+辅材及安装费!$F$17</f>
        <v>5</v>
      </c>
      <c r="J86" s="95">
        <f>H86*I86</f>
        <v>5</v>
      </c>
      <c r="K86" s="60"/>
      <c r="L86" s="96"/>
      <c r="M86" s="97"/>
      <c r="N86" s="98"/>
      <c r="O86" s="98"/>
      <c r="P86" s="98"/>
      <c r="Q86" s="98"/>
      <c r="R86" s="99"/>
      <c r="S86" s="47"/>
      <c r="T86" s="47"/>
    </row>
    <row r="87" s="26" customFormat="1" ht="30" customHeight="1" spans="1:21">
      <c r="A87" s="28"/>
      <c r="B87" s="29" t="s">
        <v>386</v>
      </c>
      <c r="C87" s="29"/>
      <c r="D87" s="29"/>
      <c r="E87" s="29"/>
      <c r="F87" s="29"/>
      <c r="G87" s="29"/>
      <c r="H87" s="29"/>
      <c r="I87" s="29"/>
      <c r="J87" s="29"/>
      <c r="K87" s="29"/>
      <c r="L87" s="30"/>
      <c r="M87" s="31"/>
      <c r="N87" s="31"/>
      <c r="O87" s="31"/>
      <c r="P87" s="31"/>
      <c r="Q87" s="31"/>
      <c r="R87" s="32"/>
      <c r="S87" s="33"/>
      <c r="T87" s="33"/>
    </row>
    <row r="88" s="27" customFormat="1" ht="33.75" customHeight="1" spans="1:21">
      <c r="A88" s="34">
        <v>3</v>
      </c>
      <c r="B88" s="35" t="s">
        <v>1</v>
      </c>
      <c r="C88" s="35" t="s">
        <v>387</v>
      </c>
      <c r="D88" s="36" t="str">
        <f>+A96</f>
        <v>首层座槽式玻璃幕墙（12Low-E(双银)+12A+12全超白钢化中空玻璃）（直+弯弧）（直段宽度300㎜+弧长942㎜，圆弧半径600㎜，高3600㎜）</v>
      </c>
      <c r="E88" s="37"/>
      <c r="F88" s="38" t="s">
        <v>225</v>
      </c>
      <c r="G88" s="39"/>
      <c r="H88" s="35" t="s">
        <v>388</v>
      </c>
      <c r="I88" s="40" t="s">
        <v>389</v>
      </c>
      <c r="J88" s="41" t="s">
        <v>37</v>
      </c>
      <c r="K88" s="42">
        <f ca="1">VLOOKUP(A88,'商业工程量清单 '!$A$4:$D$44,4,FALSE)</f>
        <v>8.9424</v>
      </c>
      <c r="L88" s="43"/>
      <c r="M88" s="44"/>
      <c r="N88" s="44"/>
      <c r="O88" s="44"/>
      <c r="P88" s="45"/>
      <c r="Q88" s="44"/>
      <c r="R88" s="46"/>
      <c r="S88" s="47"/>
      <c r="T88" s="47"/>
    </row>
    <row r="89" s="27" customFormat="1" ht="25" customHeight="1" spans="1:21">
      <c r="A89" s="34"/>
      <c r="B89" s="48">
        <v>1</v>
      </c>
      <c r="C89" s="49" t="s">
        <v>390</v>
      </c>
      <c r="D89" s="48" t="s">
        <v>391</v>
      </c>
      <c r="E89" s="48"/>
      <c r="F89" s="50"/>
      <c r="G89" s="48"/>
      <c r="H89" s="51"/>
      <c r="I89" s="52">
        <f>J101</f>
        <v>190</v>
      </c>
      <c r="J89" s="53" t="s">
        <v>392</v>
      </c>
      <c r="K89" s="54"/>
      <c r="L89" s="55" t="s">
        <v>1005</v>
      </c>
      <c r="M89" s="56" t="s">
        <v>1006</v>
      </c>
      <c r="N89" s="57"/>
      <c r="O89" s="57">
        <f>0.3+0.942</f>
        <v>1.242</v>
      </c>
      <c r="P89" s="57">
        <v>3.6</v>
      </c>
      <c r="Q89" s="57">
        <v>1</v>
      </c>
      <c r="R89" s="58">
        <f>+Q89*P89*O89</f>
        <v>4.4712</v>
      </c>
      <c r="S89" s="47"/>
      <c r="T89" s="47"/>
    </row>
    <row r="90" s="27" customFormat="1" ht="18" customHeight="1" spans="1:21">
      <c r="A90" s="34"/>
      <c r="B90" s="48">
        <v>2</v>
      </c>
      <c r="C90" s="59"/>
      <c r="D90" s="48" t="s">
        <v>394</v>
      </c>
      <c r="E90" s="48"/>
      <c r="F90" s="50"/>
      <c r="G90" s="48"/>
      <c r="H90" s="51"/>
      <c r="I90" s="52">
        <f>J128</f>
        <v>1329.96717709209</v>
      </c>
      <c r="J90" s="53" t="s">
        <v>392</v>
      </c>
      <c r="K90" s="60"/>
      <c r="L90" s="61"/>
      <c r="M90" s="44"/>
      <c r="N90" s="44"/>
      <c r="O90" s="44"/>
      <c r="P90" s="44"/>
      <c r="Q90" s="44"/>
      <c r="R90" s="62"/>
      <c r="S90" s="47"/>
      <c r="T90" s="47"/>
    </row>
    <row r="91" s="27" customFormat="1" ht="18" customHeight="1" spans="1:21">
      <c r="A91" s="34"/>
      <c r="B91" s="48">
        <v>3</v>
      </c>
      <c r="C91" s="63"/>
      <c r="D91" s="48" t="s">
        <v>395</v>
      </c>
      <c r="E91" s="48"/>
      <c r="F91" s="50"/>
      <c r="G91" s="48"/>
      <c r="H91" s="51"/>
      <c r="I91" s="52">
        <f>J129</f>
        <v>5</v>
      </c>
      <c r="J91" s="53" t="s">
        <v>392</v>
      </c>
      <c r="K91" s="60"/>
      <c r="L91" s="60"/>
      <c r="M91" s="64" t="s">
        <v>396</v>
      </c>
      <c r="N91" s="65" t="s">
        <v>397</v>
      </c>
      <c r="O91" s="65" t="s">
        <v>398</v>
      </c>
      <c r="P91" s="65" t="s">
        <v>399</v>
      </c>
      <c r="Q91" s="65" t="s">
        <v>400</v>
      </c>
      <c r="R91" s="66" t="s">
        <v>401</v>
      </c>
      <c r="S91" s="47"/>
      <c r="T91" s="47"/>
    </row>
    <row r="92" s="27" customFormat="1" ht="18" customHeight="1" spans="1:21">
      <c r="A92" s="34"/>
      <c r="B92" s="48">
        <v>4</v>
      </c>
      <c r="C92" s="48" t="s">
        <v>402</v>
      </c>
      <c r="D92" s="67" t="s">
        <v>403</v>
      </c>
      <c r="E92" s="67"/>
      <c r="F92" s="50"/>
      <c r="G92" s="67"/>
      <c r="H92" s="68"/>
      <c r="I92" s="52">
        <f>SUM(I89:I91)</f>
        <v>1524.96717709209</v>
      </c>
      <c r="J92" s="53" t="s">
        <v>392</v>
      </c>
      <c r="K92" s="60"/>
      <c r="L92" s="69" t="s">
        <v>427</v>
      </c>
      <c r="M92" s="70" t="s">
        <v>1007</v>
      </c>
      <c r="N92" s="34">
        <v>3.111</v>
      </c>
      <c r="O92" s="34">
        <f>P89</f>
        <v>3.6</v>
      </c>
      <c r="P92" s="34">
        <v>1.5</v>
      </c>
      <c r="Q92" s="44">
        <f t="shared" ref="Q92:Q100" si="14">+P92*O92*N92</f>
        <v>16.7994</v>
      </c>
      <c r="R92" s="71">
        <f>+Q92/R89</f>
        <v>3.75724637681159</v>
      </c>
      <c r="S92" s="47"/>
      <c r="T92" s="47"/>
    </row>
    <row r="93" s="27" customFormat="1" ht="28" customHeight="1" spans="1:21">
      <c r="A93" s="34"/>
      <c r="B93" s="48">
        <v>5</v>
      </c>
      <c r="C93" s="72" t="s">
        <v>406</v>
      </c>
      <c r="D93" s="48" t="s">
        <v>407</v>
      </c>
      <c r="E93" s="48"/>
      <c r="F93" s="50"/>
      <c r="G93" s="48"/>
      <c r="H93" s="73">
        <f>+'材料表 '!$E$178</f>
        <v>0</v>
      </c>
      <c r="I93" s="52">
        <f>H93*I92</f>
        <v>0</v>
      </c>
      <c r="J93" s="53" t="s">
        <v>392</v>
      </c>
      <c r="K93" s="60"/>
      <c r="L93" s="69" t="s">
        <v>433</v>
      </c>
      <c r="M93" s="70" t="s">
        <v>1008</v>
      </c>
      <c r="N93" s="34">
        <v>0.507</v>
      </c>
      <c r="O93" s="34">
        <f>O92*2</f>
        <v>7.2</v>
      </c>
      <c r="P93" s="34">
        <f>P92</f>
        <v>1.5</v>
      </c>
      <c r="Q93" s="44">
        <f t="shared" si="14"/>
        <v>5.4756</v>
      </c>
      <c r="R93" s="71">
        <f>+Q93/R89</f>
        <v>1.22463768115942</v>
      </c>
      <c r="S93" s="47"/>
      <c r="T93" s="47"/>
    </row>
    <row r="94" s="27" customFormat="1" ht="18" customHeight="1" spans="1:21">
      <c r="A94" s="34"/>
      <c r="B94" s="48">
        <v>6</v>
      </c>
      <c r="C94" s="48" t="s">
        <v>409</v>
      </c>
      <c r="D94" s="48" t="s">
        <v>410</v>
      </c>
      <c r="E94" s="48"/>
      <c r="F94" s="50"/>
      <c r="G94" s="48"/>
      <c r="H94" s="73">
        <f>+'材料表 '!$E$179</f>
        <v>0</v>
      </c>
      <c r="I94" s="52">
        <f>H94*I92</f>
        <v>0</v>
      </c>
      <c r="J94" s="74" t="s">
        <v>392</v>
      </c>
      <c r="K94" s="75"/>
      <c r="L94" s="69" t="s">
        <v>429</v>
      </c>
      <c r="M94" s="70" t="s">
        <v>1009</v>
      </c>
      <c r="N94" s="34">
        <v>0.499</v>
      </c>
      <c r="O94" s="34">
        <f>P89/0.3*0.05</f>
        <v>0.6</v>
      </c>
      <c r="P94" s="34">
        <f>P92</f>
        <v>1.5</v>
      </c>
      <c r="Q94" s="44">
        <f t="shared" si="14"/>
        <v>0.4491</v>
      </c>
      <c r="R94" s="71">
        <f>+Q94/R89</f>
        <v>0.100442834138486</v>
      </c>
      <c r="S94" s="47"/>
      <c r="T94" s="47"/>
      <c r="U94" s="76"/>
    </row>
    <row r="95" s="27" customFormat="1" ht="18" customHeight="1" spans="1:21">
      <c r="A95" s="34"/>
      <c r="B95" s="48">
        <v>7</v>
      </c>
      <c r="C95" s="48" t="s">
        <v>412</v>
      </c>
      <c r="D95" s="72" t="s">
        <v>413</v>
      </c>
      <c r="E95" s="72"/>
      <c r="F95" s="77"/>
      <c r="G95" s="72"/>
      <c r="H95" s="73">
        <f>+'材料表 '!$E$180</f>
        <v>0.09</v>
      </c>
      <c r="I95" s="52">
        <f>(I92+I93+I94)*H95</f>
        <v>137.247045938288</v>
      </c>
      <c r="J95" s="74" t="s">
        <v>392</v>
      </c>
      <c r="K95" s="75"/>
      <c r="L95" s="69" t="s">
        <v>429</v>
      </c>
      <c r="M95" s="70" t="s">
        <v>1010</v>
      </c>
      <c r="N95" s="34">
        <f>2.9</f>
        <v>2.9</v>
      </c>
      <c r="O95" s="34">
        <v>0.2</v>
      </c>
      <c r="P95" s="34">
        <f>P92</f>
        <v>1.5</v>
      </c>
      <c r="Q95" s="44">
        <f t="shared" si="14"/>
        <v>0.87</v>
      </c>
      <c r="R95" s="71">
        <f>+Q95/R89</f>
        <v>0.194578636607622</v>
      </c>
      <c r="S95" s="47"/>
      <c r="T95" s="47"/>
    </row>
    <row r="96" s="27" customFormat="1" ht="18" customHeight="1" spans="1:21">
      <c r="A96" s="78" t="s">
        <v>230</v>
      </c>
      <c r="B96" s="48">
        <v>8</v>
      </c>
      <c r="C96" s="48" t="s">
        <v>363</v>
      </c>
      <c r="D96" s="72" t="s">
        <v>415</v>
      </c>
      <c r="E96" s="72"/>
      <c r="F96" s="77"/>
      <c r="G96" s="72"/>
      <c r="H96" s="51"/>
      <c r="I96" s="74">
        <f>SUM(I92:I95)</f>
        <v>1662.21422303038</v>
      </c>
      <c r="J96" s="74" t="s">
        <v>416</v>
      </c>
      <c r="K96" s="75"/>
      <c r="L96" s="69" t="s">
        <v>429</v>
      </c>
      <c r="M96" s="70"/>
      <c r="N96" s="34"/>
      <c r="O96" s="34"/>
      <c r="P96" s="34">
        <v>1</v>
      </c>
      <c r="Q96" s="44">
        <f t="shared" si="14"/>
        <v>0</v>
      </c>
      <c r="R96" s="71">
        <f>+Q96/R89</f>
        <v>0</v>
      </c>
      <c r="S96" s="79"/>
      <c r="T96" s="47"/>
    </row>
    <row r="97" s="27" customFormat="1" ht="18" customHeight="1" spans="1:21">
      <c r="A97" s="34"/>
      <c r="B97" s="48" t="s">
        <v>418</v>
      </c>
      <c r="C97" s="48"/>
      <c r="D97" s="48"/>
      <c r="E97" s="48"/>
      <c r="F97" s="48"/>
      <c r="G97" s="48"/>
      <c r="H97" s="48"/>
      <c r="I97" s="48"/>
      <c r="J97" s="48"/>
      <c r="K97" s="80"/>
      <c r="L97" s="69" t="s">
        <v>447</v>
      </c>
      <c r="M97" s="70"/>
      <c r="N97" s="34"/>
      <c r="O97" s="34"/>
      <c r="P97" s="34">
        <v>1</v>
      </c>
      <c r="Q97" s="44">
        <f t="shared" si="14"/>
        <v>0</v>
      </c>
      <c r="R97" s="71">
        <f>+Q97/R89</f>
        <v>0</v>
      </c>
      <c r="S97" s="47"/>
      <c r="T97" s="47"/>
      <c r="U97" s="76"/>
    </row>
    <row r="98" s="27" customFormat="1" ht="18" customHeight="1" spans="1:21">
      <c r="A98" s="34"/>
      <c r="B98" s="48">
        <v>1</v>
      </c>
      <c r="C98" s="48" t="s">
        <v>391</v>
      </c>
      <c r="D98" s="48" t="s">
        <v>396</v>
      </c>
      <c r="E98" s="48" t="s">
        <v>37</v>
      </c>
      <c r="F98" s="50"/>
      <c r="G98" s="48"/>
      <c r="H98" s="51" t="s">
        <v>399</v>
      </c>
      <c r="I98" s="51" t="s">
        <v>420</v>
      </c>
      <c r="J98" s="51" t="s">
        <v>421</v>
      </c>
      <c r="K98" s="43"/>
      <c r="L98" s="69" t="s">
        <v>404</v>
      </c>
      <c r="M98" s="81"/>
      <c r="N98" s="82"/>
      <c r="O98" s="34"/>
      <c r="P98" s="34">
        <v>1</v>
      </c>
      <c r="Q98" s="44">
        <f t="shared" si="14"/>
        <v>0</v>
      </c>
      <c r="R98" s="71">
        <f>+Q98/R89</f>
        <v>0</v>
      </c>
      <c r="S98" s="47"/>
      <c r="T98" s="47"/>
    </row>
    <row r="99" s="27" customFormat="1" ht="18" customHeight="1" spans="1:21">
      <c r="A99" s="34"/>
      <c r="B99" s="48">
        <v>2</v>
      </c>
      <c r="C99" s="48"/>
      <c r="D99" s="48" t="s">
        <v>965</v>
      </c>
      <c r="E99" s="72" t="s">
        <v>423</v>
      </c>
      <c r="F99" s="50"/>
      <c r="G99" s="48"/>
      <c r="H99" s="51">
        <v>1</v>
      </c>
      <c r="I99" s="51">
        <f>+辅材及安装费!$G$17</f>
        <v>190</v>
      </c>
      <c r="J99" s="51">
        <f t="shared" ref="J99:J107" si="15">H99*I99</f>
        <v>190</v>
      </c>
      <c r="K99" s="43"/>
      <c r="L99" s="69" t="s">
        <v>427</v>
      </c>
      <c r="M99" s="70"/>
      <c r="N99" s="83"/>
      <c r="O99" s="34"/>
      <c r="P99" s="34">
        <v>1</v>
      </c>
      <c r="Q99" s="44">
        <f t="shared" si="14"/>
        <v>0</v>
      </c>
      <c r="R99" s="84">
        <f>+Q99/R89</f>
        <v>0</v>
      </c>
      <c r="S99" s="47"/>
      <c r="T99" s="47"/>
    </row>
    <row r="100" s="27" customFormat="1" ht="18" customHeight="1" spans="1:21">
      <c r="A100" s="34"/>
      <c r="B100" s="48">
        <v>3</v>
      </c>
      <c r="C100" s="48"/>
      <c r="D100" s="48"/>
      <c r="E100" s="72"/>
      <c r="F100" s="50"/>
      <c r="G100" s="48"/>
      <c r="H100" s="51"/>
      <c r="I100" s="51"/>
      <c r="J100" s="51"/>
      <c r="K100" s="43"/>
      <c r="L100" s="69"/>
      <c r="M100" s="81"/>
      <c r="N100" s="82"/>
      <c r="O100" s="44"/>
      <c r="P100" s="34">
        <v>1</v>
      </c>
      <c r="Q100" s="44">
        <f t="shared" si="14"/>
        <v>0</v>
      </c>
      <c r="R100" s="84">
        <f>+Q100/R89</f>
        <v>0</v>
      </c>
      <c r="S100" s="47"/>
      <c r="T100" s="47"/>
    </row>
    <row r="101" s="27" customFormat="1" ht="18" customHeight="1" spans="1:21">
      <c r="A101" s="34"/>
      <c r="B101" s="48">
        <v>4</v>
      </c>
      <c r="C101" s="48"/>
      <c r="D101" s="85" t="s">
        <v>426</v>
      </c>
      <c r="E101" s="48" t="s">
        <v>392</v>
      </c>
      <c r="F101" s="50"/>
      <c r="G101" s="48"/>
      <c r="H101" s="86"/>
      <c r="I101" s="86"/>
      <c r="J101" s="51">
        <f>SUM(J99:J99)</f>
        <v>190</v>
      </c>
      <c r="K101" s="75"/>
      <c r="L101" s="69"/>
      <c r="M101" s="70"/>
      <c r="N101" s="83"/>
      <c r="O101" s="83"/>
      <c r="P101" s="34">
        <v>1</v>
      </c>
      <c r="Q101" s="83"/>
      <c r="R101" s="87"/>
      <c r="S101" s="47"/>
      <c r="T101" s="47"/>
    </row>
    <row r="102" s="27" customFormat="1" ht="23" customHeight="1" spans="1:21">
      <c r="A102" s="34"/>
      <c r="B102" s="48">
        <v>1</v>
      </c>
      <c r="C102" s="48" t="s">
        <v>394</v>
      </c>
      <c r="D102" s="88" t="s">
        <v>427</v>
      </c>
      <c r="E102" s="72" t="str">
        <f>+VLOOKUP(D102,'材料表 '!C:F,2,0)</f>
        <v>kg</v>
      </c>
      <c r="F102" s="77">
        <f>+SUMIF($L$89:$L$129,D102,$R$89:$R$129)</f>
        <v>3.75724637681159</v>
      </c>
      <c r="G102" s="89">
        <f>+VLOOKUP(D102,'材料表 '!C:F,4,0)</f>
        <v>0.03</v>
      </c>
      <c r="H102" s="74">
        <f t="shared" ref="H102:H107" si="16">F102*(G102+1)</f>
        <v>3.86996376811594</v>
      </c>
      <c r="I102" s="74">
        <f>+VLOOKUP(D102,'材料表 '!C:F,3,0)</f>
        <v>25.8495575221239</v>
      </c>
      <c r="J102" s="51">
        <f t="shared" si="15"/>
        <v>100.036851032448</v>
      </c>
      <c r="K102" s="75">
        <f ca="1">H102*K88</f>
        <v>34.606764</v>
      </c>
      <c r="L102" s="69"/>
      <c r="M102" s="70"/>
      <c r="N102" s="83"/>
      <c r="O102" s="83"/>
      <c r="P102" s="34">
        <v>1</v>
      </c>
      <c r="Q102" s="83"/>
      <c r="R102" s="87"/>
      <c r="S102" s="47"/>
      <c r="T102" s="47"/>
    </row>
    <row r="103" s="27" customFormat="1" ht="18" customHeight="1" spans="1:21">
      <c r="A103" s="34"/>
      <c r="B103" s="48">
        <v>2</v>
      </c>
      <c r="C103" s="48"/>
      <c r="D103" s="88" t="s">
        <v>404</v>
      </c>
      <c r="E103" s="72" t="str">
        <f>+VLOOKUP(D103,'材料表 '!C:F,2,0)</f>
        <v>kg</v>
      </c>
      <c r="F103" s="77">
        <f t="shared" ref="F103:F115" si="17">+SUMIF($L$89:$L$129,D103,$R$89:$R$129)</f>
        <v>0</v>
      </c>
      <c r="G103" s="89">
        <f>+VLOOKUP(D103,'材料表 '!C:F,4,0)</f>
        <v>0.03</v>
      </c>
      <c r="H103" s="74">
        <f t="shared" si="16"/>
        <v>0</v>
      </c>
      <c r="I103" s="74">
        <f>+VLOOKUP(D103,'材料表 '!C:F,3,0)</f>
        <v>25.6725663716814</v>
      </c>
      <c r="J103" s="51">
        <f t="shared" si="15"/>
        <v>0</v>
      </c>
      <c r="K103" s="75">
        <f ca="1">H103*K88</f>
        <v>0</v>
      </c>
      <c r="L103" s="69"/>
      <c r="M103" s="70"/>
      <c r="N103" s="83"/>
      <c r="O103" s="83"/>
      <c r="P103" s="83"/>
      <c r="Q103" s="83"/>
      <c r="R103" s="87"/>
      <c r="S103" s="47"/>
      <c r="T103" s="47"/>
    </row>
    <row r="104" s="27" customFormat="1" ht="18" customHeight="1" spans="1:21">
      <c r="A104" s="34"/>
      <c r="B104" s="48">
        <v>3</v>
      </c>
      <c r="C104" s="48"/>
      <c r="D104" s="88" t="s">
        <v>433</v>
      </c>
      <c r="E104" s="72" t="str">
        <f>+VLOOKUP(D104,'材料表 '!C:F,2,0)</f>
        <v>kg</v>
      </c>
      <c r="F104" s="77">
        <f t="shared" si="17"/>
        <v>1.22463768115942</v>
      </c>
      <c r="G104" s="89">
        <f>+VLOOKUP(D104,'材料表 '!C:F,4,0)</f>
        <v>0.03</v>
      </c>
      <c r="H104" s="74">
        <f t="shared" si="16"/>
        <v>1.2613768115942</v>
      </c>
      <c r="I104" s="74">
        <f>+VLOOKUP(D104,'材料表 '!C:F,3,0)</f>
        <v>26.1150442477876</v>
      </c>
      <c r="J104" s="51">
        <f t="shared" si="15"/>
        <v>32.9409112479158</v>
      </c>
      <c r="K104" s="75">
        <f ca="1">H104*K88</f>
        <v>11.279736</v>
      </c>
      <c r="L104" s="69"/>
      <c r="N104" s="83"/>
      <c r="O104" s="83"/>
      <c r="P104" s="83"/>
      <c r="Q104" s="83"/>
      <c r="R104" s="87"/>
      <c r="S104" s="47"/>
      <c r="T104" s="47"/>
    </row>
    <row r="105" s="27" customFormat="1" ht="18" customHeight="1" spans="1:21">
      <c r="A105" s="34"/>
      <c r="B105" s="48">
        <v>4</v>
      </c>
      <c r="C105" s="48"/>
      <c r="D105" s="88" t="s">
        <v>429</v>
      </c>
      <c r="E105" s="72" t="str">
        <f>+VLOOKUP(D105,'材料表 '!C:F,2,0)</f>
        <v>kg</v>
      </c>
      <c r="F105" s="77">
        <f t="shared" si="17"/>
        <v>0.295021470746108</v>
      </c>
      <c r="G105" s="89">
        <f>+VLOOKUP(D105,'材料表 '!C:F,4,0)</f>
        <v>0.03</v>
      </c>
      <c r="H105" s="74">
        <f t="shared" si="16"/>
        <v>0.303872114868491</v>
      </c>
      <c r="I105" s="74">
        <f>+VLOOKUP(D105,'材料表 '!C:F,3,0)</f>
        <v>26.1150442477876</v>
      </c>
      <c r="J105" s="51">
        <f t="shared" si="15"/>
        <v>7.93563372545945</v>
      </c>
      <c r="K105" s="75">
        <f ca="1">H105*K88</f>
        <v>2.71734599999999</v>
      </c>
      <c r="L105" s="90" t="s">
        <v>428</v>
      </c>
      <c r="M105" s="44"/>
      <c r="N105" s="82"/>
      <c r="O105" s="44">
        <f>(O92*P92)</f>
        <v>5.4</v>
      </c>
      <c r="P105" s="44">
        <v>1</v>
      </c>
      <c r="Q105" s="44">
        <f>+P105*O105</f>
        <v>5.4</v>
      </c>
      <c r="R105" s="84">
        <f>+Q105/R89</f>
        <v>1.20772946859903</v>
      </c>
      <c r="S105" s="47"/>
      <c r="T105" s="47"/>
    </row>
    <row r="106" s="27" customFormat="1" ht="18" customHeight="1" spans="1:21">
      <c r="A106" s="34"/>
      <c r="B106" s="48">
        <v>5</v>
      </c>
      <c r="C106" s="48"/>
      <c r="D106" s="88" t="s">
        <v>447</v>
      </c>
      <c r="E106" s="72" t="str">
        <f>+VLOOKUP(D106,'材料表 '!C:F,2,0)</f>
        <v>kg</v>
      </c>
      <c r="F106" s="77">
        <f t="shared" si="17"/>
        <v>0</v>
      </c>
      <c r="G106" s="89">
        <f>+VLOOKUP(D106,'材料表 '!C:F,4,0)</f>
        <v>0.03</v>
      </c>
      <c r="H106" s="74">
        <f t="shared" si="16"/>
        <v>0</v>
      </c>
      <c r="I106" s="74">
        <f>+VLOOKUP(D106,'材料表 '!C:F,3,0)</f>
        <v>24.4336283185841</v>
      </c>
      <c r="J106" s="51">
        <f t="shared" si="15"/>
        <v>0</v>
      </c>
      <c r="K106" s="43">
        <f ca="1">H106*K88</f>
        <v>0</v>
      </c>
      <c r="L106" s="90"/>
      <c r="M106" s="44"/>
      <c r="N106" s="82"/>
      <c r="O106" s="44"/>
      <c r="P106" s="44"/>
      <c r="Q106" s="44"/>
      <c r="R106" s="84"/>
      <c r="S106" s="47"/>
      <c r="T106" s="47"/>
    </row>
    <row r="107" s="27" customFormat="1" ht="18" customHeight="1" spans="1:21">
      <c r="A107" s="34"/>
      <c r="B107" s="48">
        <v>6</v>
      </c>
      <c r="C107" s="48"/>
      <c r="D107" s="88" t="s">
        <v>434</v>
      </c>
      <c r="E107" s="72" t="str">
        <f>+VLOOKUP(D107,'材料表 '!C:F,2,0)</f>
        <v>m2</v>
      </c>
      <c r="F107" s="77">
        <f t="shared" si="17"/>
        <v>0</v>
      </c>
      <c r="G107" s="89">
        <f>+VLOOKUP(D107,'材料表 '!C:F,4,0)</f>
        <v>0</v>
      </c>
      <c r="H107" s="74">
        <f t="shared" si="16"/>
        <v>0</v>
      </c>
      <c r="I107" s="74">
        <f>+VLOOKUP(D107,'材料表 '!C:F,3,0)</f>
        <v>49.5575221238938</v>
      </c>
      <c r="J107" s="51">
        <f t="shared" si="15"/>
        <v>0</v>
      </c>
      <c r="K107" s="43">
        <f ca="1">H107*K88</f>
        <v>0</v>
      </c>
      <c r="L107" s="90" t="s">
        <v>463</v>
      </c>
      <c r="M107" s="91" t="s">
        <v>1012</v>
      </c>
      <c r="N107" s="82">
        <f>0.32*0.3*8*7.85</f>
        <v>6.0288</v>
      </c>
      <c r="O107" s="44">
        <v>1</v>
      </c>
      <c r="P107" s="44">
        <f>P92</f>
        <v>1.5</v>
      </c>
      <c r="Q107" s="44">
        <f t="shared" ref="Q107:Q111" si="18">+P107*O107*N107</f>
        <v>9.0432</v>
      </c>
      <c r="R107" s="84">
        <f>+Q107/R89</f>
        <v>2.02254428341385</v>
      </c>
      <c r="S107" s="47"/>
      <c r="T107" s="47"/>
    </row>
    <row r="108" s="27" customFormat="1" ht="18" customHeight="1" spans="1:21">
      <c r="A108" s="34"/>
      <c r="B108" s="48">
        <v>7</v>
      </c>
      <c r="C108" s="48"/>
      <c r="D108" s="88"/>
      <c r="E108" s="72"/>
      <c r="F108" s="77">
        <f t="shared" si="17"/>
        <v>0</v>
      </c>
      <c r="G108" s="89"/>
      <c r="H108" s="74"/>
      <c r="I108" s="74"/>
      <c r="J108" s="51"/>
      <c r="K108" s="43">
        <f ca="1">H108*K88</f>
        <v>0</v>
      </c>
      <c r="L108" s="69" t="s">
        <v>465</v>
      </c>
      <c r="M108" s="81" t="s">
        <v>1013</v>
      </c>
      <c r="N108" s="34">
        <v>9.88</v>
      </c>
      <c r="O108" s="34">
        <f>0.13</f>
        <v>0.13</v>
      </c>
      <c r="P108" s="34">
        <f>2*P107</f>
        <v>3</v>
      </c>
      <c r="Q108" s="44">
        <f t="shared" si="18"/>
        <v>3.8532</v>
      </c>
      <c r="R108" s="84">
        <f>Q108/R89</f>
        <v>0.861782071927</v>
      </c>
      <c r="S108" s="47"/>
      <c r="T108" s="47"/>
    </row>
    <row r="109" s="27" customFormat="1" ht="18" customHeight="1" spans="1:21">
      <c r="A109" s="34"/>
      <c r="B109" s="48">
        <v>8</v>
      </c>
      <c r="C109" s="48"/>
      <c r="D109" s="88" t="s">
        <v>431</v>
      </c>
      <c r="E109" s="72" t="str">
        <f>+VLOOKUP(D109,'材料表 '!C:F,2,0)</f>
        <v>kg</v>
      </c>
      <c r="F109" s="77">
        <f t="shared" si="17"/>
        <v>0</v>
      </c>
      <c r="G109" s="89">
        <f>+VLOOKUP(D109,'材料表 '!C:F,4,0)</f>
        <v>0.03</v>
      </c>
      <c r="H109" s="74">
        <f t="shared" ref="H109:H118" si="19">F109*(G109+1)</f>
        <v>0</v>
      </c>
      <c r="I109" s="74">
        <f>+VLOOKUP(D109,'材料表 '!C:F,3,0)</f>
        <v>3.80530973451327</v>
      </c>
      <c r="J109" s="51">
        <f t="shared" ref="J109:J118" si="20">H109*I109</f>
        <v>0</v>
      </c>
      <c r="K109" s="43">
        <f ca="1">H109*K88</f>
        <v>0</v>
      </c>
      <c r="L109" s="90" t="s">
        <v>474</v>
      </c>
      <c r="M109" s="44"/>
      <c r="N109" s="82"/>
      <c r="O109" s="44">
        <v>6</v>
      </c>
      <c r="P109" s="44">
        <f>O107*P107</f>
        <v>1.5</v>
      </c>
      <c r="Q109" s="44">
        <f>O109*P109</f>
        <v>9</v>
      </c>
      <c r="R109" s="84">
        <f>Q109/R89</f>
        <v>2.01288244766506</v>
      </c>
      <c r="S109" s="47"/>
      <c r="T109" s="47"/>
    </row>
    <row r="110" s="27" customFormat="1" ht="18" customHeight="1" spans="1:21">
      <c r="A110" s="34"/>
      <c r="B110" s="48">
        <v>9</v>
      </c>
      <c r="C110" s="48"/>
      <c r="D110" s="88" t="s">
        <v>461</v>
      </c>
      <c r="E110" s="72" t="str">
        <f>+VLOOKUP(D110,'材料表 '!C:F,2,0)</f>
        <v>kg</v>
      </c>
      <c r="F110" s="77">
        <f t="shared" si="17"/>
        <v>0</v>
      </c>
      <c r="G110" s="89">
        <f>+VLOOKUP(D110,'材料表 '!C:F,4,0)</f>
        <v>0.03</v>
      </c>
      <c r="H110" s="74">
        <f t="shared" si="19"/>
        <v>0</v>
      </c>
      <c r="I110" s="74">
        <f>+VLOOKUP(D110,'材料表 '!C:F,3,0)</f>
        <v>3.53982300884956</v>
      </c>
      <c r="J110" s="51">
        <f t="shared" si="20"/>
        <v>0</v>
      </c>
      <c r="K110" s="43">
        <f ca="1">H110*K88</f>
        <v>0</v>
      </c>
      <c r="L110" s="90" t="s">
        <v>472</v>
      </c>
      <c r="M110" s="91"/>
      <c r="N110" s="82"/>
      <c r="O110" s="44">
        <v>2</v>
      </c>
      <c r="P110" s="44">
        <f>P92</f>
        <v>1.5</v>
      </c>
      <c r="Q110" s="44">
        <f>O110*P110</f>
        <v>3</v>
      </c>
      <c r="R110" s="84">
        <f>Q110/R89</f>
        <v>0.670960815888352</v>
      </c>
      <c r="S110" s="47"/>
      <c r="T110" s="47"/>
    </row>
    <row r="111" s="27" customFormat="1" ht="18" customHeight="1" spans="1:21">
      <c r="A111" s="34"/>
      <c r="B111" s="48">
        <v>10</v>
      </c>
      <c r="C111" s="48"/>
      <c r="D111" s="88" t="s">
        <v>435</v>
      </c>
      <c r="E111" s="72" t="str">
        <f>+VLOOKUP(D111,'材料表 '!C:F,2,0)</f>
        <v>kg</v>
      </c>
      <c r="F111" s="77">
        <f t="shared" si="17"/>
        <v>0</v>
      </c>
      <c r="G111" s="89">
        <f>+VLOOKUP(D111,'材料表 '!C:F,4,0)</f>
        <v>0.03</v>
      </c>
      <c r="H111" s="74">
        <f t="shared" si="19"/>
        <v>0</v>
      </c>
      <c r="I111" s="74">
        <f>+VLOOKUP(D111,'材料表 '!C:F,3,0)</f>
        <v>19.4690265486726</v>
      </c>
      <c r="J111" s="51">
        <f t="shared" si="20"/>
        <v>0</v>
      </c>
      <c r="K111" s="43">
        <f ca="1">H111*K88</f>
        <v>0</v>
      </c>
      <c r="L111" s="69" t="s">
        <v>465</v>
      </c>
      <c r="M111" s="91"/>
      <c r="N111" s="82">
        <f>(0.058+0.04*2)*5*7.85</f>
        <v>5.4165</v>
      </c>
      <c r="O111" s="44">
        <f>O89</f>
        <v>1.242</v>
      </c>
      <c r="P111" s="44">
        <v>1</v>
      </c>
      <c r="Q111" s="44">
        <f t="shared" si="18"/>
        <v>6.727293</v>
      </c>
      <c r="R111" s="84">
        <f>+Q111/R89</f>
        <v>1.50458333333333</v>
      </c>
      <c r="S111" s="47"/>
      <c r="T111" s="47"/>
    </row>
    <row r="112" s="27" customFormat="1" ht="18" customHeight="1" spans="1:21">
      <c r="A112" s="34"/>
      <c r="B112" s="48">
        <v>11</v>
      </c>
      <c r="C112" s="48"/>
      <c r="D112" s="88" t="s">
        <v>463</v>
      </c>
      <c r="E112" s="72" t="str">
        <f>+VLOOKUP(D112,'材料表 '!C:F,2,0)</f>
        <v>kg</v>
      </c>
      <c r="F112" s="77">
        <f t="shared" si="17"/>
        <v>2.02254428341385</v>
      </c>
      <c r="G112" s="89">
        <f>+VLOOKUP(D112,'材料表 '!C:F,4,0)</f>
        <v>0.03</v>
      </c>
      <c r="H112" s="74">
        <f t="shared" si="19"/>
        <v>2.08322061191627</v>
      </c>
      <c r="I112" s="74">
        <f>+VLOOKUP(D112,'材料表 '!C:F,3,0)</f>
        <v>6.01769911504425</v>
      </c>
      <c r="J112" s="51">
        <f t="shared" si="20"/>
        <v>12.5361948327705</v>
      </c>
      <c r="K112" s="43">
        <f ca="1">H112*K88</f>
        <v>18.6289920000001</v>
      </c>
      <c r="L112" s="69" t="s">
        <v>461</v>
      </c>
      <c r="N112" s="83"/>
      <c r="O112" s="83"/>
      <c r="P112" s="83"/>
      <c r="Q112" s="83"/>
      <c r="R112" s="84"/>
      <c r="S112" s="47"/>
      <c r="T112" s="47"/>
    </row>
    <row r="113" s="27" customFormat="1" ht="18" customHeight="1" spans="1:20">
      <c r="A113" s="34"/>
      <c r="B113" s="48">
        <v>12</v>
      </c>
      <c r="C113" s="48"/>
      <c r="D113" s="88" t="s">
        <v>465</v>
      </c>
      <c r="E113" s="72" t="str">
        <f>+VLOOKUP(D113,'材料表 '!C:F,2,0)</f>
        <v>kg</v>
      </c>
      <c r="F113" s="77">
        <f t="shared" si="17"/>
        <v>2.36636540526033</v>
      </c>
      <c r="G113" s="89">
        <f>+VLOOKUP(D113,'材料表 '!C:F,4,0)</f>
        <v>0.03</v>
      </c>
      <c r="H113" s="74">
        <f t="shared" si="19"/>
        <v>2.43735636741814</v>
      </c>
      <c r="I113" s="74">
        <f>+VLOOKUP(D113,'材料表 '!C:F,3,0)</f>
        <v>6.01769911504425</v>
      </c>
      <c r="J113" s="51">
        <f t="shared" si="20"/>
        <v>14.6672772552596</v>
      </c>
      <c r="K113" s="43">
        <f ca="1">H113*K88</f>
        <v>21.79581558</v>
      </c>
      <c r="L113" s="90"/>
      <c r="M113" s="44"/>
      <c r="N113" s="82"/>
      <c r="O113" s="44"/>
      <c r="P113" s="44"/>
      <c r="Q113" s="44"/>
      <c r="R113" s="84"/>
      <c r="S113" s="47"/>
      <c r="T113" s="47"/>
    </row>
    <row r="114" s="27" customFormat="1" ht="18" customHeight="1" spans="1:20">
      <c r="A114" s="34"/>
      <c r="B114" s="48">
        <v>13</v>
      </c>
      <c r="C114" s="48"/>
      <c r="D114" s="88" t="s">
        <v>474</v>
      </c>
      <c r="E114" s="72" t="str">
        <f>+VLOOKUP(D114,'材料表 '!C:F,2,0)</f>
        <v>套</v>
      </c>
      <c r="F114" s="77">
        <f t="shared" si="17"/>
        <v>2.01288244766506</v>
      </c>
      <c r="G114" s="89">
        <f>+VLOOKUP(D114,'材料表 '!C:F,4,0)</f>
        <v>0</v>
      </c>
      <c r="H114" s="74">
        <f t="shared" si="19"/>
        <v>2.01288244766506</v>
      </c>
      <c r="I114" s="74">
        <f>+VLOOKUP(D114,'材料表 '!C:F,3,0)</f>
        <v>2.21238938053097</v>
      </c>
      <c r="J114" s="51">
        <f t="shared" si="20"/>
        <v>4.45327975147136</v>
      </c>
      <c r="K114" s="43">
        <f ca="1">H114*K88</f>
        <v>18</v>
      </c>
      <c r="L114" s="90"/>
      <c r="M114" s="44"/>
      <c r="N114" s="82"/>
      <c r="O114" s="44"/>
      <c r="P114" s="44"/>
      <c r="Q114" s="44"/>
      <c r="R114" s="84"/>
      <c r="S114" s="47"/>
      <c r="T114" s="47"/>
    </row>
    <row r="115" s="27" customFormat="1" ht="18" customHeight="1" spans="1:20">
      <c r="A115" s="34"/>
      <c r="B115" s="48">
        <v>14</v>
      </c>
      <c r="C115" s="48"/>
      <c r="D115" s="88" t="s">
        <v>472</v>
      </c>
      <c r="E115" s="72" t="str">
        <f>+VLOOKUP(D115,'材料表 '!C:F,2,0)</f>
        <v>套</v>
      </c>
      <c r="F115" s="77">
        <f t="shared" si="17"/>
        <v>0.670960815888352</v>
      </c>
      <c r="G115" s="89">
        <f>+VLOOKUP(D115,'材料表 '!C:F,4,0)</f>
        <v>0</v>
      </c>
      <c r="H115" s="74">
        <f t="shared" si="19"/>
        <v>0.670960815888352</v>
      </c>
      <c r="I115" s="74">
        <f>+VLOOKUP(D115,'材料表 '!C:F,3,0)</f>
        <v>2.47787610619469</v>
      </c>
      <c r="J115" s="51">
        <f t="shared" si="20"/>
        <v>1.66255777388264</v>
      </c>
      <c r="K115" s="43">
        <f ca="1">H115*K88</f>
        <v>6</v>
      </c>
      <c r="L115" s="90"/>
      <c r="M115" s="44"/>
      <c r="N115" s="82"/>
      <c r="O115" s="44"/>
      <c r="P115" s="44"/>
      <c r="Q115" s="44"/>
      <c r="R115" s="84"/>
      <c r="S115" s="47"/>
      <c r="T115" s="47"/>
    </row>
    <row r="116" s="27" customFormat="1" ht="18" customHeight="1" spans="1:20">
      <c r="A116" s="34"/>
      <c r="B116" s="48">
        <v>15</v>
      </c>
      <c r="C116" s="48"/>
      <c r="D116" s="88" t="s">
        <v>476</v>
      </c>
      <c r="E116" s="72" t="str">
        <f>+VLOOKUP(D116,'材料表 '!C:F,2,0)</f>
        <v>支</v>
      </c>
      <c r="F116" s="77">
        <f>8*8*(O89*4+P89*4)/500/R89+15*32*(P89)/500/R89</f>
        <v>1.32740740740741</v>
      </c>
      <c r="G116" s="89">
        <f>+VLOOKUP(D116,'材料表 '!C:F,4,0)</f>
        <v>0.15</v>
      </c>
      <c r="H116" s="74">
        <f t="shared" si="19"/>
        <v>1.52651851851852</v>
      </c>
      <c r="I116" s="74">
        <f>+VLOOKUP(D116,'材料表 '!C:F,3,0)</f>
        <v>11.5044247787611</v>
      </c>
      <c r="J116" s="51">
        <f t="shared" si="20"/>
        <v>17.5617174696822</v>
      </c>
      <c r="K116" s="43">
        <f ca="1">H116*K88</f>
        <v>13.6507392</v>
      </c>
      <c r="L116" s="92"/>
      <c r="M116" s="44"/>
      <c r="N116" s="82"/>
      <c r="O116" s="44"/>
      <c r="P116" s="44"/>
      <c r="Q116" s="44"/>
      <c r="R116" s="84"/>
      <c r="S116" s="47"/>
      <c r="T116" s="47"/>
    </row>
    <row r="117" s="27" customFormat="1" ht="18" customHeight="1" spans="1:20">
      <c r="A117" s="34"/>
      <c r="B117" s="48">
        <v>16</v>
      </c>
      <c r="C117" s="48"/>
      <c r="D117" s="88" t="s">
        <v>576</v>
      </c>
      <c r="E117" s="72" t="str">
        <f>+VLOOKUP(D117,'材料表 '!C:F,2,0)</f>
        <v>支</v>
      </c>
      <c r="F117" s="77">
        <f>16*8*(P89*P92)*2/500/R89</f>
        <v>0.618357487922705</v>
      </c>
      <c r="G117" s="89">
        <f>+VLOOKUP(D117,'材料表 '!C:F,4,0)</f>
        <v>0.15</v>
      </c>
      <c r="H117" s="74">
        <f t="shared" si="19"/>
        <v>0.711111111111111</v>
      </c>
      <c r="I117" s="74">
        <f>+VLOOKUP(D117,'材料表 '!C:F,3,0)</f>
        <v>14.1592920353982</v>
      </c>
      <c r="J117" s="51">
        <f t="shared" si="20"/>
        <v>10.0688298918387</v>
      </c>
      <c r="K117" s="43">
        <f ca="1">H117*K88</f>
        <v>6.35904</v>
      </c>
      <c r="L117" s="92"/>
      <c r="M117" s="44"/>
      <c r="N117" s="82"/>
      <c r="O117" s="44"/>
      <c r="P117" s="44"/>
      <c r="Q117" s="44"/>
      <c r="R117" s="84"/>
      <c r="S117" s="47"/>
      <c r="T117" s="47"/>
    </row>
    <row r="118" s="27" customFormat="1" ht="18" customHeight="1" spans="1:20">
      <c r="A118" s="34"/>
      <c r="B118" s="48">
        <v>17</v>
      </c>
      <c r="C118" s="48"/>
      <c r="D118" s="88" t="s">
        <v>479</v>
      </c>
      <c r="E118" s="72" t="str">
        <f>+VLOOKUP(D118,'材料表 '!C:F,2,0)</f>
        <v>kg</v>
      </c>
      <c r="F118" s="77">
        <f>R110</f>
        <v>0.670960815888352</v>
      </c>
      <c r="G118" s="89">
        <f>+VLOOKUP(D118,'材料表 '!C:F,4,0)</f>
        <v>0.03</v>
      </c>
      <c r="H118" s="74">
        <f t="shared" si="19"/>
        <v>0.691089640365003</v>
      </c>
      <c r="I118" s="74">
        <f>+VLOOKUP(D118,'材料表 '!C:F,3,0)</f>
        <v>14.1592920353982</v>
      </c>
      <c r="J118" s="51">
        <f t="shared" si="20"/>
        <v>9.78534004056639</v>
      </c>
      <c r="K118" s="43">
        <f ca="1">H118*K88</f>
        <v>6.18</v>
      </c>
      <c r="L118" s="92"/>
      <c r="M118" s="44"/>
      <c r="N118" s="82"/>
      <c r="O118" s="44"/>
      <c r="P118" s="44"/>
      <c r="Q118" s="44"/>
      <c r="R118" s="84"/>
      <c r="S118" s="47"/>
      <c r="T118" s="47"/>
    </row>
    <row r="119" s="27" customFormat="1" ht="21" customHeight="1" spans="1:20">
      <c r="A119" s="34"/>
      <c r="B119" s="48">
        <v>18</v>
      </c>
      <c r="C119" s="48"/>
      <c r="D119" s="88" t="s">
        <v>500</v>
      </c>
      <c r="E119" s="72" t="str">
        <f>+VLOOKUP(D119,'材料表 '!C:F,2,0)</f>
        <v>kg</v>
      </c>
      <c r="F119" s="77"/>
      <c r="G119" s="89"/>
      <c r="H119" s="74"/>
      <c r="I119" s="74"/>
      <c r="J119" s="51"/>
      <c r="K119" s="43">
        <f ca="1">H119*K88</f>
        <v>0</v>
      </c>
      <c r="L119" s="92"/>
      <c r="M119" s="44"/>
      <c r="N119" s="82"/>
      <c r="O119" s="44"/>
      <c r="P119" s="44"/>
      <c r="Q119" s="44"/>
      <c r="R119" s="84"/>
      <c r="S119" s="47"/>
      <c r="T119" s="47"/>
    </row>
    <row r="120" s="27" customFormat="1" ht="55" customHeight="1" spans="1:20">
      <c r="A120" s="34"/>
      <c r="B120" s="48">
        <v>19</v>
      </c>
      <c r="C120" s="48"/>
      <c r="D120" s="88" t="s">
        <v>1014</v>
      </c>
      <c r="E120" s="72" t="str">
        <f>+VLOOKUP(D120,'材料表 '!C:F,2,0)</f>
        <v>m2</v>
      </c>
      <c r="F120" s="77">
        <v>1</v>
      </c>
      <c r="G120" s="89">
        <f>+VLOOKUP(D120,'材料表 '!C:F,4,0)</f>
        <v>0.01</v>
      </c>
      <c r="H120" s="74">
        <f>F120*(G120+1)</f>
        <v>1.01</v>
      </c>
      <c r="I120" s="74">
        <f>+VLOOKUP(D120,'材料表 '!C:F,3,0)</f>
        <v>1097.34513274336</v>
      </c>
      <c r="J120" s="51">
        <f>H120*I120</f>
        <v>1108.3185840708</v>
      </c>
      <c r="K120" s="43">
        <f ca="1">H120*K88</f>
        <v>9.031824</v>
      </c>
      <c r="L120" s="90"/>
      <c r="M120" s="44"/>
      <c r="N120" s="82"/>
      <c r="O120" s="44"/>
      <c r="P120" s="44"/>
      <c r="Q120" s="44"/>
      <c r="R120" s="84"/>
      <c r="S120" s="47"/>
      <c r="T120" s="47"/>
    </row>
    <row r="121" s="27" customFormat="1" ht="19" customHeight="1" spans="1:20">
      <c r="A121" s="34"/>
      <c r="B121" s="48">
        <v>20</v>
      </c>
      <c r="C121" s="48"/>
      <c r="D121" s="88"/>
      <c r="E121" s="72"/>
      <c r="F121" s="77"/>
      <c r="G121" s="89"/>
      <c r="H121" s="74"/>
      <c r="I121" s="74"/>
      <c r="J121" s="51"/>
      <c r="K121" s="43">
        <f ca="1">H121*K88</f>
        <v>0</v>
      </c>
      <c r="L121" s="90"/>
      <c r="M121" s="44"/>
      <c r="N121" s="82"/>
      <c r="O121" s="44"/>
      <c r="P121" s="44"/>
      <c r="Q121" s="44"/>
      <c r="R121" s="84"/>
      <c r="S121" s="47"/>
      <c r="T121" s="47"/>
    </row>
    <row r="122" s="27" customFormat="1" ht="18" customHeight="1" spans="1:20">
      <c r="A122" s="34"/>
      <c r="B122" s="48">
        <v>21</v>
      </c>
      <c r="C122" s="48"/>
      <c r="D122" s="88"/>
      <c r="E122" s="72"/>
      <c r="F122" s="77"/>
      <c r="G122" s="89"/>
      <c r="H122" s="74"/>
      <c r="I122" s="74"/>
      <c r="J122" s="51"/>
      <c r="K122" s="43">
        <f ca="1">H122*K88</f>
        <v>0</v>
      </c>
      <c r="L122" s="92"/>
      <c r="M122" s="44"/>
      <c r="N122" s="82"/>
      <c r="O122" s="44"/>
      <c r="P122" s="44"/>
      <c r="Q122" s="44"/>
      <c r="R122" s="84"/>
      <c r="S122" s="47"/>
      <c r="T122" s="47"/>
    </row>
    <row r="123" s="27" customFormat="1" ht="18" customHeight="1" spans="1:20">
      <c r="A123" s="34"/>
      <c r="B123" s="48">
        <v>22</v>
      </c>
      <c r="C123" s="48"/>
      <c r="D123" s="88"/>
      <c r="E123" s="72"/>
      <c r="F123" s="77"/>
      <c r="G123" s="89"/>
      <c r="H123" s="74"/>
      <c r="I123" s="74"/>
      <c r="J123" s="51"/>
      <c r="K123" s="43">
        <f ca="1">H123*K88</f>
        <v>0</v>
      </c>
      <c r="L123" s="92"/>
      <c r="M123" s="44"/>
      <c r="N123" s="44"/>
      <c r="O123" s="44"/>
      <c r="P123" s="44"/>
      <c r="Q123" s="44"/>
      <c r="R123" s="84"/>
      <c r="S123" s="47"/>
      <c r="T123" s="47"/>
    </row>
    <row r="124" s="27" customFormat="1" ht="18" customHeight="1" spans="1:20">
      <c r="A124" s="34"/>
      <c r="B124" s="48">
        <v>23</v>
      </c>
      <c r="C124" s="48"/>
      <c r="D124" s="88"/>
      <c r="E124" s="72"/>
      <c r="F124" s="77"/>
      <c r="G124" s="89"/>
      <c r="H124" s="74"/>
      <c r="I124" s="74"/>
      <c r="J124" s="51"/>
      <c r="K124" s="75">
        <f ca="1">H124*K88</f>
        <v>0</v>
      </c>
      <c r="L124" s="92"/>
      <c r="M124" s="44"/>
      <c r="N124" s="44"/>
      <c r="O124" s="44"/>
      <c r="P124" s="44"/>
      <c r="Q124" s="44"/>
      <c r="R124" s="84"/>
      <c r="S124" s="47"/>
      <c r="T124" s="47"/>
    </row>
    <row r="125" s="27" customFormat="1" ht="18" customHeight="1" spans="1:20">
      <c r="A125" s="34"/>
      <c r="B125" s="48">
        <v>24</v>
      </c>
      <c r="C125" s="48"/>
      <c r="D125" s="88"/>
      <c r="E125" s="72"/>
      <c r="F125" s="77"/>
      <c r="G125" s="89"/>
      <c r="H125" s="74"/>
      <c r="I125" s="74"/>
      <c r="J125" s="51"/>
      <c r="K125" s="75">
        <f ca="1">H125*K88</f>
        <v>0</v>
      </c>
      <c r="L125" s="92"/>
      <c r="M125" s="44"/>
      <c r="N125" s="44"/>
      <c r="O125" s="44"/>
      <c r="P125" s="44"/>
      <c r="Q125" s="44"/>
      <c r="R125" s="84"/>
      <c r="S125" s="47"/>
      <c r="T125" s="47"/>
    </row>
    <row r="126" s="27" customFormat="1" ht="18" customHeight="1" spans="1:20">
      <c r="A126" s="34"/>
      <c r="B126" s="48">
        <v>25</v>
      </c>
      <c r="C126" s="48"/>
      <c r="D126" s="88"/>
      <c r="E126" s="72"/>
      <c r="F126" s="77"/>
      <c r="G126" s="89"/>
      <c r="H126" s="74"/>
      <c r="I126" s="74"/>
      <c r="J126" s="51"/>
      <c r="K126" s="75"/>
      <c r="L126" s="92"/>
      <c r="M126" s="44"/>
      <c r="N126" s="44"/>
      <c r="O126" s="44"/>
      <c r="P126" s="44"/>
      <c r="Q126" s="44"/>
      <c r="R126" s="84"/>
      <c r="S126" s="47"/>
      <c r="T126" s="47"/>
    </row>
    <row r="127" s="27" customFormat="1" ht="18" customHeight="1" spans="1:20">
      <c r="A127" s="34"/>
      <c r="B127" s="48">
        <v>26</v>
      </c>
      <c r="C127" s="48"/>
      <c r="D127" s="88" t="s">
        <v>441</v>
      </c>
      <c r="E127" s="72" t="s">
        <v>43</v>
      </c>
      <c r="F127" s="77"/>
      <c r="G127" s="72">
        <v>1</v>
      </c>
      <c r="H127" s="74">
        <v>1</v>
      </c>
      <c r="I127" s="74">
        <f>+辅材及安装费!$E$17</f>
        <v>10</v>
      </c>
      <c r="J127" s="51">
        <f>H127*I127</f>
        <v>10</v>
      </c>
      <c r="K127" s="75"/>
      <c r="L127" s="92"/>
      <c r="M127" s="44"/>
      <c r="N127" s="44"/>
      <c r="O127" s="44"/>
      <c r="P127" s="44"/>
      <c r="Q127" s="44"/>
      <c r="R127" s="62"/>
      <c r="S127" s="47"/>
      <c r="T127" s="47"/>
    </row>
    <row r="128" s="27" customFormat="1" ht="18" customHeight="1" spans="1:20">
      <c r="A128" s="34"/>
      <c r="B128" s="48">
        <v>27</v>
      </c>
      <c r="C128" s="48"/>
      <c r="D128" s="93" t="s">
        <v>442</v>
      </c>
      <c r="E128" s="72"/>
      <c r="F128" s="77"/>
      <c r="G128" s="72"/>
      <c r="H128" s="74"/>
      <c r="I128" s="74"/>
      <c r="J128" s="51">
        <f>SUM(J102:J127)</f>
        <v>1329.96717709209</v>
      </c>
      <c r="K128" s="75"/>
      <c r="L128" s="94"/>
      <c r="N128" s="83"/>
      <c r="O128" s="83"/>
      <c r="P128" s="83"/>
      <c r="Q128" s="83"/>
      <c r="R128" s="87"/>
      <c r="S128" s="47"/>
      <c r="T128" s="47"/>
    </row>
    <row r="129" s="27" customFormat="1" ht="18" customHeight="1" spans="1:21">
      <c r="A129" s="34"/>
      <c r="B129" s="48">
        <v>1</v>
      </c>
      <c r="C129" s="48" t="s">
        <v>443</v>
      </c>
      <c r="D129" s="48" t="s">
        <v>444</v>
      </c>
      <c r="E129" s="72" t="s">
        <v>43</v>
      </c>
      <c r="F129" s="50"/>
      <c r="G129" s="48"/>
      <c r="H129" s="51">
        <v>1</v>
      </c>
      <c r="I129" s="74">
        <f>+辅材及安装费!$F$17</f>
        <v>5</v>
      </c>
      <c r="J129" s="95">
        <f>H129*I129</f>
        <v>5</v>
      </c>
      <c r="K129" s="60"/>
      <c r="L129" s="96"/>
      <c r="M129" s="97"/>
      <c r="N129" s="98"/>
      <c r="O129" s="98"/>
      <c r="P129" s="98"/>
      <c r="Q129" s="98"/>
      <c r="R129" s="99"/>
      <c r="S129" s="47"/>
      <c r="T129" s="47"/>
    </row>
    <row r="130" s="26" customFormat="1" ht="30" customHeight="1" spans="1:21">
      <c r="A130" s="28"/>
      <c r="B130" s="29" t="s">
        <v>386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30"/>
      <c r="M130" s="31"/>
      <c r="N130" s="31"/>
      <c r="O130" s="31"/>
      <c r="P130" s="31"/>
      <c r="Q130" s="31"/>
      <c r="R130" s="32"/>
      <c r="S130" s="33"/>
      <c r="T130" s="33"/>
    </row>
    <row r="131" s="27" customFormat="1" ht="33.75" customHeight="1" spans="1:21">
      <c r="A131" s="34">
        <v>4</v>
      </c>
      <c r="B131" s="35" t="s">
        <v>1</v>
      </c>
      <c r="C131" s="35" t="s">
        <v>387</v>
      </c>
      <c r="D131" s="36" t="str">
        <f>+A139</f>
        <v>首层座槽式玻璃幕墙（12+1.9SGP+12㎜全超白钢化夹层玻璃）</v>
      </c>
      <c r="E131" s="37"/>
      <c r="F131" s="38" t="s">
        <v>225</v>
      </c>
      <c r="G131" s="39"/>
      <c r="H131" s="35" t="s">
        <v>388</v>
      </c>
      <c r="I131" s="40" t="s">
        <v>389</v>
      </c>
      <c r="J131" s="41" t="s">
        <v>37</v>
      </c>
      <c r="K131" s="42">
        <f ca="1">VLOOKUP(A131,'商业工程量清单 '!$A$4:$D$44,4,FALSE)</f>
        <v>258.624</v>
      </c>
      <c r="L131" s="43"/>
      <c r="M131" s="44"/>
      <c r="N131" s="44"/>
      <c r="O131" s="44"/>
      <c r="P131" s="45"/>
      <c r="Q131" s="44"/>
      <c r="R131" s="46"/>
      <c r="S131" s="47"/>
      <c r="T131" s="47"/>
    </row>
    <row r="132" s="27" customFormat="1" ht="25" customHeight="1" spans="1:21">
      <c r="A132" s="34"/>
      <c r="B132" s="48">
        <v>1</v>
      </c>
      <c r="C132" s="49" t="s">
        <v>390</v>
      </c>
      <c r="D132" s="48" t="s">
        <v>391</v>
      </c>
      <c r="E132" s="48"/>
      <c r="F132" s="50"/>
      <c r="G132" s="48"/>
      <c r="H132" s="51"/>
      <c r="I132" s="52">
        <f>J144</f>
        <v>190</v>
      </c>
      <c r="J132" s="53" t="s">
        <v>392</v>
      </c>
      <c r="K132" s="54"/>
      <c r="L132" s="55" t="s">
        <v>1005</v>
      </c>
      <c r="M132" s="56"/>
      <c r="N132" s="57"/>
      <c r="O132" s="57">
        <f>1.4*2+30.8+3.9+0.22</f>
        <v>37.72</v>
      </c>
      <c r="P132" s="57">
        <v>3.6</v>
      </c>
      <c r="Q132" s="57">
        <v>1</v>
      </c>
      <c r="R132" s="58">
        <f>+Q132*P132*O132</f>
        <v>135.792</v>
      </c>
      <c r="S132" s="47"/>
      <c r="T132" s="47"/>
    </row>
    <row r="133" s="27" customFormat="1" ht="18" customHeight="1" spans="1:21">
      <c r="A133" s="34"/>
      <c r="B133" s="48">
        <v>2</v>
      </c>
      <c r="C133" s="59"/>
      <c r="D133" s="48" t="s">
        <v>394</v>
      </c>
      <c r="E133" s="48"/>
      <c r="F133" s="50"/>
      <c r="G133" s="48"/>
      <c r="H133" s="51"/>
      <c r="I133" s="52">
        <f>J171</f>
        <v>619.237628898597</v>
      </c>
      <c r="J133" s="53" t="s">
        <v>392</v>
      </c>
      <c r="K133" s="60"/>
      <c r="L133" s="61"/>
      <c r="M133" s="44"/>
      <c r="N133" s="44"/>
      <c r="O133" s="44"/>
      <c r="P133" s="44"/>
      <c r="Q133" s="44"/>
      <c r="R133" s="62"/>
      <c r="S133" s="47"/>
      <c r="T133" s="47"/>
    </row>
    <row r="134" s="27" customFormat="1" ht="18" customHeight="1" spans="1:21">
      <c r="A134" s="34"/>
      <c r="B134" s="48">
        <v>3</v>
      </c>
      <c r="C134" s="63"/>
      <c r="D134" s="48" t="s">
        <v>395</v>
      </c>
      <c r="E134" s="48"/>
      <c r="F134" s="50"/>
      <c r="G134" s="48"/>
      <c r="H134" s="51"/>
      <c r="I134" s="52">
        <f>J172</f>
        <v>5</v>
      </c>
      <c r="J134" s="53" t="s">
        <v>392</v>
      </c>
      <c r="K134" s="60"/>
      <c r="L134" s="60"/>
      <c r="M134" s="64" t="s">
        <v>396</v>
      </c>
      <c r="N134" s="65" t="s">
        <v>397</v>
      </c>
      <c r="O134" s="65" t="s">
        <v>398</v>
      </c>
      <c r="P134" s="65" t="s">
        <v>399</v>
      </c>
      <c r="Q134" s="65" t="s">
        <v>400</v>
      </c>
      <c r="R134" s="66" t="s">
        <v>401</v>
      </c>
      <c r="S134" s="47"/>
      <c r="T134" s="47"/>
    </row>
    <row r="135" s="27" customFormat="1" ht="18" customHeight="1" spans="1:21">
      <c r="A135" s="34"/>
      <c r="B135" s="48">
        <v>4</v>
      </c>
      <c r="C135" s="48" t="s">
        <v>402</v>
      </c>
      <c r="D135" s="67" t="s">
        <v>403</v>
      </c>
      <c r="E135" s="67"/>
      <c r="F135" s="50"/>
      <c r="G135" s="67"/>
      <c r="H135" s="68"/>
      <c r="I135" s="52">
        <f>SUM(I132:I134)</f>
        <v>814.237628898597</v>
      </c>
      <c r="J135" s="53" t="s">
        <v>392</v>
      </c>
      <c r="K135" s="60"/>
      <c r="L135" s="69" t="s">
        <v>427</v>
      </c>
      <c r="M135" s="70" t="s">
        <v>1007</v>
      </c>
      <c r="N135" s="34">
        <v>3.111</v>
      </c>
      <c r="O135" s="34">
        <f>P132</f>
        <v>3.6</v>
      </c>
      <c r="P135" s="34">
        <v>26</v>
      </c>
      <c r="Q135" s="44">
        <f t="shared" ref="Q135:Q143" si="21">+P135*O135*N135</f>
        <v>291.1896</v>
      </c>
      <c r="R135" s="71">
        <f>+Q135/R132</f>
        <v>2.14437963944857</v>
      </c>
      <c r="S135" s="47"/>
      <c r="T135" s="47"/>
    </row>
    <row r="136" s="27" customFormat="1" ht="28" customHeight="1" spans="1:21">
      <c r="A136" s="34"/>
      <c r="B136" s="48">
        <v>5</v>
      </c>
      <c r="C136" s="72" t="s">
        <v>406</v>
      </c>
      <c r="D136" s="48" t="s">
        <v>407</v>
      </c>
      <c r="E136" s="48"/>
      <c r="F136" s="50"/>
      <c r="G136" s="48"/>
      <c r="H136" s="73">
        <f>+'材料表 '!$E$178</f>
        <v>0</v>
      </c>
      <c r="I136" s="52">
        <f>H136*I135</f>
        <v>0</v>
      </c>
      <c r="J136" s="53" t="s">
        <v>392</v>
      </c>
      <c r="K136" s="60"/>
      <c r="L136" s="69" t="s">
        <v>433</v>
      </c>
      <c r="M136" s="70" t="s">
        <v>1008</v>
      </c>
      <c r="N136" s="34">
        <v>0.507</v>
      </c>
      <c r="O136" s="34">
        <f>O135*2</f>
        <v>7.2</v>
      </c>
      <c r="P136" s="34">
        <f>P135</f>
        <v>26</v>
      </c>
      <c r="Q136" s="44">
        <f t="shared" si="21"/>
        <v>94.9104</v>
      </c>
      <c r="R136" s="71">
        <f>+Q136/R132</f>
        <v>0.698939554612938</v>
      </c>
      <c r="S136" s="47"/>
      <c r="T136" s="47"/>
    </row>
    <row r="137" s="27" customFormat="1" ht="18" customHeight="1" spans="1:21">
      <c r="A137" s="34"/>
      <c r="B137" s="48">
        <v>6</v>
      </c>
      <c r="C137" s="48" t="s">
        <v>409</v>
      </c>
      <c r="D137" s="48" t="s">
        <v>410</v>
      </c>
      <c r="E137" s="48"/>
      <c r="F137" s="50"/>
      <c r="G137" s="48"/>
      <c r="H137" s="73">
        <f>+'材料表 '!$E$179</f>
        <v>0</v>
      </c>
      <c r="I137" s="52">
        <f>H137*I135</f>
        <v>0</v>
      </c>
      <c r="J137" s="74" t="s">
        <v>392</v>
      </c>
      <c r="K137" s="75"/>
      <c r="L137" s="69" t="s">
        <v>429</v>
      </c>
      <c r="M137" s="70" t="s">
        <v>1009</v>
      </c>
      <c r="N137" s="34">
        <v>0.499</v>
      </c>
      <c r="O137" s="34">
        <f>P132/0.3*0.05</f>
        <v>0.6</v>
      </c>
      <c r="P137" s="34">
        <f>P135</f>
        <v>26</v>
      </c>
      <c r="Q137" s="44">
        <f t="shared" si="21"/>
        <v>7.7844</v>
      </c>
      <c r="R137" s="71">
        <f>+Q137/R132</f>
        <v>0.0573259102156239</v>
      </c>
      <c r="S137" s="47"/>
      <c r="T137" s="47"/>
      <c r="U137" s="76"/>
    </row>
    <row r="138" s="27" customFormat="1" ht="18" customHeight="1" spans="1:21">
      <c r="A138" s="34"/>
      <c r="B138" s="48">
        <v>7</v>
      </c>
      <c r="C138" s="48" t="s">
        <v>412</v>
      </c>
      <c r="D138" s="72" t="s">
        <v>413</v>
      </c>
      <c r="E138" s="72"/>
      <c r="F138" s="77"/>
      <c r="G138" s="72"/>
      <c r="H138" s="73">
        <f>+'材料表 '!$E$180</f>
        <v>0.09</v>
      </c>
      <c r="I138" s="52">
        <f>(I135+I136+I137)*H138</f>
        <v>73.2813866008737</v>
      </c>
      <c r="J138" s="74" t="s">
        <v>392</v>
      </c>
      <c r="K138" s="75"/>
      <c r="L138" s="69" t="s">
        <v>429</v>
      </c>
      <c r="M138" s="70" t="s">
        <v>1010</v>
      </c>
      <c r="N138" s="34">
        <f>2.9</f>
        <v>2.9</v>
      </c>
      <c r="O138" s="34">
        <v>0.2</v>
      </c>
      <c r="P138" s="34">
        <f>P135</f>
        <v>26</v>
      </c>
      <c r="Q138" s="44">
        <f t="shared" si="21"/>
        <v>15.08</v>
      </c>
      <c r="R138" s="71">
        <f>+Q138/R132</f>
        <v>0.111052197478497</v>
      </c>
      <c r="S138" s="47"/>
      <c r="T138" s="47"/>
    </row>
    <row r="139" s="27" customFormat="1" ht="18" customHeight="1" spans="1:21">
      <c r="A139" s="78" t="s">
        <v>1015</v>
      </c>
      <c r="B139" s="48">
        <v>8</v>
      </c>
      <c r="C139" s="48" t="s">
        <v>363</v>
      </c>
      <c r="D139" s="72" t="s">
        <v>415</v>
      </c>
      <c r="E139" s="72"/>
      <c r="F139" s="77"/>
      <c r="G139" s="72"/>
      <c r="H139" s="51"/>
      <c r="I139" s="74">
        <f>SUM(I135:I138)</f>
        <v>887.51901549947</v>
      </c>
      <c r="J139" s="74" t="s">
        <v>416</v>
      </c>
      <c r="K139" s="75"/>
      <c r="L139" s="69" t="s">
        <v>429</v>
      </c>
      <c r="M139" s="70"/>
      <c r="N139" s="34"/>
      <c r="O139" s="34"/>
      <c r="P139" s="34">
        <v>1</v>
      </c>
      <c r="Q139" s="44">
        <f t="shared" si="21"/>
        <v>0</v>
      </c>
      <c r="R139" s="71">
        <f>+Q139/R132</f>
        <v>0</v>
      </c>
      <c r="S139" s="79"/>
      <c r="T139" s="47"/>
    </row>
    <row r="140" s="27" customFormat="1" ht="18" customHeight="1" spans="1:21">
      <c r="A140" s="34"/>
      <c r="B140" s="48" t="s">
        <v>418</v>
      </c>
      <c r="C140" s="48"/>
      <c r="D140" s="48"/>
      <c r="E140" s="48"/>
      <c r="F140" s="48"/>
      <c r="G140" s="48"/>
      <c r="H140" s="48"/>
      <c r="I140" s="48"/>
      <c r="J140" s="48"/>
      <c r="K140" s="80"/>
      <c r="L140" s="69" t="s">
        <v>447</v>
      </c>
      <c r="M140" s="70"/>
      <c r="N140" s="34"/>
      <c r="O140" s="34"/>
      <c r="P140" s="34">
        <v>1</v>
      </c>
      <c r="Q140" s="44">
        <f t="shared" si="21"/>
        <v>0</v>
      </c>
      <c r="R140" s="71">
        <f>+Q140/R132</f>
        <v>0</v>
      </c>
      <c r="S140" s="47"/>
      <c r="T140" s="47"/>
      <c r="U140" s="76"/>
    </row>
    <row r="141" s="27" customFormat="1" ht="18" customHeight="1" spans="1:21">
      <c r="A141" s="34"/>
      <c r="B141" s="48">
        <v>1</v>
      </c>
      <c r="C141" s="48" t="s">
        <v>391</v>
      </c>
      <c r="D141" s="48" t="s">
        <v>396</v>
      </c>
      <c r="E141" s="48" t="s">
        <v>37</v>
      </c>
      <c r="F141" s="50"/>
      <c r="G141" s="48"/>
      <c r="H141" s="51" t="s">
        <v>399</v>
      </c>
      <c r="I141" s="51" t="s">
        <v>420</v>
      </c>
      <c r="J141" s="51" t="s">
        <v>421</v>
      </c>
      <c r="K141" s="43"/>
      <c r="L141" s="69" t="s">
        <v>404</v>
      </c>
      <c r="M141" s="81"/>
      <c r="N141" s="82"/>
      <c r="O141" s="34"/>
      <c r="P141" s="34">
        <v>1</v>
      </c>
      <c r="Q141" s="44">
        <f t="shared" si="21"/>
        <v>0</v>
      </c>
      <c r="R141" s="71">
        <f>+Q141/R132</f>
        <v>0</v>
      </c>
      <c r="S141" s="47"/>
      <c r="T141" s="47"/>
    </row>
    <row r="142" s="27" customFormat="1" ht="18" customHeight="1" spans="1:21">
      <c r="A142" s="34"/>
      <c r="B142" s="48">
        <v>2</v>
      </c>
      <c r="C142" s="48"/>
      <c r="D142" s="48" t="s">
        <v>965</v>
      </c>
      <c r="E142" s="72" t="s">
        <v>423</v>
      </c>
      <c r="F142" s="50"/>
      <c r="G142" s="48"/>
      <c r="H142" s="51">
        <v>1</v>
      </c>
      <c r="I142" s="51">
        <f>+辅材及安装费!$G$17</f>
        <v>190</v>
      </c>
      <c r="J142" s="51">
        <f t="shared" ref="J142:J150" si="22">H142*I142</f>
        <v>190</v>
      </c>
      <c r="K142" s="43"/>
      <c r="L142" s="69" t="s">
        <v>427</v>
      </c>
      <c r="M142" s="70"/>
      <c r="N142" s="83"/>
      <c r="O142" s="34"/>
      <c r="P142" s="34">
        <v>1</v>
      </c>
      <c r="Q142" s="44">
        <f t="shared" si="21"/>
        <v>0</v>
      </c>
      <c r="R142" s="84">
        <f>+Q142/R132</f>
        <v>0</v>
      </c>
      <c r="S142" s="47"/>
      <c r="T142" s="47"/>
    </row>
    <row r="143" s="27" customFormat="1" ht="18" customHeight="1" spans="1:21">
      <c r="A143" s="34"/>
      <c r="B143" s="48">
        <v>3</v>
      </c>
      <c r="C143" s="48"/>
      <c r="D143" s="48"/>
      <c r="E143" s="72"/>
      <c r="F143" s="50"/>
      <c r="G143" s="48"/>
      <c r="H143" s="51"/>
      <c r="I143" s="51"/>
      <c r="J143" s="51"/>
      <c r="K143" s="43"/>
      <c r="L143" s="69"/>
      <c r="M143" s="81"/>
      <c r="N143" s="82"/>
      <c r="O143" s="44"/>
      <c r="P143" s="34">
        <v>1</v>
      </c>
      <c r="Q143" s="44">
        <f t="shared" si="21"/>
        <v>0</v>
      </c>
      <c r="R143" s="84">
        <f>+Q143/R132</f>
        <v>0</v>
      </c>
      <c r="S143" s="47"/>
      <c r="T143" s="47"/>
    </row>
    <row r="144" s="27" customFormat="1" ht="18" customHeight="1" spans="1:21">
      <c r="A144" s="34"/>
      <c r="B144" s="48">
        <v>4</v>
      </c>
      <c r="C144" s="48"/>
      <c r="D144" s="85" t="s">
        <v>426</v>
      </c>
      <c r="E144" s="48" t="s">
        <v>392</v>
      </c>
      <c r="F144" s="50"/>
      <c r="G144" s="48"/>
      <c r="H144" s="86"/>
      <c r="I144" s="86"/>
      <c r="J144" s="51">
        <f>SUM(J142:J142)</f>
        <v>190</v>
      </c>
      <c r="K144" s="75"/>
      <c r="L144" s="69"/>
      <c r="M144" s="70"/>
      <c r="N144" s="83"/>
      <c r="O144" s="83"/>
      <c r="P144" s="34">
        <v>1</v>
      </c>
      <c r="Q144" s="83"/>
      <c r="R144" s="87"/>
      <c r="S144" s="47"/>
      <c r="T144" s="47"/>
    </row>
    <row r="145" s="27" customFormat="1" ht="23" customHeight="1" spans="1:20">
      <c r="A145" s="34"/>
      <c r="B145" s="48">
        <v>1</v>
      </c>
      <c r="C145" s="48" t="s">
        <v>394</v>
      </c>
      <c r="D145" s="88" t="s">
        <v>427</v>
      </c>
      <c r="E145" s="72" t="str">
        <f>+VLOOKUP(D145,'材料表 '!C:F,2,0)</f>
        <v>kg</v>
      </c>
      <c r="F145" s="77">
        <f>+SUMIF($L$132:$L$172,D145,$R$132:$R$172)</f>
        <v>2.14437963944857</v>
      </c>
      <c r="G145" s="89">
        <f>+VLOOKUP(D145,'材料表 '!C:F,4,0)</f>
        <v>0.03</v>
      </c>
      <c r="H145" s="74">
        <f t="shared" ref="H145:H150" si="23">F145*(G145+1)</f>
        <v>2.20871102863203</v>
      </c>
      <c r="I145" s="74">
        <f>+VLOOKUP(D145,'材料表 '!C:F,3,0)</f>
        <v>25.8495575221239</v>
      </c>
      <c r="J145" s="51">
        <f t="shared" si="22"/>
        <v>57.094202784373</v>
      </c>
      <c r="K145" s="75">
        <f ca="1">H145*K131</f>
        <v>571.22568106893</v>
      </c>
      <c r="L145" s="69"/>
      <c r="M145" s="70"/>
      <c r="N145" s="83"/>
      <c r="O145" s="83"/>
      <c r="P145" s="34">
        <v>1</v>
      </c>
      <c r="Q145" s="83"/>
      <c r="R145" s="87"/>
      <c r="S145" s="47"/>
      <c r="T145" s="47"/>
    </row>
    <row r="146" s="27" customFormat="1" ht="18" customHeight="1" spans="1:20">
      <c r="A146" s="34"/>
      <c r="B146" s="48">
        <v>2</v>
      </c>
      <c r="C146" s="48"/>
      <c r="D146" s="88" t="s">
        <v>404</v>
      </c>
      <c r="E146" s="72" t="str">
        <f>+VLOOKUP(D146,'材料表 '!C:F,2,0)</f>
        <v>kg</v>
      </c>
      <c r="F146" s="77">
        <f t="shared" ref="F146:F158" si="24">+SUMIF($L$132:$L$172,D146,$R$132:$R$172)</f>
        <v>0</v>
      </c>
      <c r="G146" s="89">
        <f>+VLOOKUP(D146,'材料表 '!C:F,4,0)</f>
        <v>0.03</v>
      </c>
      <c r="H146" s="74">
        <f t="shared" si="23"/>
        <v>0</v>
      </c>
      <c r="I146" s="74">
        <f>+VLOOKUP(D146,'材料表 '!C:F,3,0)</f>
        <v>25.6725663716814</v>
      </c>
      <c r="J146" s="51">
        <f t="shared" si="22"/>
        <v>0</v>
      </c>
      <c r="K146" s="75">
        <f ca="1">H146*K131</f>
        <v>0</v>
      </c>
      <c r="L146" s="69"/>
      <c r="M146" s="70"/>
      <c r="N146" s="83"/>
      <c r="O146" s="83"/>
      <c r="P146" s="83"/>
      <c r="Q146" s="83"/>
      <c r="R146" s="87"/>
      <c r="S146" s="47"/>
      <c r="T146" s="47"/>
    </row>
    <row r="147" s="27" customFormat="1" ht="18" customHeight="1" spans="1:20">
      <c r="A147" s="34"/>
      <c r="B147" s="48">
        <v>3</v>
      </c>
      <c r="C147" s="48"/>
      <c r="D147" s="88" t="s">
        <v>433</v>
      </c>
      <c r="E147" s="72" t="str">
        <f>+VLOOKUP(D147,'材料表 '!C:F,2,0)</f>
        <v>kg</v>
      </c>
      <c r="F147" s="77">
        <f t="shared" si="24"/>
        <v>0.698939554612938</v>
      </c>
      <c r="G147" s="89">
        <f>+VLOOKUP(D147,'材料表 '!C:F,4,0)</f>
        <v>0.03</v>
      </c>
      <c r="H147" s="74">
        <f t="shared" si="23"/>
        <v>0.719907741251326</v>
      </c>
      <c r="I147" s="74">
        <f>+VLOOKUP(D147,'材料表 '!C:F,3,0)</f>
        <v>26.1150442477876</v>
      </c>
      <c r="J147" s="51">
        <f t="shared" si="22"/>
        <v>18.8004225171032</v>
      </c>
      <c r="K147" s="75">
        <f ca="1">H147*K131</f>
        <v>186.185419673383</v>
      </c>
      <c r="L147" s="69"/>
      <c r="N147" s="83"/>
      <c r="O147" s="83"/>
      <c r="P147" s="83"/>
      <c r="Q147" s="83"/>
      <c r="R147" s="87"/>
      <c r="S147" s="47"/>
      <c r="T147" s="47"/>
    </row>
    <row r="148" s="27" customFormat="1" ht="18" customHeight="1" spans="1:20">
      <c r="A148" s="34"/>
      <c r="B148" s="48">
        <v>4</v>
      </c>
      <c r="C148" s="48"/>
      <c r="D148" s="88" t="s">
        <v>429</v>
      </c>
      <c r="E148" s="72" t="str">
        <f>+VLOOKUP(D148,'材料表 '!C:F,2,0)</f>
        <v>kg</v>
      </c>
      <c r="F148" s="77">
        <f t="shared" si="24"/>
        <v>0.168378107694121</v>
      </c>
      <c r="G148" s="89">
        <f>+VLOOKUP(D148,'材料表 '!C:F,4,0)</f>
        <v>0.03</v>
      </c>
      <c r="H148" s="74">
        <f t="shared" si="23"/>
        <v>0.173429450924945</v>
      </c>
      <c r="I148" s="74">
        <f>+VLOOKUP(D148,'材料表 '!C:F,3,0)</f>
        <v>26.1150442477876</v>
      </c>
      <c r="J148" s="51">
        <f t="shared" si="22"/>
        <v>4.52911778477444</v>
      </c>
      <c r="K148" s="75">
        <f ca="1">H148*K131</f>
        <v>44.853018316013</v>
      </c>
      <c r="L148" s="90" t="s">
        <v>428</v>
      </c>
      <c r="M148" s="44"/>
      <c r="N148" s="82"/>
      <c r="O148" s="44">
        <f>(O135*P135)</f>
        <v>93.6</v>
      </c>
      <c r="P148" s="44">
        <v>1</v>
      </c>
      <c r="Q148" s="44">
        <f>+P148*O148</f>
        <v>93.6</v>
      </c>
      <c r="R148" s="84">
        <f>+Q148/R132</f>
        <v>0.689289501590668</v>
      </c>
      <c r="S148" s="47"/>
      <c r="T148" s="47"/>
    </row>
    <row r="149" s="27" customFormat="1" ht="18" customHeight="1" spans="1:20">
      <c r="A149" s="34"/>
      <c r="B149" s="48">
        <v>5</v>
      </c>
      <c r="C149" s="48"/>
      <c r="D149" s="88" t="s">
        <v>447</v>
      </c>
      <c r="E149" s="72" t="str">
        <f>+VLOOKUP(D149,'材料表 '!C:F,2,0)</f>
        <v>kg</v>
      </c>
      <c r="F149" s="77">
        <f t="shared" si="24"/>
        <v>0</v>
      </c>
      <c r="G149" s="89">
        <f>+VLOOKUP(D149,'材料表 '!C:F,4,0)</f>
        <v>0.03</v>
      </c>
      <c r="H149" s="74">
        <f t="shared" si="23"/>
        <v>0</v>
      </c>
      <c r="I149" s="74">
        <f>+VLOOKUP(D149,'材料表 '!C:F,3,0)</f>
        <v>24.4336283185841</v>
      </c>
      <c r="J149" s="51">
        <f t="shared" si="22"/>
        <v>0</v>
      </c>
      <c r="K149" s="43">
        <f ca="1">H149*K131</f>
        <v>0</v>
      </c>
      <c r="L149" s="90"/>
      <c r="M149" s="44"/>
      <c r="N149" s="82"/>
      <c r="O149" s="44"/>
      <c r="P149" s="44"/>
      <c r="Q149" s="44"/>
      <c r="R149" s="84"/>
      <c r="S149" s="47"/>
      <c r="T149" s="47"/>
    </row>
    <row r="150" s="27" customFormat="1" ht="18" customHeight="1" spans="1:20">
      <c r="A150" s="34"/>
      <c r="B150" s="48">
        <v>6</v>
      </c>
      <c r="C150" s="48"/>
      <c r="D150" s="88" t="s">
        <v>434</v>
      </c>
      <c r="E150" s="72" t="str">
        <f>+VLOOKUP(D150,'材料表 '!C:F,2,0)</f>
        <v>m2</v>
      </c>
      <c r="F150" s="77">
        <f t="shared" si="24"/>
        <v>0</v>
      </c>
      <c r="G150" s="89">
        <f>+VLOOKUP(D150,'材料表 '!C:F,4,0)</f>
        <v>0</v>
      </c>
      <c r="H150" s="74">
        <f t="shared" si="23"/>
        <v>0</v>
      </c>
      <c r="I150" s="74">
        <f>+VLOOKUP(D150,'材料表 '!C:F,3,0)</f>
        <v>49.5575221238938</v>
      </c>
      <c r="J150" s="51">
        <f t="shared" si="22"/>
        <v>0</v>
      </c>
      <c r="K150" s="43">
        <f ca="1">H150*K131</f>
        <v>0</v>
      </c>
      <c r="L150" s="90" t="s">
        <v>463</v>
      </c>
      <c r="M150" s="91" t="s">
        <v>1012</v>
      </c>
      <c r="N150" s="82">
        <f>0.32*0.3*8*7.85</f>
        <v>6.0288</v>
      </c>
      <c r="O150" s="44">
        <v>1</v>
      </c>
      <c r="P150" s="44">
        <f>P135</f>
        <v>26</v>
      </c>
      <c r="Q150" s="44">
        <f t="shared" ref="Q150:Q154" si="25">+P150*O150*N150</f>
        <v>156.7488</v>
      </c>
      <c r="R150" s="84">
        <f>+Q150/R132</f>
        <v>1.15433015199717</v>
      </c>
      <c r="S150" s="47"/>
      <c r="T150" s="47"/>
    </row>
    <row r="151" s="27" customFormat="1" ht="18" customHeight="1" spans="1:20">
      <c r="A151" s="34"/>
      <c r="B151" s="48">
        <v>7</v>
      </c>
      <c r="C151" s="48"/>
      <c r="D151" s="88"/>
      <c r="E151" s="72"/>
      <c r="F151" s="77">
        <f t="shared" si="24"/>
        <v>0</v>
      </c>
      <c r="G151" s="89"/>
      <c r="H151" s="74"/>
      <c r="I151" s="74"/>
      <c r="J151" s="51"/>
      <c r="K151" s="43">
        <f ca="1">H151*K131</f>
        <v>0</v>
      </c>
      <c r="L151" s="69" t="s">
        <v>465</v>
      </c>
      <c r="M151" s="81" t="s">
        <v>1013</v>
      </c>
      <c r="N151" s="34">
        <v>9.88</v>
      </c>
      <c r="O151" s="34">
        <f>0.13</f>
        <v>0.13</v>
      </c>
      <c r="P151" s="34">
        <f>2*P150</f>
        <v>52</v>
      </c>
      <c r="Q151" s="44">
        <f t="shared" si="25"/>
        <v>66.7888</v>
      </c>
      <c r="R151" s="84">
        <f>Q151/R132</f>
        <v>0.491846353246141</v>
      </c>
      <c r="S151" s="47"/>
      <c r="T151" s="47"/>
    </row>
    <row r="152" s="27" customFormat="1" ht="18" customHeight="1" spans="1:20">
      <c r="A152" s="34"/>
      <c r="B152" s="48">
        <v>8</v>
      </c>
      <c r="C152" s="48"/>
      <c r="D152" s="88" t="s">
        <v>431</v>
      </c>
      <c r="E152" s="72" t="str">
        <f>+VLOOKUP(D152,'材料表 '!C:F,2,0)</f>
        <v>kg</v>
      </c>
      <c r="F152" s="77">
        <f t="shared" si="24"/>
        <v>0</v>
      </c>
      <c r="G152" s="89">
        <f>+VLOOKUP(D152,'材料表 '!C:F,4,0)</f>
        <v>0.03</v>
      </c>
      <c r="H152" s="74">
        <f t="shared" ref="H152:H161" si="26">F152*(G152+1)</f>
        <v>0</v>
      </c>
      <c r="I152" s="74">
        <f>+VLOOKUP(D152,'材料表 '!C:F,3,0)</f>
        <v>3.80530973451327</v>
      </c>
      <c r="J152" s="51">
        <f t="shared" ref="J152:J161" si="27">H152*I152</f>
        <v>0</v>
      </c>
      <c r="K152" s="43">
        <f ca="1">H152*K131</f>
        <v>0</v>
      </c>
      <c r="L152" s="90" t="s">
        <v>474</v>
      </c>
      <c r="M152" s="44"/>
      <c r="N152" s="82"/>
      <c r="O152" s="44">
        <v>6</v>
      </c>
      <c r="P152" s="44">
        <f>O150*P150</f>
        <v>26</v>
      </c>
      <c r="Q152" s="44">
        <f>O152*P152</f>
        <v>156</v>
      </c>
      <c r="R152" s="84">
        <f>Q152/R132</f>
        <v>1.14881583598445</v>
      </c>
      <c r="S152" s="47"/>
      <c r="T152" s="47"/>
    </row>
    <row r="153" s="27" customFormat="1" ht="18" customHeight="1" spans="1:20">
      <c r="A153" s="34"/>
      <c r="B153" s="48">
        <v>9</v>
      </c>
      <c r="C153" s="48"/>
      <c r="D153" s="88" t="s">
        <v>461</v>
      </c>
      <c r="E153" s="72" t="str">
        <f>+VLOOKUP(D153,'材料表 '!C:F,2,0)</f>
        <v>kg</v>
      </c>
      <c r="F153" s="77">
        <f t="shared" si="24"/>
        <v>0</v>
      </c>
      <c r="G153" s="89">
        <f>+VLOOKUP(D153,'材料表 '!C:F,4,0)</f>
        <v>0.03</v>
      </c>
      <c r="H153" s="74">
        <f t="shared" si="26"/>
        <v>0</v>
      </c>
      <c r="I153" s="74">
        <f>+VLOOKUP(D153,'材料表 '!C:F,3,0)</f>
        <v>3.53982300884956</v>
      </c>
      <c r="J153" s="51">
        <f t="shared" si="27"/>
        <v>0</v>
      </c>
      <c r="K153" s="43">
        <f ca="1">H153*K131</f>
        <v>0</v>
      </c>
      <c r="L153" s="90" t="s">
        <v>472</v>
      </c>
      <c r="M153" s="91"/>
      <c r="N153" s="82"/>
      <c r="O153" s="44">
        <v>2</v>
      </c>
      <c r="P153" s="44">
        <f>P135</f>
        <v>26</v>
      </c>
      <c r="Q153" s="44">
        <f>O153*P153</f>
        <v>52</v>
      </c>
      <c r="R153" s="84">
        <f>Q153/R132</f>
        <v>0.382938611994816</v>
      </c>
      <c r="S153" s="47"/>
      <c r="T153" s="47"/>
    </row>
    <row r="154" s="27" customFormat="1" ht="18" customHeight="1" spans="1:20">
      <c r="A154" s="34"/>
      <c r="B154" s="48">
        <v>10</v>
      </c>
      <c r="C154" s="48"/>
      <c r="D154" s="88" t="s">
        <v>435</v>
      </c>
      <c r="E154" s="72" t="str">
        <f>+VLOOKUP(D154,'材料表 '!C:F,2,0)</f>
        <v>kg</v>
      </c>
      <c r="F154" s="77">
        <f t="shared" si="24"/>
        <v>0</v>
      </c>
      <c r="G154" s="89">
        <f>+VLOOKUP(D154,'材料表 '!C:F,4,0)</f>
        <v>0.03</v>
      </c>
      <c r="H154" s="74">
        <f t="shared" si="26"/>
        <v>0</v>
      </c>
      <c r="I154" s="74">
        <f>+VLOOKUP(D154,'材料表 '!C:F,3,0)</f>
        <v>19.4690265486726</v>
      </c>
      <c r="J154" s="51">
        <f t="shared" si="27"/>
        <v>0</v>
      </c>
      <c r="K154" s="43">
        <f ca="1">H154*K131</f>
        <v>0</v>
      </c>
      <c r="L154" s="69" t="s">
        <v>465</v>
      </c>
      <c r="M154" s="91"/>
      <c r="N154" s="82">
        <f>(0.058+0.04*2)*5*7.85</f>
        <v>5.4165</v>
      </c>
      <c r="O154" s="44">
        <f>O132</f>
        <v>37.72</v>
      </c>
      <c r="P154" s="44">
        <v>1</v>
      </c>
      <c r="Q154" s="44">
        <f t="shared" si="25"/>
        <v>204.31038</v>
      </c>
      <c r="R154" s="84">
        <f>+Q154/R132</f>
        <v>1.50458333333333</v>
      </c>
      <c r="S154" s="47"/>
      <c r="T154" s="47"/>
    </row>
    <row r="155" s="27" customFormat="1" ht="18" customHeight="1" spans="1:20">
      <c r="A155" s="34"/>
      <c r="B155" s="48">
        <v>11</v>
      </c>
      <c r="C155" s="48"/>
      <c r="D155" s="88" t="s">
        <v>463</v>
      </c>
      <c r="E155" s="72" t="str">
        <f>+VLOOKUP(D155,'材料表 '!C:F,2,0)</f>
        <v>kg</v>
      </c>
      <c r="F155" s="77">
        <f t="shared" si="24"/>
        <v>1.15433015199717</v>
      </c>
      <c r="G155" s="89">
        <f>+VLOOKUP(D155,'材料表 '!C:F,4,0)</f>
        <v>0.03</v>
      </c>
      <c r="H155" s="74">
        <f t="shared" si="26"/>
        <v>1.18896005655709</v>
      </c>
      <c r="I155" s="74">
        <f>+VLOOKUP(D155,'材料表 '!C:F,3,0)</f>
        <v>6.01769911504425</v>
      </c>
      <c r="J155" s="51">
        <f t="shared" si="27"/>
        <v>7.15480388016653</v>
      </c>
      <c r="K155" s="43">
        <f ca="1">H155*K131</f>
        <v>307.493605667021</v>
      </c>
      <c r="L155" s="69" t="s">
        <v>461</v>
      </c>
      <c r="N155" s="83"/>
      <c r="O155" s="83"/>
      <c r="P155" s="83"/>
      <c r="Q155" s="83"/>
      <c r="R155" s="84"/>
      <c r="S155" s="47"/>
      <c r="T155" s="47"/>
    </row>
    <row r="156" s="27" customFormat="1" ht="18" customHeight="1" spans="1:20">
      <c r="A156" s="34"/>
      <c r="B156" s="48">
        <v>12</v>
      </c>
      <c r="C156" s="48"/>
      <c r="D156" s="88" t="s">
        <v>465</v>
      </c>
      <c r="E156" s="72" t="str">
        <f>+VLOOKUP(D156,'材料表 '!C:F,2,0)</f>
        <v>kg</v>
      </c>
      <c r="F156" s="77">
        <f t="shared" si="24"/>
        <v>1.99642968657947</v>
      </c>
      <c r="G156" s="89">
        <f>+VLOOKUP(D156,'材料表 '!C:F,4,0)</f>
        <v>0.03</v>
      </c>
      <c r="H156" s="74">
        <f t="shared" si="26"/>
        <v>2.05632257717685</v>
      </c>
      <c r="I156" s="74">
        <f>+VLOOKUP(D156,'材料表 '!C:F,3,0)</f>
        <v>6.01769911504425</v>
      </c>
      <c r="J156" s="51">
        <f t="shared" si="27"/>
        <v>12.3743305529227</v>
      </c>
      <c r="K156" s="43">
        <f ca="1">H156*K131</f>
        <v>531.814370199786</v>
      </c>
      <c r="L156" s="90"/>
      <c r="M156" s="44"/>
      <c r="N156" s="82"/>
      <c r="O156" s="44"/>
      <c r="P156" s="44"/>
      <c r="Q156" s="44"/>
      <c r="R156" s="84"/>
      <c r="S156" s="47"/>
      <c r="T156" s="47"/>
    </row>
    <row r="157" s="27" customFormat="1" ht="18" customHeight="1" spans="1:20">
      <c r="A157" s="34"/>
      <c r="B157" s="48">
        <v>13</v>
      </c>
      <c r="C157" s="48"/>
      <c r="D157" s="88" t="s">
        <v>474</v>
      </c>
      <c r="E157" s="72" t="str">
        <f>+VLOOKUP(D157,'材料表 '!C:F,2,0)</f>
        <v>套</v>
      </c>
      <c r="F157" s="77">
        <f t="shared" si="24"/>
        <v>1.14881583598445</v>
      </c>
      <c r="G157" s="89">
        <f>+VLOOKUP(D157,'材料表 '!C:F,4,0)</f>
        <v>0</v>
      </c>
      <c r="H157" s="74">
        <f t="shared" si="26"/>
        <v>1.14881583598445</v>
      </c>
      <c r="I157" s="74">
        <f>+VLOOKUP(D157,'材料表 '!C:F,3,0)</f>
        <v>2.21238938053097</v>
      </c>
      <c r="J157" s="51">
        <f t="shared" si="27"/>
        <v>2.54162795571781</v>
      </c>
      <c r="K157" s="43">
        <f ca="1">H157*K131</f>
        <v>297.111346765642</v>
      </c>
      <c r="L157" s="90"/>
      <c r="M157" s="44"/>
      <c r="N157" s="82"/>
      <c r="O157" s="44"/>
      <c r="P157" s="44"/>
      <c r="Q157" s="44"/>
      <c r="R157" s="84"/>
      <c r="S157" s="47"/>
      <c r="T157" s="47"/>
    </row>
    <row r="158" s="27" customFormat="1" ht="18" customHeight="1" spans="1:20">
      <c r="A158" s="34"/>
      <c r="B158" s="48">
        <v>14</v>
      </c>
      <c r="C158" s="48"/>
      <c r="D158" s="88" t="s">
        <v>472</v>
      </c>
      <c r="E158" s="72" t="str">
        <f>+VLOOKUP(D158,'材料表 '!C:F,2,0)</f>
        <v>套</v>
      </c>
      <c r="F158" s="77">
        <f t="shared" si="24"/>
        <v>0.382938611994816</v>
      </c>
      <c r="G158" s="89">
        <f>+VLOOKUP(D158,'材料表 '!C:F,4,0)</f>
        <v>0</v>
      </c>
      <c r="H158" s="74">
        <f t="shared" si="26"/>
        <v>0.382938611994816</v>
      </c>
      <c r="I158" s="74">
        <f>+VLOOKUP(D158,'材料表 '!C:F,3,0)</f>
        <v>2.47787610619469</v>
      </c>
      <c r="J158" s="51">
        <f t="shared" si="27"/>
        <v>0.948874436801314</v>
      </c>
      <c r="K158" s="43">
        <f ca="1">H158*K131</f>
        <v>99.0371155885473</v>
      </c>
      <c r="L158" s="90"/>
      <c r="M158" s="44"/>
      <c r="N158" s="82"/>
      <c r="O158" s="44"/>
      <c r="P158" s="44"/>
      <c r="Q158" s="44"/>
      <c r="R158" s="84"/>
      <c r="S158" s="47"/>
      <c r="T158" s="47"/>
    </row>
    <row r="159" s="27" customFormat="1" ht="18" customHeight="1" spans="1:20">
      <c r="A159" s="34"/>
      <c r="B159" s="48">
        <v>15</v>
      </c>
      <c r="C159" s="48"/>
      <c r="D159" s="88" t="s">
        <v>476</v>
      </c>
      <c r="E159" s="72" t="str">
        <f>+VLOOKUP(D159,'材料表 '!C:F,2,0)</f>
        <v>支</v>
      </c>
      <c r="F159" s="77">
        <f>8*8*(O132*2+P132*P135*2)/500/R132+15*32*(P132*P135)/500/R132</f>
        <v>0.909287145045364</v>
      </c>
      <c r="G159" s="89">
        <f>+VLOOKUP(D159,'材料表 '!C:F,4,0)</f>
        <v>0.15</v>
      </c>
      <c r="H159" s="74">
        <f t="shared" si="26"/>
        <v>1.04568021680217</v>
      </c>
      <c r="I159" s="74">
        <f>+VLOOKUP(D159,'材料表 '!C:F,3,0)</f>
        <v>11.5044247787611</v>
      </c>
      <c r="J159" s="51">
        <f t="shared" si="27"/>
        <v>12.0299493968391</v>
      </c>
      <c r="K159" s="43">
        <f ca="1">H159*K131</f>
        <v>270.438000390244</v>
      </c>
      <c r="L159" s="92"/>
      <c r="M159" s="44"/>
      <c r="N159" s="82"/>
      <c r="O159" s="44"/>
      <c r="P159" s="44"/>
      <c r="Q159" s="44"/>
      <c r="R159" s="84"/>
      <c r="S159" s="47"/>
      <c r="T159" s="47"/>
    </row>
    <row r="160" s="27" customFormat="1" ht="18" customHeight="1" spans="1:20">
      <c r="A160" s="34"/>
      <c r="B160" s="48">
        <v>16</v>
      </c>
      <c r="C160" s="48"/>
      <c r="D160" s="88" t="s">
        <v>576</v>
      </c>
      <c r="E160" s="72" t="str">
        <f>+VLOOKUP(D160,'材料表 '!C:F,2,0)</f>
        <v>支</v>
      </c>
      <c r="F160" s="77">
        <f>16*8*(P132*P135)*2/500/R132</f>
        <v>0.352916224814422</v>
      </c>
      <c r="G160" s="89">
        <f>+VLOOKUP(D160,'材料表 '!C:F,4,0)</f>
        <v>0.15</v>
      </c>
      <c r="H160" s="74">
        <f t="shared" si="26"/>
        <v>0.405853658536585</v>
      </c>
      <c r="I160" s="74">
        <f>+VLOOKUP(D160,'材料表 '!C:F,3,0)</f>
        <v>14.1592920353982</v>
      </c>
      <c r="J160" s="51">
        <f t="shared" si="27"/>
        <v>5.74660047485429</v>
      </c>
      <c r="K160" s="43">
        <f ca="1">H160*K131</f>
        <v>104.963496585366</v>
      </c>
      <c r="L160" s="92"/>
      <c r="M160" s="44"/>
      <c r="N160" s="82"/>
      <c r="O160" s="44"/>
      <c r="P160" s="44"/>
      <c r="Q160" s="44"/>
      <c r="R160" s="84"/>
      <c r="S160" s="47"/>
      <c r="T160" s="47"/>
    </row>
    <row r="161" s="27" customFormat="1" ht="18" customHeight="1" spans="1:20">
      <c r="A161" s="34"/>
      <c r="B161" s="48">
        <v>17</v>
      </c>
      <c r="C161" s="48"/>
      <c r="D161" s="88" t="s">
        <v>479</v>
      </c>
      <c r="E161" s="72" t="str">
        <f>+VLOOKUP(D161,'材料表 '!C:F,2,0)</f>
        <v>kg</v>
      </c>
      <c r="F161" s="77">
        <v>0</v>
      </c>
      <c r="G161" s="89">
        <f>+VLOOKUP(D161,'材料表 '!C:F,4,0)</f>
        <v>0.03</v>
      </c>
      <c r="H161" s="74">
        <f t="shared" si="26"/>
        <v>0</v>
      </c>
      <c r="I161" s="74">
        <f>+VLOOKUP(D161,'材料表 '!C:F,3,0)</f>
        <v>14.1592920353982</v>
      </c>
      <c r="J161" s="51">
        <f t="shared" si="27"/>
        <v>0</v>
      </c>
      <c r="K161" s="43">
        <f ca="1">H161*K131</f>
        <v>0</v>
      </c>
      <c r="L161" s="92"/>
      <c r="M161" s="44"/>
      <c r="N161" s="82"/>
      <c r="O161" s="44"/>
      <c r="P161" s="44"/>
      <c r="Q161" s="44"/>
      <c r="R161" s="84"/>
      <c r="S161" s="47"/>
      <c r="T161" s="47"/>
    </row>
    <row r="162" s="27" customFormat="1" ht="21" customHeight="1" spans="1:20">
      <c r="A162" s="34"/>
      <c r="B162" s="48">
        <v>18</v>
      </c>
      <c r="C162" s="48"/>
      <c r="D162" s="88" t="s">
        <v>500</v>
      </c>
      <c r="E162" s="72" t="str">
        <f>+VLOOKUP(D162,'材料表 '!C:F,2,0)</f>
        <v>kg</v>
      </c>
      <c r="F162" s="77"/>
      <c r="G162" s="89"/>
      <c r="H162" s="74"/>
      <c r="I162" s="74"/>
      <c r="J162" s="51"/>
      <c r="K162" s="43">
        <f ca="1">H162*K131</f>
        <v>0</v>
      </c>
      <c r="L162" s="92"/>
      <c r="M162" s="44"/>
      <c r="N162" s="82"/>
      <c r="O162" s="44"/>
      <c r="P162" s="44"/>
      <c r="Q162" s="44"/>
      <c r="R162" s="84"/>
      <c r="S162" s="47"/>
      <c r="T162" s="47"/>
    </row>
    <row r="163" s="27" customFormat="1" ht="34" customHeight="1" spans="1:20">
      <c r="A163" s="34"/>
      <c r="B163" s="48">
        <v>19</v>
      </c>
      <c r="C163" s="48"/>
      <c r="D163" s="88" t="s">
        <v>1016</v>
      </c>
      <c r="E163" s="72" t="str">
        <f>+VLOOKUP(D163,'材料表 '!C:F,2,0)</f>
        <v>m2</v>
      </c>
      <c r="F163" s="77">
        <v>1</v>
      </c>
      <c r="G163" s="89">
        <f>+VLOOKUP(D163,'材料表 '!C:F,4,0)</f>
        <v>0.01</v>
      </c>
      <c r="H163" s="74">
        <f>F163*(G163+1)</f>
        <v>1.01</v>
      </c>
      <c r="I163" s="74">
        <f>+VLOOKUP(D163,'材料表 '!C:F,3,0)</f>
        <v>483.185840707965</v>
      </c>
      <c r="J163" s="51">
        <f>H163*I163</f>
        <v>488.017699115044</v>
      </c>
      <c r="K163" s="43">
        <f ca="1">H163*K131</f>
        <v>261.21024</v>
      </c>
      <c r="L163" s="90"/>
      <c r="M163" s="44"/>
      <c r="N163" s="82"/>
      <c r="O163" s="44"/>
      <c r="P163" s="44"/>
      <c r="Q163" s="44"/>
      <c r="R163" s="84"/>
      <c r="S163" s="47"/>
      <c r="T163" s="47"/>
    </row>
    <row r="164" s="27" customFormat="1" ht="19" customHeight="1" spans="1:20">
      <c r="A164" s="34"/>
      <c r="B164" s="48">
        <v>20</v>
      </c>
      <c r="C164" s="48"/>
      <c r="D164" s="88"/>
      <c r="E164" s="72"/>
      <c r="F164" s="77"/>
      <c r="G164" s="89"/>
      <c r="H164" s="74"/>
      <c r="I164" s="74"/>
      <c r="J164" s="51"/>
      <c r="K164" s="43">
        <f ca="1">H164*K131</f>
        <v>0</v>
      </c>
      <c r="L164" s="90"/>
      <c r="M164" s="44"/>
      <c r="N164" s="82"/>
      <c r="O164" s="44"/>
      <c r="P164" s="44"/>
      <c r="Q164" s="44"/>
      <c r="R164" s="84"/>
      <c r="S164" s="47"/>
      <c r="T164" s="47"/>
    </row>
    <row r="165" s="27" customFormat="1" ht="18" customHeight="1" spans="1:20">
      <c r="A165" s="34"/>
      <c r="B165" s="48">
        <v>21</v>
      </c>
      <c r="C165" s="48"/>
      <c r="D165" s="88"/>
      <c r="E165" s="72"/>
      <c r="F165" s="77"/>
      <c r="G165" s="89"/>
      <c r="H165" s="74"/>
      <c r="I165" s="74"/>
      <c r="J165" s="51"/>
      <c r="K165" s="43">
        <f ca="1">H165*K131</f>
        <v>0</v>
      </c>
      <c r="L165" s="92"/>
      <c r="M165" s="44"/>
      <c r="N165" s="82"/>
      <c r="O165" s="44"/>
      <c r="P165" s="44"/>
      <c r="Q165" s="44"/>
      <c r="R165" s="84"/>
      <c r="S165" s="47"/>
      <c r="T165" s="47"/>
    </row>
    <row r="166" s="27" customFormat="1" ht="18" customHeight="1" spans="1:20">
      <c r="A166" s="34"/>
      <c r="B166" s="48">
        <v>22</v>
      </c>
      <c r="C166" s="48"/>
      <c r="D166" s="88"/>
      <c r="E166" s="72"/>
      <c r="F166" s="77"/>
      <c r="G166" s="89"/>
      <c r="H166" s="74"/>
      <c r="I166" s="74"/>
      <c r="J166" s="51"/>
      <c r="K166" s="43">
        <f ca="1">H166*K131</f>
        <v>0</v>
      </c>
      <c r="L166" s="92"/>
      <c r="M166" s="44"/>
      <c r="N166" s="44"/>
      <c r="O166" s="44"/>
      <c r="P166" s="44"/>
      <c r="Q166" s="44"/>
      <c r="R166" s="84"/>
      <c r="S166" s="47"/>
      <c r="T166" s="47"/>
    </row>
    <row r="167" s="27" customFormat="1" ht="18" customHeight="1" spans="1:20">
      <c r="A167" s="34"/>
      <c r="B167" s="48">
        <v>23</v>
      </c>
      <c r="C167" s="48"/>
      <c r="D167" s="88"/>
      <c r="E167" s="72"/>
      <c r="F167" s="77"/>
      <c r="G167" s="89"/>
      <c r="H167" s="74"/>
      <c r="I167" s="74"/>
      <c r="J167" s="51"/>
      <c r="K167" s="75">
        <f ca="1">H167*K131</f>
        <v>0</v>
      </c>
      <c r="L167" s="92"/>
      <c r="M167" s="44"/>
      <c r="N167" s="44"/>
      <c r="O167" s="44"/>
      <c r="P167" s="44"/>
      <c r="Q167" s="44"/>
      <c r="R167" s="84"/>
      <c r="S167" s="47"/>
      <c r="T167" s="47"/>
    </row>
    <row r="168" s="27" customFormat="1" ht="18" customHeight="1" spans="1:20">
      <c r="A168" s="34"/>
      <c r="B168" s="48">
        <v>24</v>
      </c>
      <c r="C168" s="48"/>
      <c r="D168" s="88"/>
      <c r="E168" s="72"/>
      <c r="F168" s="77"/>
      <c r="G168" s="89"/>
      <c r="H168" s="74"/>
      <c r="I168" s="74"/>
      <c r="J168" s="51"/>
      <c r="K168" s="75">
        <f ca="1">H168*K131</f>
        <v>0</v>
      </c>
      <c r="L168" s="92"/>
      <c r="M168" s="44"/>
      <c r="N168" s="44"/>
      <c r="O168" s="44"/>
      <c r="P168" s="44"/>
      <c r="Q168" s="44"/>
      <c r="R168" s="84"/>
      <c r="S168" s="47"/>
      <c r="T168" s="47"/>
    </row>
    <row r="169" s="27" customFormat="1" ht="18" customHeight="1" spans="1:20">
      <c r="A169" s="34"/>
      <c r="B169" s="48">
        <v>25</v>
      </c>
      <c r="C169" s="48"/>
      <c r="D169" s="88"/>
      <c r="E169" s="72"/>
      <c r="F169" s="77"/>
      <c r="G169" s="89"/>
      <c r="H169" s="74"/>
      <c r="I169" s="74"/>
      <c r="J169" s="51"/>
      <c r="K169" s="75"/>
      <c r="L169" s="92"/>
      <c r="M169" s="44"/>
      <c r="N169" s="44"/>
      <c r="O169" s="44"/>
      <c r="P169" s="44"/>
      <c r="Q169" s="44"/>
      <c r="R169" s="84"/>
      <c r="S169" s="47"/>
      <c r="T169" s="47"/>
    </row>
    <row r="170" s="27" customFormat="1" ht="18" customHeight="1" spans="1:20">
      <c r="A170" s="34"/>
      <c r="B170" s="48">
        <v>26</v>
      </c>
      <c r="C170" s="48"/>
      <c r="D170" s="88" t="s">
        <v>441</v>
      </c>
      <c r="E170" s="72" t="s">
        <v>43</v>
      </c>
      <c r="F170" s="77"/>
      <c r="G170" s="72">
        <v>1</v>
      </c>
      <c r="H170" s="74">
        <v>1</v>
      </c>
      <c r="I170" s="74">
        <f>+辅材及安装费!$E$17</f>
        <v>10</v>
      </c>
      <c r="J170" s="51">
        <f>H170*I170</f>
        <v>10</v>
      </c>
      <c r="K170" s="75"/>
      <c r="L170" s="92"/>
      <c r="M170" s="44"/>
      <c r="N170" s="44"/>
      <c r="O170" s="44"/>
      <c r="P170" s="44"/>
      <c r="Q170" s="44"/>
      <c r="R170" s="62"/>
      <c r="S170" s="47"/>
      <c r="T170" s="47"/>
    </row>
    <row r="171" s="27" customFormat="1" ht="18" customHeight="1" spans="1:20">
      <c r="A171" s="34"/>
      <c r="B171" s="48">
        <v>27</v>
      </c>
      <c r="C171" s="48"/>
      <c r="D171" s="93" t="s">
        <v>442</v>
      </c>
      <c r="E171" s="72"/>
      <c r="F171" s="77"/>
      <c r="G171" s="72"/>
      <c r="H171" s="74"/>
      <c r="I171" s="74"/>
      <c r="J171" s="51">
        <f>SUM(J145:J170)</f>
        <v>619.237628898597</v>
      </c>
      <c r="K171" s="75"/>
      <c r="L171" s="94"/>
      <c r="N171" s="83"/>
      <c r="O171" s="83"/>
      <c r="P171" s="83"/>
      <c r="Q171" s="83"/>
      <c r="R171" s="87"/>
      <c r="S171" s="47"/>
      <c r="T171" s="47"/>
    </row>
    <row r="172" s="27" customFormat="1" ht="18" customHeight="1" spans="1:20">
      <c r="A172" s="34"/>
      <c r="B172" s="48">
        <v>1</v>
      </c>
      <c r="C172" s="48" t="s">
        <v>443</v>
      </c>
      <c r="D172" s="48" t="s">
        <v>444</v>
      </c>
      <c r="E172" s="72" t="s">
        <v>43</v>
      </c>
      <c r="F172" s="50"/>
      <c r="G172" s="48"/>
      <c r="H172" s="51">
        <v>1</v>
      </c>
      <c r="I172" s="74">
        <f>+辅材及安装费!$F$17</f>
        <v>5</v>
      </c>
      <c r="J172" s="95">
        <f>H172*I172</f>
        <v>5</v>
      </c>
      <c r="K172" s="60"/>
      <c r="L172" s="96"/>
      <c r="M172" s="97"/>
      <c r="N172" s="98"/>
      <c r="O172" s="98"/>
      <c r="P172" s="98"/>
      <c r="Q172" s="98"/>
      <c r="R172" s="99"/>
      <c r="S172" s="47"/>
      <c r="T172" s="47"/>
    </row>
    <row r="173" s="26" customFormat="1" ht="30" customHeight="1" spans="1:20">
      <c r="A173" s="28"/>
      <c r="B173" s="29" t="s">
        <v>386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30"/>
      <c r="M173" s="31"/>
      <c r="N173" s="31"/>
      <c r="O173" s="31"/>
      <c r="P173" s="31"/>
      <c r="Q173" s="31"/>
      <c r="R173" s="32"/>
      <c r="S173" s="33"/>
      <c r="T173" s="33"/>
    </row>
    <row r="174" s="27" customFormat="1" ht="33.75" customHeight="1" spans="1:20">
      <c r="A174" s="34">
        <v>5</v>
      </c>
      <c r="B174" s="35" t="s">
        <v>1</v>
      </c>
      <c r="C174" s="35" t="s">
        <v>387</v>
      </c>
      <c r="D174" s="36" t="str">
        <f>+A182</f>
        <v>首层座槽式玻璃幕墙（12+1.9SGP+12㎜全超白钢化夹层玻璃）（弯弧）（弧长1414㎜，圆弧半径900㎜，高3600㎜）</v>
      </c>
      <c r="E174" s="37"/>
      <c r="F174" s="38" t="s">
        <v>225</v>
      </c>
      <c r="G174" s="39"/>
      <c r="H174" s="35" t="s">
        <v>388</v>
      </c>
      <c r="I174" s="40" t="s">
        <v>389</v>
      </c>
      <c r="J174" s="41" t="s">
        <v>37</v>
      </c>
      <c r="K174" s="42">
        <f ca="1">VLOOKUP(A174,'商业工程量清单 '!$A$4:$D$44,4,FALSE)</f>
        <v>20.3616</v>
      </c>
      <c r="L174" s="43"/>
      <c r="M174" s="44"/>
      <c r="N174" s="44"/>
      <c r="O174" s="44"/>
      <c r="P174" s="45"/>
      <c r="Q174" s="44"/>
      <c r="R174" s="46"/>
      <c r="S174" s="47"/>
      <c r="T174" s="47"/>
    </row>
    <row r="175" s="27" customFormat="1" ht="25" customHeight="1" spans="1:20">
      <c r="A175" s="34"/>
      <c r="B175" s="48">
        <v>1</v>
      </c>
      <c r="C175" s="49" t="s">
        <v>390</v>
      </c>
      <c r="D175" s="48" t="s">
        <v>391</v>
      </c>
      <c r="E175" s="48"/>
      <c r="F175" s="50"/>
      <c r="G175" s="48"/>
      <c r="H175" s="51"/>
      <c r="I175" s="52">
        <f>J187</f>
        <v>190</v>
      </c>
      <c r="J175" s="53" t="s">
        <v>392</v>
      </c>
      <c r="K175" s="54"/>
      <c r="L175" s="55" t="s">
        <v>1005</v>
      </c>
      <c r="M175" s="56"/>
      <c r="N175" s="57"/>
      <c r="O175" s="57">
        <f>1.414</f>
        <v>1.414</v>
      </c>
      <c r="P175" s="57">
        <v>3.6</v>
      </c>
      <c r="Q175" s="57">
        <v>1</v>
      </c>
      <c r="R175" s="58">
        <f>+Q175*P175*O175</f>
        <v>5.0904</v>
      </c>
      <c r="S175" s="47"/>
      <c r="T175" s="47"/>
    </row>
    <row r="176" s="27" customFormat="1" ht="18" customHeight="1" spans="1:20">
      <c r="A176" s="34"/>
      <c r="B176" s="48">
        <v>2</v>
      </c>
      <c r="C176" s="59"/>
      <c r="D176" s="48" t="s">
        <v>394</v>
      </c>
      <c r="E176" s="48"/>
      <c r="F176" s="50"/>
      <c r="G176" s="48"/>
      <c r="H176" s="51"/>
      <c r="I176" s="52">
        <f>J214</f>
        <v>1038.23391840549</v>
      </c>
      <c r="J176" s="53" t="s">
        <v>392</v>
      </c>
      <c r="K176" s="60"/>
      <c r="L176" s="61"/>
      <c r="M176" s="44"/>
      <c r="N176" s="44"/>
      <c r="O176" s="44"/>
      <c r="P176" s="44"/>
      <c r="Q176" s="44"/>
      <c r="R176" s="62"/>
      <c r="S176" s="47"/>
      <c r="T176" s="47"/>
    </row>
    <row r="177" s="27" customFormat="1" ht="18" customHeight="1" spans="1:21">
      <c r="A177" s="34"/>
      <c r="B177" s="48">
        <v>3</v>
      </c>
      <c r="C177" s="63"/>
      <c r="D177" s="48" t="s">
        <v>395</v>
      </c>
      <c r="E177" s="48"/>
      <c r="F177" s="50"/>
      <c r="G177" s="48"/>
      <c r="H177" s="51"/>
      <c r="I177" s="52">
        <f>J215</f>
        <v>5</v>
      </c>
      <c r="J177" s="53" t="s">
        <v>392</v>
      </c>
      <c r="K177" s="60"/>
      <c r="L177" s="60"/>
      <c r="M177" s="64" t="s">
        <v>396</v>
      </c>
      <c r="N177" s="65" t="s">
        <v>397</v>
      </c>
      <c r="O177" s="65" t="s">
        <v>398</v>
      </c>
      <c r="P177" s="65" t="s">
        <v>399</v>
      </c>
      <c r="Q177" s="65" t="s">
        <v>400</v>
      </c>
      <c r="R177" s="66" t="s">
        <v>401</v>
      </c>
      <c r="S177" s="47"/>
      <c r="T177" s="47"/>
    </row>
    <row r="178" s="27" customFormat="1" ht="18" customHeight="1" spans="1:21">
      <c r="A178" s="34"/>
      <c r="B178" s="48">
        <v>4</v>
      </c>
      <c r="C178" s="48" t="s">
        <v>402</v>
      </c>
      <c r="D178" s="67" t="s">
        <v>403</v>
      </c>
      <c r="E178" s="67"/>
      <c r="F178" s="50"/>
      <c r="G178" s="67"/>
      <c r="H178" s="68"/>
      <c r="I178" s="52">
        <f>SUM(I175:I177)</f>
        <v>1233.23391840549</v>
      </c>
      <c r="J178" s="53" t="s">
        <v>392</v>
      </c>
      <c r="K178" s="60"/>
      <c r="L178" s="69" t="s">
        <v>427</v>
      </c>
      <c r="M178" s="70" t="s">
        <v>1007</v>
      </c>
      <c r="N178" s="34">
        <v>3.111</v>
      </c>
      <c r="O178" s="34">
        <f>P175</f>
        <v>3.6</v>
      </c>
      <c r="P178" s="34">
        <v>1</v>
      </c>
      <c r="Q178" s="44">
        <f t="shared" ref="Q178:Q186" si="28">+P178*O178*N178</f>
        <v>11.1996</v>
      </c>
      <c r="R178" s="71">
        <f>+Q178/R175</f>
        <v>2.2001414427157</v>
      </c>
      <c r="S178" s="47"/>
      <c r="T178" s="47"/>
    </row>
    <row r="179" s="27" customFormat="1" ht="28" customHeight="1" spans="1:21">
      <c r="A179" s="34"/>
      <c r="B179" s="48">
        <v>5</v>
      </c>
      <c r="C179" s="72" t="s">
        <v>406</v>
      </c>
      <c r="D179" s="48" t="s">
        <v>407</v>
      </c>
      <c r="E179" s="48"/>
      <c r="F179" s="50"/>
      <c r="G179" s="48"/>
      <c r="H179" s="73">
        <f>+'材料表 '!$E$178</f>
        <v>0</v>
      </c>
      <c r="I179" s="52">
        <f>H179*I178</f>
        <v>0</v>
      </c>
      <c r="J179" s="53" t="s">
        <v>392</v>
      </c>
      <c r="K179" s="60"/>
      <c r="L179" s="69" t="s">
        <v>433</v>
      </c>
      <c r="M179" s="70" t="s">
        <v>1008</v>
      </c>
      <c r="N179" s="34">
        <v>0.507</v>
      </c>
      <c r="O179" s="34">
        <f>O178*2</f>
        <v>7.2</v>
      </c>
      <c r="P179" s="34">
        <f>P178</f>
        <v>1</v>
      </c>
      <c r="Q179" s="44">
        <f t="shared" si="28"/>
        <v>3.6504</v>
      </c>
      <c r="R179" s="71">
        <f>+Q179/R175</f>
        <v>0.717114568599717</v>
      </c>
      <c r="S179" s="47"/>
      <c r="T179" s="47"/>
    </row>
    <row r="180" s="27" customFormat="1" ht="18" customHeight="1" spans="1:21">
      <c r="A180" s="34"/>
      <c r="B180" s="48">
        <v>6</v>
      </c>
      <c r="C180" s="48" t="s">
        <v>409</v>
      </c>
      <c r="D180" s="48" t="s">
        <v>410</v>
      </c>
      <c r="E180" s="48"/>
      <c r="F180" s="50"/>
      <c r="G180" s="48"/>
      <c r="H180" s="73">
        <f>+'材料表 '!$E$179</f>
        <v>0</v>
      </c>
      <c r="I180" s="52">
        <f>H180*I178</f>
        <v>0</v>
      </c>
      <c r="J180" s="74" t="s">
        <v>392</v>
      </c>
      <c r="K180" s="75"/>
      <c r="L180" s="69" t="s">
        <v>429</v>
      </c>
      <c r="M180" s="70" t="s">
        <v>1009</v>
      </c>
      <c r="N180" s="34">
        <v>0.499</v>
      </c>
      <c r="O180" s="34">
        <f>P175/0.3*0.05</f>
        <v>0.6</v>
      </c>
      <c r="P180" s="34">
        <f>P178</f>
        <v>1</v>
      </c>
      <c r="Q180" s="44">
        <f t="shared" si="28"/>
        <v>0.2994</v>
      </c>
      <c r="R180" s="71">
        <f>+Q180/R175</f>
        <v>0.0588165959453088</v>
      </c>
      <c r="S180" s="47"/>
      <c r="T180" s="47"/>
      <c r="U180" s="76"/>
    </row>
    <row r="181" s="27" customFormat="1" ht="18" customHeight="1" spans="1:21">
      <c r="A181" s="34"/>
      <c r="B181" s="48">
        <v>7</v>
      </c>
      <c r="C181" s="48" t="s">
        <v>412</v>
      </c>
      <c r="D181" s="72" t="s">
        <v>413</v>
      </c>
      <c r="E181" s="72"/>
      <c r="F181" s="77"/>
      <c r="G181" s="72"/>
      <c r="H181" s="73">
        <f>+'材料表 '!$E$180</f>
        <v>0.09</v>
      </c>
      <c r="I181" s="52">
        <f>(I178+I179+I180)*H181</f>
        <v>110.991052656494</v>
      </c>
      <c r="J181" s="74" t="s">
        <v>392</v>
      </c>
      <c r="K181" s="75"/>
      <c r="L181" s="69" t="s">
        <v>429</v>
      </c>
      <c r="M181" s="70" t="s">
        <v>1010</v>
      </c>
      <c r="N181" s="34">
        <f>2.9</f>
        <v>2.9</v>
      </c>
      <c r="O181" s="34">
        <v>0.2</v>
      </c>
      <c r="P181" s="34">
        <f>P178</f>
        <v>1</v>
      </c>
      <c r="Q181" s="44">
        <f t="shared" si="28"/>
        <v>0.58</v>
      </c>
      <c r="R181" s="71">
        <f>+Q181/R175</f>
        <v>0.113939965425114</v>
      </c>
      <c r="S181" s="47"/>
      <c r="T181" s="47"/>
    </row>
    <row r="182" s="27" customFormat="1" ht="18" customHeight="1" spans="1:21">
      <c r="A182" s="78" t="s">
        <v>1017</v>
      </c>
      <c r="B182" s="48">
        <v>8</v>
      </c>
      <c r="C182" s="48" t="s">
        <v>363</v>
      </c>
      <c r="D182" s="72" t="s">
        <v>415</v>
      </c>
      <c r="E182" s="72"/>
      <c r="F182" s="77"/>
      <c r="G182" s="72"/>
      <c r="H182" s="51"/>
      <c r="I182" s="74">
        <f>SUM(I178:I181)</f>
        <v>1344.22497106199</v>
      </c>
      <c r="J182" s="74" t="s">
        <v>416</v>
      </c>
      <c r="K182" s="75"/>
      <c r="L182" s="69" t="s">
        <v>429</v>
      </c>
      <c r="M182" s="70"/>
      <c r="N182" s="34"/>
      <c r="O182" s="34"/>
      <c r="P182" s="34">
        <v>1</v>
      </c>
      <c r="Q182" s="44">
        <f t="shared" si="28"/>
        <v>0</v>
      </c>
      <c r="R182" s="71">
        <f>+Q182/R175</f>
        <v>0</v>
      </c>
      <c r="S182" s="79"/>
      <c r="T182" s="47"/>
    </row>
    <row r="183" s="27" customFormat="1" ht="18" customHeight="1" spans="1:21">
      <c r="A183" s="34"/>
      <c r="B183" s="48" t="s">
        <v>418</v>
      </c>
      <c r="C183" s="48"/>
      <c r="D183" s="48"/>
      <c r="E183" s="48"/>
      <c r="F183" s="48"/>
      <c r="G183" s="48"/>
      <c r="H183" s="48"/>
      <c r="I183" s="48"/>
      <c r="J183" s="48"/>
      <c r="K183" s="80"/>
      <c r="L183" s="69" t="s">
        <v>447</v>
      </c>
      <c r="M183" s="70"/>
      <c r="N183" s="34"/>
      <c r="O183" s="34"/>
      <c r="P183" s="34">
        <v>1</v>
      </c>
      <c r="Q183" s="44">
        <f t="shared" si="28"/>
        <v>0</v>
      </c>
      <c r="R183" s="71">
        <f>+Q183/R175</f>
        <v>0</v>
      </c>
      <c r="S183" s="47"/>
      <c r="T183" s="47"/>
      <c r="U183" s="76"/>
    </row>
    <row r="184" s="27" customFormat="1" ht="18" customHeight="1" spans="1:21">
      <c r="A184" s="34"/>
      <c r="B184" s="48">
        <v>1</v>
      </c>
      <c r="C184" s="48" t="s">
        <v>391</v>
      </c>
      <c r="D184" s="48" t="s">
        <v>396</v>
      </c>
      <c r="E184" s="48" t="s">
        <v>37</v>
      </c>
      <c r="F184" s="50"/>
      <c r="G184" s="48"/>
      <c r="H184" s="51" t="s">
        <v>399</v>
      </c>
      <c r="I184" s="51" t="s">
        <v>420</v>
      </c>
      <c r="J184" s="51" t="s">
        <v>421</v>
      </c>
      <c r="K184" s="43"/>
      <c r="L184" s="69" t="s">
        <v>404</v>
      </c>
      <c r="M184" s="81"/>
      <c r="N184" s="82"/>
      <c r="O184" s="34"/>
      <c r="P184" s="34">
        <v>1</v>
      </c>
      <c r="Q184" s="44">
        <f t="shared" si="28"/>
        <v>0</v>
      </c>
      <c r="R184" s="71">
        <f>+Q184/R175</f>
        <v>0</v>
      </c>
      <c r="S184" s="47"/>
      <c r="T184" s="47"/>
    </row>
    <row r="185" s="27" customFormat="1" ht="18" customHeight="1" spans="1:21">
      <c r="A185" s="34"/>
      <c r="B185" s="48">
        <v>2</v>
      </c>
      <c r="C185" s="48"/>
      <c r="D185" s="48" t="s">
        <v>965</v>
      </c>
      <c r="E185" s="72" t="s">
        <v>423</v>
      </c>
      <c r="F185" s="50"/>
      <c r="G185" s="48"/>
      <c r="H185" s="51">
        <v>1</v>
      </c>
      <c r="I185" s="51">
        <f>+辅材及安装费!$G$17</f>
        <v>190</v>
      </c>
      <c r="J185" s="51">
        <f t="shared" ref="J185:J193" si="29">H185*I185</f>
        <v>190</v>
      </c>
      <c r="K185" s="43"/>
      <c r="L185" s="69" t="s">
        <v>427</v>
      </c>
      <c r="M185" s="70"/>
      <c r="N185" s="83"/>
      <c r="O185" s="34"/>
      <c r="P185" s="34">
        <v>1</v>
      </c>
      <c r="Q185" s="44">
        <f t="shared" si="28"/>
        <v>0</v>
      </c>
      <c r="R185" s="84">
        <f>+Q185/R175</f>
        <v>0</v>
      </c>
      <c r="S185" s="47"/>
      <c r="T185" s="47"/>
    </row>
    <row r="186" s="27" customFormat="1" ht="18" customHeight="1" spans="1:21">
      <c r="A186" s="34"/>
      <c r="B186" s="48">
        <v>3</v>
      </c>
      <c r="C186" s="48"/>
      <c r="D186" s="48"/>
      <c r="E186" s="72"/>
      <c r="F186" s="50"/>
      <c r="G186" s="48"/>
      <c r="H186" s="51"/>
      <c r="I186" s="51"/>
      <c r="J186" s="51"/>
      <c r="K186" s="43"/>
      <c r="L186" s="69"/>
      <c r="M186" s="81"/>
      <c r="N186" s="82"/>
      <c r="O186" s="44"/>
      <c r="P186" s="34">
        <v>1</v>
      </c>
      <c r="Q186" s="44">
        <f t="shared" si="28"/>
        <v>0</v>
      </c>
      <c r="R186" s="84">
        <f>+Q186/R175</f>
        <v>0</v>
      </c>
      <c r="S186" s="47"/>
      <c r="T186" s="47"/>
    </row>
    <row r="187" s="27" customFormat="1" ht="18" customHeight="1" spans="1:21">
      <c r="A187" s="34"/>
      <c r="B187" s="48">
        <v>4</v>
      </c>
      <c r="C187" s="48"/>
      <c r="D187" s="85" t="s">
        <v>426</v>
      </c>
      <c r="E187" s="48" t="s">
        <v>392</v>
      </c>
      <c r="F187" s="50"/>
      <c r="G187" s="48"/>
      <c r="H187" s="86"/>
      <c r="I187" s="86"/>
      <c r="J187" s="51">
        <f>SUM(J185:J185)</f>
        <v>190</v>
      </c>
      <c r="K187" s="75"/>
      <c r="L187" s="69"/>
      <c r="M187" s="70"/>
      <c r="N187" s="83"/>
      <c r="O187" s="83"/>
      <c r="P187" s="34">
        <v>1</v>
      </c>
      <c r="Q187" s="83"/>
      <c r="R187" s="87"/>
      <c r="S187" s="47"/>
      <c r="T187" s="47"/>
    </row>
    <row r="188" s="27" customFormat="1" ht="23" customHeight="1" spans="1:21">
      <c r="A188" s="34"/>
      <c r="B188" s="48">
        <v>1</v>
      </c>
      <c r="C188" s="48" t="s">
        <v>394</v>
      </c>
      <c r="D188" s="88" t="s">
        <v>427</v>
      </c>
      <c r="E188" s="72" t="str">
        <f>+VLOOKUP(D188,'材料表 '!C:F,2,0)</f>
        <v>kg</v>
      </c>
      <c r="F188" s="77">
        <f>+SUMIF($L$175:$L$215,D188,$R$175:$R$215)</f>
        <v>2.2001414427157</v>
      </c>
      <c r="G188" s="89">
        <f>+VLOOKUP(D188,'材料表 '!C:F,4,0)</f>
        <v>0.03</v>
      </c>
      <c r="H188" s="74">
        <f t="shared" ref="H188:H193" si="30">F188*(G188+1)</f>
        <v>2.26614568599717</v>
      </c>
      <c r="I188" s="74">
        <f>+VLOOKUP(D188,'材料表 '!C:F,3,0)</f>
        <v>25.8495575221239</v>
      </c>
      <c r="J188" s="51">
        <f t="shared" si="29"/>
        <v>58.5788632636968</v>
      </c>
      <c r="K188" s="75">
        <f ca="1">H188*K174</f>
        <v>46.142352</v>
      </c>
      <c r="L188" s="69"/>
      <c r="M188" s="70"/>
      <c r="N188" s="83"/>
      <c r="O188" s="83"/>
      <c r="P188" s="34">
        <v>1</v>
      </c>
      <c r="Q188" s="83"/>
      <c r="R188" s="87"/>
      <c r="S188" s="47"/>
      <c r="T188" s="47"/>
    </row>
    <row r="189" s="27" customFormat="1" ht="18" customHeight="1" spans="1:21">
      <c r="A189" s="34"/>
      <c r="B189" s="48">
        <v>2</v>
      </c>
      <c r="C189" s="48"/>
      <c r="D189" s="88" t="s">
        <v>404</v>
      </c>
      <c r="E189" s="72" t="str">
        <f>+VLOOKUP(D189,'材料表 '!C:F,2,0)</f>
        <v>kg</v>
      </c>
      <c r="F189" s="77">
        <f t="shared" ref="F189:F201" si="31">+SUMIF($L$175:$L$215,D189,$R$175:$R$215)</f>
        <v>0</v>
      </c>
      <c r="G189" s="89">
        <f>+VLOOKUP(D189,'材料表 '!C:F,4,0)</f>
        <v>0.03</v>
      </c>
      <c r="H189" s="74">
        <f t="shared" si="30"/>
        <v>0</v>
      </c>
      <c r="I189" s="74">
        <f>+VLOOKUP(D189,'材料表 '!C:F,3,0)</f>
        <v>25.6725663716814</v>
      </c>
      <c r="J189" s="51">
        <f t="shared" si="29"/>
        <v>0</v>
      </c>
      <c r="K189" s="75">
        <f ca="1">H189*K174</f>
        <v>0</v>
      </c>
      <c r="L189" s="69"/>
      <c r="M189" s="70"/>
      <c r="N189" s="83"/>
      <c r="O189" s="83"/>
      <c r="P189" s="83"/>
      <c r="Q189" s="83"/>
      <c r="R189" s="87"/>
      <c r="S189" s="47"/>
      <c r="T189" s="47"/>
    </row>
    <row r="190" s="27" customFormat="1" ht="18" customHeight="1" spans="1:21">
      <c r="A190" s="34"/>
      <c r="B190" s="48">
        <v>3</v>
      </c>
      <c r="C190" s="48"/>
      <c r="D190" s="88" t="s">
        <v>433</v>
      </c>
      <c r="E190" s="72" t="str">
        <f>+VLOOKUP(D190,'材料表 '!C:F,2,0)</f>
        <v>kg</v>
      </c>
      <c r="F190" s="77">
        <f t="shared" si="31"/>
        <v>0.717114568599717</v>
      </c>
      <c r="G190" s="89">
        <f>+VLOOKUP(D190,'材料表 '!C:F,4,0)</f>
        <v>0.03</v>
      </c>
      <c r="H190" s="74">
        <f t="shared" si="30"/>
        <v>0.738628005657709</v>
      </c>
      <c r="I190" s="74">
        <f>+VLOOKUP(D190,'材料表 '!C:F,3,0)</f>
        <v>26.1150442477876</v>
      </c>
      <c r="J190" s="51">
        <f t="shared" si="29"/>
        <v>19.2893030504062</v>
      </c>
      <c r="K190" s="75">
        <f ca="1">H190*K174</f>
        <v>15.039648</v>
      </c>
      <c r="L190" s="69"/>
      <c r="N190" s="83"/>
      <c r="O190" s="83"/>
      <c r="P190" s="83"/>
      <c r="Q190" s="83"/>
      <c r="R190" s="87"/>
      <c r="S190" s="47"/>
      <c r="T190" s="47"/>
    </row>
    <row r="191" s="27" customFormat="1" ht="18" customHeight="1" spans="1:21">
      <c r="A191" s="34"/>
      <c r="B191" s="48">
        <v>4</v>
      </c>
      <c r="C191" s="48"/>
      <c r="D191" s="88" t="s">
        <v>429</v>
      </c>
      <c r="E191" s="72" t="str">
        <f>+VLOOKUP(D191,'材料表 '!C:F,2,0)</f>
        <v>kg</v>
      </c>
      <c r="F191" s="77">
        <f t="shared" si="31"/>
        <v>0.172756561370423</v>
      </c>
      <c r="G191" s="89">
        <f>+VLOOKUP(D191,'材料表 '!C:F,4,0)</f>
        <v>0.03</v>
      </c>
      <c r="H191" s="74">
        <f t="shared" si="30"/>
        <v>0.177939258211536</v>
      </c>
      <c r="I191" s="74">
        <f>+VLOOKUP(D191,'材料表 '!C:F,3,0)</f>
        <v>26.1150442477876</v>
      </c>
      <c r="J191" s="51">
        <f t="shared" si="29"/>
        <v>4.64689160161276</v>
      </c>
      <c r="K191" s="75">
        <f ca="1">H191*K174</f>
        <v>3.62312800000001</v>
      </c>
      <c r="L191" s="90" t="s">
        <v>428</v>
      </c>
      <c r="M191" s="44"/>
      <c r="N191" s="82"/>
      <c r="O191" s="44">
        <f>(O178*P178)</f>
        <v>3.6</v>
      </c>
      <c r="P191" s="44">
        <v>1</v>
      </c>
      <c r="Q191" s="44">
        <f>+P191*O191</f>
        <v>3.6</v>
      </c>
      <c r="R191" s="84">
        <f>+Q191/R175</f>
        <v>0.707213578500707</v>
      </c>
      <c r="S191" s="47"/>
      <c r="T191" s="47"/>
    </row>
    <row r="192" s="27" customFormat="1" ht="18" customHeight="1" spans="1:21">
      <c r="A192" s="34"/>
      <c r="B192" s="48">
        <v>5</v>
      </c>
      <c r="C192" s="48"/>
      <c r="D192" s="88" t="s">
        <v>447</v>
      </c>
      <c r="E192" s="72" t="str">
        <f>+VLOOKUP(D192,'材料表 '!C:F,2,0)</f>
        <v>kg</v>
      </c>
      <c r="F192" s="77">
        <f t="shared" si="31"/>
        <v>0</v>
      </c>
      <c r="G192" s="89">
        <f>+VLOOKUP(D192,'材料表 '!C:F,4,0)</f>
        <v>0.03</v>
      </c>
      <c r="H192" s="74">
        <f t="shared" si="30"/>
        <v>0</v>
      </c>
      <c r="I192" s="74">
        <f>+VLOOKUP(D192,'材料表 '!C:F,3,0)</f>
        <v>24.4336283185841</v>
      </c>
      <c r="J192" s="51">
        <f t="shared" si="29"/>
        <v>0</v>
      </c>
      <c r="K192" s="43">
        <f ca="1">H192*K174</f>
        <v>0</v>
      </c>
      <c r="L192" s="90"/>
      <c r="M192" s="44"/>
      <c r="N192" s="82"/>
      <c r="O192" s="44"/>
      <c r="P192" s="44"/>
      <c r="Q192" s="44"/>
      <c r="R192" s="84"/>
      <c r="S192" s="47"/>
      <c r="T192" s="47"/>
    </row>
    <row r="193" s="27" customFormat="1" ht="18" customHeight="1" spans="1:20">
      <c r="A193" s="34"/>
      <c r="B193" s="48">
        <v>6</v>
      </c>
      <c r="C193" s="48"/>
      <c r="D193" s="88" t="s">
        <v>434</v>
      </c>
      <c r="E193" s="72" t="str">
        <f>+VLOOKUP(D193,'材料表 '!C:F,2,0)</f>
        <v>m2</v>
      </c>
      <c r="F193" s="77">
        <f t="shared" si="31"/>
        <v>0</v>
      </c>
      <c r="G193" s="89">
        <f>+VLOOKUP(D193,'材料表 '!C:F,4,0)</f>
        <v>0</v>
      </c>
      <c r="H193" s="74">
        <f t="shared" si="30"/>
        <v>0</v>
      </c>
      <c r="I193" s="74">
        <f>+VLOOKUP(D193,'材料表 '!C:F,3,0)</f>
        <v>49.5575221238938</v>
      </c>
      <c r="J193" s="51">
        <f t="shared" si="29"/>
        <v>0</v>
      </c>
      <c r="K193" s="43">
        <f ca="1">H193*K174</f>
        <v>0</v>
      </c>
      <c r="L193" s="90" t="s">
        <v>463</v>
      </c>
      <c r="M193" s="91" t="s">
        <v>1012</v>
      </c>
      <c r="N193" s="82">
        <f>0.32*0.3*8*7.85</f>
        <v>6.0288</v>
      </c>
      <c r="O193" s="44">
        <v>1</v>
      </c>
      <c r="P193" s="44">
        <f>P178</f>
        <v>1</v>
      </c>
      <c r="Q193" s="44">
        <f t="shared" ref="Q193:Q197" si="32">+P193*O193*N193</f>
        <v>6.0288</v>
      </c>
      <c r="R193" s="84">
        <f>+Q193/R175</f>
        <v>1.18434700612918</v>
      </c>
      <c r="S193" s="47"/>
      <c r="T193" s="47"/>
    </row>
    <row r="194" s="27" customFormat="1" ht="18" customHeight="1" spans="1:20">
      <c r="A194" s="34"/>
      <c r="B194" s="48">
        <v>7</v>
      </c>
      <c r="C194" s="48"/>
      <c r="D194" s="88"/>
      <c r="E194" s="72"/>
      <c r="F194" s="77">
        <f t="shared" si="31"/>
        <v>0</v>
      </c>
      <c r="G194" s="89"/>
      <c r="H194" s="74"/>
      <c r="I194" s="74"/>
      <c r="J194" s="51"/>
      <c r="K194" s="43">
        <f ca="1">H194*K174</f>
        <v>0</v>
      </c>
      <c r="L194" s="69" t="s">
        <v>465</v>
      </c>
      <c r="M194" s="81" t="s">
        <v>1013</v>
      </c>
      <c r="N194" s="34">
        <v>9.88</v>
      </c>
      <c r="O194" s="34">
        <f>0.13</f>
        <v>0.13</v>
      </c>
      <c r="P194" s="34">
        <f>2*P193</f>
        <v>2</v>
      </c>
      <c r="Q194" s="44">
        <f t="shared" si="32"/>
        <v>2.5688</v>
      </c>
      <c r="R194" s="84">
        <f>Q194/R175</f>
        <v>0.504636177903505</v>
      </c>
      <c r="S194" s="47"/>
      <c r="T194" s="47"/>
    </row>
    <row r="195" s="27" customFormat="1" ht="18" customHeight="1" spans="1:20">
      <c r="A195" s="34"/>
      <c r="B195" s="48">
        <v>8</v>
      </c>
      <c r="C195" s="48"/>
      <c r="D195" s="88" t="s">
        <v>431</v>
      </c>
      <c r="E195" s="72" t="str">
        <f>+VLOOKUP(D195,'材料表 '!C:F,2,0)</f>
        <v>kg</v>
      </c>
      <c r="F195" s="77">
        <f t="shared" si="31"/>
        <v>0</v>
      </c>
      <c r="G195" s="89">
        <f>+VLOOKUP(D195,'材料表 '!C:F,4,0)</f>
        <v>0.03</v>
      </c>
      <c r="H195" s="74">
        <f t="shared" ref="H195:H204" si="33">F195*(G195+1)</f>
        <v>0</v>
      </c>
      <c r="I195" s="74">
        <f>+VLOOKUP(D195,'材料表 '!C:F,3,0)</f>
        <v>3.80530973451327</v>
      </c>
      <c r="J195" s="51">
        <f t="shared" ref="J195:J204" si="34">H195*I195</f>
        <v>0</v>
      </c>
      <c r="K195" s="43">
        <f ca="1">H195*K174</f>
        <v>0</v>
      </c>
      <c r="L195" s="90" t="s">
        <v>474</v>
      </c>
      <c r="M195" s="44"/>
      <c r="N195" s="82"/>
      <c r="O195" s="44">
        <v>6</v>
      </c>
      <c r="P195" s="44">
        <f>O193*P193</f>
        <v>1</v>
      </c>
      <c r="Q195" s="44">
        <f>O195*P195</f>
        <v>6</v>
      </c>
      <c r="R195" s="84">
        <f>Q195/R175</f>
        <v>1.17868929750118</v>
      </c>
      <c r="S195" s="47"/>
      <c r="T195" s="47"/>
    </row>
    <row r="196" s="27" customFormat="1" ht="18" customHeight="1" spans="1:20">
      <c r="A196" s="34"/>
      <c r="B196" s="48">
        <v>9</v>
      </c>
      <c r="C196" s="48"/>
      <c r="D196" s="88" t="s">
        <v>461</v>
      </c>
      <c r="E196" s="72" t="str">
        <f>+VLOOKUP(D196,'材料表 '!C:F,2,0)</f>
        <v>kg</v>
      </c>
      <c r="F196" s="77">
        <f t="shared" si="31"/>
        <v>0</v>
      </c>
      <c r="G196" s="89">
        <f>+VLOOKUP(D196,'材料表 '!C:F,4,0)</f>
        <v>0.03</v>
      </c>
      <c r="H196" s="74">
        <f t="shared" si="33"/>
        <v>0</v>
      </c>
      <c r="I196" s="74">
        <f>+VLOOKUP(D196,'材料表 '!C:F,3,0)</f>
        <v>3.53982300884956</v>
      </c>
      <c r="J196" s="51">
        <f t="shared" si="34"/>
        <v>0</v>
      </c>
      <c r="K196" s="43">
        <f ca="1">H196*K174</f>
        <v>0</v>
      </c>
      <c r="L196" s="90" t="s">
        <v>472</v>
      </c>
      <c r="M196" s="91"/>
      <c r="N196" s="82"/>
      <c r="O196" s="44">
        <v>2</v>
      </c>
      <c r="P196" s="44">
        <f>P178</f>
        <v>1</v>
      </c>
      <c r="Q196" s="44">
        <f>O196*P196</f>
        <v>2</v>
      </c>
      <c r="R196" s="84">
        <f>Q196/R175</f>
        <v>0.392896432500393</v>
      </c>
      <c r="S196" s="47"/>
      <c r="T196" s="47"/>
    </row>
    <row r="197" s="27" customFormat="1" ht="18" customHeight="1" spans="1:20">
      <c r="A197" s="34"/>
      <c r="B197" s="48">
        <v>10</v>
      </c>
      <c r="C197" s="48"/>
      <c r="D197" s="88" t="s">
        <v>435</v>
      </c>
      <c r="E197" s="72" t="str">
        <f>+VLOOKUP(D197,'材料表 '!C:F,2,0)</f>
        <v>kg</v>
      </c>
      <c r="F197" s="77">
        <f t="shared" si="31"/>
        <v>0</v>
      </c>
      <c r="G197" s="89">
        <f>+VLOOKUP(D197,'材料表 '!C:F,4,0)</f>
        <v>0.03</v>
      </c>
      <c r="H197" s="74">
        <f t="shared" si="33"/>
        <v>0</v>
      </c>
      <c r="I197" s="74">
        <f>+VLOOKUP(D197,'材料表 '!C:F,3,0)</f>
        <v>19.4690265486726</v>
      </c>
      <c r="J197" s="51">
        <f t="shared" si="34"/>
        <v>0</v>
      </c>
      <c r="K197" s="43">
        <f ca="1">H197*K174</f>
        <v>0</v>
      </c>
      <c r="L197" s="69" t="s">
        <v>465</v>
      </c>
      <c r="M197" s="91"/>
      <c r="N197" s="82">
        <f>(0.058+0.04*2)*5*7.85</f>
        <v>5.4165</v>
      </c>
      <c r="O197" s="44">
        <f>O175</f>
        <v>1.414</v>
      </c>
      <c r="P197" s="44">
        <v>1</v>
      </c>
      <c r="Q197" s="44">
        <f t="shared" si="32"/>
        <v>7.658931</v>
      </c>
      <c r="R197" s="84">
        <f>+Q197/R175</f>
        <v>1.50458333333333</v>
      </c>
      <c r="S197" s="47"/>
      <c r="T197" s="47"/>
    </row>
    <row r="198" s="27" customFormat="1" ht="18" customHeight="1" spans="1:20">
      <c r="A198" s="34"/>
      <c r="B198" s="48">
        <v>11</v>
      </c>
      <c r="C198" s="48"/>
      <c r="D198" s="88" t="s">
        <v>463</v>
      </c>
      <c r="E198" s="72" t="str">
        <f>+VLOOKUP(D198,'材料表 '!C:F,2,0)</f>
        <v>kg</v>
      </c>
      <c r="F198" s="77">
        <f t="shared" si="31"/>
        <v>1.18434700612918</v>
      </c>
      <c r="G198" s="89">
        <f>+VLOOKUP(D198,'材料表 '!C:F,4,0)</f>
        <v>0.03</v>
      </c>
      <c r="H198" s="74">
        <f t="shared" si="33"/>
        <v>1.21987741631306</v>
      </c>
      <c r="I198" s="74">
        <f>+VLOOKUP(D198,'材料表 '!C:F,3,0)</f>
        <v>6.01769911504425</v>
      </c>
      <c r="J198" s="51">
        <f t="shared" si="34"/>
        <v>7.34085524860954</v>
      </c>
      <c r="K198" s="43">
        <f ca="1">H198*K174</f>
        <v>24.838656</v>
      </c>
      <c r="L198" s="69" t="s">
        <v>461</v>
      </c>
      <c r="N198" s="83"/>
      <c r="O198" s="83"/>
      <c r="P198" s="83"/>
      <c r="Q198" s="83"/>
      <c r="R198" s="84"/>
      <c r="S198" s="47"/>
      <c r="T198" s="47"/>
    </row>
    <row r="199" s="27" customFormat="1" ht="18" customHeight="1" spans="1:20">
      <c r="A199" s="34"/>
      <c r="B199" s="48">
        <v>12</v>
      </c>
      <c r="C199" s="48"/>
      <c r="D199" s="88" t="s">
        <v>465</v>
      </c>
      <c r="E199" s="72" t="str">
        <f>+VLOOKUP(D199,'材料表 '!C:F,2,0)</f>
        <v>kg</v>
      </c>
      <c r="F199" s="77">
        <f t="shared" si="31"/>
        <v>2.00921951123683</v>
      </c>
      <c r="G199" s="89">
        <f>+VLOOKUP(D199,'材料表 '!C:F,4,0)</f>
        <v>0.03</v>
      </c>
      <c r="H199" s="74">
        <f t="shared" si="33"/>
        <v>2.06949609657393</v>
      </c>
      <c r="I199" s="74">
        <f>+VLOOKUP(D199,'材料表 '!C:F,3,0)</f>
        <v>6.01769911504425</v>
      </c>
      <c r="J199" s="51">
        <f t="shared" si="34"/>
        <v>12.4536048289405</v>
      </c>
      <c r="K199" s="43">
        <f ca="1">H199*K174</f>
        <v>42.1382517199997</v>
      </c>
      <c r="L199" s="90"/>
      <c r="M199" s="44"/>
      <c r="N199" s="82"/>
      <c r="O199" s="44"/>
      <c r="P199" s="44"/>
      <c r="Q199" s="44"/>
      <c r="R199" s="84"/>
      <c r="S199" s="47"/>
      <c r="T199" s="47"/>
    </row>
    <row r="200" s="27" customFormat="1" ht="18" customHeight="1" spans="1:20">
      <c r="A200" s="34"/>
      <c r="B200" s="48">
        <v>13</v>
      </c>
      <c r="C200" s="48"/>
      <c r="D200" s="88" t="s">
        <v>474</v>
      </c>
      <c r="E200" s="72" t="str">
        <f>+VLOOKUP(D200,'材料表 '!C:F,2,0)</f>
        <v>套</v>
      </c>
      <c r="F200" s="77">
        <f t="shared" si="31"/>
        <v>1.17868929750118</v>
      </c>
      <c r="G200" s="89">
        <f>+VLOOKUP(D200,'材料表 '!C:F,4,0)</f>
        <v>0</v>
      </c>
      <c r="H200" s="74">
        <f t="shared" si="33"/>
        <v>1.17868929750118</v>
      </c>
      <c r="I200" s="74">
        <f>+VLOOKUP(D200,'材料表 '!C:F,3,0)</f>
        <v>2.21238938053097</v>
      </c>
      <c r="J200" s="51">
        <f t="shared" si="34"/>
        <v>2.60771968473712</v>
      </c>
      <c r="K200" s="43">
        <f ca="1">H200*K174</f>
        <v>24</v>
      </c>
      <c r="L200" s="90"/>
      <c r="M200" s="44"/>
      <c r="N200" s="82"/>
      <c r="O200" s="44"/>
      <c r="P200" s="44"/>
      <c r="Q200" s="44"/>
      <c r="R200" s="84"/>
      <c r="S200" s="47"/>
      <c r="T200" s="47"/>
    </row>
    <row r="201" s="27" customFormat="1" ht="18" customHeight="1" spans="1:20">
      <c r="A201" s="34"/>
      <c r="B201" s="48">
        <v>14</v>
      </c>
      <c r="C201" s="48"/>
      <c r="D201" s="88" t="s">
        <v>472</v>
      </c>
      <c r="E201" s="72" t="str">
        <f>+VLOOKUP(D201,'材料表 '!C:F,2,0)</f>
        <v>套</v>
      </c>
      <c r="F201" s="77">
        <f t="shared" si="31"/>
        <v>0.392896432500393</v>
      </c>
      <c r="G201" s="89">
        <f>+VLOOKUP(D201,'材料表 '!C:F,4,0)</f>
        <v>0</v>
      </c>
      <c r="H201" s="74">
        <f t="shared" si="33"/>
        <v>0.392896432500393</v>
      </c>
      <c r="I201" s="74">
        <f>+VLOOKUP(D201,'材料表 '!C:F,3,0)</f>
        <v>2.47787610619469</v>
      </c>
      <c r="J201" s="51">
        <f t="shared" si="34"/>
        <v>0.973548682301859</v>
      </c>
      <c r="K201" s="43">
        <f ca="1">H201*K174</f>
        <v>8</v>
      </c>
      <c r="L201" s="90"/>
      <c r="M201" s="44"/>
      <c r="N201" s="82"/>
      <c r="O201" s="44"/>
      <c r="P201" s="44"/>
      <c r="Q201" s="44"/>
      <c r="R201" s="84"/>
      <c r="S201" s="47"/>
      <c r="T201" s="47"/>
    </row>
    <row r="202" s="27" customFormat="1" ht="18" customHeight="1" spans="1:20">
      <c r="A202" s="34"/>
      <c r="B202" s="48">
        <v>15</v>
      </c>
      <c r="C202" s="48"/>
      <c r="D202" s="88" t="s">
        <v>476</v>
      </c>
      <c r="E202" s="72" t="str">
        <f>+VLOOKUP(D202,'材料表 '!C:F,2,0)</f>
        <v>支</v>
      </c>
      <c r="F202" s="77">
        <f>8*8*(O175*2+P175*P178*2)/500/R175+15*32*(P175*P178)/500/R175</f>
        <v>0.931082822567971</v>
      </c>
      <c r="G202" s="89">
        <f>+VLOOKUP(D202,'材料表 '!C:F,4,0)</f>
        <v>0.15</v>
      </c>
      <c r="H202" s="74">
        <f t="shared" si="33"/>
        <v>1.07074524595317</v>
      </c>
      <c r="I202" s="74">
        <f>+VLOOKUP(D202,'材料表 '!C:F,3,0)</f>
        <v>11.5044247787611</v>
      </c>
      <c r="J202" s="51">
        <f t="shared" si="34"/>
        <v>12.3183081392843</v>
      </c>
      <c r="K202" s="43">
        <f ca="1">H202*K174</f>
        <v>21.8020864000001</v>
      </c>
      <c r="L202" s="92"/>
      <c r="M202" s="44"/>
      <c r="N202" s="82"/>
      <c r="O202" s="44"/>
      <c r="P202" s="44"/>
      <c r="Q202" s="44"/>
      <c r="R202" s="84"/>
      <c r="S202" s="47"/>
      <c r="T202" s="47"/>
    </row>
    <row r="203" s="27" customFormat="1" ht="18" customHeight="1" spans="1:20">
      <c r="A203" s="34"/>
      <c r="B203" s="48">
        <v>16</v>
      </c>
      <c r="C203" s="48"/>
      <c r="D203" s="88" t="s">
        <v>576</v>
      </c>
      <c r="E203" s="72" t="str">
        <f>+VLOOKUP(D203,'材料表 '!C:F,2,0)</f>
        <v>支</v>
      </c>
      <c r="F203" s="77">
        <f>16*8*(P175*P178)*2/500/R175</f>
        <v>0.362093352192362</v>
      </c>
      <c r="G203" s="89">
        <f>+VLOOKUP(D203,'材料表 '!C:F,4,0)</f>
        <v>0.15</v>
      </c>
      <c r="H203" s="74">
        <f t="shared" si="33"/>
        <v>0.416407355021216</v>
      </c>
      <c r="I203" s="74">
        <f>+VLOOKUP(D203,'材料表 '!C:F,3,0)</f>
        <v>14.1592920353982</v>
      </c>
      <c r="J203" s="51">
        <f t="shared" si="34"/>
        <v>5.89603334543314</v>
      </c>
      <c r="K203" s="43">
        <f ca="1">H203*K174</f>
        <v>8.47871999999999</v>
      </c>
      <c r="L203" s="92"/>
      <c r="M203" s="44"/>
      <c r="N203" s="82"/>
      <c r="O203" s="44"/>
      <c r="P203" s="44"/>
      <c r="Q203" s="44"/>
      <c r="R203" s="84"/>
      <c r="S203" s="47"/>
      <c r="T203" s="47"/>
    </row>
    <row r="204" s="27" customFormat="1" ht="18" customHeight="1" spans="1:20">
      <c r="A204" s="34"/>
      <c r="B204" s="48">
        <v>17</v>
      </c>
      <c r="C204" s="48"/>
      <c r="D204" s="88" t="s">
        <v>479</v>
      </c>
      <c r="E204" s="72" t="str">
        <f>+VLOOKUP(D204,'材料表 '!C:F,2,0)</f>
        <v>kg</v>
      </c>
      <c r="F204" s="77">
        <f>R197</f>
        <v>1.50458333333333</v>
      </c>
      <c r="G204" s="89">
        <f>+VLOOKUP(D204,'材料表 '!C:F,4,0)</f>
        <v>0.03</v>
      </c>
      <c r="H204" s="74">
        <f t="shared" si="33"/>
        <v>1.54972083333333</v>
      </c>
      <c r="I204" s="74">
        <f>+VLOOKUP(D204,'材料表 '!C:F,3,0)</f>
        <v>14.1592920353982</v>
      </c>
      <c r="J204" s="51">
        <f t="shared" si="34"/>
        <v>21.9429498525073</v>
      </c>
      <c r="K204" s="43">
        <f ca="1">H204*K174</f>
        <v>31.5547957199999</v>
      </c>
      <c r="L204" s="92"/>
      <c r="M204" s="44"/>
      <c r="N204" s="82"/>
      <c r="O204" s="44"/>
      <c r="P204" s="44"/>
      <c r="Q204" s="44"/>
      <c r="R204" s="84"/>
      <c r="S204" s="47"/>
      <c r="T204" s="47"/>
    </row>
    <row r="205" s="27" customFormat="1" ht="21" customHeight="1" spans="1:20">
      <c r="A205" s="34"/>
      <c r="B205" s="48">
        <v>18</v>
      </c>
      <c r="C205" s="48"/>
      <c r="D205" s="88" t="s">
        <v>500</v>
      </c>
      <c r="E205" s="72" t="str">
        <f>+VLOOKUP(D205,'材料表 '!C:F,2,0)</f>
        <v>kg</v>
      </c>
      <c r="F205" s="77"/>
      <c r="G205" s="89"/>
      <c r="H205" s="74"/>
      <c r="I205" s="74"/>
      <c r="J205" s="51"/>
      <c r="K205" s="43">
        <f ca="1">H205*K174</f>
        <v>0</v>
      </c>
      <c r="L205" s="92"/>
      <c r="M205" s="44"/>
      <c r="N205" s="82"/>
      <c r="O205" s="44"/>
      <c r="P205" s="44"/>
      <c r="Q205" s="44"/>
      <c r="R205" s="84"/>
      <c r="S205" s="47"/>
      <c r="T205" s="47"/>
    </row>
    <row r="206" s="27" customFormat="1" ht="34" customHeight="1" spans="1:20">
      <c r="A206" s="34"/>
      <c r="B206" s="48">
        <v>19</v>
      </c>
      <c r="C206" s="48"/>
      <c r="D206" s="88" t="s">
        <v>1018</v>
      </c>
      <c r="E206" s="72" t="str">
        <f>+VLOOKUP(D206,'材料表 '!C:F,2,0)</f>
        <v>m2</v>
      </c>
      <c r="F206" s="77">
        <v>1</v>
      </c>
      <c r="G206" s="89">
        <f>+VLOOKUP(D206,'材料表 '!C:F,4,0)</f>
        <v>0.01</v>
      </c>
      <c r="H206" s="74">
        <f>F206*(G206+1)</f>
        <v>1.01</v>
      </c>
      <c r="I206" s="74">
        <f>+VLOOKUP(D206,'材料表 '!C:F,3,0)</f>
        <v>873.451327433628</v>
      </c>
      <c r="J206" s="51">
        <f>H206*I206</f>
        <v>882.185840707965</v>
      </c>
      <c r="K206" s="43">
        <f ca="1">H206*K174</f>
        <v>20.565216</v>
      </c>
      <c r="L206" s="90"/>
      <c r="M206" s="44"/>
      <c r="N206" s="82"/>
      <c r="O206" s="44"/>
      <c r="P206" s="44"/>
      <c r="Q206" s="44"/>
      <c r="R206" s="84"/>
      <c r="S206" s="47"/>
      <c r="T206" s="47"/>
    </row>
    <row r="207" s="27" customFormat="1" ht="19" customHeight="1" spans="1:20">
      <c r="A207" s="34"/>
      <c r="B207" s="48">
        <v>20</v>
      </c>
      <c r="C207" s="48"/>
      <c r="D207" s="88"/>
      <c r="E207" s="72"/>
      <c r="F207" s="77"/>
      <c r="G207" s="89"/>
      <c r="H207" s="74"/>
      <c r="I207" s="74"/>
      <c r="J207" s="51"/>
      <c r="K207" s="43">
        <f ca="1">H207*K174</f>
        <v>0</v>
      </c>
      <c r="L207" s="90"/>
      <c r="M207" s="44"/>
      <c r="N207" s="82"/>
      <c r="O207" s="44"/>
      <c r="P207" s="44"/>
      <c r="Q207" s="44"/>
      <c r="R207" s="84"/>
      <c r="S207" s="47"/>
      <c r="T207" s="47"/>
    </row>
    <row r="208" s="27" customFormat="1" ht="18" customHeight="1" spans="1:20">
      <c r="A208" s="34"/>
      <c r="B208" s="48">
        <v>21</v>
      </c>
      <c r="C208" s="48"/>
      <c r="D208" s="88"/>
      <c r="E208" s="72"/>
      <c r="F208" s="77"/>
      <c r="G208" s="89"/>
      <c r="H208" s="74"/>
      <c r="I208" s="74"/>
      <c r="J208" s="51"/>
      <c r="K208" s="43">
        <f ca="1">H208*K174</f>
        <v>0</v>
      </c>
      <c r="L208" s="92"/>
      <c r="M208" s="44"/>
      <c r="N208" s="82"/>
      <c r="O208" s="44"/>
      <c r="P208" s="44"/>
      <c r="Q208" s="44"/>
      <c r="R208" s="84"/>
      <c r="S208" s="47"/>
      <c r="T208" s="47"/>
    </row>
    <row r="209" s="27" customFormat="1" ht="18" customHeight="1" spans="1:21">
      <c r="A209" s="34"/>
      <c r="B209" s="48">
        <v>22</v>
      </c>
      <c r="C209" s="48"/>
      <c r="D209" s="88"/>
      <c r="E209" s="72"/>
      <c r="F209" s="77"/>
      <c r="G209" s="89"/>
      <c r="H209" s="74"/>
      <c r="I209" s="74"/>
      <c r="J209" s="51"/>
      <c r="K209" s="43">
        <f ca="1">H209*K174</f>
        <v>0</v>
      </c>
      <c r="L209" s="92"/>
      <c r="M209" s="44"/>
      <c r="N209" s="44"/>
      <c r="O209" s="44"/>
      <c r="P209" s="44"/>
      <c r="Q209" s="44"/>
      <c r="R209" s="84"/>
      <c r="S209" s="47"/>
      <c r="T209" s="47"/>
    </row>
    <row r="210" s="27" customFormat="1" ht="18" customHeight="1" spans="1:21">
      <c r="A210" s="34"/>
      <c r="B210" s="48">
        <v>23</v>
      </c>
      <c r="C210" s="48"/>
      <c r="D210" s="88"/>
      <c r="E210" s="72"/>
      <c r="F210" s="77"/>
      <c r="G210" s="89"/>
      <c r="H210" s="74"/>
      <c r="I210" s="74"/>
      <c r="J210" s="51"/>
      <c r="K210" s="75">
        <f ca="1">H210*K174</f>
        <v>0</v>
      </c>
      <c r="L210" s="92"/>
      <c r="M210" s="44"/>
      <c r="N210" s="44"/>
      <c r="O210" s="44"/>
      <c r="P210" s="44"/>
      <c r="Q210" s="44"/>
      <c r="R210" s="84"/>
      <c r="S210" s="47"/>
      <c r="T210" s="47"/>
    </row>
    <row r="211" s="27" customFormat="1" ht="18" customHeight="1" spans="1:21">
      <c r="A211" s="34"/>
      <c r="B211" s="48">
        <v>24</v>
      </c>
      <c r="C211" s="48"/>
      <c r="D211" s="88"/>
      <c r="E211" s="72"/>
      <c r="F211" s="77"/>
      <c r="G211" s="89"/>
      <c r="H211" s="74"/>
      <c r="I211" s="74"/>
      <c r="J211" s="51"/>
      <c r="K211" s="75">
        <f ca="1">H211*K174</f>
        <v>0</v>
      </c>
      <c r="L211" s="92"/>
      <c r="M211" s="44"/>
      <c r="N211" s="44"/>
      <c r="O211" s="44"/>
      <c r="P211" s="44"/>
      <c r="Q211" s="44"/>
      <c r="R211" s="84"/>
      <c r="S211" s="47"/>
      <c r="T211" s="47"/>
    </row>
    <row r="212" s="27" customFormat="1" ht="18" customHeight="1" spans="1:21">
      <c r="A212" s="34"/>
      <c r="B212" s="48">
        <v>25</v>
      </c>
      <c r="C212" s="48"/>
      <c r="D212" s="88"/>
      <c r="E212" s="72"/>
      <c r="F212" s="77"/>
      <c r="G212" s="89"/>
      <c r="H212" s="74"/>
      <c r="I212" s="74"/>
      <c r="J212" s="51"/>
      <c r="K212" s="75"/>
      <c r="L212" s="92"/>
      <c r="M212" s="44"/>
      <c r="N212" s="44"/>
      <c r="O212" s="44"/>
      <c r="P212" s="44"/>
      <c r="Q212" s="44"/>
      <c r="R212" s="84"/>
      <c r="S212" s="47"/>
      <c r="T212" s="47"/>
    </row>
    <row r="213" s="27" customFormat="1" ht="18" customHeight="1" spans="1:21">
      <c r="A213" s="34"/>
      <c r="B213" s="48">
        <v>26</v>
      </c>
      <c r="C213" s="48"/>
      <c r="D213" s="88" t="s">
        <v>441</v>
      </c>
      <c r="E213" s="72" t="s">
        <v>43</v>
      </c>
      <c r="F213" s="77"/>
      <c r="G213" s="72">
        <v>1</v>
      </c>
      <c r="H213" s="74">
        <v>1</v>
      </c>
      <c r="I213" s="74">
        <f>+辅材及安装费!$E$17</f>
        <v>10</v>
      </c>
      <c r="J213" s="51">
        <f>H213*I213</f>
        <v>10</v>
      </c>
      <c r="K213" s="75"/>
      <c r="L213" s="92"/>
      <c r="M213" s="44"/>
      <c r="N213" s="44"/>
      <c r="O213" s="44"/>
      <c r="P213" s="44"/>
      <c r="Q213" s="44"/>
      <c r="R213" s="62"/>
      <c r="S213" s="47"/>
      <c r="T213" s="47"/>
    </row>
    <row r="214" s="27" customFormat="1" ht="18" customHeight="1" spans="1:21">
      <c r="A214" s="34"/>
      <c r="B214" s="48">
        <v>27</v>
      </c>
      <c r="C214" s="48"/>
      <c r="D214" s="93" t="s">
        <v>442</v>
      </c>
      <c r="E214" s="72"/>
      <c r="F214" s="77"/>
      <c r="G214" s="72"/>
      <c r="H214" s="74"/>
      <c r="I214" s="74"/>
      <c r="J214" s="51">
        <f>SUM(J188:J213)</f>
        <v>1038.23391840549</v>
      </c>
      <c r="K214" s="75"/>
      <c r="L214" s="94"/>
      <c r="N214" s="83"/>
      <c r="O214" s="83"/>
      <c r="P214" s="83"/>
      <c r="Q214" s="83"/>
      <c r="R214" s="87"/>
      <c r="S214" s="47"/>
      <c r="T214" s="47"/>
    </row>
    <row r="215" s="27" customFormat="1" ht="18" customHeight="1" spans="1:21">
      <c r="A215" s="34"/>
      <c r="B215" s="48">
        <v>1</v>
      </c>
      <c r="C215" s="48" t="s">
        <v>443</v>
      </c>
      <c r="D215" s="48" t="s">
        <v>444</v>
      </c>
      <c r="E215" s="72" t="s">
        <v>43</v>
      </c>
      <c r="F215" s="50"/>
      <c r="G215" s="48"/>
      <c r="H215" s="51">
        <v>1</v>
      </c>
      <c r="I215" s="74">
        <f>+辅材及安装费!$F$17</f>
        <v>5</v>
      </c>
      <c r="J215" s="95">
        <f>H215*I215</f>
        <v>5</v>
      </c>
      <c r="K215" s="60"/>
      <c r="L215" s="96"/>
      <c r="M215" s="97"/>
      <c r="N215" s="98"/>
      <c r="O215" s="98"/>
      <c r="P215" s="98"/>
      <c r="Q215" s="98"/>
      <c r="R215" s="99"/>
      <c r="S215" s="47"/>
      <c r="T215" s="47"/>
    </row>
    <row r="216" s="26" customFormat="1" ht="30" customHeight="1" spans="1:21">
      <c r="A216" s="28"/>
      <c r="B216" s="29" t="s">
        <v>386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30"/>
      <c r="M216" s="31"/>
      <c r="N216" s="31"/>
      <c r="O216" s="31"/>
      <c r="P216" s="31"/>
      <c r="Q216" s="31"/>
      <c r="R216" s="32"/>
      <c r="S216" s="33"/>
      <c r="T216" s="33"/>
    </row>
    <row r="217" s="27" customFormat="1" ht="33.75" customHeight="1" spans="1:21">
      <c r="A217" s="34">
        <v>6</v>
      </c>
      <c r="B217" s="35" t="s">
        <v>1</v>
      </c>
      <c r="C217" s="35" t="s">
        <v>387</v>
      </c>
      <c r="D217" s="36" t="str">
        <f>+A225</f>
        <v>首层座槽式玻璃幕墙（10+1.9SGP+10Low-E(双银)+12A+12㎜全超白钢化夹层中空玻璃）</v>
      </c>
      <c r="E217" s="37"/>
      <c r="F217" s="38" t="s">
        <v>225</v>
      </c>
      <c r="G217" s="39"/>
      <c r="H217" s="35" t="s">
        <v>388</v>
      </c>
      <c r="I217" s="40" t="s">
        <v>389</v>
      </c>
      <c r="J217" s="41" t="s">
        <v>37</v>
      </c>
      <c r="K217" s="42">
        <f ca="1">VLOOKUP(A217,'商业工程量清单 '!$A$4:$D$44,4,FALSE)</f>
        <v>63.36</v>
      </c>
      <c r="L217" s="43"/>
      <c r="M217" s="44"/>
      <c r="N217" s="44"/>
      <c r="O217" s="44"/>
      <c r="P217" s="45"/>
      <c r="Q217" s="44"/>
      <c r="R217" s="46"/>
      <c r="S217" s="47"/>
      <c r="T217" s="47"/>
    </row>
    <row r="218" s="27" customFormat="1" ht="25" customHeight="1" spans="1:21">
      <c r="A218" s="34"/>
      <c r="B218" s="48">
        <v>1</v>
      </c>
      <c r="C218" s="49" t="s">
        <v>390</v>
      </c>
      <c r="D218" s="48" t="s">
        <v>391</v>
      </c>
      <c r="E218" s="48"/>
      <c r="F218" s="50"/>
      <c r="G218" s="48"/>
      <c r="H218" s="51"/>
      <c r="I218" s="52">
        <f>J230</f>
        <v>190</v>
      </c>
      <c r="J218" s="53" t="s">
        <v>392</v>
      </c>
      <c r="K218" s="54"/>
      <c r="L218" s="55" t="s">
        <v>1019</v>
      </c>
      <c r="M218" s="56" t="s">
        <v>1020</v>
      </c>
      <c r="N218" s="57"/>
      <c r="O218" s="57">
        <f>6.1+5.4+6.1</f>
        <v>17.6</v>
      </c>
      <c r="P218" s="57">
        <v>3.6</v>
      </c>
      <c r="Q218" s="57">
        <v>1</v>
      </c>
      <c r="R218" s="58">
        <f>+Q218*P218*O218</f>
        <v>63.36</v>
      </c>
      <c r="S218" s="47"/>
      <c r="T218" s="47"/>
    </row>
    <row r="219" s="27" customFormat="1" ht="18" customHeight="1" spans="1:21">
      <c r="A219" s="34"/>
      <c r="B219" s="48">
        <v>2</v>
      </c>
      <c r="C219" s="59"/>
      <c r="D219" s="48" t="s">
        <v>394</v>
      </c>
      <c r="E219" s="48"/>
      <c r="F219" s="50"/>
      <c r="G219" s="48"/>
      <c r="H219" s="51"/>
      <c r="I219" s="52">
        <f>J257</f>
        <v>849.052439258179</v>
      </c>
      <c r="J219" s="53" t="s">
        <v>392</v>
      </c>
      <c r="K219" s="60"/>
      <c r="L219" s="61"/>
      <c r="M219" s="44"/>
      <c r="N219" s="44"/>
      <c r="O219" s="44"/>
      <c r="P219" s="44"/>
      <c r="Q219" s="44"/>
      <c r="R219" s="62"/>
      <c r="S219" s="47"/>
      <c r="T219" s="47"/>
    </row>
    <row r="220" s="27" customFormat="1" ht="18" customHeight="1" spans="1:21">
      <c r="A220" s="34"/>
      <c r="B220" s="48">
        <v>3</v>
      </c>
      <c r="C220" s="63"/>
      <c r="D220" s="48" t="s">
        <v>395</v>
      </c>
      <c r="E220" s="48"/>
      <c r="F220" s="50"/>
      <c r="G220" s="48"/>
      <c r="H220" s="51"/>
      <c r="I220" s="52">
        <f>J258</f>
        <v>5</v>
      </c>
      <c r="J220" s="53" t="s">
        <v>392</v>
      </c>
      <c r="K220" s="60"/>
      <c r="L220" s="60"/>
      <c r="M220" s="64" t="s">
        <v>396</v>
      </c>
      <c r="N220" s="65" t="s">
        <v>397</v>
      </c>
      <c r="O220" s="65" t="s">
        <v>398</v>
      </c>
      <c r="P220" s="65" t="s">
        <v>399</v>
      </c>
      <c r="Q220" s="65" t="s">
        <v>400</v>
      </c>
      <c r="R220" s="66" t="s">
        <v>401</v>
      </c>
      <c r="S220" s="47"/>
      <c r="T220" s="47"/>
    </row>
    <row r="221" s="27" customFormat="1" ht="18" customHeight="1" spans="1:21">
      <c r="A221" s="34"/>
      <c r="B221" s="48">
        <v>4</v>
      </c>
      <c r="C221" s="48" t="s">
        <v>402</v>
      </c>
      <c r="D221" s="67" t="s">
        <v>403</v>
      </c>
      <c r="E221" s="67"/>
      <c r="F221" s="50"/>
      <c r="G221" s="67"/>
      <c r="H221" s="68"/>
      <c r="I221" s="52">
        <f>SUM(I218:I220)</f>
        <v>1044.05243925818</v>
      </c>
      <c r="J221" s="53" t="s">
        <v>392</v>
      </c>
      <c r="K221" s="60"/>
      <c r="L221" s="69" t="s">
        <v>427</v>
      </c>
      <c r="M221" s="70" t="s">
        <v>1007</v>
      </c>
      <c r="N221" s="34">
        <v>3.111</v>
      </c>
      <c r="O221" s="34">
        <f>P218</f>
        <v>3.6</v>
      </c>
      <c r="P221" s="34">
        <v>14</v>
      </c>
      <c r="Q221" s="44">
        <f t="shared" ref="Q221:Q229" si="35">+P221*O221*N221</f>
        <v>156.7944</v>
      </c>
      <c r="R221" s="71">
        <f>+Q221/R218</f>
        <v>2.47465909090909</v>
      </c>
      <c r="S221" s="47"/>
      <c r="T221" s="47"/>
    </row>
    <row r="222" s="27" customFormat="1" ht="28" customHeight="1" spans="1:21">
      <c r="A222" s="34"/>
      <c r="B222" s="48">
        <v>5</v>
      </c>
      <c r="C222" s="72" t="s">
        <v>406</v>
      </c>
      <c r="D222" s="48" t="s">
        <v>407</v>
      </c>
      <c r="E222" s="48"/>
      <c r="F222" s="50"/>
      <c r="G222" s="48"/>
      <c r="H222" s="73">
        <f>+'材料表 '!$E$178</f>
        <v>0</v>
      </c>
      <c r="I222" s="52">
        <f>H222*I221</f>
        <v>0</v>
      </c>
      <c r="J222" s="53" t="s">
        <v>392</v>
      </c>
      <c r="K222" s="60"/>
      <c r="L222" s="69" t="s">
        <v>433</v>
      </c>
      <c r="M222" s="70" t="s">
        <v>1008</v>
      </c>
      <c r="N222" s="34">
        <v>0.507</v>
      </c>
      <c r="O222" s="34">
        <f>O221*2</f>
        <v>7.2</v>
      </c>
      <c r="P222" s="34">
        <f>P221</f>
        <v>14</v>
      </c>
      <c r="Q222" s="44">
        <f t="shared" si="35"/>
        <v>51.1056</v>
      </c>
      <c r="R222" s="71">
        <f>+Q222/R218</f>
        <v>0.806590909090909</v>
      </c>
      <c r="S222" s="47"/>
      <c r="T222" s="47"/>
    </row>
    <row r="223" s="27" customFormat="1" ht="18" customHeight="1" spans="1:21">
      <c r="A223" s="34"/>
      <c r="B223" s="48">
        <v>6</v>
      </c>
      <c r="C223" s="48" t="s">
        <v>409</v>
      </c>
      <c r="D223" s="48" t="s">
        <v>410</v>
      </c>
      <c r="E223" s="48"/>
      <c r="F223" s="50"/>
      <c r="G223" s="48"/>
      <c r="H223" s="73">
        <f>+'材料表 '!$E$179</f>
        <v>0</v>
      </c>
      <c r="I223" s="52">
        <f>H223*I221</f>
        <v>0</v>
      </c>
      <c r="J223" s="74" t="s">
        <v>392</v>
      </c>
      <c r="K223" s="75"/>
      <c r="L223" s="69" t="s">
        <v>429</v>
      </c>
      <c r="M223" s="70" t="s">
        <v>1009</v>
      </c>
      <c r="N223" s="34">
        <v>0.499</v>
      </c>
      <c r="O223" s="34">
        <f>P218/0.3*0.05</f>
        <v>0.6</v>
      </c>
      <c r="P223" s="34">
        <f>P221</f>
        <v>14</v>
      </c>
      <c r="Q223" s="44">
        <f t="shared" si="35"/>
        <v>4.1916</v>
      </c>
      <c r="R223" s="71">
        <f>+Q223/R218</f>
        <v>0.066155303030303</v>
      </c>
      <c r="S223" s="47"/>
      <c r="T223" s="47"/>
      <c r="U223" s="76"/>
    </row>
    <row r="224" s="27" customFormat="1" ht="18" customHeight="1" spans="1:21">
      <c r="A224" s="34"/>
      <c r="B224" s="48">
        <v>7</v>
      </c>
      <c r="C224" s="48" t="s">
        <v>412</v>
      </c>
      <c r="D224" s="72" t="s">
        <v>413</v>
      </c>
      <c r="E224" s="72"/>
      <c r="F224" s="77"/>
      <c r="G224" s="72"/>
      <c r="H224" s="73">
        <f>+'材料表 '!$E$180</f>
        <v>0.09</v>
      </c>
      <c r="I224" s="52">
        <f>(I221+I222+I223)*H224</f>
        <v>93.9647195332361</v>
      </c>
      <c r="J224" s="74" t="s">
        <v>392</v>
      </c>
      <c r="K224" s="75"/>
      <c r="L224" s="69" t="s">
        <v>429</v>
      </c>
      <c r="M224" s="70" t="s">
        <v>1010</v>
      </c>
      <c r="N224" s="34">
        <f>2.9</f>
        <v>2.9</v>
      </c>
      <c r="O224" s="34">
        <v>0.2</v>
      </c>
      <c r="P224" s="34">
        <f>P221</f>
        <v>14</v>
      </c>
      <c r="Q224" s="44">
        <f t="shared" si="35"/>
        <v>8.12</v>
      </c>
      <c r="R224" s="71">
        <f>+Q224/R218</f>
        <v>0.128156565656566</v>
      </c>
      <c r="S224" s="47"/>
      <c r="T224" s="47"/>
    </row>
    <row r="225" s="27" customFormat="1" ht="18" customHeight="1" spans="1:21">
      <c r="A225" s="78" t="s">
        <v>1021</v>
      </c>
      <c r="B225" s="48">
        <v>8</v>
      </c>
      <c r="C225" s="48" t="s">
        <v>363</v>
      </c>
      <c r="D225" s="72" t="s">
        <v>415</v>
      </c>
      <c r="E225" s="72"/>
      <c r="F225" s="77"/>
      <c r="G225" s="72"/>
      <c r="H225" s="51"/>
      <c r="I225" s="74">
        <f>SUM(I221:I224)</f>
        <v>1138.01715879142</v>
      </c>
      <c r="J225" s="74" t="s">
        <v>416</v>
      </c>
      <c r="K225" s="75"/>
      <c r="L225" s="69" t="s">
        <v>429</v>
      </c>
      <c r="M225" s="70"/>
      <c r="N225" s="34"/>
      <c r="O225" s="34"/>
      <c r="P225" s="34">
        <v>1</v>
      </c>
      <c r="Q225" s="44">
        <f t="shared" si="35"/>
        <v>0</v>
      </c>
      <c r="R225" s="71">
        <f>+Q225/R218</f>
        <v>0</v>
      </c>
      <c r="S225" s="79"/>
      <c r="T225" s="47"/>
    </row>
    <row r="226" s="27" customFormat="1" ht="18" customHeight="1" spans="1:21">
      <c r="A226" s="34"/>
      <c r="B226" s="48" t="s">
        <v>418</v>
      </c>
      <c r="C226" s="48"/>
      <c r="D226" s="48"/>
      <c r="E226" s="48"/>
      <c r="F226" s="48"/>
      <c r="G226" s="48"/>
      <c r="H226" s="48"/>
      <c r="I226" s="48"/>
      <c r="J226" s="48"/>
      <c r="K226" s="80"/>
      <c r="L226" s="69" t="s">
        <v>447</v>
      </c>
      <c r="M226" s="70"/>
      <c r="N226" s="34"/>
      <c r="O226" s="34"/>
      <c r="P226" s="34">
        <v>1</v>
      </c>
      <c r="Q226" s="44">
        <f t="shared" si="35"/>
        <v>0</v>
      </c>
      <c r="R226" s="71">
        <f>+Q226/R218</f>
        <v>0</v>
      </c>
      <c r="S226" s="47"/>
      <c r="T226" s="47"/>
      <c r="U226" s="76"/>
    </row>
    <row r="227" s="27" customFormat="1" ht="18" customHeight="1" spans="1:21">
      <c r="A227" s="34"/>
      <c r="B227" s="48">
        <v>1</v>
      </c>
      <c r="C227" s="48" t="s">
        <v>391</v>
      </c>
      <c r="D227" s="48" t="s">
        <v>396</v>
      </c>
      <c r="E227" s="48" t="s">
        <v>37</v>
      </c>
      <c r="F227" s="50"/>
      <c r="G227" s="48"/>
      <c r="H227" s="51" t="s">
        <v>399</v>
      </c>
      <c r="I227" s="51" t="s">
        <v>420</v>
      </c>
      <c r="J227" s="51" t="s">
        <v>421</v>
      </c>
      <c r="K227" s="43"/>
      <c r="L227" s="69" t="s">
        <v>404</v>
      </c>
      <c r="M227" s="81"/>
      <c r="N227" s="82"/>
      <c r="O227" s="34"/>
      <c r="P227" s="34">
        <v>1</v>
      </c>
      <c r="Q227" s="44">
        <f t="shared" si="35"/>
        <v>0</v>
      </c>
      <c r="R227" s="71">
        <f>+Q227/R218</f>
        <v>0</v>
      </c>
      <c r="S227" s="47"/>
      <c r="T227" s="47"/>
    </row>
    <row r="228" s="27" customFormat="1" ht="18" customHeight="1" spans="1:21">
      <c r="A228" s="34"/>
      <c r="B228" s="48">
        <v>2</v>
      </c>
      <c r="C228" s="48"/>
      <c r="D228" s="48" t="s">
        <v>965</v>
      </c>
      <c r="E228" s="72" t="s">
        <v>423</v>
      </c>
      <c r="F228" s="50"/>
      <c r="G228" s="48"/>
      <c r="H228" s="51">
        <v>1</v>
      </c>
      <c r="I228" s="51">
        <f>+辅材及安装费!$G$17</f>
        <v>190</v>
      </c>
      <c r="J228" s="51">
        <f t="shared" ref="J228:J236" si="36">H228*I228</f>
        <v>190</v>
      </c>
      <c r="K228" s="43"/>
      <c r="L228" s="69" t="s">
        <v>427</v>
      </c>
      <c r="M228" s="70"/>
      <c r="N228" s="83"/>
      <c r="O228" s="34"/>
      <c r="P228" s="34">
        <v>1</v>
      </c>
      <c r="Q228" s="44">
        <f t="shared" si="35"/>
        <v>0</v>
      </c>
      <c r="R228" s="84">
        <f>+Q228/R218</f>
        <v>0</v>
      </c>
      <c r="S228" s="47"/>
      <c r="T228" s="47"/>
    </row>
    <row r="229" s="27" customFormat="1" ht="18" customHeight="1" spans="1:21">
      <c r="A229" s="34"/>
      <c r="B229" s="48">
        <v>3</v>
      </c>
      <c r="C229" s="48"/>
      <c r="D229" s="48"/>
      <c r="E229" s="72"/>
      <c r="F229" s="50"/>
      <c r="G229" s="48"/>
      <c r="H229" s="51"/>
      <c r="I229" s="51"/>
      <c r="J229" s="51"/>
      <c r="K229" s="43"/>
      <c r="L229" s="69"/>
      <c r="M229" s="81"/>
      <c r="N229" s="82"/>
      <c r="O229" s="44"/>
      <c r="P229" s="34">
        <v>1</v>
      </c>
      <c r="Q229" s="44">
        <f t="shared" si="35"/>
        <v>0</v>
      </c>
      <c r="R229" s="84">
        <f>+Q229/R218</f>
        <v>0</v>
      </c>
      <c r="S229" s="47"/>
      <c r="T229" s="47"/>
    </row>
    <row r="230" s="27" customFormat="1" ht="18" customHeight="1" spans="1:21">
      <c r="A230" s="34"/>
      <c r="B230" s="48">
        <v>4</v>
      </c>
      <c r="C230" s="48"/>
      <c r="D230" s="85" t="s">
        <v>426</v>
      </c>
      <c r="E230" s="48" t="s">
        <v>392</v>
      </c>
      <c r="F230" s="50"/>
      <c r="G230" s="48"/>
      <c r="H230" s="86"/>
      <c r="I230" s="86"/>
      <c r="J230" s="51">
        <f>SUM(J228:J228)</f>
        <v>190</v>
      </c>
      <c r="K230" s="75"/>
      <c r="L230" s="69"/>
      <c r="M230" s="70"/>
      <c r="N230" s="83"/>
      <c r="O230" s="83"/>
      <c r="P230" s="34">
        <v>1</v>
      </c>
      <c r="Q230" s="83"/>
      <c r="R230" s="87"/>
      <c r="S230" s="47"/>
      <c r="T230" s="47"/>
    </row>
    <row r="231" s="27" customFormat="1" ht="23" customHeight="1" spans="1:21">
      <c r="A231" s="34"/>
      <c r="B231" s="48">
        <v>1</v>
      </c>
      <c r="C231" s="48" t="s">
        <v>394</v>
      </c>
      <c r="D231" s="88" t="s">
        <v>427</v>
      </c>
      <c r="E231" s="72" t="str">
        <f>+VLOOKUP(D231,'材料表 '!C:F,2,0)</f>
        <v>kg</v>
      </c>
      <c r="F231" s="77">
        <f>+SUMIF($L$218:$L$258,D231,$R$218:$R$258)</f>
        <v>2.47465909090909</v>
      </c>
      <c r="G231" s="89">
        <f>+VLOOKUP(D231,'材料表 '!C:F,4,0)</f>
        <v>0.03</v>
      </c>
      <c r="H231" s="74">
        <f t="shared" ref="H231:H236" si="37">F231*(G231+1)</f>
        <v>2.54889886363636</v>
      </c>
      <c r="I231" s="74">
        <f>+VLOOKUP(D231,'材料表 '!C:F,3,0)</f>
        <v>25.8495575221239</v>
      </c>
      <c r="J231" s="51">
        <f t="shared" si="36"/>
        <v>65.8879077936444</v>
      </c>
      <c r="K231" s="75">
        <f ca="1">H231*K217</f>
        <v>161.498232</v>
      </c>
      <c r="L231" s="69"/>
      <c r="M231" s="70"/>
      <c r="N231" s="83"/>
      <c r="O231" s="83"/>
      <c r="P231" s="34">
        <v>1</v>
      </c>
      <c r="Q231" s="83"/>
      <c r="R231" s="87"/>
      <c r="S231" s="47"/>
      <c r="T231" s="47"/>
    </row>
    <row r="232" s="27" customFormat="1" ht="18" customHeight="1" spans="1:21">
      <c r="A232" s="34"/>
      <c r="B232" s="48">
        <v>2</v>
      </c>
      <c r="C232" s="48"/>
      <c r="D232" s="88" t="s">
        <v>404</v>
      </c>
      <c r="E232" s="72" t="str">
        <f>+VLOOKUP(D232,'材料表 '!C:F,2,0)</f>
        <v>kg</v>
      </c>
      <c r="F232" s="77">
        <f>+SUMIF($L$218:$L$258,D232,$R$218:$R$258)</f>
        <v>0</v>
      </c>
      <c r="G232" s="89">
        <f>+VLOOKUP(D232,'材料表 '!C:F,4,0)</f>
        <v>0.03</v>
      </c>
      <c r="H232" s="74">
        <f t="shared" si="37"/>
        <v>0</v>
      </c>
      <c r="I232" s="74">
        <f>+VLOOKUP(D232,'材料表 '!C:F,3,0)</f>
        <v>25.6725663716814</v>
      </c>
      <c r="J232" s="51">
        <f t="shared" si="36"/>
        <v>0</v>
      </c>
      <c r="K232" s="75">
        <f ca="1">H232*K217</f>
        <v>0</v>
      </c>
      <c r="L232" s="69"/>
      <c r="M232" s="70"/>
      <c r="N232" s="83"/>
      <c r="O232" s="83"/>
      <c r="P232" s="83"/>
      <c r="Q232" s="83"/>
      <c r="R232" s="87"/>
      <c r="S232" s="47"/>
      <c r="T232" s="47"/>
    </row>
    <row r="233" s="27" customFormat="1" ht="18" customHeight="1" spans="1:21">
      <c r="A233" s="34"/>
      <c r="B233" s="48">
        <v>3</v>
      </c>
      <c r="C233" s="48"/>
      <c r="D233" s="88" t="s">
        <v>433</v>
      </c>
      <c r="E233" s="72" t="str">
        <f>+VLOOKUP(D233,'材料表 '!C:F,2,0)</f>
        <v>kg</v>
      </c>
      <c r="F233" s="77">
        <f>+SUMIF($L$218:$L$258,D233,$R$218:$R$258)</f>
        <v>0.806590909090909</v>
      </c>
      <c r="G233" s="89">
        <f>+VLOOKUP(D233,'材料表 '!C:F,4,0)</f>
        <v>0.03</v>
      </c>
      <c r="H233" s="74">
        <f t="shared" si="37"/>
        <v>0.830788636363636</v>
      </c>
      <c r="I233" s="74">
        <f>+VLOOKUP(D233,'材料表 '!C:F,3,0)</f>
        <v>26.1150442477876</v>
      </c>
      <c r="J233" s="51">
        <f t="shared" si="36"/>
        <v>21.6960819991955</v>
      </c>
      <c r="K233" s="75">
        <f ca="1">H233*K217</f>
        <v>52.638768</v>
      </c>
      <c r="L233" s="69"/>
      <c r="N233" s="83"/>
      <c r="O233" s="83"/>
      <c r="P233" s="83"/>
      <c r="Q233" s="83"/>
      <c r="R233" s="87"/>
      <c r="S233" s="47"/>
      <c r="T233" s="47"/>
    </row>
    <row r="234" s="27" customFormat="1" ht="18" customHeight="1" spans="1:21">
      <c r="A234" s="34"/>
      <c r="B234" s="48">
        <v>4</v>
      </c>
      <c r="C234" s="48"/>
      <c r="D234" s="88" t="s">
        <v>429</v>
      </c>
      <c r="E234" s="72" t="str">
        <f>+VLOOKUP(D234,'材料表 '!C:F,2,0)</f>
        <v>kg</v>
      </c>
      <c r="F234" s="77">
        <f>+SUMIF($L$218:$L$258,D234,$R$218:$R$258)</f>
        <v>0.194311868686869</v>
      </c>
      <c r="G234" s="89">
        <f>+VLOOKUP(D234,'材料表 '!C:F,4,0)</f>
        <v>0.03</v>
      </c>
      <c r="H234" s="74">
        <f t="shared" si="37"/>
        <v>0.200141224747475</v>
      </c>
      <c r="I234" s="74">
        <f>+VLOOKUP(D234,'材料表 '!C:F,3,0)</f>
        <v>26.1150442477876</v>
      </c>
      <c r="J234" s="51">
        <f t="shared" si="36"/>
        <v>5.22669694008671</v>
      </c>
      <c r="K234" s="75">
        <f ca="1">H234*K217</f>
        <v>12.680948</v>
      </c>
      <c r="L234" s="90" t="s">
        <v>428</v>
      </c>
      <c r="M234" s="44"/>
      <c r="N234" s="82"/>
      <c r="O234" s="44">
        <f>(O221*P221)</f>
        <v>50.4</v>
      </c>
      <c r="P234" s="44">
        <v>1</v>
      </c>
      <c r="Q234" s="44">
        <f>+P234*O234</f>
        <v>50.4</v>
      </c>
      <c r="R234" s="84">
        <f>+Q234/R218</f>
        <v>0.795454545454545</v>
      </c>
      <c r="S234" s="47"/>
      <c r="T234" s="47"/>
    </row>
    <row r="235" s="27" customFormat="1" ht="18" customHeight="1" spans="1:21">
      <c r="A235" s="34"/>
      <c r="B235" s="48">
        <v>5</v>
      </c>
      <c r="C235" s="48"/>
      <c r="D235" s="88" t="s">
        <v>447</v>
      </c>
      <c r="E235" s="72" t="str">
        <f>+VLOOKUP(D235,'材料表 '!C:F,2,0)</f>
        <v>kg</v>
      </c>
      <c r="F235" s="77">
        <f t="shared" ref="F232:F244" si="38">+SUMIF($L$218:$L$258,D235,$R$218:$R$258)</f>
        <v>0</v>
      </c>
      <c r="G235" s="89">
        <f>+VLOOKUP(D235,'材料表 '!C:F,4,0)</f>
        <v>0.03</v>
      </c>
      <c r="H235" s="74">
        <f t="shared" si="37"/>
        <v>0</v>
      </c>
      <c r="I235" s="74">
        <f>+VLOOKUP(D235,'材料表 '!C:F,3,0)</f>
        <v>24.4336283185841</v>
      </c>
      <c r="J235" s="51">
        <f t="shared" si="36"/>
        <v>0</v>
      </c>
      <c r="K235" s="43">
        <f ca="1">H235*K217</f>
        <v>0</v>
      </c>
      <c r="L235" s="90"/>
      <c r="M235" s="44"/>
      <c r="N235" s="82"/>
      <c r="O235" s="44"/>
      <c r="P235" s="44"/>
      <c r="Q235" s="44"/>
      <c r="R235" s="84"/>
      <c r="S235" s="47"/>
      <c r="T235" s="47"/>
    </row>
    <row r="236" s="27" customFormat="1" ht="18" customHeight="1" spans="1:21">
      <c r="A236" s="34"/>
      <c r="B236" s="48">
        <v>6</v>
      </c>
      <c r="C236" s="48"/>
      <c r="D236" s="88" t="s">
        <v>434</v>
      </c>
      <c r="E236" s="72" t="str">
        <f>+VLOOKUP(D236,'材料表 '!C:F,2,0)</f>
        <v>m2</v>
      </c>
      <c r="F236" s="77">
        <f t="shared" si="38"/>
        <v>0</v>
      </c>
      <c r="G236" s="89">
        <f>+VLOOKUP(D236,'材料表 '!C:F,4,0)</f>
        <v>0</v>
      </c>
      <c r="H236" s="74">
        <f t="shared" si="37"/>
        <v>0</v>
      </c>
      <c r="I236" s="74">
        <f>+VLOOKUP(D236,'材料表 '!C:F,3,0)</f>
        <v>49.5575221238938</v>
      </c>
      <c r="J236" s="51">
        <f t="shared" si="36"/>
        <v>0</v>
      </c>
      <c r="K236" s="43">
        <f ca="1">H236*K217</f>
        <v>0</v>
      </c>
      <c r="L236" s="90" t="s">
        <v>463</v>
      </c>
      <c r="M236" s="91" t="s">
        <v>1012</v>
      </c>
      <c r="N236" s="82">
        <f>0.32*0.3*8*7.85</f>
        <v>6.0288</v>
      </c>
      <c r="O236" s="44">
        <v>1</v>
      </c>
      <c r="P236" s="44">
        <f>P221</f>
        <v>14</v>
      </c>
      <c r="Q236" s="44">
        <f t="shared" ref="Q236:Q240" si="39">+P236*O236*N236</f>
        <v>84.4032</v>
      </c>
      <c r="R236" s="84">
        <f>+Q236/R218</f>
        <v>1.33212121212121</v>
      </c>
      <c r="S236" s="47"/>
      <c r="T236" s="47"/>
    </row>
    <row r="237" s="27" customFormat="1" ht="18" customHeight="1" spans="1:21">
      <c r="A237" s="34"/>
      <c r="B237" s="48">
        <v>7</v>
      </c>
      <c r="C237" s="48"/>
      <c r="D237" s="88"/>
      <c r="E237" s="72"/>
      <c r="F237" s="77">
        <f t="shared" si="38"/>
        <v>0</v>
      </c>
      <c r="G237" s="89"/>
      <c r="H237" s="74"/>
      <c r="I237" s="74"/>
      <c r="J237" s="51"/>
      <c r="K237" s="43">
        <f ca="1">H237*K217</f>
        <v>0</v>
      </c>
      <c r="L237" s="69" t="s">
        <v>465</v>
      </c>
      <c r="M237" s="81" t="s">
        <v>1013</v>
      </c>
      <c r="N237" s="34">
        <v>9.88</v>
      </c>
      <c r="O237" s="34">
        <f>0.13</f>
        <v>0.13</v>
      </c>
      <c r="P237" s="34">
        <f>2*P236</f>
        <v>28</v>
      </c>
      <c r="Q237" s="44">
        <f t="shared" si="39"/>
        <v>35.9632</v>
      </c>
      <c r="R237" s="84">
        <f>Q237/R218</f>
        <v>0.56760101010101</v>
      </c>
      <c r="S237" s="47"/>
      <c r="T237" s="47"/>
    </row>
    <row r="238" s="27" customFormat="1" ht="18" customHeight="1" spans="1:21">
      <c r="A238" s="34"/>
      <c r="B238" s="48">
        <v>8</v>
      </c>
      <c r="C238" s="48"/>
      <c r="D238" s="88" t="s">
        <v>431</v>
      </c>
      <c r="E238" s="72" t="str">
        <f>+VLOOKUP(D238,'材料表 '!C:F,2,0)</f>
        <v>kg</v>
      </c>
      <c r="F238" s="77">
        <f t="shared" si="38"/>
        <v>0</v>
      </c>
      <c r="G238" s="89">
        <f>+VLOOKUP(D238,'材料表 '!C:F,4,0)</f>
        <v>0.03</v>
      </c>
      <c r="H238" s="74">
        <f t="shared" ref="H238:H247" si="40">F238*(G238+1)</f>
        <v>0</v>
      </c>
      <c r="I238" s="74">
        <f>+VLOOKUP(D238,'材料表 '!C:F,3,0)</f>
        <v>3.80530973451327</v>
      </c>
      <c r="J238" s="51">
        <f t="shared" ref="J238:J247" si="41">H238*I238</f>
        <v>0</v>
      </c>
      <c r="K238" s="43">
        <f ca="1">H238*K217</f>
        <v>0</v>
      </c>
      <c r="L238" s="90" t="s">
        <v>474</v>
      </c>
      <c r="M238" s="44"/>
      <c r="N238" s="82"/>
      <c r="O238" s="44">
        <v>6</v>
      </c>
      <c r="P238" s="44">
        <f>O236*P236</f>
        <v>14</v>
      </c>
      <c r="Q238" s="44">
        <f>O238*P238</f>
        <v>84</v>
      </c>
      <c r="R238" s="84">
        <f>Q238/R218</f>
        <v>1.32575757575758</v>
      </c>
      <c r="S238" s="47"/>
      <c r="T238" s="47"/>
    </row>
    <row r="239" s="27" customFormat="1" ht="18" customHeight="1" spans="1:21">
      <c r="A239" s="34"/>
      <c r="B239" s="48">
        <v>9</v>
      </c>
      <c r="C239" s="48"/>
      <c r="D239" s="88" t="s">
        <v>461</v>
      </c>
      <c r="E239" s="72" t="str">
        <f>+VLOOKUP(D239,'材料表 '!C:F,2,0)</f>
        <v>kg</v>
      </c>
      <c r="F239" s="77">
        <f t="shared" si="38"/>
        <v>0</v>
      </c>
      <c r="G239" s="89">
        <f>+VLOOKUP(D239,'材料表 '!C:F,4,0)</f>
        <v>0.03</v>
      </c>
      <c r="H239" s="74">
        <f t="shared" si="40"/>
        <v>0</v>
      </c>
      <c r="I239" s="74">
        <f>+VLOOKUP(D239,'材料表 '!C:F,3,0)</f>
        <v>3.53982300884956</v>
      </c>
      <c r="J239" s="51">
        <f t="shared" si="41"/>
        <v>0</v>
      </c>
      <c r="K239" s="43">
        <f ca="1">H239*K217</f>
        <v>0</v>
      </c>
      <c r="L239" s="90" t="s">
        <v>472</v>
      </c>
      <c r="M239" s="91"/>
      <c r="N239" s="82"/>
      <c r="O239" s="44">
        <v>2</v>
      </c>
      <c r="P239" s="44">
        <f>P221</f>
        <v>14</v>
      </c>
      <c r="Q239" s="44">
        <f>O239*P239</f>
        <v>28</v>
      </c>
      <c r="R239" s="84">
        <f>Q239/R218</f>
        <v>0.441919191919192</v>
      </c>
      <c r="S239" s="47"/>
      <c r="T239" s="47"/>
    </row>
    <row r="240" s="27" customFormat="1" ht="18" customHeight="1" spans="1:21">
      <c r="A240" s="34"/>
      <c r="B240" s="48">
        <v>10</v>
      </c>
      <c r="C240" s="48"/>
      <c r="D240" s="88" t="s">
        <v>435</v>
      </c>
      <c r="E240" s="72" t="str">
        <f>+VLOOKUP(D240,'材料表 '!C:F,2,0)</f>
        <v>kg</v>
      </c>
      <c r="F240" s="77">
        <f t="shared" si="38"/>
        <v>0</v>
      </c>
      <c r="G240" s="89">
        <f>+VLOOKUP(D240,'材料表 '!C:F,4,0)</f>
        <v>0.03</v>
      </c>
      <c r="H240" s="74">
        <f t="shared" si="40"/>
        <v>0</v>
      </c>
      <c r="I240" s="74">
        <f>+VLOOKUP(D240,'材料表 '!C:F,3,0)</f>
        <v>19.4690265486726</v>
      </c>
      <c r="J240" s="51">
        <f t="shared" si="41"/>
        <v>0</v>
      </c>
      <c r="K240" s="43">
        <f ca="1">H240*K217</f>
        <v>0</v>
      </c>
      <c r="L240" s="69" t="s">
        <v>465</v>
      </c>
      <c r="M240" s="91"/>
      <c r="N240" s="82">
        <f>(0.058+0.04*2)*5*7.85</f>
        <v>5.4165</v>
      </c>
      <c r="O240" s="44">
        <f>O218</f>
        <v>17.6</v>
      </c>
      <c r="P240" s="44">
        <v>1</v>
      </c>
      <c r="Q240" s="44">
        <f t="shared" si="39"/>
        <v>95.3304</v>
      </c>
      <c r="R240" s="84">
        <f>+Q240/R218</f>
        <v>1.50458333333333</v>
      </c>
      <c r="S240" s="47"/>
      <c r="T240" s="47"/>
    </row>
    <row r="241" s="27" customFormat="1" ht="18" customHeight="1" spans="1:20">
      <c r="A241" s="34"/>
      <c r="B241" s="48">
        <v>11</v>
      </c>
      <c r="C241" s="48"/>
      <c r="D241" s="88" t="s">
        <v>463</v>
      </c>
      <c r="E241" s="72" t="str">
        <f>+VLOOKUP(D241,'材料表 '!C:F,2,0)</f>
        <v>kg</v>
      </c>
      <c r="F241" s="77">
        <f t="shared" si="38"/>
        <v>1.33212121212121</v>
      </c>
      <c r="G241" s="89">
        <f>+VLOOKUP(D241,'材料表 '!C:F,4,0)</f>
        <v>0.03</v>
      </c>
      <c r="H241" s="74">
        <f t="shared" si="40"/>
        <v>1.37208484848485</v>
      </c>
      <c r="I241" s="74">
        <f>+VLOOKUP(D241,'材料表 '!C:F,3,0)</f>
        <v>6.01769911504425</v>
      </c>
      <c r="J241" s="51">
        <f t="shared" si="41"/>
        <v>8.25679377849288</v>
      </c>
      <c r="K241" s="43">
        <f ca="1">H241*K217</f>
        <v>86.9352960000001</v>
      </c>
      <c r="L241" s="69" t="s">
        <v>461</v>
      </c>
      <c r="N241" s="83"/>
      <c r="O241" s="83"/>
      <c r="P241" s="83"/>
      <c r="Q241" s="83"/>
      <c r="R241" s="84"/>
      <c r="S241" s="47"/>
      <c r="T241" s="47"/>
    </row>
    <row r="242" s="27" customFormat="1" ht="18" customHeight="1" spans="1:20">
      <c r="A242" s="34"/>
      <c r="B242" s="48">
        <v>12</v>
      </c>
      <c r="C242" s="48"/>
      <c r="D242" s="88" t="s">
        <v>465</v>
      </c>
      <c r="E242" s="72" t="str">
        <f>+VLOOKUP(D242,'材料表 '!C:F,2,0)</f>
        <v>kg</v>
      </c>
      <c r="F242" s="77">
        <f t="shared" si="38"/>
        <v>2.07218434343434</v>
      </c>
      <c r="G242" s="89">
        <f>+VLOOKUP(D242,'材料表 '!C:F,4,0)</f>
        <v>0.03</v>
      </c>
      <c r="H242" s="74">
        <f t="shared" si="40"/>
        <v>2.13434987373737</v>
      </c>
      <c r="I242" s="74">
        <f>+VLOOKUP(D242,'材料表 '!C:F,3,0)</f>
        <v>6.01769911504425</v>
      </c>
      <c r="J242" s="51">
        <f t="shared" si="41"/>
        <v>12.8438753463842</v>
      </c>
      <c r="K242" s="43">
        <f ca="1">H242*K217</f>
        <v>135.232408</v>
      </c>
      <c r="L242" s="90"/>
      <c r="M242" s="44"/>
      <c r="N242" s="82"/>
      <c r="O242" s="44"/>
      <c r="P242" s="44"/>
      <c r="Q242" s="44"/>
      <c r="R242" s="84"/>
      <c r="S242" s="47"/>
      <c r="T242" s="47"/>
    </row>
    <row r="243" s="27" customFormat="1" ht="18" customHeight="1" spans="1:20">
      <c r="A243" s="34"/>
      <c r="B243" s="48">
        <v>13</v>
      </c>
      <c r="C243" s="48"/>
      <c r="D243" s="88" t="s">
        <v>474</v>
      </c>
      <c r="E243" s="72" t="str">
        <f>+VLOOKUP(D243,'材料表 '!C:F,2,0)</f>
        <v>套</v>
      </c>
      <c r="F243" s="77">
        <f t="shared" si="38"/>
        <v>1.32575757575758</v>
      </c>
      <c r="G243" s="89">
        <f>+VLOOKUP(D243,'材料表 '!C:F,4,0)</f>
        <v>0</v>
      </c>
      <c r="H243" s="74">
        <f t="shared" si="40"/>
        <v>1.32575757575758</v>
      </c>
      <c r="I243" s="74">
        <f>+VLOOKUP(D243,'材料表 '!C:F,3,0)</f>
        <v>2.21238938053097</v>
      </c>
      <c r="J243" s="51">
        <f t="shared" si="41"/>
        <v>2.93309198176455</v>
      </c>
      <c r="K243" s="43">
        <f ca="1">H243*K217</f>
        <v>84.0000000000003</v>
      </c>
      <c r="L243" s="90"/>
      <c r="M243" s="44"/>
      <c r="N243" s="82"/>
      <c r="O243" s="44"/>
      <c r="P243" s="44"/>
      <c r="Q243" s="44"/>
      <c r="R243" s="84"/>
      <c r="S243" s="47"/>
      <c r="T243" s="47"/>
    </row>
    <row r="244" s="27" customFormat="1" ht="18" customHeight="1" spans="1:20">
      <c r="A244" s="34"/>
      <c r="B244" s="48">
        <v>14</v>
      </c>
      <c r="C244" s="48"/>
      <c r="D244" s="88" t="s">
        <v>472</v>
      </c>
      <c r="E244" s="72" t="str">
        <f>+VLOOKUP(D244,'材料表 '!C:F,2,0)</f>
        <v>套</v>
      </c>
      <c r="F244" s="77">
        <f t="shared" si="38"/>
        <v>0.441919191919192</v>
      </c>
      <c r="G244" s="89">
        <f>+VLOOKUP(D244,'材料表 '!C:F,4,0)</f>
        <v>0</v>
      </c>
      <c r="H244" s="74">
        <f t="shared" si="40"/>
        <v>0.441919191919192</v>
      </c>
      <c r="I244" s="74">
        <f>+VLOOKUP(D244,'材料表 '!C:F,3,0)</f>
        <v>2.47787610619469</v>
      </c>
      <c r="J244" s="51">
        <f t="shared" si="41"/>
        <v>1.09502100652543</v>
      </c>
      <c r="K244" s="43">
        <f ca="1">H244*K217</f>
        <v>28</v>
      </c>
      <c r="L244" s="90"/>
      <c r="M244" s="44"/>
      <c r="N244" s="82"/>
      <c r="O244" s="44"/>
      <c r="P244" s="44"/>
      <c r="Q244" s="44"/>
      <c r="R244" s="84"/>
      <c r="S244" s="47"/>
      <c r="T244" s="47"/>
    </row>
    <row r="245" s="27" customFormat="1" ht="18" customHeight="1" spans="1:20">
      <c r="A245" s="34"/>
      <c r="B245" s="48">
        <v>15</v>
      </c>
      <c r="C245" s="48"/>
      <c r="D245" s="88" t="s">
        <v>476</v>
      </c>
      <c r="E245" s="72" t="str">
        <f>+VLOOKUP(D245,'材料表 '!C:F,2,0)</f>
        <v>支</v>
      </c>
      <c r="F245" s="77">
        <f>8*8*(O218*2+P218*P221*2)/500/R218+15*32*(P218*P221)/500/R218</f>
        <v>1.03838383838384</v>
      </c>
      <c r="G245" s="89">
        <f>+VLOOKUP(D245,'材料表 '!C:F,4,0)</f>
        <v>0.15</v>
      </c>
      <c r="H245" s="74">
        <f t="shared" si="40"/>
        <v>1.19414141414142</v>
      </c>
      <c r="I245" s="74">
        <f>+VLOOKUP(D245,'材料表 '!C:F,3,0)</f>
        <v>11.5044247787611</v>
      </c>
      <c r="J245" s="51">
        <f t="shared" si="41"/>
        <v>13.7379100741933</v>
      </c>
      <c r="K245" s="43">
        <f ca="1">H245*K217</f>
        <v>75.6608000000004</v>
      </c>
      <c r="L245" s="92"/>
      <c r="M245" s="44"/>
      <c r="N245" s="82"/>
      <c r="O245" s="44"/>
      <c r="P245" s="44"/>
      <c r="Q245" s="44"/>
      <c r="R245" s="84"/>
      <c r="S245" s="47"/>
      <c r="T245" s="47"/>
    </row>
    <row r="246" s="27" customFormat="1" ht="18" customHeight="1" spans="1:20">
      <c r="A246" s="34"/>
      <c r="B246" s="48">
        <v>16</v>
      </c>
      <c r="C246" s="48"/>
      <c r="D246" s="88" t="s">
        <v>576</v>
      </c>
      <c r="E246" s="72" t="str">
        <f>+VLOOKUP(D246,'材料表 '!C:F,2,0)</f>
        <v>支</v>
      </c>
      <c r="F246" s="77">
        <f>16*8*(P218*P221)*2/500/R218</f>
        <v>0.407272727272727</v>
      </c>
      <c r="G246" s="89">
        <f>+VLOOKUP(D246,'材料表 '!C:F,4,0)</f>
        <v>0.15</v>
      </c>
      <c r="H246" s="74">
        <f t="shared" si="40"/>
        <v>0.468363636363636</v>
      </c>
      <c r="I246" s="74">
        <f>+VLOOKUP(D246,'材料表 '!C:F,3,0)</f>
        <v>14.1592920353982</v>
      </c>
      <c r="J246" s="51">
        <f t="shared" si="41"/>
        <v>6.63169750603377</v>
      </c>
      <c r="K246" s="43">
        <f ca="1">H246*K217</f>
        <v>29.67552</v>
      </c>
      <c r="L246" s="92"/>
      <c r="M246" s="44"/>
      <c r="N246" s="82"/>
      <c r="O246" s="44"/>
      <c r="P246" s="44"/>
      <c r="Q246" s="44"/>
      <c r="R246" s="84"/>
      <c r="S246" s="47"/>
      <c r="T246" s="47"/>
    </row>
    <row r="247" s="27" customFormat="1" ht="18" customHeight="1" spans="1:20">
      <c r="A247" s="34"/>
      <c r="B247" s="48">
        <v>17</v>
      </c>
      <c r="C247" s="48"/>
      <c r="D247" s="88" t="s">
        <v>479</v>
      </c>
      <c r="E247" s="72" t="str">
        <f>+VLOOKUP(D247,'材料表 '!C:F,2,0)</f>
        <v>kg</v>
      </c>
      <c r="F247" s="77">
        <v>0</v>
      </c>
      <c r="G247" s="89">
        <f>+VLOOKUP(D247,'材料表 '!C:F,4,0)</f>
        <v>0.03</v>
      </c>
      <c r="H247" s="74">
        <f t="shared" si="40"/>
        <v>0</v>
      </c>
      <c r="I247" s="74">
        <f>+VLOOKUP(D247,'材料表 '!C:F,3,0)</f>
        <v>14.1592920353982</v>
      </c>
      <c r="J247" s="51">
        <f t="shared" si="41"/>
        <v>0</v>
      </c>
      <c r="K247" s="43">
        <f ca="1">H247*K217</f>
        <v>0</v>
      </c>
      <c r="L247" s="92"/>
      <c r="M247" s="44"/>
      <c r="N247" s="82"/>
      <c r="O247" s="44"/>
      <c r="P247" s="44"/>
      <c r="Q247" s="44"/>
      <c r="R247" s="84"/>
      <c r="S247" s="47"/>
      <c r="T247" s="47"/>
    </row>
    <row r="248" s="27" customFormat="1" ht="21" customHeight="1" spans="1:20">
      <c r="A248" s="34"/>
      <c r="B248" s="48">
        <v>18</v>
      </c>
      <c r="C248" s="48"/>
      <c r="D248" s="88" t="s">
        <v>500</v>
      </c>
      <c r="E248" s="72" t="str">
        <f>+VLOOKUP(D248,'材料表 '!C:F,2,0)</f>
        <v>kg</v>
      </c>
      <c r="F248" s="77"/>
      <c r="G248" s="89"/>
      <c r="H248" s="74"/>
      <c r="I248" s="74"/>
      <c r="J248" s="51"/>
      <c r="K248" s="43">
        <f ca="1">H248*K217</f>
        <v>0</v>
      </c>
      <c r="L248" s="92"/>
      <c r="M248" s="44"/>
      <c r="N248" s="82"/>
      <c r="O248" s="44"/>
      <c r="P248" s="44"/>
      <c r="Q248" s="44"/>
      <c r="R248" s="84"/>
      <c r="S248" s="47"/>
      <c r="T248" s="47"/>
    </row>
    <row r="249" s="27" customFormat="1" ht="34" customHeight="1" spans="1:20">
      <c r="A249" s="34"/>
      <c r="B249" s="48">
        <v>19</v>
      </c>
      <c r="C249" s="48"/>
      <c r="D249" s="88" t="s">
        <v>682</v>
      </c>
      <c r="E249" s="72" t="str">
        <f>+VLOOKUP(D249,'材料表 '!C:F,2,0)</f>
        <v>m2</v>
      </c>
      <c r="F249" s="77">
        <v>1</v>
      </c>
      <c r="G249" s="89">
        <f>+VLOOKUP(D249,'材料表 '!C:F,4,0)</f>
        <v>0.01</v>
      </c>
      <c r="H249" s="74">
        <f>F249*(G249+1)</f>
        <v>1.01</v>
      </c>
      <c r="I249" s="74">
        <f>+VLOOKUP(D249,'材料表 '!C:F,3,0)</f>
        <v>693.805309734513</v>
      </c>
      <c r="J249" s="51">
        <f>H249*I249</f>
        <v>700.743362831858</v>
      </c>
      <c r="K249" s="43">
        <f ca="1">H249*K217</f>
        <v>63.9936</v>
      </c>
      <c r="L249" s="90"/>
      <c r="M249" s="44"/>
      <c r="N249" s="82"/>
      <c r="O249" s="44"/>
      <c r="P249" s="44"/>
      <c r="Q249" s="44"/>
      <c r="R249" s="84"/>
      <c r="S249" s="47"/>
      <c r="T249" s="47"/>
    </row>
    <row r="250" s="27" customFormat="1" ht="19" customHeight="1" spans="1:20">
      <c r="A250" s="34"/>
      <c r="B250" s="48">
        <v>20</v>
      </c>
      <c r="C250" s="48"/>
      <c r="D250" s="88"/>
      <c r="E250" s="72"/>
      <c r="F250" s="77"/>
      <c r="G250" s="89"/>
      <c r="H250" s="74"/>
      <c r="I250" s="74"/>
      <c r="J250" s="51"/>
      <c r="K250" s="43">
        <f ca="1">H250*K217</f>
        <v>0</v>
      </c>
      <c r="L250" s="90"/>
      <c r="M250" s="44"/>
      <c r="N250" s="82"/>
      <c r="O250" s="44"/>
      <c r="P250" s="44"/>
      <c r="Q250" s="44"/>
      <c r="R250" s="84"/>
      <c r="S250" s="47"/>
      <c r="T250" s="47"/>
    </row>
    <row r="251" s="27" customFormat="1" ht="18" customHeight="1" spans="1:20">
      <c r="A251" s="34"/>
      <c r="B251" s="48">
        <v>21</v>
      </c>
      <c r="C251" s="48"/>
      <c r="D251" s="88"/>
      <c r="E251" s="72"/>
      <c r="F251" s="77"/>
      <c r="G251" s="89"/>
      <c r="H251" s="74"/>
      <c r="I251" s="74"/>
      <c r="J251" s="51"/>
      <c r="K251" s="43">
        <f ca="1">H251*K217</f>
        <v>0</v>
      </c>
      <c r="L251" s="92"/>
      <c r="M251" s="44"/>
      <c r="N251" s="82"/>
      <c r="O251" s="44"/>
      <c r="P251" s="44"/>
      <c r="Q251" s="44"/>
      <c r="R251" s="84"/>
      <c r="S251" s="47"/>
      <c r="T251" s="47"/>
    </row>
    <row r="252" s="27" customFormat="1" ht="18" customHeight="1" spans="1:20">
      <c r="A252" s="34"/>
      <c r="B252" s="48">
        <v>22</v>
      </c>
      <c r="C252" s="48"/>
      <c r="D252" s="88"/>
      <c r="E252" s="72"/>
      <c r="F252" s="77"/>
      <c r="G252" s="89"/>
      <c r="H252" s="74"/>
      <c r="I252" s="74"/>
      <c r="J252" s="51"/>
      <c r="K252" s="43">
        <f ca="1">H252*K217</f>
        <v>0</v>
      </c>
      <c r="L252" s="92"/>
      <c r="M252" s="44"/>
      <c r="N252" s="44"/>
      <c r="O252" s="44"/>
      <c r="P252" s="44"/>
      <c r="Q252" s="44"/>
      <c r="R252" s="84"/>
      <c r="S252" s="47"/>
      <c r="T252" s="47"/>
    </row>
    <row r="253" s="27" customFormat="1" ht="18" customHeight="1" spans="1:20">
      <c r="A253" s="34"/>
      <c r="B253" s="48">
        <v>23</v>
      </c>
      <c r="C253" s="48"/>
      <c r="D253" s="88"/>
      <c r="E253" s="72"/>
      <c r="F253" s="77"/>
      <c r="G253" s="89"/>
      <c r="H253" s="74"/>
      <c r="I253" s="74"/>
      <c r="J253" s="51"/>
      <c r="K253" s="75">
        <f ca="1">H253*K217</f>
        <v>0</v>
      </c>
      <c r="L253" s="92"/>
      <c r="M253" s="44"/>
      <c r="N253" s="44"/>
      <c r="O253" s="44"/>
      <c r="P253" s="44"/>
      <c r="Q253" s="44"/>
      <c r="R253" s="84"/>
      <c r="S253" s="47"/>
      <c r="T253" s="47"/>
    </row>
    <row r="254" s="27" customFormat="1" ht="18" customHeight="1" spans="1:20">
      <c r="A254" s="34"/>
      <c r="B254" s="48">
        <v>24</v>
      </c>
      <c r="C254" s="48"/>
      <c r="D254" s="88"/>
      <c r="E254" s="72"/>
      <c r="F254" s="77"/>
      <c r="G254" s="89"/>
      <c r="H254" s="74"/>
      <c r="I254" s="74"/>
      <c r="J254" s="51"/>
      <c r="K254" s="75">
        <f ca="1">H254*K217</f>
        <v>0</v>
      </c>
      <c r="L254" s="92"/>
      <c r="M254" s="44"/>
      <c r="N254" s="44"/>
      <c r="O254" s="44"/>
      <c r="P254" s="44"/>
      <c r="Q254" s="44"/>
      <c r="R254" s="84"/>
      <c r="S254" s="47"/>
      <c r="T254" s="47"/>
    </row>
    <row r="255" s="27" customFormat="1" ht="18" customHeight="1" spans="1:20">
      <c r="A255" s="34"/>
      <c r="B255" s="48">
        <v>25</v>
      </c>
      <c r="C255" s="48"/>
      <c r="D255" s="88"/>
      <c r="E255" s="72"/>
      <c r="F255" s="77"/>
      <c r="G255" s="89"/>
      <c r="H255" s="74"/>
      <c r="I255" s="74"/>
      <c r="J255" s="51"/>
      <c r="K255" s="75"/>
      <c r="L255" s="92"/>
      <c r="M255" s="44"/>
      <c r="N255" s="44"/>
      <c r="O255" s="44"/>
      <c r="P255" s="44"/>
      <c r="Q255" s="44"/>
      <c r="R255" s="84"/>
      <c r="S255" s="47"/>
      <c r="T255" s="47"/>
    </row>
    <row r="256" s="27" customFormat="1" ht="18" customHeight="1" spans="1:20">
      <c r="A256" s="34"/>
      <c r="B256" s="48">
        <v>26</v>
      </c>
      <c r="C256" s="48"/>
      <c r="D256" s="88" t="s">
        <v>441</v>
      </c>
      <c r="E256" s="72" t="s">
        <v>43</v>
      </c>
      <c r="F256" s="77"/>
      <c r="G256" s="72">
        <v>1</v>
      </c>
      <c r="H256" s="74">
        <v>1</v>
      </c>
      <c r="I256" s="74">
        <f>+辅材及安装费!$E$17</f>
        <v>10</v>
      </c>
      <c r="J256" s="51">
        <f>H256*I256</f>
        <v>10</v>
      </c>
      <c r="K256" s="75"/>
      <c r="L256" s="92"/>
      <c r="M256" s="44"/>
      <c r="N256" s="44"/>
      <c r="O256" s="44"/>
      <c r="P256" s="44"/>
      <c r="Q256" s="44"/>
      <c r="R256" s="62"/>
      <c r="S256" s="47"/>
      <c r="T256" s="47"/>
    </row>
    <row r="257" s="27" customFormat="1" ht="18" customHeight="1" spans="1:21">
      <c r="A257" s="34"/>
      <c r="B257" s="48">
        <v>27</v>
      </c>
      <c r="C257" s="48"/>
      <c r="D257" s="93" t="s">
        <v>442</v>
      </c>
      <c r="E257" s="72"/>
      <c r="F257" s="77"/>
      <c r="G257" s="72"/>
      <c r="H257" s="74"/>
      <c r="I257" s="74"/>
      <c r="J257" s="51">
        <f>SUM(J231:J256)</f>
        <v>849.052439258179</v>
      </c>
      <c r="K257" s="75"/>
      <c r="L257" s="94"/>
      <c r="N257" s="83"/>
      <c r="O257" s="83"/>
      <c r="P257" s="83"/>
      <c r="Q257" s="83"/>
      <c r="R257" s="87"/>
      <c r="S257" s="47"/>
      <c r="T257" s="47"/>
    </row>
    <row r="258" s="27" customFormat="1" ht="18" customHeight="1" spans="1:21">
      <c r="A258" s="34"/>
      <c r="B258" s="48">
        <v>1</v>
      </c>
      <c r="C258" s="48" t="s">
        <v>443</v>
      </c>
      <c r="D258" s="48" t="s">
        <v>444</v>
      </c>
      <c r="E258" s="72" t="s">
        <v>43</v>
      </c>
      <c r="F258" s="50"/>
      <c r="G258" s="48"/>
      <c r="H258" s="51">
        <v>1</v>
      </c>
      <c r="I258" s="74">
        <f>+辅材及安装费!$F$17</f>
        <v>5</v>
      </c>
      <c r="J258" s="95">
        <f>H258*I258</f>
        <v>5</v>
      </c>
      <c r="K258" s="60"/>
      <c r="L258" s="96"/>
      <c r="M258" s="97"/>
      <c r="N258" s="98"/>
      <c r="O258" s="98"/>
      <c r="P258" s="98"/>
      <c r="Q258" s="98"/>
      <c r="R258" s="99"/>
      <c r="S258" s="47"/>
      <c r="T258" s="47"/>
    </row>
    <row r="259" s="26" customFormat="1" ht="30" customHeight="1" spans="1:21">
      <c r="A259" s="28"/>
      <c r="B259" s="29" t="s">
        <v>386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30"/>
      <c r="M259" s="31"/>
      <c r="N259" s="31"/>
      <c r="O259" s="31"/>
      <c r="P259" s="31"/>
      <c r="Q259" s="31"/>
      <c r="R259" s="32"/>
      <c r="S259" s="33"/>
      <c r="T259" s="33"/>
    </row>
    <row r="260" s="27" customFormat="1" ht="33.75" customHeight="1" spans="1:21">
      <c r="A260" s="34">
        <v>7</v>
      </c>
      <c r="B260" s="35" t="s">
        <v>1</v>
      </c>
      <c r="C260" s="35" t="s">
        <v>387</v>
      </c>
      <c r="D260" s="36" t="str">
        <f>+A268</f>
        <v>首层座槽式玻璃幕墙（10+1.9SGP+10Low-E(双银)+12A+12㎜全超白钢化夹层中空玻璃）（弯弧）（弧长1414㎜，圆弧半径900㎜，高3600㎜）</v>
      </c>
      <c r="E260" s="37"/>
      <c r="F260" s="38" t="s">
        <v>225</v>
      </c>
      <c r="G260" s="39"/>
      <c r="H260" s="35" t="s">
        <v>388</v>
      </c>
      <c r="I260" s="40" t="s">
        <v>389</v>
      </c>
      <c r="J260" s="41" t="s">
        <v>37</v>
      </c>
      <c r="K260" s="42">
        <f ca="1">VLOOKUP(A260,'商业工程量清单 '!$A$4:$D$44,4,FALSE)</f>
        <v>10.1808</v>
      </c>
      <c r="L260" s="43"/>
      <c r="M260" s="44"/>
      <c r="N260" s="44"/>
      <c r="O260" s="44"/>
      <c r="P260" s="45"/>
      <c r="Q260" s="44"/>
      <c r="R260" s="46"/>
      <c r="S260" s="47"/>
      <c r="T260" s="47"/>
    </row>
    <row r="261" s="27" customFormat="1" ht="25" customHeight="1" spans="1:21">
      <c r="A261" s="34"/>
      <c r="B261" s="48">
        <v>1</v>
      </c>
      <c r="C261" s="49" t="s">
        <v>390</v>
      </c>
      <c r="D261" s="48" t="s">
        <v>391</v>
      </c>
      <c r="E261" s="48"/>
      <c r="F261" s="50"/>
      <c r="G261" s="48"/>
      <c r="H261" s="51"/>
      <c r="I261" s="52">
        <f>J273</f>
        <v>190</v>
      </c>
      <c r="J261" s="53" t="s">
        <v>392</v>
      </c>
      <c r="K261" s="54"/>
      <c r="L261" s="55" t="s">
        <v>1019</v>
      </c>
      <c r="M261" s="56"/>
      <c r="N261" s="57"/>
      <c r="O261" s="57">
        <f>1.414</f>
        <v>1.414</v>
      </c>
      <c r="P261" s="57">
        <v>3.6</v>
      </c>
      <c r="Q261" s="57">
        <v>1</v>
      </c>
      <c r="R261" s="58">
        <f>+Q261*P261*O261</f>
        <v>5.0904</v>
      </c>
      <c r="S261" s="47"/>
      <c r="T261" s="47"/>
    </row>
    <row r="262" s="27" customFormat="1" ht="18" customHeight="1" spans="1:21">
      <c r="A262" s="34"/>
      <c r="B262" s="48">
        <v>2</v>
      </c>
      <c r="C262" s="59"/>
      <c r="D262" s="48" t="s">
        <v>394</v>
      </c>
      <c r="E262" s="48"/>
      <c r="F262" s="50"/>
      <c r="G262" s="48"/>
      <c r="H262" s="51"/>
      <c r="I262" s="52">
        <f>J300</f>
        <v>1529.50506884797</v>
      </c>
      <c r="J262" s="53" t="s">
        <v>392</v>
      </c>
      <c r="K262" s="60"/>
      <c r="L262" s="61"/>
      <c r="M262" s="44"/>
      <c r="N262" s="44"/>
      <c r="O262" s="44"/>
      <c r="P262" s="44"/>
      <c r="Q262" s="44"/>
      <c r="R262" s="62"/>
      <c r="S262" s="47"/>
      <c r="T262" s="47"/>
    </row>
    <row r="263" s="27" customFormat="1" ht="18" customHeight="1" spans="1:21">
      <c r="A263" s="34"/>
      <c r="B263" s="48">
        <v>3</v>
      </c>
      <c r="C263" s="63"/>
      <c r="D263" s="48" t="s">
        <v>395</v>
      </c>
      <c r="E263" s="48"/>
      <c r="F263" s="50"/>
      <c r="G263" s="48"/>
      <c r="H263" s="51"/>
      <c r="I263" s="52">
        <f>J301</f>
        <v>5</v>
      </c>
      <c r="J263" s="53" t="s">
        <v>392</v>
      </c>
      <c r="K263" s="60"/>
      <c r="L263" s="60"/>
      <c r="M263" s="64" t="s">
        <v>396</v>
      </c>
      <c r="N263" s="65" t="s">
        <v>397</v>
      </c>
      <c r="O263" s="65" t="s">
        <v>398</v>
      </c>
      <c r="P263" s="65" t="s">
        <v>399</v>
      </c>
      <c r="Q263" s="65" t="s">
        <v>400</v>
      </c>
      <c r="R263" s="66" t="s">
        <v>401</v>
      </c>
      <c r="S263" s="47"/>
      <c r="T263" s="47"/>
    </row>
    <row r="264" s="27" customFormat="1" ht="18" customHeight="1" spans="1:21">
      <c r="A264" s="34"/>
      <c r="B264" s="48">
        <v>4</v>
      </c>
      <c r="C264" s="48" t="s">
        <v>402</v>
      </c>
      <c r="D264" s="67" t="s">
        <v>403</v>
      </c>
      <c r="E264" s="67"/>
      <c r="F264" s="50"/>
      <c r="G264" s="67"/>
      <c r="H264" s="68"/>
      <c r="I264" s="52">
        <f>SUM(I261:I263)</f>
        <v>1724.50506884797</v>
      </c>
      <c r="J264" s="53" t="s">
        <v>392</v>
      </c>
      <c r="K264" s="60"/>
      <c r="L264" s="69" t="s">
        <v>427</v>
      </c>
      <c r="M264" s="70" t="s">
        <v>1007</v>
      </c>
      <c r="N264" s="34">
        <v>3.111</v>
      </c>
      <c r="O264" s="34">
        <f>P261</f>
        <v>3.6</v>
      </c>
      <c r="P264" s="34">
        <v>1</v>
      </c>
      <c r="Q264" s="44">
        <f t="shared" ref="Q264:Q272" si="42">+P264*O264*N264</f>
        <v>11.1996</v>
      </c>
      <c r="R264" s="71">
        <f>+Q264/R261</f>
        <v>2.2001414427157</v>
      </c>
      <c r="S264" s="47"/>
      <c r="T264" s="47"/>
    </row>
    <row r="265" s="27" customFormat="1" ht="28" customHeight="1" spans="1:21">
      <c r="A265" s="34"/>
      <c r="B265" s="48">
        <v>5</v>
      </c>
      <c r="C265" s="72" t="s">
        <v>406</v>
      </c>
      <c r="D265" s="48" t="s">
        <v>407</v>
      </c>
      <c r="E265" s="48"/>
      <c r="F265" s="50"/>
      <c r="G265" s="48"/>
      <c r="H265" s="73">
        <f>+'材料表 '!$E$178</f>
        <v>0</v>
      </c>
      <c r="I265" s="52">
        <f>H265*I264</f>
        <v>0</v>
      </c>
      <c r="J265" s="53" t="s">
        <v>392</v>
      </c>
      <c r="K265" s="60"/>
      <c r="L265" s="69" t="s">
        <v>433</v>
      </c>
      <c r="M265" s="70" t="s">
        <v>1008</v>
      </c>
      <c r="N265" s="34">
        <v>0.507</v>
      </c>
      <c r="O265" s="34">
        <f>O264*2</f>
        <v>7.2</v>
      </c>
      <c r="P265" s="34">
        <f>P264</f>
        <v>1</v>
      </c>
      <c r="Q265" s="44">
        <f t="shared" si="42"/>
        <v>3.6504</v>
      </c>
      <c r="R265" s="71">
        <f>+Q265/R261</f>
        <v>0.717114568599717</v>
      </c>
      <c r="S265" s="47"/>
      <c r="T265" s="47"/>
    </row>
    <row r="266" s="27" customFormat="1" ht="18" customHeight="1" spans="1:21">
      <c r="A266" s="34"/>
      <c r="B266" s="48">
        <v>6</v>
      </c>
      <c r="C266" s="48" t="s">
        <v>409</v>
      </c>
      <c r="D266" s="48" t="s">
        <v>410</v>
      </c>
      <c r="E266" s="48"/>
      <c r="F266" s="50"/>
      <c r="G266" s="48"/>
      <c r="H266" s="73">
        <f>+'材料表 '!$E$179</f>
        <v>0</v>
      </c>
      <c r="I266" s="52">
        <f>H266*I264</f>
        <v>0</v>
      </c>
      <c r="J266" s="74" t="s">
        <v>392</v>
      </c>
      <c r="K266" s="75"/>
      <c r="L266" s="69" t="s">
        <v>429</v>
      </c>
      <c r="M266" s="70" t="s">
        <v>1009</v>
      </c>
      <c r="N266" s="34">
        <v>0.499</v>
      </c>
      <c r="O266" s="34">
        <f>P261/0.3*0.05</f>
        <v>0.6</v>
      </c>
      <c r="P266" s="34">
        <f>P264</f>
        <v>1</v>
      </c>
      <c r="Q266" s="44">
        <f t="shared" si="42"/>
        <v>0.2994</v>
      </c>
      <c r="R266" s="71">
        <f>+Q266/R261</f>
        <v>0.0588165959453088</v>
      </c>
      <c r="S266" s="47"/>
      <c r="T266" s="47"/>
      <c r="U266" s="76"/>
    </row>
    <row r="267" s="27" customFormat="1" ht="18" customHeight="1" spans="1:21">
      <c r="A267" s="34"/>
      <c r="B267" s="48">
        <v>7</v>
      </c>
      <c r="C267" s="48" t="s">
        <v>412</v>
      </c>
      <c r="D267" s="72" t="s">
        <v>413</v>
      </c>
      <c r="E267" s="72"/>
      <c r="F267" s="77"/>
      <c r="G267" s="72"/>
      <c r="H267" s="73">
        <f>+'材料表 '!$E$180</f>
        <v>0.09</v>
      </c>
      <c r="I267" s="52">
        <f>(I264+I265+I266)*H267</f>
        <v>155.205456196317</v>
      </c>
      <c r="J267" s="74" t="s">
        <v>392</v>
      </c>
      <c r="K267" s="75"/>
      <c r="L267" s="69" t="s">
        <v>429</v>
      </c>
      <c r="M267" s="70" t="s">
        <v>1010</v>
      </c>
      <c r="N267" s="34">
        <f>2.9</f>
        <v>2.9</v>
      </c>
      <c r="O267" s="34">
        <v>0.2</v>
      </c>
      <c r="P267" s="34">
        <f>P264</f>
        <v>1</v>
      </c>
      <c r="Q267" s="44">
        <f t="shared" si="42"/>
        <v>0.58</v>
      </c>
      <c r="R267" s="71">
        <f>+Q267/R261</f>
        <v>0.113939965425114</v>
      </c>
      <c r="S267" s="47"/>
      <c r="T267" s="47"/>
    </row>
    <row r="268" s="27" customFormat="1" ht="18" customHeight="1" spans="1:21">
      <c r="A268" s="78" t="s">
        <v>236</v>
      </c>
      <c r="B268" s="48">
        <v>8</v>
      </c>
      <c r="C268" s="48" t="s">
        <v>363</v>
      </c>
      <c r="D268" s="72" t="s">
        <v>415</v>
      </c>
      <c r="E268" s="72"/>
      <c r="F268" s="77"/>
      <c r="G268" s="72"/>
      <c r="H268" s="51"/>
      <c r="I268" s="74">
        <f>SUM(I264:I267)</f>
        <v>1879.71052504429</v>
      </c>
      <c r="J268" s="74" t="s">
        <v>416</v>
      </c>
      <c r="K268" s="75"/>
      <c r="L268" s="69" t="s">
        <v>429</v>
      </c>
      <c r="M268" s="70"/>
      <c r="N268" s="34"/>
      <c r="O268" s="34"/>
      <c r="P268" s="34">
        <v>1</v>
      </c>
      <c r="Q268" s="44">
        <f t="shared" si="42"/>
        <v>0</v>
      </c>
      <c r="R268" s="71">
        <f>+Q268/R261</f>
        <v>0</v>
      </c>
      <c r="S268" s="79"/>
      <c r="T268" s="47"/>
    </row>
    <row r="269" s="27" customFormat="1" ht="18" customHeight="1" spans="1:21">
      <c r="A269" s="34"/>
      <c r="B269" s="48" t="s">
        <v>418</v>
      </c>
      <c r="C269" s="48"/>
      <c r="D269" s="48"/>
      <c r="E269" s="48"/>
      <c r="F269" s="48"/>
      <c r="G269" s="48"/>
      <c r="H269" s="48"/>
      <c r="I269" s="48"/>
      <c r="J269" s="48"/>
      <c r="K269" s="80"/>
      <c r="L269" s="69" t="s">
        <v>447</v>
      </c>
      <c r="M269" s="70"/>
      <c r="N269" s="34"/>
      <c r="O269" s="34"/>
      <c r="P269" s="34">
        <v>1</v>
      </c>
      <c r="Q269" s="44">
        <f t="shared" si="42"/>
        <v>0</v>
      </c>
      <c r="R269" s="71">
        <f>+Q269/R261</f>
        <v>0</v>
      </c>
      <c r="S269" s="47"/>
      <c r="T269" s="47"/>
      <c r="U269" s="76"/>
    </row>
    <row r="270" s="27" customFormat="1" ht="18" customHeight="1" spans="1:21">
      <c r="A270" s="34"/>
      <c r="B270" s="48">
        <v>1</v>
      </c>
      <c r="C270" s="48" t="s">
        <v>391</v>
      </c>
      <c r="D270" s="48" t="s">
        <v>396</v>
      </c>
      <c r="E270" s="48" t="s">
        <v>37</v>
      </c>
      <c r="F270" s="50"/>
      <c r="G270" s="48"/>
      <c r="H270" s="51" t="s">
        <v>399</v>
      </c>
      <c r="I270" s="51" t="s">
        <v>420</v>
      </c>
      <c r="J270" s="51" t="s">
        <v>421</v>
      </c>
      <c r="K270" s="43"/>
      <c r="L270" s="69" t="s">
        <v>404</v>
      </c>
      <c r="M270" s="81"/>
      <c r="N270" s="82"/>
      <c r="O270" s="34"/>
      <c r="P270" s="34">
        <v>1</v>
      </c>
      <c r="Q270" s="44">
        <f t="shared" si="42"/>
        <v>0</v>
      </c>
      <c r="R270" s="71">
        <f>+Q270/R261</f>
        <v>0</v>
      </c>
      <c r="S270" s="47"/>
      <c r="T270" s="47"/>
    </row>
    <row r="271" s="27" customFormat="1" ht="18" customHeight="1" spans="1:21">
      <c r="A271" s="34"/>
      <c r="B271" s="48">
        <v>2</v>
      </c>
      <c r="C271" s="48"/>
      <c r="D271" s="48" t="s">
        <v>965</v>
      </c>
      <c r="E271" s="72" t="s">
        <v>423</v>
      </c>
      <c r="F271" s="50"/>
      <c r="G271" s="48"/>
      <c r="H271" s="51">
        <v>1</v>
      </c>
      <c r="I271" s="51">
        <f>+辅材及安装费!$G$17</f>
        <v>190</v>
      </c>
      <c r="J271" s="51">
        <f t="shared" ref="J271:J279" si="43">H271*I271</f>
        <v>190</v>
      </c>
      <c r="K271" s="43"/>
      <c r="L271" s="69" t="s">
        <v>427</v>
      </c>
      <c r="M271" s="70"/>
      <c r="N271" s="83"/>
      <c r="O271" s="34"/>
      <c r="P271" s="34">
        <v>1</v>
      </c>
      <c r="Q271" s="44">
        <f t="shared" si="42"/>
        <v>0</v>
      </c>
      <c r="R271" s="84">
        <f>+Q271/R261</f>
        <v>0</v>
      </c>
      <c r="S271" s="47"/>
      <c r="T271" s="47"/>
    </row>
    <row r="272" s="27" customFormat="1" ht="18" customHeight="1" spans="1:21">
      <c r="A272" s="34"/>
      <c r="B272" s="48">
        <v>3</v>
      </c>
      <c r="C272" s="48"/>
      <c r="D272" s="48"/>
      <c r="E272" s="72"/>
      <c r="F272" s="50"/>
      <c r="G272" s="48"/>
      <c r="H272" s="51"/>
      <c r="I272" s="51"/>
      <c r="J272" s="51"/>
      <c r="K272" s="43"/>
      <c r="L272" s="69"/>
      <c r="M272" s="81"/>
      <c r="N272" s="82"/>
      <c r="O272" s="44"/>
      <c r="P272" s="34">
        <v>1</v>
      </c>
      <c r="Q272" s="44">
        <f t="shared" si="42"/>
        <v>0</v>
      </c>
      <c r="R272" s="84">
        <f>+Q272/R261</f>
        <v>0</v>
      </c>
      <c r="S272" s="47"/>
      <c r="T272" s="47"/>
    </row>
    <row r="273" s="27" customFormat="1" ht="18" customHeight="1" spans="1:20">
      <c r="A273" s="34"/>
      <c r="B273" s="48">
        <v>4</v>
      </c>
      <c r="C273" s="48"/>
      <c r="D273" s="85" t="s">
        <v>426</v>
      </c>
      <c r="E273" s="48" t="s">
        <v>392</v>
      </c>
      <c r="F273" s="50"/>
      <c r="G273" s="48"/>
      <c r="H273" s="86"/>
      <c r="I273" s="86"/>
      <c r="J273" s="51">
        <f>SUM(J271:J271)</f>
        <v>190</v>
      </c>
      <c r="K273" s="75"/>
      <c r="L273" s="69"/>
      <c r="M273" s="70"/>
      <c r="N273" s="83"/>
      <c r="O273" s="83"/>
      <c r="P273" s="34">
        <v>1</v>
      </c>
      <c r="Q273" s="83"/>
      <c r="R273" s="87"/>
      <c r="S273" s="47"/>
      <c r="T273" s="47"/>
    </row>
    <row r="274" s="27" customFormat="1" ht="23" customHeight="1" spans="1:20">
      <c r="A274" s="34"/>
      <c r="B274" s="48">
        <v>1</v>
      </c>
      <c r="C274" s="48" t="s">
        <v>394</v>
      </c>
      <c r="D274" s="88" t="s">
        <v>427</v>
      </c>
      <c r="E274" s="72" t="str">
        <f>+VLOOKUP(D274,'材料表 '!C:F,2,0)</f>
        <v>kg</v>
      </c>
      <c r="F274" s="77">
        <f>+SUMIF($L$261:$L$301,D274,$R$261:$R$301)</f>
        <v>2.2001414427157</v>
      </c>
      <c r="G274" s="89">
        <f>+VLOOKUP(D274,'材料表 '!C:F,4,0)</f>
        <v>0.03</v>
      </c>
      <c r="H274" s="74">
        <f t="shared" ref="H274:H279" si="44">F274*(G274+1)</f>
        <v>2.26614568599717</v>
      </c>
      <c r="I274" s="74">
        <f>+VLOOKUP(D274,'材料表 '!C:F,3,0)</f>
        <v>25.8495575221239</v>
      </c>
      <c r="J274" s="51">
        <f t="shared" si="43"/>
        <v>58.5788632636968</v>
      </c>
      <c r="K274" s="75">
        <f ca="1">H274*K260</f>
        <v>23.071176</v>
      </c>
      <c r="L274" s="69"/>
      <c r="M274" s="70"/>
      <c r="N274" s="83"/>
      <c r="O274" s="83"/>
      <c r="P274" s="34">
        <v>1</v>
      </c>
      <c r="Q274" s="83"/>
      <c r="R274" s="87"/>
      <c r="S274" s="47"/>
      <c r="T274" s="47"/>
    </row>
    <row r="275" s="27" customFormat="1" ht="18" customHeight="1" spans="1:20">
      <c r="A275" s="34"/>
      <c r="B275" s="48">
        <v>2</v>
      </c>
      <c r="C275" s="48"/>
      <c r="D275" s="88" t="s">
        <v>404</v>
      </c>
      <c r="E275" s="72" t="str">
        <f>+VLOOKUP(D275,'材料表 '!C:F,2,0)</f>
        <v>kg</v>
      </c>
      <c r="F275" s="77">
        <f t="shared" ref="F275:F287" si="45">+SUMIF($L$261:$L$301,D275,$R$261:$R$301)</f>
        <v>0</v>
      </c>
      <c r="G275" s="89">
        <f>+VLOOKUP(D275,'材料表 '!C:F,4,0)</f>
        <v>0.03</v>
      </c>
      <c r="H275" s="74">
        <f t="shared" si="44"/>
        <v>0</v>
      </c>
      <c r="I275" s="74">
        <f>+VLOOKUP(D275,'材料表 '!C:F,3,0)</f>
        <v>25.6725663716814</v>
      </c>
      <c r="J275" s="51">
        <f t="shared" si="43"/>
        <v>0</v>
      </c>
      <c r="K275" s="75">
        <f ca="1">H275*K260</f>
        <v>0</v>
      </c>
      <c r="L275" s="69"/>
      <c r="M275" s="70"/>
      <c r="N275" s="83"/>
      <c r="O275" s="83"/>
      <c r="P275" s="83"/>
      <c r="Q275" s="83"/>
      <c r="R275" s="87"/>
      <c r="S275" s="47"/>
      <c r="T275" s="47"/>
    </row>
    <row r="276" s="27" customFormat="1" ht="18" customHeight="1" spans="1:20">
      <c r="A276" s="34"/>
      <c r="B276" s="48">
        <v>3</v>
      </c>
      <c r="C276" s="48"/>
      <c r="D276" s="88" t="s">
        <v>433</v>
      </c>
      <c r="E276" s="72" t="str">
        <f>+VLOOKUP(D276,'材料表 '!C:F,2,0)</f>
        <v>kg</v>
      </c>
      <c r="F276" s="77">
        <f t="shared" si="45"/>
        <v>0.717114568599717</v>
      </c>
      <c r="G276" s="89">
        <f>+VLOOKUP(D276,'材料表 '!C:F,4,0)</f>
        <v>0.03</v>
      </c>
      <c r="H276" s="74">
        <f t="shared" si="44"/>
        <v>0.738628005657709</v>
      </c>
      <c r="I276" s="74">
        <f>+VLOOKUP(D276,'材料表 '!C:F,3,0)</f>
        <v>26.1150442477876</v>
      </c>
      <c r="J276" s="51">
        <f t="shared" si="43"/>
        <v>19.2893030504062</v>
      </c>
      <c r="K276" s="75">
        <f ca="1">H276*K260</f>
        <v>7.519824</v>
      </c>
      <c r="L276" s="69"/>
      <c r="N276" s="83"/>
      <c r="O276" s="83"/>
      <c r="P276" s="83"/>
      <c r="Q276" s="83"/>
      <c r="R276" s="87"/>
      <c r="S276" s="47"/>
      <c r="T276" s="47"/>
    </row>
    <row r="277" s="27" customFormat="1" ht="18" customHeight="1" spans="1:20">
      <c r="A277" s="34"/>
      <c r="B277" s="48">
        <v>4</v>
      </c>
      <c r="C277" s="48"/>
      <c r="D277" s="88" t="s">
        <v>429</v>
      </c>
      <c r="E277" s="72" t="str">
        <f>+VLOOKUP(D277,'材料表 '!C:F,2,0)</f>
        <v>kg</v>
      </c>
      <c r="F277" s="77">
        <f t="shared" si="45"/>
        <v>0.172756561370423</v>
      </c>
      <c r="G277" s="89">
        <f>+VLOOKUP(D277,'材料表 '!C:F,4,0)</f>
        <v>0.03</v>
      </c>
      <c r="H277" s="74">
        <f t="shared" si="44"/>
        <v>0.177939258211536</v>
      </c>
      <c r="I277" s="74">
        <f>+VLOOKUP(D277,'材料表 '!C:F,3,0)</f>
        <v>26.1150442477876</v>
      </c>
      <c r="J277" s="51">
        <f t="shared" si="43"/>
        <v>4.64689160161276</v>
      </c>
      <c r="K277" s="75">
        <f ca="1">H277*K260</f>
        <v>1.81156400000001</v>
      </c>
      <c r="L277" s="90" t="s">
        <v>428</v>
      </c>
      <c r="M277" s="44"/>
      <c r="N277" s="82"/>
      <c r="O277" s="44">
        <f>(O264*P264)</f>
        <v>3.6</v>
      </c>
      <c r="P277" s="44">
        <v>1</v>
      </c>
      <c r="Q277" s="44">
        <f>+P277*O277</f>
        <v>3.6</v>
      </c>
      <c r="R277" s="84">
        <f>+Q277/R261</f>
        <v>0.707213578500707</v>
      </c>
      <c r="S277" s="47"/>
      <c r="T277" s="47"/>
    </row>
    <row r="278" s="27" customFormat="1" ht="18" customHeight="1" spans="1:20">
      <c r="A278" s="34"/>
      <c r="B278" s="48">
        <v>5</v>
      </c>
      <c r="C278" s="48"/>
      <c r="D278" s="88" t="s">
        <v>447</v>
      </c>
      <c r="E278" s="72" t="str">
        <f>+VLOOKUP(D278,'材料表 '!C:F,2,0)</f>
        <v>kg</v>
      </c>
      <c r="F278" s="77">
        <f t="shared" si="45"/>
        <v>0</v>
      </c>
      <c r="G278" s="89">
        <f>+VLOOKUP(D278,'材料表 '!C:F,4,0)</f>
        <v>0.03</v>
      </c>
      <c r="H278" s="74">
        <f t="shared" si="44"/>
        <v>0</v>
      </c>
      <c r="I278" s="74">
        <f>+VLOOKUP(D278,'材料表 '!C:F,3,0)</f>
        <v>24.4336283185841</v>
      </c>
      <c r="J278" s="51">
        <f t="shared" si="43"/>
        <v>0</v>
      </c>
      <c r="K278" s="43">
        <f ca="1">H278*K260</f>
        <v>0</v>
      </c>
      <c r="L278" s="90"/>
      <c r="M278" s="44"/>
      <c r="N278" s="82"/>
      <c r="O278" s="44"/>
      <c r="P278" s="44"/>
      <c r="Q278" s="44"/>
      <c r="R278" s="84"/>
      <c r="S278" s="47"/>
      <c r="T278" s="47"/>
    </row>
    <row r="279" s="27" customFormat="1" ht="18" customHeight="1" spans="1:20">
      <c r="A279" s="34"/>
      <c r="B279" s="48">
        <v>6</v>
      </c>
      <c r="C279" s="48"/>
      <c r="D279" s="88" t="s">
        <v>434</v>
      </c>
      <c r="E279" s="72" t="str">
        <f>+VLOOKUP(D279,'材料表 '!C:F,2,0)</f>
        <v>m2</v>
      </c>
      <c r="F279" s="77">
        <f t="shared" si="45"/>
        <v>0</v>
      </c>
      <c r="G279" s="89">
        <f>+VLOOKUP(D279,'材料表 '!C:F,4,0)</f>
        <v>0</v>
      </c>
      <c r="H279" s="74">
        <f t="shared" si="44"/>
        <v>0</v>
      </c>
      <c r="I279" s="74">
        <f>+VLOOKUP(D279,'材料表 '!C:F,3,0)</f>
        <v>49.5575221238938</v>
      </c>
      <c r="J279" s="51">
        <f t="shared" si="43"/>
        <v>0</v>
      </c>
      <c r="K279" s="43">
        <f ca="1">H279*K260</f>
        <v>0</v>
      </c>
      <c r="L279" s="90" t="s">
        <v>463</v>
      </c>
      <c r="M279" s="91" t="s">
        <v>1012</v>
      </c>
      <c r="N279" s="82">
        <f>0.32*0.3*8*7.85</f>
        <v>6.0288</v>
      </c>
      <c r="O279" s="44">
        <v>1</v>
      </c>
      <c r="P279" s="44">
        <f>P264</f>
        <v>1</v>
      </c>
      <c r="Q279" s="44">
        <f t="shared" ref="Q279:Q283" si="46">+P279*O279*N279</f>
        <v>6.0288</v>
      </c>
      <c r="R279" s="84">
        <f>+Q279/R261</f>
        <v>1.18434700612918</v>
      </c>
      <c r="S279" s="47"/>
      <c r="T279" s="47"/>
    </row>
    <row r="280" s="27" customFormat="1" ht="18" customHeight="1" spans="1:20">
      <c r="A280" s="34"/>
      <c r="B280" s="48">
        <v>7</v>
      </c>
      <c r="C280" s="48"/>
      <c r="D280" s="88"/>
      <c r="E280" s="72"/>
      <c r="F280" s="77">
        <f t="shared" si="45"/>
        <v>0</v>
      </c>
      <c r="G280" s="89"/>
      <c r="H280" s="74"/>
      <c r="I280" s="74"/>
      <c r="J280" s="51"/>
      <c r="K280" s="43">
        <f ca="1">H280*K260</f>
        <v>0</v>
      </c>
      <c r="L280" s="69" t="s">
        <v>465</v>
      </c>
      <c r="M280" s="81" t="s">
        <v>1013</v>
      </c>
      <c r="N280" s="34">
        <v>9.88</v>
      </c>
      <c r="O280" s="34">
        <f>0.13</f>
        <v>0.13</v>
      </c>
      <c r="P280" s="34">
        <f>2*P279</f>
        <v>2</v>
      </c>
      <c r="Q280" s="44">
        <f t="shared" si="46"/>
        <v>2.5688</v>
      </c>
      <c r="R280" s="84">
        <f>Q280/R261</f>
        <v>0.504636177903505</v>
      </c>
      <c r="S280" s="47"/>
      <c r="T280" s="47"/>
    </row>
    <row r="281" s="27" customFormat="1" ht="18" customHeight="1" spans="1:20">
      <c r="A281" s="34"/>
      <c r="B281" s="48">
        <v>8</v>
      </c>
      <c r="C281" s="48"/>
      <c r="D281" s="88" t="s">
        <v>431</v>
      </c>
      <c r="E281" s="72" t="str">
        <f>+VLOOKUP(D281,'材料表 '!C:F,2,0)</f>
        <v>kg</v>
      </c>
      <c r="F281" s="77">
        <f t="shared" si="45"/>
        <v>0</v>
      </c>
      <c r="G281" s="89">
        <f>+VLOOKUP(D281,'材料表 '!C:F,4,0)</f>
        <v>0.03</v>
      </c>
      <c r="H281" s="74">
        <f t="shared" ref="H281:H290" si="47">F281*(G281+1)</f>
        <v>0</v>
      </c>
      <c r="I281" s="74">
        <f>+VLOOKUP(D281,'材料表 '!C:F,3,0)</f>
        <v>3.80530973451327</v>
      </c>
      <c r="J281" s="51">
        <f t="shared" ref="J281:J290" si="48">H281*I281</f>
        <v>0</v>
      </c>
      <c r="K281" s="43">
        <f ca="1">H281*K260</f>
        <v>0</v>
      </c>
      <c r="L281" s="90" t="s">
        <v>474</v>
      </c>
      <c r="M281" s="44"/>
      <c r="N281" s="82"/>
      <c r="O281" s="44">
        <v>6</v>
      </c>
      <c r="P281" s="44">
        <f>O279*P279</f>
        <v>1</v>
      </c>
      <c r="Q281" s="44">
        <f>O281*P281</f>
        <v>6</v>
      </c>
      <c r="R281" s="84">
        <f>Q281/R261</f>
        <v>1.17868929750118</v>
      </c>
      <c r="S281" s="47"/>
      <c r="T281" s="47"/>
    </row>
    <row r="282" s="27" customFormat="1" ht="18" customHeight="1" spans="1:20">
      <c r="A282" s="34"/>
      <c r="B282" s="48">
        <v>9</v>
      </c>
      <c r="C282" s="48"/>
      <c r="D282" s="88" t="s">
        <v>461</v>
      </c>
      <c r="E282" s="72" t="str">
        <f>+VLOOKUP(D282,'材料表 '!C:F,2,0)</f>
        <v>kg</v>
      </c>
      <c r="F282" s="77">
        <f t="shared" si="45"/>
        <v>0</v>
      </c>
      <c r="G282" s="89">
        <f>+VLOOKUP(D282,'材料表 '!C:F,4,0)</f>
        <v>0.03</v>
      </c>
      <c r="H282" s="74">
        <f t="shared" si="47"/>
        <v>0</v>
      </c>
      <c r="I282" s="74">
        <f>+VLOOKUP(D282,'材料表 '!C:F,3,0)</f>
        <v>3.53982300884956</v>
      </c>
      <c r="J282" s="51">
        <f t="shared" si="48"/>
        <v>0</v>
      </c>
      <c r="K282" s="43">
        <f ca="1">H282*K260</f>
        <v>0</v>
      </c>
      <c r="L282" s="90" t="s">
        <v>472</v>
      </c>
      <c r="M282" s="91"/>
      <c r="N282" s="82"/>
      <c r="O282" s="44">
        <v>2</v>
      </c>
      <c r="P282" s="44">
        <f>P264</f>
        <v>1</v>
      </c>
      <c r="Q282" s="44">
        <f>O282*P282</f>
        <v>2</v>
      </c>
      <c r="R282" s="84">
        <f>Q282/R261</f>
        <v>0.392896432500393</v>
      </c>
      <c r="S282" s="47"/>
      <c r="T282" s="47"/>
    </row>
    <row r="283" s="27" customFormat="1" ht="18" customHeight="1" spans="1:20">
      <c r="A283" s="34"/>
      <c r="B283" s="48">
        <v>10</v>
      </c>
      <c r="C283" s="48"/>
      <c r="D283" s="88" t="s">
        <v>435</v>
      </c>
      <c r="E283" s="72" t="str">
        <f>+VLOOKUP(D283,'材料表 '!C:F,2,0)</f>
        <v>kg</v>
      </c>
      <c r="F283" s="77">
        <f t="shared" si="45"/>
        <v>0</v>
      </c>
      <c r="G283" s="89">
        <f>+VLOOKUP(D283,'材料表 '!C:F,4,0)</f>
        <v>0.03</v>
      </c>
      <c r="H283" s="74">
        <f t="shared" si="47"/>
        <v>0</v>
      </c>
      <c r="I283" s="74">
        <f>+VLOOKUP(D283,'材料表 '!C:F,3,0)</f>
        <v>19.4690265486726</v>
      </c>
      <c r="J283" s="51">
        <f t="shared" si="48"/>
        <v>0</v>
      </c>
      <c r="K283" s="43">
        <f ca="1">H283*K260</f>
        <v>0</v>
      </c>
      <c r="L283" s="69" t="s">
        <v>465</v>
      </c>
      <c r="M283" s="91"/>
      <c r="N283" s="82">
        <f>(0.058+0.04*2)*5*7.85</f>
        <v>5.4165</v>
      </c>
      <c r="O283" s="44">
        <f>O261</f>
        <v>1.414</v>
      </c>
      <c r="P283" s="44">
        <v>1</v>
      </c>
      <c r="Q283" s="44">
        <f t="shared" si="46"/>
        <v>7.658931</v>
      </c>
      <c r="R283" s="84">
        <f>+Q283/R261</f>
        <v>1.50458333333333</v>
      </c>
      <c r="S283" s="47"/>
      <c r="T283" s="47"/>
    </row>
    <row r="284" s="27" customFormat="1" ht="18" customHeight="1" spans="1:20">
      <c r="A284" s="34"/>
      <c r="B284" s="48">
        <v>11</v>
      </c>
      <c r="C284" s="48"/>
      <c r="D284" s="88" t="s">
        <v>463</v>
      </c>
      <c r="E284" s="72" t="str">
        <f>+VLOOKUP(D284,'材料表 '!C:F,2,0)</f>
        <v>kg</v>
      </c>
      <c r="F284" s="77">
        <f t="shared" si="45"/>
        <v>1.18434700612918</v>
      </c>
      <c r="G284" s="89">
        <f>+VLOOKUP(D284,'材料表 '!C:F,4,0)</f>
        <v>0.03</v>
      </c>
      <c r="H284" s="74">
        <f t="shared" si="47"/>
        <v>1.21987741631306</v>
      </c>
      <c r="I284" s="74">
        <f>+VLOOKUP(D284,'材料表 '!C:F,3,0)</f>
        <v>6.01769911504425</v>
      </c>
      <c r="J284" s="51">
        <f t="shared" si="48"/>
        <v>7.34085524860954</v>
      </c>
      <c r="K284" s="43">
        <f ca="1">H284*K260</f>
        <v>12.419328</v>
      </c>
      <c r="L284" s="69" t="s">
        <v>461</v>
      </c>
      <c r="N284" s="83"/>
      <c r="O284" s="83"/>
      <c r="P284" s="83"/>
      <c r="Q284" s="83"/>
      <c r="R284" s="84"/>
      <c r="S284" s="47"/>
      <c r="T284" s="47"/>
    </row>
    <row r="285" s="27" customFormat="1" ht="18" customHeight="1" spans="1:20">
      <c r="A285" s="34"/>
      <c r="B285" s="48">
        <v>12</v>
      </c>
      <c r="C285" s="48"/>
      <c r="D285" s="88" t="s">
        <v>465</v>
      </c>
      <c r="E285" s="72" t="str">
        <f>+VLOOKUP(D285,'材料表 '!C:F,2,0)</f>
        <v>kg</v>
      </c>
      <c r="F285" s="77">
        <f t="shared" si="45"/>
        <v>2.00921951123683</v>
      </c>
      <c r="G285" s="89">
        <f>+VLOOKUP(D285,'材料表 '!C:F,4,0)</f>
        <v>0.03</v>
      </c>
      <c r="H285" s="74">
        <f t="shared" si="47"/>
        <v>2.06949609657393</v>
      </c>
      <c r="I285" s="74">
        <f>+VLOOKUP(D285,'材料表 '!C:F,3,0)</f>
        <v>6.01769911504425</v>
      </c>
      <c r="J285" s="51">
        <f t="shared" si="48"/>
        <v>12.4536048289405</v>
      </c>
      <c r="K285" s="43">
        <f ca="1">H285*K260</f>
        <v>21.0691258599999</v>
      </c>
      <c r="L285" s="90"/>
      <c r="M285" s="44"/>
      <c r="N285" s="82"/>
      <c r="O285" s="44"/>
      <c r="P285" s="44"/>
      <c r="Q285" s="44"/>
      <c r="R285" s="84"/>
      <c r="S285" s="47"/>
      <c r="T285" s="47"/>
    </row>
    <row r="286" s="27" customFormat="1" ht="18" customHeight="1" spans="1:20">
      <c r="A286" s="34"/>
      <c r="B286" s="48">
        <v>13</v>
      </c>
      <c r="C286" s="48"/>
      <c r="D286" s="88" t="s">
        <v>474</v>
      </c>
      <c r="E286" s="72" t="str">
        <f>+VLOOKUP(D286,'材料表 '!C:F,2,0)</f>
        <v>套</v>
      </c>
      <c r="F286" s="77">
        <f t="shared" si="45"/>
        <v>1.17868929750118</v>
      </c>
      <c r="G286" s="89">
        <f>+VLOOKUP(D286,'材料表 '!C:F,4,0)</f>
        <v>0</v>
      </c>
      <c r="H286" s="74">
        <f t="shared" si="47"/>
        <v>1.17868929750118</v>
      </c>
      <c r="I286" s="74">
        <f>+VLOOKUP(D286,'材料表 '!C:F,3,0)</f>
        <v>2.21238938053097</v>
      </c>
      <c r="J286" s="51">
        <f t="shared" si="48"/>
        <v>2.60771968473712</v>
      </c>
      <c r="K286" s="43">
        <f ca="1">H286*K260</f>
        <v>12</v>
      </c>
      <c r="L286" s="90"/>
      <c r="M286" s="44"/>
      <c r="N286" s="82"/>
      <c r="O286" s="44"/>
      <c r="P286" s="44"/>
      <c r="Q286" s="44"/>
      <c r="R286" s="84"/>
      <c r="S286" s="47"/>
      <c r="T286" s="47"/>
    </row>
    <row r="287" s="27" customFormat="1" ht="18" customHeight="1" spans="1:20">
      <c r="A287" s="34"/>
      <c r="B287" s="48">
        <v>14</v>
      </c>
      <c r="C287" s="48"/>
      <c r="D287" s="88" t="s">
        <v>472</v>
      </c>
      <c r="E287" s="72" t="str">
        <f>+VLOOKUP(D287,'材料表 '!C:F,2,0)</f>
        <v>套</v>
      </c>
      <c r="F287" s="77">
        <f t="shared" si="45"/>
        <v>0.392896432500393</v>
      </c>
      <c r="G287" s="89">
        <f>+VLOOKUP(D287,'材料表 '!C:F,4,0)</f>
        <v>0</v>
      </c>
      <c r="H287" s="74">
        <f t="shared" si="47"/>
        <v>0.392896432500393</v>
      </c>
      <c r="I287" s="74">
        <f>+VLOOKUP(D287,'材料表 '!C:F,3,0)</f>
        <v>2.47787610619469</v>
      </c>
      <c r="J287" s="51">
        <f t="shared" si="48"/>
        <v>0.973548682301859</v>
      </c>
      <c r="K287" s="43">
        <f ca="1">H287*K260</f>
        <v>4</v>
      </c>
      <c r="L287" s="90"/>
      <c r="M287" s="44"/>
      <c r="N287" s="82"/>
      <c r="O287" s="44"/>
      <c r="P287" s="44"/>
      <c r="Q287" s="44"/>
      <c r="R287" s="84"/>
      <c r="S287" s="47"/>
      <c r="T287" s="47"/>
    </row>
    <row r="288" s="27" customFormat="1" ht="18" customHeight="1" spans="1:20">
      <c r="A288" s="34"/>
      <c r="B288" s="48">
        <v>15</v>
      </c>
      <c r="C288" s="48"/>
      <c r="D288" s="88" t="s">
        <v>476</v>
      </c>
      <c r="E288" s="72" t="str">
        <f>+VLOOKUP(D288,'材料表 '!C:F,2,0)</f>
        <v>支</v>
      </c>
      <c r="F288" s="77">
        <f>8*8*(O261*2+P261*P264*2)/500/R261+15*32*(P261*P264)/500/R261</f>
        <v>0.931082822567971</v>
      </c>
      <c r="G288" s="89">
        <f>+VLOOKUP(D288,'材料表 '!C:F,4,0)</f>
        <v>0.15</v>
      </c>
      <c r="H288" s="74">
        <f t="shared" si="47"/>
        <v>1.07074524595317</v>
      </c>
      <c r="I288" s="74">
        <f>+VLOOKUP(D288,'材料表 '!C:F,3,0)</f>
        <v>11.5044247787611</v>
      </c>
      <c r="J288" s="51">
        <f t="shared" si="48"/>
        <v>12.3183081392843</v>
      </c>
      <c r="K288" s="43">
        <f ca="1">H288*K260</f>
        <v>10.9010432</v>
      </c>
      <c r="L288" s="92"/>
      <c r="M288" s="44"/>
      <c r="N288" s="82"/>
      <c r="O288" s="44"/>
      <c r="P288" s="44"/>
      <c r="Q288" s="44"/>
      <c r="R288" s="84"/>
      <c r="S288" s="47"/>
      <c r="T288" s="47"/>
    </row>
    <row r="289" s="27" customFormat="1" ht="18" customHeight="1" spans="1:20">
      <c r="A289" s="34"/>
      <c r="B289" s="48">
        <v>16</v>
      </c>
      <c r="C289" s="48"/>
      <c r="D289" s="88" t="s">
        <v>576</v>
      </c>
      <c r="E289" s="72" t="str">
        <f>+VLOOKUP(D289,'材料表 '!C:F,2,0)</f>
        <v>支</v>
      </c>
      <c r="F289" s="77">
        <f>16*8*(P261*P264)*2/500/R261</f>
        <v>0.362093352192362</v>
      </c>
      <c r="G289" s="89">
        <f>+VLOOKUP(D289,'材料表 '!C:F,4,0)</f>
        <v>0.15</v>
      </c>
      <c r="H289" s="74">
        <f t="shared" si="47"/>
        <v>0.416407355021216</v>
      </c>
      <c r="I289" s="74">
        <f>+VLOOKUP(D289,'材料表 '!C:F,3,0)</f>
        <v>14.1592920353982</v>
      </c>
      <c r="J289" s="51">
        <f t="shared" si="48"/>
        <v>5.89603334543314</v>
      </c>
      <c r="K289" s="43">
        <f ca="1">H289*K260</f>
        <v>4.23936</v>
      </c>
      <c r="L289" s="92"/>
      <c r="M289" s="44"/>
      <c r="N289" s="82"/>
      <c r="O289" s="44"/>
      <c r="P289" s="44"/>
      <c r="Q289" s="44"/>
      <c r="R289" s="84"/>
      <c r="S289" s="47"/>
      <c r="T289" s="47"/>
    </row>
    <row r="290" s="27" customFormat="1" ht="18" customHeight="1" spans="1:20">
      <c r="A290" s="34"/>
      <c r="B290" s="48">
        <v>17</v>
      </c>
      <c r="C290" s="48"/>
      <c r="D290" s="88" t="s">
        <v>479</v>
      </c>
      <c r="E290" s="72" t="str">
        <f>+VLOOKUP(D290,'材料表 '!C:F,2,0)</f>
        <v>kg</v>
      </c>
      <c r="F290" s="77">
        <f>R283</f>
        <v>1.50458333333333</v>
      </c>
      <c r="G290" s="89">
        <f>+VLOOKUP(D290,'材料表 '!C:F,4,0)</f>
        <v>0.03</v>
      </c>
      <c r="H290" s="74">
        <f t="shared" si="47"/>
        <v>1.54972083333333</v>
      </c>
      <c r="I290" s="74">
        <f>+VLOOKUP(D290,'材料表 '!C:F,3,0)</f>
        <v>14.1592920353982</v>
      </c>
      <c r="J290" s="51">
        <f t="shared" si="48"/>
        <v>21.9429498525073</v>
      </c>
      <c r="K290" s="43">
        <f ca="1">H290*K260</f>
        <v>15.77739786</v>
      </c>
      <c r="L290" s="92"/>
      <c r="M290" s="44"/>
      <c r="N290" s="82"/>
      <c r="O290" s="44"/>
      <c r="P290" s="44"/>
      <c r="Q290" s="44"/>
      <c r="R290" s="84"/>
      <c r="S290" s="47"/>
      <c r="T290" s="47"/>
    </row>
    <row r="291" s="27" customFormat="1" ht="21" customHeight="1" spans="1:20">
      <c r="A291" s="34"/>
      <c r="B291" s="48">
        <v>18</v>
      </c>
      <c r="C291" s="48"/>
      <c r="D291" s="88" t="s">
        <v>500</v>
      </c>
      <c r="E291" s="72" t="str">
        <f>+VLOOKUP(D291,'材料表 '!C:F,2,0)</f>
        <v>kg</v>
      </c>
      <c r="F291" s="77"/>
      <c r="G291" s="89"/>
      <c r="H291" s="74"/>
      <c r="I291" s="74"/>
      <c r="J291" s="51"/>
      <c r="K291" s="43">
        <f ca="1">H291*K260</f>
        <v>0</v>
      </c>
      <c r="L291" s="92"/>
      <c r="M291" s="44"/>
      <c r="N291" s="82"/>
      <c r="O291" s="44"/>
      <c r="P291" s="44"/>
      <c r="Q291" s="44"/>
      <c r="R291" s="84"/>
      <c r="S291" s="47"/>
      <c r="T291" s="47"/>
    </row>
    <row r="292" s="27" customFormat="1" ht="34" customHeight="1" spans="1:20">
      <c r="A292" s="34"/>
      <c r="B292" s="48">
        <v>19</v>
      </c>
      <c r="C292" s="48"/>
      <c r="D292" s="88" t="s">
        <v>683</v>
      </c>
      <c r="E292" s="72" t="str">
        <f>+VLOOKUP(D292,'材料表 '!C:F,2,0)</f>
        <v>m2</v>
      </c>
      <c r="F292" s="77">
        <v>1</v>
      </c>
      <c r="G292" s="89">
        <f>+VLOOKUP(D292,'材料表 '!C:F,4,0)</f>
        <v>0.01</v>
      </c>
      <c r="H292" s="74">
        <f>F292*(G292+1)</f>
        <v>1.01</v>
      </c>
      <c r="I292" s="74">
        <f>+VLOOKUP(D292,'材料表 '!C:F,3,0)</f>
        <v>1359.85840707965</v>
      </c>
      <c r="J292" s="51">
        <f>H292*I292</f>
        <v>1373.45699115044</v>
      </c>
      <c r="K292" s="43">
        <f ca="1">H292*K260</f>
        <v>10.282608</v>
      </c>
      <c r="L292" s="90"/>
      <c r="M292" s="44"/>
      <c r="N292" s="82"/>
      <c r="O292" s="44"/>
      <c r="P292" s="44"/>
      <c r="Q292" s="44"/>
      <c r="R292" s="84"/>
      <c r="S292" s="47"/>
      <c r="T292" s="47"/>
    </row>
    <row r="293" s="27" customFormat="1" ht="19" customHeight="1" spans="1:20">
      <c r="A293" s="34"/>
      <c r="B293" s="48">
        <v>20</v>
      </c>
      <c r="C293" s="48"/>
      <c r="D293" s="88"/>
      <c r="E293" s="72"/>
      <c r="F293" s="77"/>
      <c r="G293" s="89"/>
      <c r="H293" s="74"/>
      <c r="I293" s="74"/>
      <c r="J293" s="51"/>
      <c r="K293" s="43">
        <f ca="1">H293*K260</f>
        <v>0</v>
      </c>
      <c r="L293" s="90"/>
      <c r="M293" s="44"/>
      <c r="N293" s="82"/>
      <c r="O293" s="44"/>
      <c r="P293" s="44"/>
      <c r="Q293" s="44"/>
      <c r="R293" s="84"/>
      <c r="S293" s="47"/>
      <c r="T293" s="47"/>
    </row>
    <row r="294" s="27" customFormat="1" ht="18" customHeight="1" spans="1:20">
      <c r="A294" s="34"/>
      <c r="B294" s="48">
        <v>21</v>
      </c>
      <c r="C294" s="48"/>
      <c r="D294" s="88"/>
      <c r="E294" s="72"/>
      <c r="F294" s="77"/>
      <c r="G294" s="89"/>
      <c r="H294" s="74"/>
      <c r="I294" s="74"/>
      <c r="J294" s="51"/>
      <c r="K294" s="43">
        <f ca="1">H294*K260</f>
        <v>0</v>
      </c>
      <c r="L294" s="92"/>
      <c r="M294" s="44"/>
      <c r="N294" s="82"/>
      <c r="O294" s="44"/>
      <c r="P294" s="44"/>
      <c r="Q294" s="44"/>
      <c r="R294" s="84"/>
      <c r="S294" s="47"/>
      <c r="T294" s="47"/>
    </row>
    <row r="295" s="27" customFormat="1" ht="18" customHeight="1" spans="1:20">
      <c r="A295" s="34"/>
      <c r="B295" s="48">
        <v>22</v>
      </c>
      <c r="C295" s="48"/>
      <c r="D295" s="88"/>
      <c r="E295" s="72"/>
      <c r="F295" s="77"/>
      <c r="G295" s="89"/>
      <c r="H295" s="74"/>
      <c r="I295" s="74"/>
      <c r="J295" s="51"/>
      <c r="K295" s="43">
        <f ca="1">H295*K260</f>
        <v>0</v>
      </c>
      <c r="L295" s="92"/>
      <c r="M295" s="44"/>
      <c r="N295" s="44"/>
      <c r="O295" s="44"/>
      <c r="P295" s="44"/>
      <c r="Q295" s="44"/>
      <c r="R295" s="84"/>
      <c r="S295" s="47"/>
      <c r="T295" s="47"/>
    </row>
    <row r="296" s="27" customFormat="1" ht="18" customHeight="1" spans="1:20">
      <c r="A296" s="34"/>
      <c r="B296" s="48">
        <v>23</v>
      </c>
      <c r="C296" s="48"/>
      <c r="D296" s="88"/>
      <c r="E296" s="72"/>
      <c r="F296" s="77"/>
      <c r="G296" s="89"/>
      <c r="H296" s="74"/>
      <c r="I296" s="74"/>
      <c r="J296" s="51"/>
      <c r="K296" s="75">
        <f ca="1">H296*K260</f>
        <v>0</v>
      </c>
      <c r="L296" s="92"/>
      <c r="M296" s="44"/>
      <c r="N296" s="44"/>
      <c r="O296" s="44"/>
      <c r="P296" s="44"/>
      <c r="Q296" s="44"/>
      <c r="R296" s="84"/>
      <c r="S296" s="47"/>
      <c r="T296" s="47"/>
    </row>
    <row r="297" s="27" customFormat="1" ht="18" customHeight="1" spans="1:20">
      <c r="A297" s="34"/>
      <c r="B297" s="48">
        <v>24</v>
      </c>
      <c r="C297" s="48"/>
      <c r="D297" s="88"/>
      <c r="E297" s="72"/>
      <c r="F297" s="77"/>
      <c r="G297" s="89"/>
      <c r="H297" s="74"/>
      <c r="I297" s="74"/>
      <c r="J297" s="51"/>
      <c r="K297" s="75">
        <f ca="1">H297*K260</f>
        <v>0</v>
      </c>
      <c r="L297" s="92"/>
      <c r="M297" s="44"/>
      <c r="N297" s="44"/>
      <c r="O297" s="44"/>
      <c r="P297" s="44"/>
      <c r="Q297" s="44"/>
      <c r="R297" s="84"/>
      <c r="S297" s="47"/>
      <c r="T297" s="47"/>
    </row>
    <row r="298" s="27" customFormat="1" ht="18" customHeight="1" spans="1:20">
      <c r="A298" s="34"/>
      <c r="B298" s="48">
        <v>25</v>
      </c>
      <c r="C298" s="48"/>
      <c r="D298" s="88"/>
      <c r="E298" s="72"/>
      <c r="F298" s="77"/>
      <c r="G298" s="89"/>
      <c r="H298" s="74"/>
      <c r="I298" s="74"/>
      <c r="J298" s="51"/>
      <c r="K298" s="75"/>
      <c r="L298" s="92"/>
      <c r="M298" s="44"/>
      <c r="N298" s="44"/>
      <c r="O298" s="44"/>
      <c r="P298" s="44"/>
      <c r="Q298" s="44"/>
      <c r="R298" s="84"/>
      <c r="S298" s="47"/>
      <c r="T298" s="47"/>
    </row>
    <row r="299" s="27" customFormat="1" ht="18" customHeight="1" spans="1:20">
      <c r="A299" s="34"/>
      <c r="B299" s="48">
        <v>26</v>
      </c>
      <c r="C299" s="48"/>
      <c r="D299" s="88" t="s">
        <v>441</v>
      </c>
      <c r="E299" s="72" t="s">
        <v>43</v>
      </c>
      <c r="F299" s="77"/>
      <c r="G299" s="72">
        <v>1</v>
      </c>
      <c r="H299" s="74">
        <v>1</v>
      </c>
      <c r="I299" s="74">
        <f>+辅材及安装费!$E$17</f>
        <v>10</v>
      </c>
      <c r="J299" s="51">
        <f>H299*I299</f>
        <v>10</v>
      </c>
      <c r="K299" s="75"/>
      <c r="L299" s="92"/>
      <c r="M299" s="44"/>
      <c r="N299" s="44"/>
      <c r="O299" s="44"/>
      <c r="P299" s="44"/>
      <c r="Q299" s="44"/>
      <c r="R299" s="62"/>
      <c r="S299" s="47"/>
      <c r="T299" s="47"/>
    </row>
    <row r="300" s="27" customFormat="1" ht="18" customHeight="1" spans="1:20">
      <c r="A300" s="34"/>
      <c r="B300" s="48">
        <v>27</v>
      </c>
      <c r="C300" s="48"/>
      <c r="D300" s="93" t="s">
        <v>442</v>
      </c>
      <c r="E300" s="72"/>
      <c r="F300" s="77"/>
      <c r="G300" s="72"/>
      <c r="H300" s="74"/>
      <c r="I300" s="74"/>
      <c r="J300" s="51">
        <f>SUM(J274:J299)</f>
        <v>1529.50506884797</v>
      </c>
      <c r="K300" s="75"/>
      <c r="L300" s="94"/>
      <c r="N300" s="83"/>
      <c r="O300" s="83"/>
      <c r="P300" s="83"/>
      <c r="Q300" s="83"/>
      <c r="R300" s="87"/>
      <c r="S300" s="47"/>
      <c r="T300" s="47"/>
    </row>
    <row r="301" s="27" customFormat="1" ht="18" customHeight="1" spans="1:20">
      <c r="A301" s="34"/>
      <c r="B301" s="48">
        <v>1</v>
      </c>
      <c r="C301" s="48" t="s">
        <v>443</v>
      </c>
      <c r="D301" s="48" t="s">
        <v>444</v>
      </c>
      <c r="E301" s="72" t="s">
        <v>43</v>
      </c>
      <c r="F301" s="50"/>
      <c r="G301" s="48"/>
      <c r="H301" s="51">
        <v>1</v>
      </c>
      <c r="I301" s="74">
        <f>+辅材及安装费!$F$17</f>
        <v>5</v>
      </c>
      <c r="J301" s="95">
        <f>H301*I301</f>
        <v>5</v>
      </c>
      <c r="K301" s="60"/>
      <c r="L301" s="96"/>
      <c r="M301" s="97"/>
      <c r="N301" s="98"/>
      <c r="O301" s="98"/>
      <c r="P301" s="98"/>
      <c r="Q301" s="98"/>
      <c r="R301" s="99"/>
      <c r="S301" s="47"/>
      <c r="T301" s="47"/>
    </row>
    <row r="302" s="26" customFormat="1" ht="30" customHeight="1" spans="1:20">
      <c r="A302" s="28"/>
      <c r="B302" s="29" t="s">
        <v>386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30"/>
      <c r="M302" s="31"/>
      <c r="N302" s="31"/>
      <c r="O302" s="31"/>
      <c r="P302" s="31"/>
      <c r="Q302" s="31"/>
      <c r="R302" s="32"/>
      <c r="S302" s="33"/>
      <c r="T302" s="33"/>
    </row>
    <row r="303" s="27" customFormat="1" ht="33.75" customHeight="1" spans="1:20">
      <c r="A303" s="34">
        <v>8</v>
      </c>
      <c r="B303" s="35" t="s">
        <v>1</v>
      </c>
      <c r="C303" s="35" t="s">
        <v>387</v>
      </c>
      <c r="D303" s="36" t="str">
        <f>+A311</f>
        <v>首层座槽式玻璃幕墙（12+1.9SGP+12㎜全超白钢化夹层玻璃）（弯弧）（弧长1498㎜，圆弧半径900㎜，高3600㎜）</v>
      </c>
      <c r="E303" s="37"/>
      <c r="F303" s="38" t="s">
        <v>225</v>
      </c>
      <c r="G303" s="39"/>
      <c r="H303" s="35" t="s">
        <v>388</v>
      </c>
      <c r="I303" s="40" t="s">
        <v>389</v>
      </c>
      <c r="J303" s="41" t="s">
        <v>37</v>
      </c>
      <c r="K303" s="42">
        <f ca="1">VLOOKUP(A303,'商业工程量清单 '!$A$4:$D$44,4,FALSE)</f>
        <v>9.4788</v>
      </c>
      <c r="L303" s="43"/>
      <c r="M303" s="44"/>
      <c r="N303" s="44"/>
      <c r="O303" s="44"/>
      <c r="P303" s="45"/>
      <c r="Q303" s="44"/>
      <c r="R303" s="46"/>
      <c r="S303" s="47"/>
      <c r="T303" s="47"/>
    </row>
    <row r="304" s="27" customFormat="1" ht="25" customHeight="1" spans="1:20">
      <c r="A304" s="34"/>
      <c r="B304" s="48">
        <v>1</v>
      </c>
      <c r="C304" s="49" t="s">
        <v>390</v>
      </c>
      <c r="D304" s="48" t="s">
        <v>391</v>
      </c>
      <c r="E304" s="48"/>
      <c r="F304" s="50"/>
      <c r="G304" s="48"/>
      <c r="H304" s="51"/>
      <c r="I304" s="52">
        <f>J316</f>
        <v>190</v>
      </c>
      <c r="J304" s="53" t="s">
        <v>392</v>
      </c>
      <c r="K304" s="54"/>
      <c r="L304" s="55" t="s">
        <v>1019</v>
      </c>
      <c r="M304" s="56"/>
      <c r="N304" s="57"/>
      <c r="O304" s="57">
        <v>1.498</v>
      </c>
      <c r="P304" s="57">
        <v>3.6</v>
      </c>
      <c r="Q304" s="57">
        <v>1</v>
      </c>
      <c r="R304" s="58">
        <f>+Q304*P304*O304</f>
        <v>5.3928</v>
      </c>
      <c r="S304" s="47"/>
      <c r="T304" s="47"/>
    </row>
    <row r="305" s="27" customFormat="1" ht="18" customHeight="1" spans="1:21">
      <c r="A305" s="34"/>
      <c r="B305" s="48">
        <v>2</v>
      </c>
      <c r="C305" s="59"/>
      <c r="D305" s="48" t="s">
        <v>394</v>
      </c>
      <c r="E305" s="48"/>
      <c r="F305" s="50"/>
      <c r="G305" s="48"/>
      <c r="H305" s="51"/>
      <c r="I305" s="52">
        <f>J343</f>
        <v>1032.39078262482</v>
      </c>
      <c r="J305" s="53" t="s">
        <v>392</v>
      </c>
      <c r="K305" s="60"/>
      <c r="L305" s="61"/>
      <c r="M305" s="44"/>
      <c r="N305" s="44"/>
      <c r="O305" s="44"/>
      <c r="P305" s="44"/>
      <c r="Q305" s="44"/>
      <c r="R305" s="62"/>
      <c r="S305" s="47"/>
      <c r="T305" s="47"/>
    </row>
    <row r="306" s="27" customFormat="1" ht="18" customHeight="1" spans="1:21">
      <c r="A306" s="34"/>
      <c r="B306" s="48">
        <v>3</v>
      </c>
      <c r="C306" s="63"/>
      <c r="D306" s="48" t="s">
        <v>395</v>
      </c>
      <c r="E306" s="48"/>
      <c r="F306" s="50"/>
      <c r="G306" s="48"/>
      <c r="H306" s="51"/>
      <c r="I306" s="52">
        <f>J344</f>
        <v>5</v>
      </c>
      <c r="J306" s="53" t="s">
        <v>392</v>
      </c>
      <c r="K306" s="60"/>
      <c r="L306" s="60"/>
      <c r="M306" s="64" t="s">
        <v>396</v>
      </c>
      <c r="N306" s="65" t="s">
        <v>397</v>
      </c>
      <c r="O306" s="65" t="s">
        <v>398</v>
      </c>
      <c r="P306" s="65" t="s">
        <v>399</v>
      </c>
      <c r="Q306" s="65" t="s">
        <v>400</v>
      </c>
      <c r="R306" s="66" t="s">
        <v>401</v>
      </c>
      <c r="S306" s="47"/>
      <c r="T306" s="47"/>
    </row>
    <row r="307" s="27" customFormat="1" ht="18" customHeight="1" spans="1:21">
      <c r="A307" s="34"/>
      <c r="B307" s="48">
        <v>4</v>
      </c>
      <c r="C307" s="48" t="s">
        <v>402</v>
      </c>
      <c r="D307" s="67" t="s">
        <v>403</v>
      </c>
      <c r="E307" s="67"/>
      <c r="F307" s="50"/>
      <c r="G307" s="67"/>
      <c r="H307" s="68"/>
      <c r="I307" s="52">
        <f>SUM(I304:I306)</f>
        <v>1227.39078262482</v>
      </c>
      <c r="J307" s="53" t="s">
        <v>392</v>
      </c>
      <c r="K307" s="60"/>
      <c r="L307" s="69" t="s">
        <v>427</v>
      </c>
      <c r="M307" s="70" t="s">
        <v>1007</v>
      </c>
      <c r="N307" s="34">
        <v>3.111</v>
      </c>
      <c r="O307" s="34">
        <f>P304</f>
        <v>3.6</v>
      </c>
      <c r="P307" s="34">
        <v>1</v>
      </c>
      <c r="Q307" s="44">
        <f t="shared" ref="Q307:Q315" si="49">+P307*O307*N307</f>
        <v>11.1996</v>
      </c>
      <c r="R307" s="71">
        <f>+Q307/R304</f>
        <v>2.07676902536716</v>
      </c>
      <c r="S307" s="47"/>
      <c r="T307" s="47"/>
    </row>
    <row r="308" s="27" customFormat="1" ht="28" customHeight="1" spans="1:21">
      <c r="A308" s="34"/>
      <c r="B308" s="48">
        <v>5</v>
      </c>
      <c r="C308" s="72" t="s">
        <v>406</v>
      </c>
      <c r="D308" s="48" t="s">
        <v>407</v>
      </c>
      <c r="E308" s="48"/>
      <c r="F308" s="50"/>
      <c r="G308" s="48"/>
      <c r="H308" s="73">
        <f>+'材料表 '!$E$178</f>
        <v>0</v>
      </c>
      <c r="I308" s="52">
        <f>H308*I307</f>
        <v>0</v>
      </c>
      <c r="J308" s="53" t="s">
        <v>392</v>
      </c>
      <c r="K308" s="60"/>
      <c r="L308" s="69" t="s">
        <v>433</v>
      </c>
      <c r="M308" s="70" t="s">
        <v>1008</v>
      </c>
      <c r="N308" s="34">
        <v>0.507</v>
      </c>
      <c r="O308" s="34">
        <f>O307*2</f>
        <v>7.2</v>
      </c>
      <c r="P308" s="34">
        <f>P307</f>
        <v>1</v>
      </c>
      <c r="Q308" s="44">
        <f t="shared" si="49"/>
        <v>3.6504</v>
      </c>
      <c r="R308" s="71">
        <f>+Q308/R304</f>
        <v>0.676902536715621</v>
      </c>
      <c r="S308" s="47"/>
      <c r="T308" s="47"/>
    </row>
    <row r="309" s="27" customFormat="1" ht="18" customHeight="1" spans="1:21">
      <c r="A309" s="34"/>
      <c r="B309" s="48">
        <v>6</v>
      </c>
      <c r="C309" s="48" t="s">
        <v>409</v>
      </c>
      <c r="D309" s="48" t="s">
        <v>410</v>
      </c>
      <c r="E309" s="48"/>
      <c r="F309" s="50"/>
      <c r="G309" s="48"/>
      <c r="H309" s="73">
        <f>+'材料表 '!$E$179</f>
        <v>0</v>
      </c>
      <c r="I309" s="52">
        <f>H309*I307</f>
        <v>0</v>
      </c>
      <c r="J309" s="74" t="s">
        <v>392</v>
      </c>
      <c r="K309" s="75"/>
      <c r="L309" s="69" t="s">
        <v>429</v>
      </c>
      <c r="M309" s="70" t="s">
        <v>1009</v>
      </c>
      <c r="N309" s="34">
        <v>0.499</v>
      </c>
      <c r="O309" s="34">
        <f>P304/0.3*0.05</f>
        <v>0.6</v>
      </c>
      <c r="P309" s="34">
        <f>P307</f>
        <v>1</v>
      </c>
      <c r="Q309" s="44">
        <f t="shared" si="49"/>
        <v>0.2994</v>
      </c>
      <c r="R309" s="71">
        <f>+Q309/R304</f>
        <v>0.0555184690698709</v>
      </c>
      <c r="S309" s="47"/>
      <c r="T309" s="47"/>
      <c r="U309" s="76"/>
    </row>
    <row r="310" s="27" customFormat="1" ht="18" customHeight="1" spans="1:21">
      <c r="A310" s="34"/>
      <c r="B310" s="48">
        <v>7</v>
      </c>
      <c r="C310" s="48" t="s">
        <v>412</v>
      </c>
      <c r="D310" s="72" t="s">
        <v>413</v>
      </c>
      <c r="E310" s="72"/>
      <c r="F310" s="77"/>
      <c r="G310" s="72"/>
      <c r="H310" s="73">
        <f>+'材料表 '!$E$180</f>
        <v>0.09</v>
      </c>
      <c r="I310" s="52">
        <f>(I307+I308+I309)*H310</f>
        <v>110.465170436233</v>
      </c>
      <c r="J310" s="74" t="s">
        <v>392</v>
      </c>
      <c r="K310" s="75"/>
      <c r="L310" s="69" t="s">
        <v>429</v>
      </c>
      <c r="M310" s="70" t="s">
        <v>1010</v>
      </c>
      <c r="N310" s="34">
        <f>2.9</f>
        <v>2.9</v>
      </c>
      <c r="O310" s="34">
        <v>0.2</v>
      </c>
      <c r="P310" s="34">
        <f>P307</f>
        <v>1</v>
      </c>
      <c r="Q310" s="44">
        <f t="shared" si="49"/>
        <v>0.58</v>
      </c>
      <c r="R310" s="71">
        <f>+Q310/R304</f>
        <v>0.107550808485388</v>
      </c>
      <c r="S310" s="47"/>
      <c r="T310" s="47"/>
    </row>
    <row r="311" s="27" customFormat="1" ht="18" customHeight="1" spans="1:21">
      <c r="A311" s="78" t="s">
        <v>237</v>
      </c>
      <c r="B311" s="48">
        <v>8</v>
      </c>
      <c r="C311" s="48" t="s">
        <v>363</v>
      </c>
      <c r="D311" s="72" t="s">
        <v>415</v>
      </c>
      <c r="E311" s="72"/>
      <c r="F311" s="77"/>
      <c r="G311" s="72"/>
      <c r="H311" s="51"/>
      <c r="I311" s="74">
        <f>SUM(I307:I310)</f>
        <v>1337.85595306105</v>
      </c>
      <c r="J311" s="74" t="s">
        <v>416</v>
      </c>
      <c r="K311" s="75"/>
      <c r="L311" s="69" t="s">
        <v>429</v>
      </c>
      <c r="M311" s="70"/>
      <c r="N311" s="34"/>
      <c r="O311" s="34"/>
      <c r="P311" s="34">
        <v>1</v>
      </c>
      <c r="Q311" s="44">
        <f t="shared" si="49"/>
        <v>0</v>
      </c>
      <c r="R311" s="71">
        <f>+Q311/R304</f>
        <v>0</v>
      </c>
      <c r="S311" s="79"/>
      <c r="T311" s="47"/>
    </row>
    <row r="312" s="27" customFormat="1" ht="18" customHeight="1" spans="1:21">
      <c r="A312" s="34"/>
      <c r="B312" s="48" t="s">
        <v>418</v>
      </c>
      <c r="C312" s="48"/>
      <c r="D312" s="48"/>
      <c r="E312" s="48"/>
      <c r="F312" s="48"/>
      <c r="G312" s="48"/>
      <c r="H312" s="48"/>
      <c r="I312" s="48"/>
      <c r="J312" s="48"/>
      <c r="K312" s="80"/>
      <c r="L312" s="69" t="s">
        <v>447</v>
      </c>
      <c r="M312" s="70"/>
      <c r="N312" s="34"/>
      <c r="O312" s="34"/>
      <c r="P312" s="34">
        <v>1</v>
      </c>
      <c r="Q312" s="44">
        <f t="shared" si="49"/>
        <v>0</v>
      </c>
      <c r="R312" s="71">
        <f>+Q312/R304</f>
        <v>0</v>
      </c>
      <c r="S312" s="47"/>
      <c r="T312" s="47"/>
      <c r="U312" s="76"/>
    </row>
    <row r="313" s="27" customFormat="1" ht="18" customHeight="1" spans="1:21">
      <c r="A313" s="34"/>
      <c r="B313" s="48">
        <v>1</v>
      </c>
      <c r="C313" s="48" t="s">
        <v>391</v>
      </c>
      <c r="D313" s="48" t="s">
        <v>396</v>
      </c>
      <c r="E313" s="48" t="s">
        <v>37</v>
      </c>
      <c r="F313" s="50"/>
      <c r="G313" s="48"/>
      <c r="H313" s="51" t="s">
        <v>399</v>
      </c>
      <c r="I313" s="51" t="s">
        <v>420</v>
      </c>
      <c r="J313" s="51" t="s">
        <v>421</v>
      </c>
      <c r="K313" s="43"/>
      <c r="L313" s="69" t="s">
        <v>404</v>
      </c>
      <c r="M313" s="81"/>
      <c r="N313" s="82"/>
      <c r="O313" s="34"/>
      <c r="P313" s="34">
        <v>1</v>
      </c>
      <c r="Q313" s="44">
        <f t="shared" si="49"/>
        <v>0</v>
      </c>
      <c r="R313" s="71">
        <f>+Q313/R304</f>
        <v>0</v>
      </c>
      <c r="S313" s="47"/>
      <c r="T313" s="47"/>
    </row>
    <row r="314" s="27" customFormat="1" ht="18" customHeight="1" spans="1:21">
      <c r="A314" s="34"/>
      <c r="B314" s="48">
        <v>2</v>
      </c>
      <c r="C314" s="48"/>
      <c r="D314" s="48" t="s">
        <v>965</v>
      </c>
      <c r="E314" s="72" t="s">
        <v>423</v>
      </c>
      <c r="F314" s="50"/>
      <c r="G314" s="48"/>
      <c r="H314" s="51">
        <v>1</v>
      </c>
      <c r="I314" s="51">
        <f>+辅材及安装费!$G$17</f>
        <v>190</v>
      </c>
      <c r="J314" s="51">
        <f t="shared" ref="J314:J322" si="50">H314*I314</f>
        <v>190</v>
      </c>
      <c r="K314" s="43"/>
      <c r="L314" s="69" t="s">
        <v>427</v>
      </c>
      <c r="M314" s="70"/>
      <c r="N314" s="83"/>
      <c r="O314" s="34"/>
      <c r="P314" s="34">
        <v>1</v>
      </c>
      <c r="Q314" s="44">
        <f t="shared" si="49"/>
        <v>0</v>
      </c>
      <c r="R314" s="84">
        <f>+Q314/R304</f>
        <v>0</v>
      </c>
      <c r="S314" s="47"/>
      <c r="T314" s="47"/>
    </row>
    <row r="315" s="27" customFormat="1" ht="18" customHeight="1" spans="1:21">
      <c r="A315" s="34"/>
      <c r="B315" s="48">
        <v>3</v>
      </c>
      <c r="C315" s="48"/>
      <c r="D315" s="48"/>
      <c r="E315" s="72"/>
      <c r="F315" s="50"/>
      <c r="G315" s="48"/>
      <c r="H315" s="51"/>
      <c r="I315" s="51"/>
      <c r="J315" s="51"/>
      <c r="K315" s="43"/>
      <c r="L315" s="69"/>
      <c r="M315" s="81"/>
      <c r="N315" s="82"/>
      <c r="O315" s="44"/>
      <c r="P315" s="34">
        <v>1</v>
      </c>
      <c r="Q315" s="44">
        <f t="shared" si="49"/>
        <v>0</v>
      </c>
      <c r="R315" s="84">
        <f>+Q315/R304</f>
        <v>0</v>
      </c>
      <c r="S315" s="47"/>
      <c r="T315" s="47"/>
    </row>
    <row r="316" s="27" customFormat="1" ht="18" customHeight="1" spans="1:21">
      <c r="A316" s="34"/>
      <c r="B316" s="48">
        <v>4</v>
      </c>
      <c r="C316" s="48"/>
      <c r="D316" s="85" t="s">
        <v>426</v>
      </c>
      <c r="E316" s="48" t="s">
        <v>392</v>
      </c>
      <c r="F316" s="50"/>
      <c r="G316" s="48"/>
      <c r="H316" s="86"/>
      <c r="I316" s="86"/>
      <c r="J316" s="51">
        <f>SUM(J314:J314)</f>
        <v>190</v>
      </c>
      <c r="K316" s="75"/>
      <c r="L316" s="69"/>
      <c r="M316" s="70"/>
      <c r="N316" s="83"/>
      <c r="O316" s="83"/>
      <c r="P316" s="34">
        <v>1</v>
      </c>
      <c r="Q316" s="83"/>
      <c r="R316" s="87"/>
      <c r="S316" s="47"/>
      <c r="T316" s="47"/>
    </row>
    <row r="317" s="27" customFormat="1" ht="23" customHeight="1" spans="1:21">
      <c r="A317" s="34"/>
      <c r="B317" s="48">
        <v>1</v>
      </c>
      <c r="C317" s="48" t="s">
        <v>394</v>
      </c>
      <c r="D317" s="88" t="s">
        <v>427</v>
      </c>
      <c r="E317" s="72" t="str">
        <f>+VLOOKUP(D317,'材料表 '!C:F,2,0)</f>
        <v>kg</v>
      </c>
      <c r="F317" s="77">
        <f>+SUMIF($L$304:$L$344,D317,$R$304:$R$344)</f>
        <v>2.07676902536716</v>
      </c>
      <c r="G317" s="89">
        <f>+VLOOKUP(D317,'材料表 '!C:F,4,0)</f>
        <v>0.03</v>
      </c>
      <c r="H317" s="74">
        <f t="shared" ref="H317:H322" si="51">F317*(G317+1)</f>
        <v>2.13907209612817</v>
      </c>
      <c r="I317" s="74">
        <f>+VLOOKUP(D317,'材料表 '!C:F,3,0)</f>
        <v>25.8495575221239</v>
      </c>
      <c r="J317" s="51">
        <f t="shared" si="50"/>
        <v>55.2940671928354</v>
      </c>
      <c r="K317" s="75">
        <f ca="1">H317*K303</f>
        <v>20.2758365847797</v>
      </c>
      <c r="L317" s="69"/>
      <c r="M317" s="70"/>
      <c r="N317" s="83"/>
      <c r="O317" s="83"/>
      <c r="P317" s="34">
        <v>1</v>
      </c>
      <c r="Q317" s="83"/>
      <c r="R317" s="87"/>
      <c r="S317" s="47"/>
      <c r="T317" s="47"/>
    </row>
    <row r="318" s="27" customFormat="1" ht="18" customHeight="1" spans="1:21">
      <c r="A318" s="34"/>
      <c r="B318" s="48">
        <v>2</v>
      </c>
      <c r="C318" s="48"/>
      <c r="D318" s="88" t="s">
        <v>404</v>
      </c>
      <c r="E318" s="72" t="str">
        <f>+VLOOKUP(D318,'材料表 '!C:F,2,0)</f>
        <v>kg</v>
      </c>
      <c r="F318" s="77">
        <f t="shared" ref="F317:F330" si="52">+SUMIF($L$261:$L$301,D318,$R$261:$R$301)</f>
        <v>0</v>
      </c>
      <c r="G318" s="89">
        <f>+VLOOKUP(D318,'材料表 '!C:F,4,0)</f>
        <v>0.03</v>
      </c>
      <c r="H318" s="74">
        <f t="shared" si="51"/>
        <v>0</v>
      </c>
      <c r="I318" s="74">
        <f>+VLOOKUP(D318,'材料表 '!C:F,3,0)</f>
        <v>25.6725663716814</v>
      </c>
      <c r="J318" s="51">
        <f t="shared" si="50"/>
        <v>0</v>
      </c>
      <c r="K318" s="75">
        <f ca="1">H318*K303</f>
        <v>0</v>
      </c>
      <c r="L318" s="69"/>
      <c r="M318" s="70"/>
      <c r="N318" s="83"/>
      <c r="O318" s="83"/>
      <c r="P318" s="83"/>
      <c r="Q318" s="83"/>
      <c r="R318" s="87"/>
      <c r="S318" s="47"/>
      <c r="T318" s="47"/>
    </row>
    <row r="319" s="27" customFormat="1" ht="18" customHeight="1" spans="1:21">
      <c r="A319" s="34"/>
      <c r="B319" s="48">
        <v>3</v>
      </c>
      <c r="C319" s="48"/>
      <c r="D319" s="88" t="s">
        <v>433</v>
      </c>
      <c r="E319" s="72" t="str">
        <f>+VLOOKUP(D319,'材料表 '!C:F,2,0)</f>
        <v>kg</v>
      </c>
      <c r="F319" s="77">
        <f t="shared" si="52"/>
        <v>0.717114568599717</v>
      </c>
      <c r="G319" s="89">
        <f>+VLOOKUP(D319,'材料表 '!C:F,4,0)</f>
        <v>0.03</v>
      </c>
      <c r="H319" s="74">
        <f t="shared" si="51"/>
        <v>0.738628005657709</v>
      </c>
      <c r="I319" s="74">
        <f>+VLOOKUP(D319,'材料表 '!C:F,3,0)</f>
        <v>26.1150442477876</v>
      </c>
      <c r="J319" s="51">
        <f t="shared" si="50"/>
        <v>19.2893030504062</v>
      </c>
      <c r="K319" s="75">
        <f ca="1">H319*K303</f>
        <v>7.00130714002829</v>
      </c>
      <c r="L319" s="69"/>
      <c r="N319" s="83"/>
      <c r="O319" s="83"/>
      <c r="P319" s="83"/>
      <c r="Q319" s="83"/>
      <c r="R319" s="87"/>
      <c r="S319" s="47"/>
      <c r="T319" s="47"/>
    </row>
    <row r="320" s="27" customFormat="1" ht="18" customHeight="1" spans="1:21">
      <c r="A320" s="34"/>
      <c r="B320" s="48">
        <v>4</v>
      </c>
      <c r="C320" s="48"/>
      <c r="D320" s="88" t="s">
        <v>429</v>
      </c>
      <c r="E320" s="72" t="str">
        <f>+VLOOKUP(D320,'材料表 '!C:F,2,0)</f>
        <v>kg</v>
      </c>
      <c r="F320" s="77">
        <f t="shared" si="52"/>
        <v>0.172756561370423</v>
      </c>
      <c r="G320" s="89">
        <f>+VLOOKUP(D320,'材料表 '!C:F,4,0)</f>
        <v>0.03</v>
      </c>
      <c r="H320" s="74">
        <f t="shared" si="51"/>
        <v>0.177939258211536</v>
      </c>
      <c r="I320" s="74">
        <f>+VLOOKUP(D320,'材料表 '!C:F,3,0)</f>
        <v>26.1150442477876</v>
      </c>
      <c r="J320" s="51">
        <f t="shared" si="50"/>
        <v>4.64689160161276</v>
      </c>
      <c r="K320" s="75">
        <f ca="1">H320*K303</f>
        <v>1.68665064073551</v>
      </c>
      <c r="L320" s="90" t="s">
        <v>428</v>
      </c>
      <c r="M320" s="44"/>
      <c r="N320" s="82"/>
      <c r="O320" s="44">
        <f>(O307*P307)</f>
        <v>3.6</v>
      </c>
      <c r="P320" s="44">
        <v>1</v>
      </c>
      <c r="Q320" s="44">
        <f>+P320*O320</f>
        <v>3.6</v>
      </c>
      <c r="R320" s="84">
        <f>+Q320/R304</f>
        <v>0.667556742323097</v>
      </c>
      <c r="S320" s="47"/>
      <c r="T320" s="47"/>
    </row>
    <row r="321" s="27" customFormat="1" ht="18" customHeight="1" spans="1:20">
      <c r="A321" s="34"/>
      <c r="B321" s="48">
        <v>5</v>
      </c>
      <c r="C321" s="48"/>
      <c r="D321" s="88" t="s">
        <v>447</v>
      </c>
      <c r="E321" s="72" t="str">
        <f>+VLOOKUP(D321,'材料表 '!C:F,2,0)</f>
        <v>kg</v>
      </c>
      <c r="F321" s="77">
        <f t="shared" si="52"/>
        <v>0</v>
      </c>
      <c r="G321" s="89">
        <f>+VLOOKUP(D321,'材料表 '!C:F,4,0)</f>
        <v>0.03</v>
      </c>
      <c r="H321" s="74">
        <f t="shared" si="51"/>
        <v>0</v>
      </c>
      <c r="I321" s="74">
        <f>+VLOOKUP(D321,'材料表 '!C:F,3,0)</f>
        <v>24.4336283185841</v>
      </c>
      <c r="J321" s="51">
        <f t="shared" si="50"/>
        <v>0</v>
      </c>
      <c r="K321" s="43">
        <f ca="1">H321*K303</f>
        <v>0</v>
      </c>
      <c r="L321" s="90"/>
      <c r="M321" s="44"/>
      <c r="N321" s="82"/>
      <c r="O321" s="44"/>
      <c r="P321" s="44"/>
      <c r="Q321" s="44"/>
      <c r="R321" s="84"/>
      <c r="S321" s="47"/>
      <c r="T321" s="47"/>
    </row>
    <row r="322" s="27" customFormat="1" ht="18" customHeight="1" spans="1:20">
      <c r="A322" s="34"/>
      <c r="B322" s="48">
        <v>6</v>
      </c>
      <c r="C322" s="48"/>
      <c r="D322" s="88" t="s">
        <v>434</v>
      </c>
      <c r="E322" s="72" t="str">
        <f>+VLOOKUP(D322,'材料表 '!C:F,2,0)</f>
        <v>m2</v>
      </c>
      <c r="F322" s="77">
        <f t="shared" si="52"/>
        <v>0</v>
      </c>
      <c r="G322" s="89">
        <f>+VLOOKUP(D322,'材料表 '!C:F,4,0)</f>
        <v>0</v>
      </c>
      <c r="H322" s="74">
        <f t="shared" si="51"/>
        <v>0</v>
      </c>
      <c r="I322" s="74">
        <f>+VLOOKUP(D322,'材料表 '!C:F,3,0)</f>
        <v>49.5575221238938</v>
      </c>
      <c r="J322" s="51">
        <f t="shared" si="50"/>
        <v>0</v>
      </c>
      <c r="K322" s="43">
        <f ca="1">H322*K303</f>
        <v>0</v>
      </c>
      <c r="L322" s="90" t="s">
        <v>463</v>
      </c>
      <c r="M322" s="91" t="s">
        <v>1012</v>
      </c>
      <c r="N322" s="82">
        <f>0.32*0.3*8*7.85</f>
        <v>6.0288</v>
      </c>
      <c r="O322" s="44">
        <v>1</v>
      </c>
      <c r="P322" s="44">
        <f>P307</f>
        <v>1</v>
      </c>
      <c r="Q322" s="44">
        <f t="shared" ref="Q322:Q326" si="53">+P322*O322*N322</f>
        <v>6.0288</v>
      </c>
      <c r="R322" s="84">
        <f>+Q322/R304</f>
        <v>1.11793502447708</v>
      </c>
      <c r="S322" s="47"/>
      <c r="T322" s="47"/>
    </row>
    <row r="323" s="27" customFormat="1" ht="18" customHeight="1" spans="1:20">
      <c r="A323" s="34"/>
      <c r="B323" s="48">
        <v>7</v>
      </c>
      <c r="C323" s="48"/>
      <c r="D323" s="88"/>
      <c r="E323" s="72"/>
      <c r="F323" s="77">
        <f t="shared" si="52"/>
        <v>0</v>
      </c>
      <c r="G323" s="89"/>
      <c r="H323" s="74"/>
      <c r="I323" s="74"/>
      <c r="J323" s="51"/>
      <c r="K323" s="43">
        <f ca="1">H323*K303</f>
        <v>0</v>
      </c>
      <c r="L323" s="69" t="s">
        <v>465</v>
      </c>
      <c r="M323" s="81" t="s">
        <v>1013</v>
      </c>
      <c r="N323" s="34">
        <v>9.88</v>
      </c>
      <c r="O323" s="34">
        <f>0.13</f>
        <v>0.13</v>
      </c>
      <c r="P323" s="34">
        <f>2*P322</f>
        <v>2</v>
      </c>
      <c r="Q323" s="44">
        <f t="shared" si="53"/>
        <v>2.5688</v>
      </c>
      <c r="R323" s="84">
        <f>Q323/R304</f>
        <v>0.476338822133215</v>
      </c>
      <c r="S323" s="47"/>
      <c r="T323" s="47"/>
    </row>
    <row r="324" s="27" customFormat="1" ht="18" customHeight="1" spans="1:20">
      <c r="A324" s="34"/>
      <c r="B324" s="48">
        <v>8</v>
      </c>
      <c r="C324" s="48"/>
      <c r="D324" s="88" t="s">
        <v>431</v>
      </c>
      <c r="E324" s="72" t="str">
        <f>+VLOOKUP(D324,'材料表 '!C:F,2,0)</f>
        <v>kg</v>
      </c>
      <c r="F324" s="77">
        <f t="shared" si="52"/>
        <v>0</v>
      </c>
      <c r="G324" s="89">
        <f>+VLOOKUP(D324,'材料表 '!C:F,4,0)</f>
        <v>0.03</v>
      </c>
      <c r="H324" s="74">
        <f t="shared" ref="H324:H333" si="54">F324*(G324+1)</f>
        <v>0</v>
      </c>
      <c r="I324" s="74">
        <f>+VLOOKUP(D324,'材料表 '!C:F,3,0)</f>
        <v>3.80530973451327</v>
      </c>
      <c r="J324" s="51">
        <f t="shared" ref="J324:J333" si="55">H324*I324</f>
        <v>0</v>
      </c>
      <c r="K324" s="43">
        <f ca="1">H324*K303</f>
        <v>0</v>
      </c>
      <c r="L324" s="90" t="s">
        <v>474</v>
      </c>
      <c r="M324" s="44"/>
      <c r="N324" s="82"/>
      <c r="O324" s="44">
        <v>6</v>
      </c>
      <c r="P324" s="44">
        <f>O322*P322</f>
        <v>1</v>
      </c>
      <c r="Q324" s="44">
        <f>O324*P324</f>
        <v>6</v>
      </c>
      <c r="R324" s="84">
        <f>Q324/R304</f>
        <v>1.1125945705385</v>
      </c>
      <c r="S324" s="47"/>
      <c r="T324" s="47"/>
    </row>
    <row r="325" s="27" customFormat="1" ht="18" customHeight="1" spans="1:20">
      <c r="A325" s="34"/>
      <c r="B325" s="48">
        <v>9</v>
      </c>
      <c r="C325" s="48"/>
      <c r="D325" s="88" t="s">
        <v>461</v>
      </c>
      <c r="E325" s="72" t="str">
        <f>+VLOOKUP(D325,'材料表 '!C:F,2,0)</f>
        <v>kg</v>
      </c>
      <c r="F325" s="77">
        <f t="shared" si="52"/>
        <v>0</v>
      </c>
      <c r="G325" s="89">
        <f>+VLOOKUP(D325,'材料表 '!C:F,4,0)</f>
        <v>0.03</v>
      </c>
      <c r="H325" s="74">
        <f t="shared" si="54"/>
        <v>0</v>
      </c>
      <c r="I325" s="74">
        <f>+VLOOKUP(D325,'材料表 '!C:F,3,0)</f>
        <v>3.53982300884956</v>
      </c>
      <c r="J325" s="51">
        <f t="shared" si="55"/>
        <v>0</v>
      </c>
      <c r="K325" s="43">
        <f ca="1">H325*K303</f>
        <v>0</v>
      </c>
      <c r="L325" s="90" t="s">
        <v>472</v>
      </c>
      <c r="M325" s="91"/>
      <c r="N325" s="82"/>
      <c r="O325" s="44">
        <v>2</v>
      </c>
      <c r="P325" s="44">
        <f>P307</f>
        <v>1</v>
      </c>
      <c r="Q325" s="44">
        <f>O325*P325</f>
        <v>2</v>
      </c>
      <c r="R325" s="84">
        <f>Q325/R304</f>
        <v>0.370864856846165</v>
      </c>
      <c r="S325" s="47"/>
      <c r="T325" s="47"/>
    </row>
    <row r="326" s="27" customFormat="1" ht="18" customHeight="1" spans="1:20">
      <c r="A326" s="34"/>
      <c r="B326" s="48">
        <v>10</v>
      </c>
      <c r="C326" s="48"/>
      <c r="D326" s="88" t="s">
        <v>435</v>
      </c>
      <c r="E326" s="72" t="str">
        <f>+VLOOKUP(D326,'材料表 '!C:F,2,0)</f>
        <v>kg</v>
      </c>
      <c r="F326" s="77">
        <f t="shared" si="52"/>
        <v>0</v>
      </c>
      <c r="G326" s="89">
        <f>+VLOOKUP(D326,'材料表 '!C:F,4,0)</f>
        <v>0.03</v>
      </c>
      <c r="H326" s="74">
        <f t="shared" si="54"/>
        <v>0</v>
      </c>
      <c r="I326" s="74">
        <f>+VLOOKUP(D326,'材料表 '!C:F,3,0)</f>
        <v>19.4690265486726</v>
      </c>
      <c r="J326" s="51">
        <f t="shared" si="55"/>
        <v>0</v>
      </c>
      <c r="K326" s="43">
        <f ca="1">H326*K303</f>
        <v>0</v>
      </c>
      <c r="L326" s="69" t="s">
        <v>465</v>
      </c>
      <c r="M326" s="91"/>
      <c r="N326" s="82">
        <f>(0.058+0.04*2)*5*7.85</f>
        <v>5.4165</v>
      </c>
      <c r="O326" s="44">
        <f>O304</f>
        <v>1.498</v>
      </c>
      <c r="P326" s="44">
        <v>1</v>
      </c>
      <c r="Q326" s="44">
        <f t="shared" si="53"/>
        <v>8.113917</v>
      </c>
      <c r="R326" s="84">
        <f>+Q326/R304</f>
        <v>1.50458333333333</v>
      </c>
      <c r="S326" s="47"/>
      <c r="T326" s="47"/>
    </row>
    <row r="327" s="27" customFormat="1" ht="18" customHeight="1" spans="1:20">
      <c r="A327" s="34"/>
      <c r="B327" s="48">
        <v>11</v>
      </c>
      <c r="C327" s="48"/>
      <c r="D327" s="88" t="s">
        <v>463</v>
      </c>
      <c r="E327" s="72" t="str">
        <f>+VLOOKUP(D327,'材料表 '!C:F,2,0)</f>
        <v>kg</v>
      </c>
      <c r="F327" s="77">
        <f t="shared" si="52"/>
        <v>1.18434700612918</v>
      </c>
      <c r="G327" s="89">
        <f>+VLOOKUP(D327,'材料表 '!C:F,4,0)</f>
        <v>0.03</v>
      </c>
      <c r="H327" s="74">
        <f t="shared" si="54"/>
        <v>1.21987741631306</v>
      </c>
      <c r="I327" s="74">
        <f>+VLOOKUP(D327,'材料表 '!C:F,3,0)</f>
        <v>6.01769911504425</v>
      </c>
      <c r="J327" s="51">
        <f t="shared" si="55"/>
        <v>7.34085524860954</v>
      </c>
      <c r="K327" s="43">
        <f ca="1">H327*K303</f>
        <v>11.5629740537482</v>
      </c>
      <c r="L327" s="69" t="s">
        <v>461</v>
      </c>
      <c r="N327" s="83"/>
      <c r="O327" s="83"/>
      <c r="P327" s="83"/>
      <c r="Q327" s="83"/>
      <c r="R327" s="84"/>
      <c r="S327" s="47"/>
      <c r="T327" s="47"/>
    </row>
    <row r="328" s="27" customFormat="1" ht="18" customHeight="1" spans="1:20">
      <c r="A328" s="34"/>
      <c r="B328" s="48">
        <v>12</v>
      </c>
      <c r="C328" s="48"/>
      <c r="D328" s="88" t="s">
        <v>465</v>
      </c>
      <c r="E328" s="72" t="str">
        <f>+VLOOKUP(D328,'材料表 '!C:F,2,0)</f>
        <v>kg</v>
      </c>
      <c r="F328" s="77">
        <f t="shared" si="52"/>
        <v>2.00921951123683</v>
      </c>
      <c r="G328" s="89">
        <f>+VLOOKUP(D328,'材料表 '!C:F,4,0)</f>
        <v>0.03</v>
      </c>
      <c r="H328" s="74">
        <f t="shared" si="54"/>
        <v>2.06949609657393</v>
      </c>
      <c r="I328" s="74">
        <f>+VLOOKUP(D328,'材料表 '!C:F,3,0)</f>
        <v>6.01769911504425</v>
      </c>
      <c r="J328" s="51">
        <f t="shared" si="55"/>
        <v>12.4536048289405</v>
      </c>
      <c r="K328" s="43">
        <f ca="1">H328*K303</f>
        <v>19.616339600205</v>
      </c>
      <c r="L328" s="90"/>
      <c r="M328" s="44"/>
      <c r="N328" s="82"/>
      <c r="O328" s="44"/>
      <c r="P328" s="44"/>
      <c r="Q328" s="44"/>
      <c r="R328" s="84"/>
      <c r="S328" s="47"/>
      <c r="T328" s="47"/>
    </row>
    <row r="329" s="27" customFormat="1" ht="18" customHeight="1" spans="1:20">
      <c r="A329" s="34"/>
      <c r="B329" s="48">
        <v>13</v>
      </c>
      <c r="C329" s="48"/>
      <c r="D329" s="88" t="s">
        <v>474</v>
      </c>
      <c r="E329" s="72" t="str">
        <f>+VLOOKUP(D329,'材料表 '!C:F,2,0)</f>
        <v>套</v>
      </c>
      <c r="F329" s="77">
        <f t="shared" si="52"/>
        <v>1.17868929750118</v>
      </c>
      <c r="G329" s="89">
        <f>+VLOOKUP(D329,'材料表 '!C:F,4,0)</f>
        <v>0</v>
      </c>
      <c r="H329" s="74">
        <f t="shared" si="54"/>
        <v>1.17868929750118</v>
      </c>
      <c r="I329" s="74">
        <f>+VLOOKUP(D329,'材料表 '!C:F,3,0)</f>
        <v>2.21238938053097</v>
      </c>
      <c r="J329" s="51">
        <f t="shared" si="55"/>
        <v>2.60771968473712</v>
      </c>
      <c r="K329" s="43">
        <f ca="1">H329*K303</f>
        <v>11.1725601131542</v>
      </c>
      <c r="L329" s="90"/>
      <c r="M329" s="44"/>
      <c r="N329" s="82"/>
      <c r="O329" s="44"/>
      <c r="P329" s="44"/>
      <c r="Q329" s="44"/>
      <c r="R329" s="84"/>
      <c r="S329" s="47"/>
      <c r="T329" s="47"/>
    </row>
    <row r="330" s="27" customFormat="1" ht="18" customHeight="1" spans="1:20">
      <c r="A330" s="34"/>
      <c r="B330" s="48">
        <v>14</v>
      </c>
      <c r="C330" s="48"/>
      <c r="D330" s="88" t="s">
        <v>472</v>
      </c>
      <c r="E330" s="72" t="str">
        <f>+VLOOKUP(D330,'材料表 '!C:F,2,0)</f>
        <v>套</v>
      </c>
      <c r="F330" s="77">
        <f t="shared" si="52"/>
        <v>0.392896432500393</v>
      </c>
      <c r="G330" s="89">
        <f>+VLOOKUP(D330,'材料表 '!C:F,4,0)</f>
        <v>0</v>
      </c>
      <c r="H330" s="74">
        <f t="shared" si="54"/>
        <v>0.392896432500393</v>
      </c>
      <c r="I330" s="74">
        <f>+VLOOKUP(D330,'材料表 '!C:F,3,0)</f>
        <v>2.47787610619469</v>
      </c>
      <c r="J330" s="51">
        <f t="shared" si="55"/>
        <v>0.973548682301859</v>
      </c>
      <c r="K330" s="43">
        <f ca="1">H330*K303</f>
        <v>3.72418670438472</v>
      </c>
      <c r="L330" s="90"/>
      <c r="M330" s="44"/>
      <c r="N330" s="82"/>
      <c r="O330" s="44"/>
      <c r="P330" s="44"/>
      <c r="Q330" s="44"/>
      <c r="R330" s="84"/>
      <c r="S330" s="47"/>
      <c r="T330" s="47"/>
    </row>
    <row r="331" s="27" customFormat="1" ht="18" customHeight="1" spans="1:20">
      <c r="A331" s="34"/>
      <c r="B331" s="48">
        <v>15</v>
      </c>
      <c r="C331" s="48"/>
      <c r="D331" s="88" t="s">
        <v>476</v>
      </c>
      <c r="E331" s="72" t="str">
        <f>+VLOOKUP(D331,'材料表 '!C:F,2,0)</f>
        <v>支</v>
      </c>
      <c r="F331" s="77">
        <f>8*8*(O304*2+P304*P307*2)/500/R304+15*26*(P304*P307)/500/R304</f>
        <v>0.76269989615784</v>
      </c>
      <c r="G331" s="89">
        <f>+VLOOKUP(D331,'材料表 '!C:F,4,0)</f>
        <v>0.15</v>
      </c>
      <c r="H331" s="74">
        <f t="shared" si="54"/>
        <v>0.877104880581516</v>
      </c>
      <c r="I331" s="74">
        <f>+VLOOKUP(D331,'材料表 '!C:F,3,0)</f>
        <v>11.5044247787611</v>
      </c>
      <c r="J331" s="51">
        <f t="shared" si="55"/>
        <v>10.0905871217343</v>
      </c>
      <c r="K331" s="43">
        <f ca="1">H331*K303</f>
        <v>8.31390174205607</v>
      </c>
      <c r="L331" s="92"/>
      <c r="M331" s="44"/>
      <c r="N331" s="82"/>
      <c r="O331" s="44"/>
      <c r="P331" s="44"/>
      <c r="Q331" s="44"/>
      <c r="R331" s="84"/>
      <c r="S331" s="47"/>
      <c r="T331" s="47"/>
    </row>
    <row r="332" s="27" customFormat="1" ht="18" customHeight="1" spans="1:20">
      <c r="A332" s="34"/>
      <c r="B332" s="48">
        <v>16</v>
      </c>
      <c r="C332" s="48"/>
      <c r="D332" s="88" t="s">
        <v>576</v>
      </c>
      <c r="E332" s="72" t="str">
        <f>+VLOOKUP(D332,'材料表 '!C:F,2,0)</f>
        <v>支</v>
      </c>
      <c r="F332" s="77">
        <f>16*8*(P304*P307)*2/500/R304</f>
        <v>0.341789052069426</v>
      </c>
      <c r="G332" s="89">
        <f>+VLOOKUP(D332,'材料表 '!C:F,4,0)</f>
        <v>0.15</v>
      </c>
      <c r="H332" s="74">
        <f t="shared" si="54"/>
        <v>0.39305740987984</v>
      </c>
      <c r="I332" s="74">
        <f>+VLOOKUP(D332,'材料表 '!C:F,3,0)</f>
        <v>14.1592920353982</v>
      </c>
      <c r="J332" s="51">
        <f t="shared" si="55"/>
        <v>5.56541465316586</v>
      </c>
      <c r="K332" s="43">
        <f ca="1">H332*K303</f>
        <v>3.72571257676903</v>
      </c>
      <c r="L332" s="92"/>
      <c r="M332" s="44"/>
      <c r="N332" s="82"/>
      <c r="O332" s="44"/>
      <c r="P332" s="44"/>
      <c r="Q332" s="44"/>
      <c r="R332" s="84"/>
      <c r="S332" s="47"/>
      <c r="T332" s="47"/>
    </row>
    <row r="333" s="27" customFormat="1" ht="18" customHeight="1" spans="1:20">
      <c r="A333" s="34"/>
      <c r="B333" s="48">
        <v>17</v>
      </c>
      <c r="C333" s="48"/>
      <c r="D333" s="88" t="s">
        <v>479</v>
      </c>
      <c r="E333" s="72" t="str">
        <f>+VLOOKUP(D333,'材料表 '!C:F,2,0)</f>
        <v>kg</v>
      </c>
      <c r="F333" s="77">
        <f>R326</f>
        <v>1.50458333333333</v>
      </c>
      <c r="G333" s="89">
        <f>+VLOOKUP(D333,'材料表 '!C:F,4,0)</f>
        <v>0.03</v>
      </c>
      <c r="H333" s="74">
        <f t="shared" si="54"/>
        <v>1.54972083333333</v>
      </c>
      <c r="I333" s="74">
        <f>+VLOOKUP(D333,'材料表 '!C:F,3,0)</f>
        <v>14.1592920353982</v>
      </c>
      <c r="J333" s="51">
        <f t="shared" si="55"/>
        <v>21.9429498525073</v>
      </c>
      <c r="K333" s="43">
        <f ca="1">H333*K303</f>
        <v>14.689493835</v>
      </c>
      <c r="L333" s="92"/>
      <c r="M333" s="44"/>
      <c r="N333" s="82"/>
      <c r="O333" s="44"/>
      <c r="P333" s="44"/>
      <c r="Q333" s="44"/>
      <c r="R333" s="84"/>
      <c r="S333" s="47"/>
      <c r="T333" s="47"/>
    </row>
    <row r="334" s="27" customFormat="1" ht="21" customHeight="1" spans="1:20">
      <c r="A334" s="34"/>
      <c r="B334" s="48">
        <v>18</v>
      </c>
      <c r="C334" s="48"/>
      <c r="D334" s="88" t="s">
        <v>500</v>
      </c>
      <c r="E334" s="72" t="str">
        <f>+VLOOKUP(D334,'材料表 '!C:F,2,0)</f>
        <v>kg</v>
      </c>
      <c r="F334" s="77"/>
      <c r="G334" s="89"/>
      <c r="H334" s="74"/>
      <c r="I334" s="74"/>
      <c r="J334" s="51"/>
      <c r="K334" s="43">
        <f ca="1">H334*K303</f>
        <v>0</v>
      </c>
      <c r="L334" s="92"/>
      <c r="M334" s="44"/>
      <c r="N334" s="82"/>
      <c r="O334" s="44"/>
      <c r="P334" s="44"/>
      <c r="Q334" s="44"/>
      <c r="R334" s="84"/>
      <c r="S334" s="47"/>
      <c r="T334" s="47"/>
    </row>
    <row r="335" s="27" customFormat="1" ht="34" customHeight="1" spans="1:20">
      <c r="A335" s="34"/>
      <c r="B335" s="48">
        <v>19</v>
      </c>
      <c r="C335" s="48"/>
      <c r="D335" s="88" t="s">
        <v>684</v>
      </c>
      <c r="E335" s="72" t="str">
        <f>+VLOOKUP(D335,'材料表 '!C:F,2,0)</f>
        <v>m2</v>
      </c>
      <c r="F335" s="77">
        <v>1</v>
      </c>
      <c r="G335" s="89">
        <f>+VLOOKUP(D335,'材料表 '!C:F,4,0)</f>
        <v>0.01</v>
      </c>
      <c r="H335" s="74">
        <f>F335*(G335+1)</f>
        <v>1.01</v>
      </c>
      <c r="I335" s="74">
        <f>+VLOOKUP(D335,'材料表 '!C:F,3,0)</f>
        <v>873.451327433628</v>
      </c>
      <c r="J335" s="51">
        <f>H335*I335</f>
        <v>882.185840707965</v>
      </c>
      <c r="K335" s="43">
        <f ca="1">H335*K303</f>
        <v>9.573588</v>
      </c>
      <c r="L335" s="90"/>
      <c r="M335" s="44"/>
      <c r="N335" s="82"/>
      <c r="O335" s="44"/>
      <c r="P335" s="44"/>
      <c r="Q335" s="44"/>
      <c r="R335" s="84"/>
      <c r="S335" s="47"/>
      <c r="T335" s="47"/>
    </row>
    <row r="336" s="27" customFormat="1" ht="19" customHeight="1" spans="1:20">
      <c r="A336" s="34"/>
      <c r="B336" s="48">
        <v>20</v>
      </c>
      <c r="C336" s="48"/>
      <c r="D336" s="88"/>
      <c r="E336" s="72"/>
      <c r="F336" s="77"/>
      <c r="G336" s="89"/>
      <c r="H336" s="74"/>
      <c r="I336" s="74"/>
      <c r="J336" s="51"/>
      <c r="K336" s="43">
        <f ca="1">H336*K303</f>
        <v>0</v>
      </c>
      <c r="L336" s="90"/>
      <c r="M336" s="44"/>
      <c r="N336" s="82"/>
      <c r="O336" s="44"/>
      <c r="P336" s="44"/>
      <c r="Q336" s="44"/>
      <c r="R336" s="84"/>
      <c r="S336" s="47"/>
      <c r="T336" s="47"/>
    </row>
    <row r="337" s="27" customFormat="1" ht="18" customHeight="1" spans="1:21">
      <c r="A337" s="34"/>
      <c r="B337" s="48">
        <v>21</v>
      </c>
      <c r="C337" s="48"/>
      <c r="D337" s="88"/>
      <c r="E337" s="72"/>
      <c r="F337" s="77"/>
      <c r="G337" s="89"/>
      <c r="H337" s="74"/>
      <c r="I337" s="74"/>
      <c r="J337" s="51"/>
      <c r="K337" s="43">
        <f ca="1">H337*K303</f>
        <v>0</v>
      </c>
      <c r="L337" s="92"/>
      <c r="M337" s="44"/>
      <c r="N337" s="82"/>
      <c r="O337" s="44"/>
      <c r="P337" s="44"/>
      <c r="Q337" s="44"/>
      <c r="R337" s="84"/>
      <c r="S337" s="47"/>
      <c r="T337" s="47"/>
    </row>
    <row r="338" s="27" customFormat="1" ht="18" customHeight="1" spans="1:21">
      <c r="A338" s="34"/>
      <c r="B338" s="48">
        <v>22</v>
      </c>
      <c r="C338" s="48"/>
      <c r="D338" s="88"/>
      <c r="E338" s="72"/>
      <c r="F338" s="77"/>
      <c r="G338" s="89"/>
      <c r="H338" s="74"/>
      <c r="I338" s="74"/>
      <c r="J338" s="51"/>
      <c r="K338" s="43">
        <f ca="1">H338*K303</f>
        <v>0</v>
      </c>
      <c r="L338" s="92"/>
      <c r="M338" s="44"/>
      <c r="N338" s="44"/>
      <c r="O338" s="44"/>
      <c r="P338" s="44"/>
      <c r="Q338" s="44"/>
      <c r="R338" s="84"/>
      <c r="S338" s="47"/>
      <c r="T338" s="47"/>
    </row>
    <row r="339" s="27" customFormat="1" ht="18" customHeight="1" spans="1:21">
      <c r="A339" s="34"/>
      <c r="B339" s="48">
        <v>23</v>
      </c>
      <c r="C339" s="48"/>
      <c r="D339" s="88"/>
      <c r="E339" s="72"/>
      <c r="F339" s="77"/>
      <c r="G339" s="89"/>
      <c r="H339" s="74"/>
      <c r="I339" s="74"/>
      <c r="J339" s="51"/>
      <c r="K339" s="75">
        <f ca="1">H339*K303</f>
        <v>0</v>
      </c>
      <c r="L339" s="92"/>
      <c r="M339" s="44"/>
      <c r="N339" s="44"/>
      <c r="O339" s="44"/>
      <c r="P339" s="44"/>
      <c r="Q339" s="44"/>
      <c r="R339" s="84"/>
      <c r="S339" s="47"/>
      <c r="T339" s="47"/>
    </row>
    <row r="340" s="27" customFormat="1" ht="18" customHeight="1" spans="1:21">
      <c r="A340" s="34"/>
      <c r="B340" s="48">
        <v>24</v>
      </c>
      <c r="C340" s="48"/>
      <c r="D340" s="88"/>
      <c r="E340" s="72"/>
      <c r="F340" s="77"/>
      <c r="G340" s="89"/>
      <c r="H340" s="74"/>
      <c r="I340" s="74"/>
      <c r="J340" s="51"/>
      <c r="K340" s="75">
        <f ca="1">H340*K303</f>
        <v>0</v>
      </c>
      <c r="L340" s="92"/>
      <c r="M340" s="44"/>
      <c r="N340" s="44"/>
      <c r="O340" s="44"/>
      <c r="P340" s="44"/>
      <c r="Q340" s="44"/>
      <c r="R340" s="84"/>
      <c r="S340" s="47"/>
      <c r="T340" s="47"/>
    </row>
    <row r="341" s="27" customFormat="1" ht="18" customHeight="1" spans="1:21">
      <c r="A341" s="34"/>
      <c r="B341" s="48">
        <v>25</v>
      </c>
      <c r="C341" s="48"/>
      <c r="D341" s="88"/>
      <c r="E341" s="72"/>
      <c r="F341" s="77"/>
      <c r="G341" s="89"/>
      <c r="H341" s="74"/>
      <c r="I341" s="74"/>
      <c r="J341" s="51"/>
      <c r="K341" s="75"/>
      <c r="L341" s="92"/>
      <c r="M341" s="44"/>
      <c r="N341" s="44"/>
      <c r="O341" s="44"/>
      <c r="P341" s="44"/>
      <c r="Q341" s="44"/>
      <c r="R341" s="84"/>
      <c r="S341" s="47"/>
      <c r="T341" s="47"/>
    </row>
    <row r="342" s="27" customFormat="1" ht="18" customHeight="1" spans="1:21">
      <c r="A342" s="34"/>
      <c r="B342" s="48">
        <v>26</v>
      </c>
      <c r="C342" s="48"/>
      <c r="D342" s="88" t="s">
        <v>441</v>
      </c>
      <c r="E342" s="72" t="s">
        <v>43</v>
      </c>
      <c r="F342" s="77"/>
      <c r="G342" s="72">
        <v>1</v>
      </c>
      <c r="H342" s="74">
        <v>1</v>
      </c>
      <c r="I342" s="74">
        <f>+辅材及安装费!$E$17</f>
        <v>10</v>
      </c>
      <c r="J342" s="51">
        <f>H342*I342</f>
        <v>10</v>
      </c>
      <c r="K342" s="75"/>
      <c r="L342" s="92"/>
      <c r="M342" s="44"/>
      <c r="N342" s="44"/>
      <c r="O342" s="44"/>
      <c r="P342" s="44"/>
      <c r="Q342" s="44"/>
      <c r="R342" s="62"/>
      <c r="S342" s="47"/>
      <c r="T342" s="47"/>
    </row>
    <row r="343" s="27" customFormat="1" ht="18" customHeight="1" spans="1:21">
      <c r="A343" s="34"/>
      <c r="B343" s="48">
        <v>27</v>
      </c>
      <c r="C343" s="48"/>
      <c r="D343" s="93" t="s">
        <v>442</v>
      </c>
      <c r="E343" s="72"/>
      <c r="F343" s="77"/>
      <c r="G343" s="72"/>
      <c r="H343" s="74"/>
      <c r="I343" s="74"/>
      <c r="J343" s="51">
        <f>SUM(J317:J342)</f>
        <v>1032.39078262482</v>
      </c>
      <c r="K343" s="75"/>
      <c r="L343" s="94"/>
      <c r="N343" s="83"/>
      <c r="O343" s="83"/>
      <c r="P343" s="83"/>
      <c r="Q343" s="83"/>
      <c r="R343" s="87"/>
      <c r="S343" s="47"/>
      <c r="T343" s="47"/>
    </row>
    <row r="344" s="27" customFormat="1" ht="18" customHeight="1" spans="1:21">
      <c r="A344" s="34"/>
      <c r="B344" s="48">
        <v>1</v>
      </c>
      <c r="C344" s="48" t="s">
        <v>443</v>
      </c>
      <c r="D344" s="48" t="s">
        <v>444</v>
      </c>
      <c r="E344" s="72" t="s">
        <v>43</v>
      </c>
      <c r="F344" s="50"/>
      <c r="G344" s="48"/>
      <c r="H344" s="51">
        <v>1</v>
      </c>
      <c r="I344" s="74">
        <f>+辅材及安装费!$F$17</f>
        <v>5</v>
      </c>
      <c r="J344" s="95">
        <f>H344*I344</f>
        <v>5</v>
      </c>
      <c r="K344" s="60"/>
      <c r="L344" s="96"/>
      <c r="M344" s="97"/>
      <c r="N344" s="98"/>
      <c r="O344" s="98"/>
      <c r="P344" s="98"/>
      <c r="Q344" s="98"/>
      <c r="R344" s="99"/>
      <c r="S344" s="47"/>
      <c r="T344" s="47"/>
    </row>
    <row r="345" s="26" customFormat="1" ht="30" customHeight="1" spans="1:21">
      <c r="A345" s="28"/>
      <c r="B345" s="29" t="s">
        <v>386</v>
      </c>
      <c r="C345" s="29"/>
      <c r="D345" s="29"/>
      <c r="E345" s="29"/>
      <c r="F345" s="29"/>
      <c r="G345" s="29"/>
      <c r="H345" s="29"/>
      <c r="I345" s="29"/>
      <c r="J345" s="29"/>
      <c r="K345" s="29"/>
      <c r="L345" s="30"/>
      <c r="M345" s="31"/>
      <c r="N345" s="31"/>
      <c r="O345" s="31"/>
      <c r="P345" s="31"/>
      <c r="Q345" s="31"/>
      <c r="R345" s="32"/>
      <c r="S345" s="33"/>
      <c r="T345" s="33"/>
    </row>
    <row r="346" s="27" customFormat="1" ht="33.75" customHeight="1" spans="1:21">
      <c r="A346" s="34">
        <v>9</v>
      </c>
      <c r="B346" s="35" t="s">
        <v>1</v>
      </c>
      <c r="C346" s="35" t="s">
        <v>387</v>
      </c>
      <c r="D346" s="36" t="str">
        <f>+A354</f>
        <v>首层座槽式玻璃幕墙（12+1.9SGP+12㎜全超白钢化夹层玻璃）（直+弯弧）（直段宽度840㎜+弧长1135㎜，圆弧半径900㎜，高3600㎜）</v>
      </c>
      <c r="E346" s="37"/>
      <c r="F346" s="38" t="s">
        <v>225</v>
      </c>
      <c r="G346" s="39"/>
      <c r="H346" s="35" t="s">
        <v>388</v>
      </c>
      <c r="I346" s="40" t="s">
        <v>389</v>
      </c>
      <c r="J346" s="41" t="s">
        <v>37</v>
      </c>
      <c r="K346" s="42">
        <f ca="1">VLOOKUP(A346,'商业工程量清单 '!$A$4:$D$44,4,FALSE)</f>
        <v>7.11</v>
      </c>
      <c r="L346" s="43"/>
      <c r="M346" s="44"/>
      <c r="N346" s="44"/>
      <c r="O346" s="44"/>
      <c r="P346" s="45"/>
      <c r="Q346" s="44"/>
      <c r="R346" s="46"/>
      <c r="S346" s="47"/>
      <c r="T346" s="47"/>
    </row>
    <row r="347" s="27" customFormat="1" ht="25" customHeight="1" spans="1:21">
      <c r="A347" s="34"/>
      <c r="B347" s="48">
        <v>1</v>
      </c>
      <c r="C347" s="49" t="s">
        <v>390</v>
      </c>
      <c r="D347" s="48" t="s">
        <v>391</v>
      </c>
      <c r="E347" s="48"/>
      <c r="F347" s="50"/>
      <c r="G347" s="48"/>
      <c r="H347" s="51"/>
      <c r="I347" s="52">
        <f>J359</f>
        <v>190</v>
      </c>
      <c r="J347" s="53" t="s">
        <v>392</v>
      </c>
      <c r="K347" s="54"/>
      <c r="L347" s="55" t="s">
        <v>1019</v>
      </c>
      <c r="M347" s="56"/>
      <c r="N347" s="57"/>
      <c r="O347" s="57">
        <f>0.84+1.135</f>
        <v>1.975</v>
      </c>
      <c r="P347" s="57">
        <v>3.6</v>
      </c>
      <c r="Q347" s="57">
        <v>1</v>
      </c>
      <c r="R347" s="58">
        <f>+Q347*P347*O347</f>
        <v>7.11</v>
      </c>
      <c r="S347" s="47"/>
      <c r="T347" s="47"/>
    </row>
    <row r="348" s="27" customFormat="1" ht="18" customHeight="1" spans="1:21">
      <c r="A348" s="34"/>
      <c r="B348" s="48">
        <v>2</v>
      </c>
      <c r="C348" s="59"/>
      <c r="D348" s="48" t="s">
        <v>394</v>
      </c>
      <c r="E348" s="48"/>
      <c r="F348" s="50"/>
      <c r="G348" s="48"/>
      <c r="H348" s="51"/>
      <c r="I348" s="52">
        <f>J386</f>
        <v>1248.70107049401</v>
      </c>
      <c r="J348" s="53" t="s">
        <v>392</v>
      </c>
      <c r="K348" s="60"/>
      <c r="L348" s="61"/>
      <c r="M348" s="44"/>
      <c r="N348" s="44"/>
      <c r="O348" s="44"/>
      <c r="P348" s="44"/>
      <c r="Q348" s="44"/>
      <c r="R348" s="62"/>
      <c r="S348" s="47"/>
      <c r="T348" s="47"/>
    </row>
    <row r="349" s="27" customFormat="1" ht="18" customHeight="1" spans="1:21">
      <c r="A349" s="34"/>
      <c r="B349" s="48">
        <v>3</v>
      </c>
      <c r="C349" s="63"/>
      <c r="D349" s="48" t="s">
        <v>395</v>
      </c>
      <c r="E349" s="48"/>
      <c r="F349" s="50"/>
      <c r="G349" s="48"/>
      <c r="H349" s="51"/>
      <c r="I349" s="52">
        <f>J387</f>
        <v>5</v>
      </c>
      <c r="J349" s="53" t="s">
        <v>392</v>
      </c>
      <c r="K349" s="60"/>
      <c r="L349" s="60"/>
      <c r="M349" s="64" t="s">
        <v>396</v>
      </c>
      <c r="N349" s="65" t="s">
        <v>397</v>
      </c>
      <c r="O349" s="65" t="s">
        <v>398</v>
      </c>
      <c r="P349" s="65" t="s">
        <v>399</v>
      </c>
      <c r="Q349" s="65" t="s">
        <v>400</v>
      </c>
      <c r="R349" s="66" t="s">
        <v>401</v>
      </c>
      <c r="S349" s="47"/>
      <c r="T349" s="47"/>
    </row>
    <row r="350" s="27" customFormat="1" ht="18" customHeight="1" spans="1:21">
      <c r="A350" s="34"/>
      <c r="B350" s="48">
        <v>4</v>
      </c>
      <c r="C350" s="48" t="s">
        <v>402</v>
      </c>
      <c r="D350" s="67" t="s">
        <v>403</v>
      </c>
      <c r="E350" s="67"/>
      <c r="F350" s="50"/>
      <c r="G350" s="67"/>
      <c r="H350" s="68"/>
      <c r="I350" s="52">
        <f>SUM(I347:I349)</f>
        <v>1443.70107049401</v>
      </c>
      <c r="J350" s="53" t="s">
        <v>392</v>
      </c>
      <c r="K350" s="60"/>
      <c r="L350" s="69" t="s">
        <v>427</v>
      </c>
      <c r="M350" s="70" t="s">
        <v>1007</v>
      </c>
      <c r="N350" s="34">
        <v>3.111</v>
      </c>
      <c r="O350" s="34">
        <f>P347</f>
        <v>3.6</v>
      </c>
      <c r="P350" s="34">
        <v>1</v>
      </c>
      <c r="Q350" s="44">
        <f t="shared" ref="Q350:Q358" si="56">+P350*O350*N350</f>
        <v>11.1996</v>
      </c>
      <c r="R350" s="71">
        <f>+Q350/R347</f>
        <v>1.57518987341772</v>
      </c>
      <c r="S350" s="47"/>
      <c r="T350" s="47"/>
    </row>
    <row r="351" s="27" customFormat="1" ht="28" customHeight="1" spans="1:21">
      <c r="A351" s="34"/>
      <c r="B351" s="48">
        <v>5</v>
      </c>
      <c r="C351" s="72" t="s">
        <v>406</v>
      </c>
      <c r="D351" s="48" t="s">
        <v>407</v>
      </c>
      <c r="E351" s="48"/>
      <c r="F351" s="50"/>
      <c r="G351" s="48"/>
      <c r="H351" s="73">
        <f>+'材料表 '!$E$178</f>
        <v>0</v>
      </c>
      <c r="I351" s="52">
        <f>H351*I350</f>
        <v>0</v>
      </c>
      <c r="J351" s="53" t="s">
        <v>392</v>
      </c>
      <c r="K351" s="60"/>
      <c r="L351" s="69" t="s">
        <v>433</v>
      </c>
      <c r="M351" s="70" t="s">
        <v>1008</v>
      </c>
      <c r="N351" s="34">
        <v>0.507</v>
      </c>
      <c r="O351" s="34">
        <f>O350*2</f>
        <v>7.2</v>
      </c>
      <c r="P351" s="34">
        <f>P350</f>
        <v>1</v>
      </c>
      <c r="Q351" s="44">
        <f t="shared" si="56"/>
        <v>3.6504</v>
      </c>
      <c r="R351" s="71">
        <f>+Q351/R347</f>
        <v>0.513417721518987</v>
      </c>
      <c r="S351" s="47"/>
      <c r="T351" s="47"/>
    </row>
    <row r="352" s="27" customFormat="1" ht="18" customHeight="1" spans="1:21">
      <c r="A352" s="34"/>
      <c r="B352" s="48">
        <v>6</v>
      </c>
      <c r="C352" s="48" t="s">
        <v>409</v>
      </c>
      <c r="D352" s="48" t="s">
        <v>410</v>
      </c>
      <c r="E352" s="48"/>
      <c r="F352" s="50"/>
      <c r="G352" s="48"/>
      <c r="H352" s="73">
        <f>+'材料表 '!$E$179</f>
        <v>0</v>
      </c>
      <c r="I352" s="52">
        <f>H352*I350</f>
        <v>0</v>
      </c>
      <c r="J352" s="74" t="s">
        <v>392</v>
      </c>
      <c r="K352" s="75"/>
      <c r="L352" s="69" t="s">
        <v>429</v>
      </c>
      <c r="M352" s="70" t="s">
        <v>1009</v>
      </c>
      <c r="N352" s="34">
        <v>0.499</v>
      </c>
      <c r="O352" s="34">
        <f>P347/0.3*0.05</f>
        <v>0.6</v>
      </c>
      <c r="P352" s="34">
        <f>P350</f>
        <v>1</v>
      </c>
      <c r="Q352" s="44">
        <f t="shared" si="56"/>
        <v>0.2994</v>
      </c>
      <c r="R352" s="71">
        <f>+Q352/R347</f>
        <v>0.0421097046413502</v>
      </c>
      <c r="S352" s="47"/>
      <c r="T352" s="47"/>
      <c r="U352" s="76"/>
    </row>
    <row r="353" s="27" customFormat="1" ht="18" customHeight="1" spans="1:21">
      <c r="A353" s="34"/>
      <c r="B353" s="48">
        <v>7</v>
      </c>
      <c r="C353" s="48" t="s">
        <v>412</v>
      </c>
      <c r="D353" s="72" t="s">
        <v>413</v>
      </c>
      <c r="E353" s="72"/>
      <c r="F353" s="77"/>
      <c r="G353" s="72"/>
      <c r="H353" s="73">
        <f>+'材料表 '!$E$180</f>
        <v>0.09</v>
      </c>
      <c r="I353" s="52">
        <f>(I350+I351+I352)*H353</f>
        <v>129.933096344461</v>
      </c>
      <c r="J353" s="74" t="s">
        <v>392</v>
      </c>
      <c r="K353" s="75"/>
      <c r="L353" s="69" t="s">
        <v>429</v>
      </c>
      <c r="M353" s="70" t="s">
        <v>1010</v>
      </c>
      <c r="N353" s="34">
        <f>2.9</f>
        <v>2.9</v>
      </c>
      <c r="O353" s="34">
        <v>0.2</v>
      </c>
      <c r="P353" s="34">
        <f>P350</f>
        <v>1</v>
      </c>
      <c r="Q353" s="44">
        <f t="shared" si="56"/>
        <v>0.58</v>
      </c>
      <c r="R353" s="71">
        <f>+Q353/R347</f>
        <v>0.0815752461322082</v>
      </c>
      <c r="S353" s="47"/>
      <c r="T353" s="47"/>
    </row>
    <row r="354" s="27" customFormat="1" ht="18" customHeight="1" spans="1:21">
      <c r="A354" s="78" t="s">
        <v>1022</v>
      </c>
      <c r="B354" s="48">
        <v>8</v>
      </c>
      <c r="C354" s="48" t="s">
        <v>363</v>
      </c>
      <c r="D354" s="72" t="s">
        <v>415</v>
      </c>
      <c r="E354" s="72"/>
      <c r="F354" s="77"/>
      <c r="G354" s="72"/>
      <c r="H354" s="51"/>
      <c r="I354" s="74">
        <f>SUM(I350:I353)</f>
        <v>1573.63416683847</v>
      </c>
      <c r="J354" s="74" t="s">
        <v>416</v>
      </c>
      <c r="K354" s="75"/>
      <c r="L354" s="69" t="s">
        <v>429</v>
      </c>
      <c r="M354" s="70"/>
      <c r="N354" s="34"/>
      <c r="O354" s="34"/>
      <c r="P354" s="34">
        <v>1</v>
      </c>
      <c r="Q354" s="44">
        <f t="shared" si="56"/>
        <v>0</v>
      </c>
      <c r="R354" s="71">
        <f>+Q354/R347</f>
        <v>0</v>
      </c>
      <c r="S354" s="79"/>
      <c r="T354" s="47"/>
    </row>
    <row r="355" s="27" customFormat="1" ht="18" customHeight="1" spans="1:21">
      <c r="A355" s="34"/>
      <c r="B355" s="48" t="s">
        <v>418</v>
      </c>
      <c r="C355" s="48"/>
      <c r="D355" s="48"/>
      <c r="E355" s="48"/>
      <c r="F355" s="48"/>
      <c r="G355" s="48"/>
      <c r="H355" s="48"/>
      <c r="I355" s="48"/>
      <c r="J355" s="48"/>
      <c r="K355" s="80"/>
      <c r="L355" s="69" t="s">
        <v>447</v>
      </c>
      <c r="M355" s="70"/>
      <c r="N355" s="34"/>
      <c r="O355" s="34"/>
      <c r="P355" s="34">
        <v>1</v>
      </c>
      <c r="Q355" s="44">
        <f t="shared" si="56"/>
        <v>0</v>
      </c>
      <c r="R355" s="71">
        <f>+Q355/R347</f>
        <v>0</v>
      </c>
      <c r="S355" s="47"/>
      <c r="T355" s="47"/>
      <c r="U355" s="76"/>
    </row>
    <row r="356" s="27" customFormat="1" ht="18" customHeight="1" spans="1:21">
      <c r="A356" s="34"/>
      <c r="B356" s="48">
        <v>1</v>
      </c>
      <c r="C356" s="48" t="s">
        <v>391</v>
      </c>
      <c r="D356" s="48" t="s">
        <v>396</v>
      </c>
      <c r="E356" s="48" t="s">
        <v>37</v>
      </c>
      <c r="F356" s="50"/>
      <c r="G356" s="48"/>
      <c r="H356" s="51" t="s">
        <v>399</v>
      </c>
      <c r="I356" s="51" t="s">
        <v>420</v>
      </c>
      <c r="J356" s="51" t="s">
        <v>421</v>
      </c>
      <c r="K356" s="43"/>
      <c r="L356" s="69" t="s">
        <v>404</v>
      </c>
      <c r="M356" s="81"/>
      <c r="N356" s="82"/>
      <c r="O356" s="34"/>
      <c r="P356" s="34">
        <v>1</v>
      </c>
      <c r="Q356" s="44">
        <f t="shared" si="56"/>
        <v>0</v>
      </c>
      <c r="R356" s="71">
        <f>+Q356/R347</f>
        <v>0</v>
      </c>
      <c r="S356" s="47"/>
      <c r="T356" s="47"/>
    </row>
    <row r="357" s="27" customFormat="1" ht="18" customHeight="1" spans="1:21">
      <c r="A357" s="34"/>
      <c r="B357" s="48">
        <v>2</v>
      </c>
      <c r="C357" s="48"/>
      <c r="D357" s="48" t="s">
        <v>965</v>
      </c>
      <c r="E357" s="72" t="s">
        <v>423</v>
      </c>
      <c r="F357" s="50"/>
      <c r="G357" s="48"/>
      <c r="H357" s="51">
        <v>1</v>
      </c>
      <c r="I357" s="51">
        <f>+辅材及安装费!$G$17</f>
        <v>190</v>
      </c>
      <c r="J357" s="51">
        <f t="shared" ref="J357:J365" si="57">H357*I357</f>
        <v>190</v>
      </c>
      <c r="K357" s="43"/>
      <c r="L357" s="69" t="s">
        <v>427</v>
      </c>
      <c r="M357" s="70"/>
      <c r="N357" s="83"/>
      <c r="O357" s="34"/>
      <c r="P357" s="34">
        <v>1</v>
      </c>
      <c r="Q357" s="44">
        <f t="shared" si="56"/>
        <v>0</v>
      </c>
      <c r="R357" s="84">
        <f>+Q357/R347</f>
        <v>0</v>
      </c>
      <c r="S357" s="47"/>
      <c r="T357" s="47"/>
    </row>
    <row r="358" s="27" customFormat="1" ht="18" customHeight="1" spans="1:21">
      <c r="A358" s="34"/>
      <c r="B358" s="48">
        <v>3</v>
      </c>
      <c r="C358" s="48"/>
      <c r="D358" s="48"/>
      <c r="E358" s="72"/>
      <c r="F358" s="50"/>
      <c r="G358" s="48"/>
      <c r="H358" s="51"/>
      <c r="I358" s="51"/>
      <c r="J358" s="51"/>
      <c r="K358" s="43"/>
      <c r="L358" s="69"/>
      <c r="M358" s="81"/>
      <c r="N358" s="82"/>
      <c r="O358" s="44"/>
      <c r="P358" s="34">
        <v>1</v>
      </c>
      <c r="Q358" s="44">
        <f t="shared" si="56"/>
        <v>0</v>
      </c>
      <c r="R358" s="84">
        <f>+Q358/R347</f>
        <v>0</v>
      </c>
      <c r="S358" s="47"/>
      <c r="T358" s="47"/>
    </row>
    <row r="359" s="27" customFormat="1" ht="18" customHeight="1" spans="1:21">
      <c r="A359" s="34"/>
      <c r="B359" s="48">
        <v>4</v>
      </c>
      <c r="C359" s="48"/>
      <c r="D359" s="85" t="s">
        <v>426</v>
      </c>
      <c r="E359" s="48" t="s">
        <v>392</v>
      </c>
      <c r="F359" s="50"/>
      <c r="G359" s="48"/>
      <c r="H359" s="86"/>
      <c r="I359" s="86"/>
      <c r="J359" s="51">
        <f>SUM(J357:J357)</f>
        <v>190</v>
      </c>
      <c r="K359" s="75"/>
      <c r="L359" s="69"/>
      <c r="M359" s="70"/>
      <c r="N359" s="83"/>
      <c r="O359" s="83"/>
      <c r="P359" s="34">
        <v>1</v>
      </c>
      <c r="Q359" s="83"/>
      <c r="R359" s="87"/>
      <c r="S359" s="47"/>
      <c r="T359" s="47"/>
    </row>
    <row r="360" s="27" customFormat="1" ht="23" customHeight="1" spans="1:21">
      <c r="A360" s="34"/>
      <c r="B360" s="48">
        <v>1</v>
      </c>
      <c r="C360" s="48" t="s">
        <v>394</v>
      </c>
      <c r="D360" s="88" t="s">
        <v>427</v>
      </c>
      <c r="E360" s="72" t="str">
        <f>+VLOOKUP(D360,'材料表 '!C:F,2,0)</f>
        <v>kg</v>
      </c>
      <c r="F360" s="77">
        <f>+SUMIF($L$347:$L$387,D360,$R$347:$R$387)</f>
        <v>1.57518987341772</v>
      </c>
      <c r="G360" s="89">
        <f>+VLOOKUP(D360,'材料表 '!C:F,4,0)</f>
        <v>0.03</v>
      </c>
      <c r="H360" s="74">
        <f t="shared" ref="H360:H365" si="58">F360*(G360+1)</f>
        <v>1.62244556962025</v>
      </c>
      <c r="I360" s="74">
        <f>+VLOOKUP(D360,'材料表 '!C:F,3,0)</f>
        <v>25.8495575221239</v>
      </c>
      <c r="J360" s="51">
        <f t="shared" si="57"/>
        <v>41.9395000784138</v>
      </c>
      <c r="K360" s="75">
        <f ca="1">H360*K346</f>
        <v>11.535588</v>
      </c>
      <c r="L360" s="69"/>
      <c r="M360" s="70"/>
      <c r="N360" s="83"/>
      <c r="O360" s="83"/>
      <c r="P360" s="34">
        <v>1</v>
      </c>
      <c r="Q360" s="83"/>
      <c r="R360" s="87"/>
      <c r="S360" s="47"/>
      <c r="T360" s="47"/>
    </row>
    <row r="361" s="27" customFormat="1" ht="18" customHeight="1" spans="1:21">
      <c r="A361" s="34"/>
      <c r="B361" s="48">
        <v>2</v>
      </c>
      <c r="C361" s="48"/>
      <c r="D361" s="88" t="s">
        <v>404</v>
      </c>
      <c r="E361" s="72" t="str">
        <f>+VLOOKUP(D361,'材料表 '!C:F,2,0)</f>
        <v>kg</v>
      </c>
      <c r="F361" s="77">
        <f t="shared" ref="F361:F373" si="59">+SUMIF($L$347:$L$387,D361,$R$347:$R$387)</f>
        <v>0</v>
      </c>
      <c r="G361" s="89">
        <f>+VLOOKUP(D361,'材料表 '!C:F,4,0)</f>
        <v>0.03</v>
      </c>
      <c r="H361" s="74">
        <f t="shared" si="58"/>
        <v>0</v>
      </c>
      <c r="I361" s="74">
        <f>+VLOOKUP(D361,'材料表 '!C:F,3,0)</f>
        <v>25.6725663716814</v>
      </c>
      <c r="J361" s="51">
        <f t="shared" si="57"/>
        <v>0</v>
      </c>
      <c r="K361" s="75">
        <f ca="1">H361*K346</f>
        <v>0</v>
      </c>
      <c r="L361" s="69"/>
      <c r="M361" s="70"/>
      <c r="N361" s="83"/>
      <c r="O361" s="83"/>
      <c r="P361" s="83"/>
      <c r="Q361" s="83"/>
      <c r="R361" s="87"/>
      <c r="S361" s="47"/>
      <c r="T361" s="47"/>
    </row>
    <row r="362" s="27" customFormat="1" ht="18" customHeight="1" spans="1:21">
      <c r="A362" s="34"/>
      <c r="B362" s="48">
        <v>3</v>
      </c>
      <c r="C362" s="48"/>
      <c r="D362" s="88" t="s">
        <v>433</v>
      </c>
      <c r="E362" s="72" t="str">
        <f>+VLOOKUP(D362,'材料表 '!C:F,2,0)</f>
        <v>kg</v>
      </c>
      <c r="F362" s="77">
        <f t="shared" si="59"/>
        <v>0.513417721518987</v>
      </c>
      <c r="G362" s="89">
        <f>+VLOOKUP(D362,'材料表 '!C:F,4,0)</f>
        <v>0.03</v>
      </c>
      <c r="H362" s="74">
        <f t="shared" si="58"/>
        <v>0.528820253164557</v>
      </c>
      <c r="I362" s="74">
        <f>+VLOOKUP(D362,'材料表 '!C:F,3,0)</f>
        <v>26.1150442477876</v>
      </c>
      <c r="J362" s="51">
        <f t="shared" si="57"/>
        <v>13.8101643105186</v>
      </c>
      <c r="K362" s="75">
        <f ca="1">H362*K346</f>
        <v>3.759912</v>
      </c>
      <c r="L362" s="69"/>
      <c r="N362" s="83"/>
      <c r="O362" s="83"/>
      <c r="P362" s="83"/>
      <c r="Q362" s="83"/>
      <c r="R362" s="87"/>
      <c r="S362" s="47"/>
      <c r="T362" s="47"/>
    </row>
    <row r="363" s="27" customFormat="1" ht="18" customHeight="1" spans="1:21">
      <c r="A363" s="34"/>
      <c r="B363" s="48">
        <v>4</v>
      </c>
      <c r="C363" s="48"/>
      <c r="D363" s="88" t="s">
        <v>429</v>
      </c>
      <c r="E363" s="72" t="str">
        <f>+VLOOKUP(D363,'材料表 '!C:F,2,0)</f>
        <v>kg</v>
      </c>
      <c r="F363" s="77">
        <f t="shared" si="59"/>
        <v>0.123684950773558</v>
      </c>
      <c r="G363" s="89">
        <f>+VLOOKUP(D363,'材料表 '!C:F,4,0)</f>
        <v>0.03</v>
      </c>
      <c r="H363" s="74">
        <f t="shared" si="58"/>
        <v>0.127395499296765</v>
      </c>
      <c r="I363" s="74">
        <f>+VLOOKUP(D363,'材料表 '!C:F,3,0)</f>
        <v>26.1150442477876</v>
      </c>
      <c r="J363" s="51">
        <f t="shared" si="57"/>
        <v>3.32693910110401</v>
      </c>
      <c r="K363" s="75">
        <f ca="1">H363*K346</f>
        <v>0.905781999999999</v>
      </c>
      <c r="L363" s="90" t="s">
        <v>428</v>
      </c>
      <c r="M363" s="44"/>
      <c r="N363" s="82"/>
      <c r="O363" s="44">
        <f>(O350*P350)</f>
        <v>3.6</v>
      </c>
      <c r="P363" s="44">
        <v>1</v>
      </c>
      <c r="Q363" s="44">
        <f>+P363*O363</f>
        <v>3.6</v>
      </c>
      <c r="R363" s="84">
        <f>+Q363/R347</f>
        <v>0.506329113924051</v>
      </c>
      <c r="S363" s="47"/>
      <c r="T363" s="47"/>
    </row>
    <row r="364" s="27" customFormat="1" ht="18" customHeight="1" spans="1:21">
      <c r="A364" s="34"/>
      <c r="B364" s="48">
        <v>5</v>
      </c>
      <c r="C364" s="48"/>
      <c r="D364" s="88" t="s">
        <v>447</v>
      </c>
      <c r="E364" s="72" t="str">
        <f>+VLOOKUP(D364,'材料表 '!C:F,2,0)</f>
        <v>kg</v>
      </c>
      <c r="F364" s="77">
        <f t="shared" si="59"/>
        <v>0</v>
      </c>
      <c r="G364" s="89">
        <f>+VLOOKUP(D364,'材料表 '!C:F,4,0)</f>
        <v>0.03</v>
      </c>
      <c r="H364" s="74">
        <f t="shared" si="58"/>
        <v>0</v>
      </c>
      <c r="I364" s="74">
        <f>+VLOOKUP(D364,'材料表 '!C:F,3,0)</f>
        <v>24.4336283185841</v>
      </c>
      <c r="J364" s="51">
        <f t="shared" si="57"/>
        <v>0</v>
      </c>
      <c r="K364" s="43">
        <f ca="1">H364*K346</f>
        <v>0</v>
      </c>
      <c r="L364" s="90"/>
      <c r="M364" s="44"/>
      <c r="N364" s="82"/>
      <c r="O364" s="44"/>
      <c r="P364" s="44"/>
      <c r="Q364" s="44"/>
      <c r="R364" s="84"/>
      <c r="S364" s="47"/>
      <c r="T364" s="47"/>
    </row>
    <row r="365" s="27" customFormat="1" ht="18" customHeight="1" spans="1:21">
      <c r="A365" s="34"/>
      <c r="B365" s="48">
        <v>6</v>
      </c>
      <c r="C365" s="48"/>
      <c r="D365" s="88" t="s">
        <v>434</v>
      </c>
      <c r="E365" s="72" t="str">
        <f>+VLOOKUP(D365,'材料表 '!C:F,2,0)</f>
        <v>m2</v>
      </c>
      <c r="F365" s="77">
        <f t="shared" si="59"/>
        <v>0</v>
      </c>
      <c r="G365" s="89">
        <f>+VLOOKUP(D365,'材料表 '!C:F,4,0)</f>
        <v>0</v>
      </c>
      <c r="H365" s="74">
        <f t="shared" si="58"/>
        <v>0</v>
      </c>
      <c r="I365" s="74">
        <f>+VLOOKUP(D365,'材料表 '!C:F,3,0)</f>
        <v>49.5575221238938</v>
      </c>
      <c r="J365" s="51">
        <f t="shared" si="57"/>
        <v>0</v>
      </c>
      <c r="K365" s="43">
        <f ca="1">H365*K346</f>
        <v>0</v>
      </c>
      <c r="L365" s="90" t="s">
        <v>463</v>
      </c>
      <c r="M365" s="91" t="s">
        <v>1012</v>
      </c>
      <c r="N365" s="82">
        <f>0.32*0.3*8*7.85</f>
        <v>6.0288</v>
      </c>
      <c r="O365" s="44">
        <v>1</v>
      </c>
      <c r="P365" s="44">
        <f>P350</f>
        <v>1</v>
      </c>
      <c r="Q365" s="44">
        <f t="shared" ref="Q365:Q369" si="60">+P365*O365*N365</f>
        <v>6.0288</v>
      </c>
      <c r="R365" s="84">
        <f>+Q365/R347</f>
        <v>0.847932489451477</v>
      </c>
      <c r="S365" s="47"/>
      <c r="T365" s="47"/>
    </row>
    <row r="366" s="27" customFormat="1" ht="18" customHeight="1" spans="1:21">
      <c r="A366" s="34"/>
      <c r="B366" s="48">
        <v>7</v>
      </c>
      <c r="C366" s="48"/>
      <c r="D366" s="88"/>
      <c r="E366" s="72"/>
      <c r="F366" s="77">
        <f t="shared" si="59"/>
        <v>0</v>
      </c>
      <c r="G366" s="89"/>
      <c r="H366" s="74"/>
      <c r="I366" s="74"/>
      <c r="J366" s="51"/>
      <c r="K366" s="43">
        <f ca="1">H366*K346</f>
        <v>0</v>
      </c>
      <c r="L366" s="69" t="s">
        <v>465</v>
      </c>
      <c r="M366" s="81" t="s">
        <v>1013</v>
      </c>
      <c r="N366" s="34">
        <v>9.88</v>
      </c>
      <c r="O366" s="34">
        <f>0.13</f>
        <v>0.13</v>
      </c>
      <c r="P366" s="34">
        <f>2*P365</f>
        <v>2</v>
      </c>
      <c r="Q366" s="44">
        <f t="shared" si="60"/>
        <v>2.5688</v>
      </c>
      <c r="R366" s="84">
        <f>Q366/R347</f>
        <v>0.361293952180028</v>
      </c>
      <c r="S366" s="47"/>
      <c r="T366" s="47"/>
    </row>
    <row r="367" s="27" customFormat="1" ht="18" customHeight="1" spans="1:21">
      <c r="A367" s="34"/>
      <c r="B367" s="48">
        <v>8</v>
      </c>
      <c r="C367" s="48"/>
      <c r="D367" s="88" t="s">
        <v>431</v>
      </c>
      <c r="E367" s="72" t="str">
        <f>+VLOOKUP(D367,'材料表 '!C:F,2,0)</f>
        <v>kg</v>
      </c>
      <c r="F367" s="77">
        <f t="shared" si="59"/>
        <v>0</v>
      </c>
      <c r="G367" s="89">
        <f>+VLOOKUP(D367,'材料表 '!C:F,4,0)</f>
        <v>0.03</v>
      </c>
      <c r="H367" s="74">
        <f t="shared" ref="H367:H376" si="61">F367*(G367+1)</f>
        <v>0</v>
      </c>
      <c r="I367" s="74">
        <f>+VLOOKUP(D367,'材料表 '!C:F,3,0)</f>
        <v>3.80530973451327</v>
      </c>
      <c r="J367" s="51">
        <f t="shared" ref="J367:J376" si="62">H367*I367</f>
        <v>0</v>
      </c>
      <c r="K367" s="43">
        <f ca="1">H367*K346</f>
        <v>0</v>
      </c>
      <c r="L367" s="90" t="s">
        <v>474</v>
      </c>
      <c r="M367" s="44"/>
      <c r="N367" s="82"/>
      <c r="O367" s="44">
        <v>6</v>
      </c>
      <c r="P367" s="44">
        <f>O365*P365</f>
        <v>1</v>
      </c>
      <c r="Q367" s="44">
        <f>O367*P367</f>
        <v>6</v>
      </c>
      <c r="R367" s="84">
        <f>Q367/R347</f>
        <v>0.843881856540084</v>
      </c>
      <c r="S367" s="47"/>
      <c r="T367" s="47"/>
    </row>
    <row r="368" s="27" customFormat="1" ht="18" customHeight="1" spans="1:21">
      <c r="A368" s="34"/>
      <c r="B368" s="48">
        <v>9</v>
      </c>
      <c r="C368" s="48"/>
      <c r="D368" s="88" t="s">
        <v>461</v>
      </c>
      <c r="E368" s="72" t="str">
        <f>+VLOOKUP(D368,'材料表 '!C:F,2,0)</f>
        <v>kg</v>
      </c>
      <c r="F368" s="77">
        <f t="shared" si="59"/>
        <v>0</v>
      </c>
      <c r="G368" s="89">
        <f>+VLOOKUP(D368,'材料表 '!C:F,4,0)</f>
        <v>0.03</v>
      </c>
      <c r="H368" s="74">
        <f t="shared" si="61"/>
        <v>0</v>
      </c>
      <c r="I368" s="74">
        <f>+VLOOKUP(D368,'材料表 '!C:F,3,0)</f>
        <v>3.53982300884956</v>
      </c>
      <c r="J368" s="51">
        <f t="shared" si="62"/>
        <v>0</v>
      </c>
      <c r="K368" s="43">
        <f ca="1">H368*K346</f>
        <v>0</v>
      </c>
      <c r="L368" s="90" t="s">
        <v>472</v>
      </c>
      <c r="M368" s="91"/>
      <c r="N368" s="82"/>
      <c r="O368" s="44">
        <v>2</v>
      </c>
      <c r="P368" s="44">
        <f>P350</f>
        <v>1</v>
      </c>
      <c r="Q368" s="44">
        <f>O368*P368</f>
        <v>2</v>
      </c>
      <c r="R368" s="84">
        <f>Q368/R347</f>
        <v>0.281293952180028</v>
      </c>
      <c r="S368" s="47"/>
      <c r="T368" s="47"/>
    </row>
    <row r="369" s="27" customFormat="1" ht="18" customHeight="1" spans="1:20">
      <c r="A369" s="34"/>
      <c r="B369" s="48">
        <v>10</v>
      </c>
      <c r="C369" s="48"/>
      <c r="D369" s="88" t="s">
        <v>435</v>
      </c>
      <c r="E369" s="72" t="str">
        <f>+VLOOKUP(D369,'材料表 '!C:F,2,0)</f>
        <v>kg</v>
      </c>
      <c r="F369" s="77">
        <f t="shared" si="59"/>
        <v>0</v>
      </c>
      <c r="G369" s="89">
        <f>+VLOOKUP(D369,'材料表 '!C:F,4,0)</f>
        <v>0.03</v>
      </c>
      <c r="H369" s="74">
        <f t="shared" si="61"/>
        <v>0</v>
      </c>
      <c r="I369" s="74">
        <f>+VLOOKUP(D369,'材料表 '!C:F,3,0)</f>
        <v>19.4690265486726</v>
      </c>
      <c r="J369" s="51">
        <f t="shared" si="62"/>
        <v>0</v>
      </c>
      <c r="K369" s="43">
        <f ca="1">H369*K346</f>
        <v>0</v>
      </c>
      <c r="L369" s="69" t="s">
        <v>465</v>
      </c>
      <c r="M369" s="91"/>
      <c r="N369" s="82">
        <f>(0.058+0.04*2)*5*7.85</f>
        <v>5.4165</v>
      </c>
      <c r="O369" s="44">
        <f>O347</f>
        <v>1.975</v>
      </c>
      <c r="P369" s="44">
        <v>1</v>
      </c>
      <c r="Q369" s="44">
        <f t="shared" si="60"/>
        <v>10.6975875</v>
      </c>
      <c r="R369" s="84">
        <f>+Q369/R347</f>
        <v>1.50458333333333</v>
      </c>
      <c r="S369" s="47"/>
      <c r="T369" s="47"/>
    </row>
    <row r="370" s="27" customFormat="1" ht="18" customHeight="1" spans="1:20">
      <c r="A370" s="34"/>
      <c r="B370" s="48">
        <v>11</v>
      </c>
      <c r="C370" s="48"/>
      <c r="D370" s="88" t="s">
        <v>463</v>
      </c>
      <c r="E370" s="72" t="str">
        <f>+VLOOKUP(D370,'材料表 '!C:F,2,0)</f>
        <v>kg</v>
      </c>
      <c r="F370" s="77">
        <f t="shared" si="59"/>
        <v>0.847932489451477</v>
      </c>
      <c r="G370" s="89">
        <f>+VLOOKUP(D370,'材料表 '!C:F,4,0)</f>
        <v>0.03</v>
      </c>
      <c r="H370" s="74">
        <f t="shared" si="61"/>
        <v>0.873370464135021</v>
      </c>
      <c r="I370" s="74">
        <f>+VLOOKUP(D370,'材料表 '!C:F,3,0)</f>
        <v>6.01769911504425</v>
      </c>
      <c r="J370" s="51">
        <f t="shared" si="62"/>
        <v>5.2556806691311</v>
      </c>
      <c r="K370" s="43">
        <f ca="1">H370*K346</f>
        <v>6.209664</v>
      </c>
      <c r="L370" s="69" t="s">
        <v>461</v>
      </c>
      <c r="N370" s="83"/>
      <c r="O370" s="83"/>
      <c r="P370" s="83"/>
      <c r="Q370" s="83"/>
      <c r="R370" s="84"/>
      <c r="S370" s="47"/>
      <c r="T370" s="47"/>
    </row>
    <row r="371" s="27" customFormat="1" ht="18" customHeight="1" spans="1:20">
      <c r="A371" s="34"/>
      <c r="B371" s="48">
        <v>12</v>
      </c>
      <c r="C371" s="48"/>
      <c r="D371" s="88" t="s">
        <v>465</v>
      </c>
      <c r="E371" s="72" t="str">
        <f>+VLOOKUP(D371,'材料表 '!C:F,2,0)</f>
        <v>kg</v>
      </c>
      <c r="F371" s="77">
        <f t="shared" si="59"/>
        <v>1.86587728551336</v>
      </c>
      <c r="G371" s="89">
        <f>+VLOOKUP(D371,'材料表 '!C:F,4,0)</f>
        <v>0.03</v>
      </c>
      <c r="H371" s="74">
        <f t="shared" si="61"/>
        <v>1.92185360407876</v>
      </c>
      <c r="I371" s="74">
        <f>+VLOOKUP(D371,'材料表 '!C:F,3,0)</f>
        <v>6.01769911504425</v>
      </c>
      <c r="J371" s="51">
        <f t="shared" si="62"/>
        <v>11.5651367325094</v>
      </c>
      <c r="K371" s="43">
        <f ca="1">H371*K346</f>
        <v>13.664379125</v>
      </c>
      <c r="L371" s="90"/>
      <c r="M371" s="44"/>
      <c r="N371" s="82"/>
      <c r="O371" s="44"/>
      <c r="P371" s="44"/>
      <c r="Q371" s="44"/>
      <c r="R371" s="84"/>
      <c r="S371" s="47"/>
      <c r="T371" s="47"/>
    </row>
    <row r="372" s="27" customFormat="1" ht="18" customHeight="1" spans="1:20">
      <c r="A372" s="34"/>
      <c r="B372" s="48">
        <v>13</v>
      </c>
      <c r="C372" s="48"/>
      <c r="D372" s="88" t="s">
        <v>474</v>
      </c>
      <c r="E372" s="72" t="str">
        <f>+VLOOKUP(D372,'材料表 '!C:F,2,0)</f>
        <v>套</v>
      </c>
      <c r="F372" s="77">
        <f t="shared" si="59"/>
        <v>0.843881856540084</v>
      </c>
      <c r="G372" s="89">
        <f>+VLOOKUP(D372,'材料表 '!C:F,4,0)</f>
        <v>0</v>
      </c>
      <c r="H372" s="74">
        <f t="shared" si="61"/>
        <v>0.843881856540084</v>
      </c>
      <c r="I372" s="74">
        <f>+VLOOKUP(D372,'材料表 '!C:F,3,0)</f>
        <v>2.21238938053097</v>
      </c>
      <c r="J372" s="51">
        <f t="shared" si="62"/>
        <v>1.86699525783204</v>
      </c>
      <c r="K372" s="43">
        <f ca="1">H372*K346</f>
        <v>6</v>
      </c>
      <c r="L372" s="90"/>
      <c r="M372" s="44"/>
      <c r="N372" s="82"/>
      <c r="O372" s="44"/>
      <c r="P372" s="44"/>
      <c r="Q372" s="44"/>
      <c r="R372" s="84"/>
      <c r="S372" s="47"/>
      <c r="T372" s="47"/>
    </row>
    <row r="373" s="27" customFormat="1" ht="18" customHeight="1" spans="1:20">
      <c r="A373" s="34"/>
      <c r="B373" s="48">
        <v>14</v>
      </c>
      <c r="C373" s="48"/>
      <c r="D373" s="88" t="s">
        <v>472</v>
      </c>
      <c r="E373" s="72" t="str">
        <f>+VLOOKUP(D373,'材料表 '!C:F,2,0)</f>
        <v>套</v>
      </c>
      <c r="F373" s="77">
        <f t="shared" si="59"/>
        <v>0.281293952180028</v>
      </c>
      <c r="G373" s="89">
        <f>+VLOOKUP(D373,'材料表 '!C:F,4,0)</f>
        <v>0</v>
      </c>
      <c r="H373" s="74">
        <f t="shared" si="61"/>
        <v>0.281293952180028</v>
      </c>
      <c r="I373" s="74">
        <f>+VLOOKUP(D373,'材料表 '!C:F,3,0)</f>
        <v>2.47787610619469</v>
      </c>
      <c r="J373" s="51">
        <f t="shared" si="62"/>
        <v>0.697011562923963</v>
      </c>
      <c r="K373" s="43">
        <f ca="1">H373*K346</f>
        <v>2</v>
      </c>
      <c r="L373" s="90"/>
      <c r="M373" s="44"/>
      <c r="N373" s="82"/>
      <c r="O373" s="44"/>
      <c r="P373" s="44"/>
      <c r="Q373" s="44"/>
      <c r="R373" s="84"/>
      <c r="S373" s="47"/>
      <c r="T373" s="47"/>
    </row>
    <row r="374" s="27" customFormat="1" ht="18" customHeight="1" spans="1:20">
      <c r="A374" s="34"/>
      <c r="B374" s="48">
        <v>15</v>
      </c>
      <c r="C374" s="48"/>
      <c r="D374" s="88" t="s">
        <v>476</v>
      </c>
      <c r="E374" s="72" t="str">
        <f>+VLOOKUP(D374,'材料表 '!C:F,2,0)</f>
        <v>支</v>
      </c>
      <c r="F374" s="77">
        <f>8*8*(O347*2+P347*P350*2)/500/R347+15*26*(P347*P350)/500/R347</f>
        <v>0.595668073136427</v>
      </c>
      <c r="G374" s="89">
        <f>+VLOOKUP(D374,'材料表 '!C:F,4,0)</f>
        <v>0.15</v>
      </c>
      <c r="H374" s="74">
        <f t="shared" si="61"/>
        <v>0.685018284106891</v>
      </c>
      <c r="I374" s="74">
        <f>+VLOOKUP(D374,'材料表 '!C:F,3,0)</f>
        <v>11.5044247787611</v>
      </c>
      <c r="J374" s="51">
        <f t="shared" si="62"/>
        <v>7.88074132158373</v>
      </c>
      <c r="K374" s="43">
        <f ca="1">H374*K346</f>
        <v>4.87048</v>
      </c>
      <c r="L374" s="92"/>
      <c r="M374" s="44"/>
      <c r="N374" s="82"/>
      <c r="O374" s="44"/>
      <c r="P374" s="44"/>
      <c r="Q374" s="44"/>
      <c r="R374" s="84"/>
      <c r="S374" s="47"/>
      <c r="T374" s="47"/>
    </row>
    <row r="375" s="27" customFormat="1" ht="18" customHeight="1" spans="1:20">
      <c r="A375" s="34"/>
      <c r="B375" s="48">
        <v>16</v>
      </c>
      <c r="C375" s="48"/>
      <c r="D375" s="88" t="s">
        <v>576</v>
      </c>
      <c r="E375" s="72" t="str">
        <f>+VLOOKUP(D375,'材料表 '!C:F,2,0)</f>
        <v>支</v>
      </c>
      <c r="F375" s="77">
        <f>16*8*(P347*P350)*2/500/R347</f>
        <v>0.259240506329114</v>
      </c>
      <c r="G375" s="89">
        <f>+VLOOKUP(D375,'材料表 '!C:F,4,0)</f>
        <v>0.15</v>
      </c>
      <c r="H375" s="74">
        <f t="shared" si="61"/>
        <v>0.298126582278481</v>
      </c>
      <c r="I375" s="74">
        <f>+VLOOKUP(D375,'材料表 '!C:F,3,0)</f>
        <v>14.1592920353982</v>
      </c>
      <c r="J375" s="51">
        <f t="shared" si="62"/>
        <v>4.22126134199618</v>
      </c>
      <c r="K375" s="43">
        <f ca="1">H375*K346</f>
        <v>2.11968</v>
      </c>
      <c r="L375" s="92"/>
      <c r="M375" s="44"/>
      <c r="N375" s="82"/>
      <c r="O375" s="44"/>
      <c r="P375" s="44"/>
      <c r="Q375" s="44"/>
      <c r="R375" s="84"/>
      <c r="S375" s="47"/>
      <c r="T375" s="47"/>
    </row>
    <row r="376" s="27" customFormat="1" ht="18" customHeight="1" spans="1:20">
      <c r="A376" s="34"/>
      <c r="B376" s="48">
        <v>17</v>
      </c>
      <c r="C376" s="48"/>
      <c r="D376" s="88" t="s">
        <v>479</v>
      </c>
      <c r="E376" s="72" t="str">
        <f>+VLOOKUP(D376,'材料表 '!C:F,2,0)</f>
        <v>kg</v>
      </c>
      <c r="F376" s="77">
        <f>R369</f>
        <v>1.50458333333333</v>
      </c>
      <c r="G376" s="89">
        <f>+VLOOKUP(D376,'材料表 '!C:F,4,0)</f>
        <v>0.03</v>
      </c>
      <c r="H376" s="74">
        <f t="shared" si="61"/>
        <v>1.54972083333333</v>
      </c>
      <c r="I376" s="74">
        <f>+VLOOKUP(D376,'材料表 '!C:F,3,0)</f>
        <v>14.1592920353982</v>
      </c>
      <c r="J376" s="51">
        <f t="shared" si="62"/>
        <v>21.9429498525073</v>
      </c>
      <c r="K376" s="43">
        <f ca="1">H376*K346</f>
        <v>11.018515125</v>
      </c>
      <c r="L376" s="92"/>
      <c r="M376" s="44"/>
      <c r="N376" s="82"/>
      <c r="O376" s="44"/>
      <c r="P376" s="44"/>
      <c r="Q376" s="44"/>
      <c r="R376" s="84"/>
      <c r="S376" s="47"/>
      <c r="T376" s="47"/>
    </row>
    <row r="377" s="27" customFormat="1" ht="21" customHeight="1" spans="1:20">
      <c r="A377" s="34"/>
      <c r="B377" s="48">
        <v>18</v>
      </c>
      <c r="C377" s="48"/>
      <c r="D377" s="88" t="s">
        <v>500</v>
      </c>
      <c r="E377" s="72" t="str">
        <f>+VLOOKUP(D377,'材料表 '!C:F,2,0)</f>
        <v>kg</v>
      </c>
      <c r="F377" s="77"/>
      <c r="G377" s="89"/>
      <c r="H377" s="74"/>
      <c r="I377" s="74"/>
      <c r="J377" s="51"/>
      <c r="K377" s="43">
        <f ca="1">H377*K346</f>
        <v>0</v>
      </c>
      <c r="L377" s="92"/>
      <c r="M377" s="44"/>
      <c r="N377" s="82"/>
      <c r="O377" s="44"/>
      <c r="P377" s="44"/>
      <c r="Q377" s="44"/>
      <c r="R377" s="84"/>
      <c r="S377" s="47"/>
      <c r="T377" s="47"/>
    </row>
    <row r="378" s="27" customFormat="1" ht="34" customHeight="1" spans="1:20">
      <c r="A378" s="34"/>
      <c r="B378" s="48">
        <v>19</v>
      </c>
      <c r="C378" s="48"/>
      <c r="D378" s="88" t="s">
        <v>685</v>
      </c>
      <c r="E378" s="72" t="str">
        <f>+VLOOKUP(D378,'材料表 '!C:F,2,0)</f>
        <v>m2</v>
      </c>
      <c r="F378" s="77">
        <v>1</v>
      </c>
      <c r="G378" s="89">
        <f>+VLOOKUP(D378,'材料表 '!C:F,4,0)</f>
        <v>0.01</v>
      </c>
      <c r="H378" s="74">
        <f>F378*(G378+1)</f>
        <v>1.01</v>
      </c>
      <c r="I378" s="74">
        <f>+VLOOKUP(D378,'材料表 '!C:F,3,0)</f>
        <v>1115.04424778761</v>
      </c>
      <c r="J378" s="51">
        <f>H378*I378</f>
        <v>1126.19469026549</v>
      </c>
      <c r="K378" s="43">
        <f ca="1">H378*K346</f>
        <v>7.1811</v>
      </c>
      <c r="L378" s="90"/>
      <c r="M378" s="44"/>
      <c r="N378" s="82"/>
      <c r="O378" s="44"/>
      <c r="P378" s="44"/>
      <c r="Q378" s="44"/>
      <c r="R378" s="84"/>
      <c r="S378" s="47"/>
      <c r="T378" s="47"/>
    </row>
    <row r="379" s="27" customFormat="1" ht="19" customHeight="1" spans="1:20">
      <c r="A379" s="34"/>
      <c r="B379" s="48">
        <v>20</v>
      </c>
      <c r="C379" s="48"/>
      <c r="D379" s="88"/>
      <c r="E379" s="72"/>
      <c r="F379" s="77"/>
      <c r="G379" s="89"/>
      <c r="H379" s="74"/>
      <c r="I379" s="74"/>
      <c r="J379" s="51"/>
      <c r="K379" s="43">
        <f ca="1">H379*K346</f>
        <v>0</v>
      </c>
      <c r="L379" s="90"/>
      <c r="M379" s="44"/>
      <c r="N379" s="82"/>
      <c r="O379" s="44"/>
      <c r="P379" s="44"/>
      <c r="Q379" s="44"/>
      <c r="R379" s="84"/>
      <c r="S379" s="47"/>
      <c r="T379" s="47"/>
    </row>
    <row r="380" s="27" customFormat="1" ht="18" customHeight="1" spans="1:20">
      <c r="A380" s="34"/>
      <c r="B380" s="48">
        <v>21</v>
      </c>
      <c r="C380" s="48"/>
      <c r="D380" s="88"/>
      <c r="E380" s="72"/>
      <c r="F380" s="77"/>
      <c r="G380" s="89"/>
      <c r="H380" s="74"/>
      <c r="I380" s="74"/>
      <c r="J380" s="51"/>
      <c r="K380" s="43">
        <f ca="1">H380*K346</f>
        <v>0</v>
      </c>
      <c r="L380" s="92"/>
      <c r="M380" s="44"/>
      <c r="N380" s="82"/>
      <c r="O380" s="44"/>
      <c r="P380" s="44"/>
      <c r="Q380" s="44"/>
      <c r="R380" s="84"/>
      <c r="S380" s="47"/>
      <c r="T380" s="47"/>
    </row>
    <row r="381" s="27" customFormat="1" ht="18" customHeight="1" spans="1:20">
      <c r="A381" s="34"/>
      <c r="B381" s="48">
        <v>22</v>
      </c>
      <c r="C381" s="48"/>
      <c r="D381" s="88"/>
      <c r="E381" s="72"/>
      <c r="F381" s="77"/>
      <c r="G381" s="89"/>
      <c r="H381" s="74"/>
      <c r="I381" s="74"/>
      <c r="J381" s="51"/>
      <c r="K381" s="43">
        <f ca="1">H381*K346</f>
        <v>0</v>
      </c>
      <c r="L381" s="92"/>
      <c r="M381" s="44"/>
      <c r="N381" s="44"/>
      <c r="O381" s="44"/>
      <c r="P381" s="44"/>
      <c r="Q381" s="44"/>
      <c r="R381" s="84"/>
      <c r="S381" s="47"/>
      <c r="T381" s="47"/>
    </row>
    <row r="382" s="27" customFormat="1" ht="18" customHeight="1" spans="1:20">
      <c r="A382" s="34"/>
      <c r="B382" s="48">
        <v>23</v>
      </c>
      <c r="C382" s="48"/>
      <c r="D382" s="88"/>
      <c r="E382" s="72"/>
      <c r="F382" s="77"/>
      <c r="G382" s="89"/>
      <c r="H382" s="74"/>
      <c r="I382" s="74"/>
      <c r="J382" s="51"/>
      <c r="K382" s="75">
        <f ca="1">H382*K346</f>
        <v>0</v>
      </c>
      <c r="L382" s="92"/>
      <c r="M382" s="44"/>
      <c r="N382" s="44"/>
      <c r="O382" s="44"/>
      <c r="P382" s="44"/>
      <c r="Q382" s="44"/>
      <c r="R382" s="84"/>
      <c r="S382" s="47"/>
      <c r="T382" s="47"/>
    </row>
    <row r="383" s="27" customFormat="1" ht="18" customHeight="1" spans="1:20">
      <c r="A383" s="34"/>
      <c r="B383" s="48">
        <v>24</v>
      </c>
      <c r="C383" s="48"/>
      <c r="D383" s="88"/>
      <c r="E383" s="72"/>
      <c r="F383" s="77"/>
      <c r="G383" s="89"/>
      <c r="H383" s="74"/>
      <c r="I383" s="74"/>
      <c r="J383" s="51"/>
      <c r="K383" s="75">
        <f ca="1">H383*K346</f>
        <v>0</v>
      </c>
      <c r="L383" s="92"/>
      <c r="M383" s="44"/>
      <c r="N383" s="44"/>
      <c r="O383" s="44"/>
      <c r="P383" s="44"/>
      <c r="Q383" s="44"/>
      <c r="R383" s="84"/>
      <c r="S383" s="47"/>
      <c r="T383" s="47"/>
    </row>
    <row r="384" s="27" customFormat="1" ht="18" customHeight="1" spans="1:20">
      <c r="A384" s="34"/>
      <c r="B384" s="48">
        <v>25</v>
      </c>
      <c r="C384" s="48"/>
      <c r="D384" s="88"/>
      <c r="E384" s="72"/>
      <c r="F384" s="77"/>
      <c r="G384" s="89"/>
      <c r="H384" s="74"/>
      <c r="I384" s="74"/>
      <c r="J384" s="51"/>
      <c r="K384" s="75"/>
      <c r="L384" s="92"/>
      <c r="M384" s="44"/>
      <c r="N384" s="44"/>
      <c r="O384" s="44"/>
      <c r="P384" s="44"/>
      <c r="Q384" s="44"/>
      <c r="R384" s="84"/>
      <c r="S384" s="47"/>
      <c r="T384" s="47"/>
    </row>
    <row r="385" s="27" customFormat="1" ht="18" customHeight="1" spans="1:21">
      <c r="A385" s="34"/>
      <c r="B385" s="48">
        <v>26</v>
      </c>
      <c r="C385" s="48"/>
      <c r="D385" s="88" t="s">
        <v>441</v>
      </c>
      <c r="E385" s="72" t="s">
        <v>43</v>
      </c>
      <c r="F385" s="77"/>
      <c r="G385" s="72">
        <v>1</v>
      </c>
      <c r="H385" s="74">
        <v>1</v>
      </c>
      <c r="I385" s="74">
        <f>+辅材及安装费!$E$17</f>
        <v>10</v>
      </c>
      <c r="J385" s="51">
        <f>H385*I385</f>
        <v>10</v>
      </c>
      <c r="K385" s="75"/>
      <c r="L385" s="92"/>
      <c r="M385" s="44"/>
      <c r="N385" s="44"/>
      <c r="O385" s="44"/>
      <c r="P385" s="44"/>
      <c r="Q385" s="44"/>
      <c r="R385" s="62"/>
      <c r="S385" s="47"/>
      <c r="T385" s="47"/>
    </row>
    <row r="386" s="27" customFormat="1" ht="18" customHeight="1" spans="1:21">
      <c r="A386" s="34"/>
      <c r="B386" s="48">
        <v>27</v>
      </c>
      <c r="C386" s="48"/>
      <c r="D386" s="93" t="s">
        <v>442</v>
      </c>
      <c r="E386" s="72"/>
      <c r="F386" s="77"/>
      <c r="G386" s="72"/>
      <c r="H386" s="74"/>
      <c r="I386" s="74"/>
      <c r="J386" s="51">
        <f>SUM(J360:J385)</f>
        <v>1248.70107049401</v>
      </c>
      <c r="K386" s="75"/>
      <c r="L386" s="94"/>
      <c r="N386" s="83"/>
      <c r="O386" s="83"/>
      <c r="P386" s="83"/>
      <c r="Q386" s="83"/>
      <c r="R386" s="87"/>
      <c r="S386" s="47"/>
      <c r="T386" s="47"/>
    </row>
    <row r="387" s="27" customFormat="1" ht="18" customHeight="1" spans="1:21">
      <c r="A387" s="34"/>
      <c r="B387" s="48">
        <v>1</v>
      </c>
      <c r="C387" s="48" t="s">
        <v>443</v>
      </c>
      <c r="D387" s="48" t="s">
        <v>444</v>
      </c>
      <c r="E387" s="72" t="s">
        <v>43</v>
      </c>
      <c r="F387" s="50"/>
      <c r="G387" s="48"/>
      <c r="H387" s="51">
        <v>1</v>
      </c>
      <c r="I387" s="74">
        <f>+辅材及安装费!$F$17</f>
        <v>5</v>
      </c>
      <c r="J387" s="95">
        <f>H387*I387</f>
        <v>5</v>
      </c>
      <c r="K387" s="60"/>
      <c r="L387" s="96"/>
      <c r="M387" s="97"/>
      <c r="N387" s="98"/>
      <c r="O387" s="98"/>
      <c r="P387" s="98"/>
      <c r="Q387" s="98"/>
      <c r="R387" s="99"/>
      <c r="S387" s="47"/>
      <c r="T387" s="47"/>
    </row>
    <row r="388" s="26" customFormat="1" ht="30" customHeight="1" spans="1:21">
      <c r="A388" s="28"/>
      <c r="B388" s="29" t="s">
        <v>386</v>
      </c>
      <c r="C388" s="29"/>
      <c r="D388" s="29"/>
      <c r="E388" s="29"/>
      <c r="F388" s="29"/>
      <c r="G388" s="29"/>
      <c r="H388" s="29"/>
      <c r="I388" s="29"/>
      <c r="J388" s="29"/>
      <c r="K388" s="29"/>
      <c r="L388" s="30"/>
      <c r="M388" s="31"/>
      <c r="N388" s="31"/>
      <c r="O388" s="31"/>
      <c r="P388" s="31"/>
      <c r="Q388" s="31"/>
      <c r="R388" s="32"/>
      <c r="S388" s="33"/>
      <c r="T388" s="33"/>
    </row>
    <row r="389" s="27" customFormat="1" ht="33.75" customHeight="1" spans="1:21">
      <c r="A389" s="34">
        <v>10</v>
      </c>
      <c r="B389" s="35" t="s">
        <v>1</v>
      </c>
      <c r="C389" s="35" t="s">
        <v>387</v>
      </c>
      <c r="D389" s="36" t="str">
        <f>+A397</f>
        <v>首层座槽式玻璃幕墙（12+1.9SGP+12㎜全超白钢化夹层玻璃）（直+弯弧+直）（直段宽度840㎜+弧长1498㎜+直段宽度450㎜，圆弧半径900㎜，高3600㎜）</v>
      </c>
      <c r="E389" s="37"/>
      <c r="F389" s="38" t="s">
        <v>225</v>
      </c>
      <c r="G389" s="39"/>
      <c r="H389" s="35" t="s">
        <v>388</v>
      </c>
      <c r="I389" s="40" t="s">
        <v>389</v>
      </c>
      <c r="J389" s="41" t="s">
        <v>37</v>
      </c>
      <c r="K389" s="42">
        <f ca="1">VLOOKUP(A389,'商业工程量清单 '!$A$4:$D$44,4,FALSE)</f>
        <v>8.9568</v>
      </c>
      <c r="L389" s="43"/>
      <c r="M389" s="44"/>
      <c r="N389" s="44"/>
      <c r="O389" s="44"/>
      <c r="P389" s="45"/>
      <c r="Q389" s="44"/>
      <c r="R389" s="46"/>
      <c r="S389" s="47"/>
      <c r="T389" s="47"/>
    </row>
    <row r="390" s="27" customFormat="1" ht="25" customHeight="1" spans="1:21">
      <c r="A390" s="34"/>
      <c r="B390" s="48">
        <v>1</v>
      </c>
      <c r="C390" s="49" t="s">
        <v>390</v>
      </c>
      <c r="D390" s="48" t="s">
        <v>391</v>
      </c>
      <c r="E390" s="48"/>
      <c r="F390" s="50"/>
      <c r="G390" s="48"/>
      <c r="H390" s="51"/>
      <c r="I390" s="52">
        <f>J402</f>
        <v>190</v>
      </c>
      <c r="J390" s="53" t="s">
        <v>392</v>
      </c>
      <c r="K390" s="54"/>
      <c r="L390" s="55" t="s">
        <v>1005</v>
      </c>
      <c r="M390" s="56"/>
      <c r="N390" s="57"/>
      <c r="O390" s="57">
        <f>0.84+1.498+0.45</f>
        <v>2.788</v>
      </c>
      <c r="P390" s="57">
        <v>3.6</v>
      </c>
      <c r="Q390" s="57">
        <v>1</v>
      </c>
      <c r="R390" s="58">
        <f>+Q390*P390*O390</f>
        <v>10.0368</v>
      </c>
      <c r="S390" s="47"/>
      <c r="T390" s="47"/>
    </row>
    <row r="391" s="27" customFormat="1" ht="18" customHeight="1" spans="1:21">
      <c r="A391" s="34"/>
      <c r="B391" s="48">
        <v>2</v>
      </c>
      <c r="C391" s="59"/>
      <c r="D391" s="48" t="s">
        <v>394</v>
      </c>
      <c r="E391" s="48"/>
      <c r="F391" s="50"/>
      <c r="G391" s="48"/>
      <c r="H391" s="51"/>
      <c r="I391" s="52">
        <f>J429</f>
        <v>1225.28595010961</v>
      </c>
      <c r="J391" s="53" t="s">
        <v>392</v>
      </c>
      <c r="K391" s="60"/>
      <c r="L391" s="61"/>
      <c r="M391" s="44"/>
      <c r="N391" s="44"/>
      <c r="O391" s="44"/>
      <c r="P391" s="44"/>
      <c r="Q391" s="44"/>
      <c r="R391" s="62"/>
      <c r="S391" s="47"/>
      <c r="T391" s="47"/>
    </row>
    <row r="392" s="27" customFormat="1" ht="18" customHeight="1" spans="1:21">
      <c r="A392" s="34"/>
      <c r="B392" s="48">
        <v>3</v>
      </c>
      <c r="C392" s="63"/>
      <c r="D392" s="48" t="s">
        <v>395</v>
      </c>
      <c r="E392" s="48"/>
      <c r="F392" s="50"/>
      <c r="G392" s="48"/>
      <c r="H392" s="51"/>
      <c r="I392" s="52">
        <f>J430</f>
        <v>5</v>
      </c>
      <c r="J392" s="53" t="s">
        <v>392</v>
      </c>
      <c r="K392" s="60"/>
      <c r="L392" s="60"/>
      <c r="M392" s="64" t="s">
        <v>396</v>
      </c>
      <c r="N392" s="65" t="s">
        <v>397</v>
      </c>
      <c r="O392" s="65" t="s">
        <v>398</v>
      </c>
      <c r="P392" s="65" t="s">
        <v>399</v>
      </c>
      <c r="Q392" s="65" t="s">
        <v>400</v>
      </c>
      <c r="R392" s="66" t="s">
        <v>401</v>
      </c>
      <c r="S392" s="47"/>
      <c r="T392" s="47"/>
    </row>
    <row r="393" s="27" customFormat="1" ht="18" customHeight="1" spans="1:21">
      <c r="A393" s="34"/>
      <c r="B393" s="48">
        <v>4</v>
      </c>
      <c r="C393" s="48" t="s">
        <v>402</v>
      </c>
      <c r="D393" s="67" t="s">
        <v>403</v>
      </c>
      <c r="E393" s="67"/>
      <c r="F393" s="50"/>
      <c r="G393" s="67"/>
      <c r="H393" s="68"/>
      <c r="I393" s="52">
        <f>SUM(I390:I392)</f>
        <v>1420.28595010961</v>
      </c>
      <c r="J393" s="53" t="s">
        <v>392</v>
      </c>
      <c r="K393" s="60"/>
      <c r="L393" s="69" t="s">
        <v>427</v>
      </c>
      <c r="M393" s="70" t="s">
        <v>1007</v>
      </c>
      <c r="N393" s="34">
        <v>3.111</v>
      </c>
      <c r="O393" s="34">
        <f>P390</f>
        <v>3.6</v>
      </c>
      <c r="P393" s="34">
        <v>1</v>
      </c>
      <c r="Q393" s="44">
        <f t="shared" ref="Q393:Q401" si="63">+P393*O393*N393</f>
        <v>11.1996</v>
      </c>
      <c r="R393" s="71">
        <f>+Q393/R390</f>
        <v>1.11585365853659</v>
      </c>
      <c r="S393" s="47"/>
      <c r="T393" s="47"/>
    </row>
    <row r="394" s="27" customFormat="1" ht="28" customHeight="1" spans="1:21">
      <c r="A394" s="34"/>
      <c r="B394" s="48">
        <v>5</v>
      </c>
      <c r="C394" s="72" t="s">
        <v>406</v>
      </c>
      <c r="D394" s="48" t="s">
        <v>407</v>
      </c>
      <c r="E394" s="48"/>
      <c r="F394" s="50"/>
      <c r="G394" s="48"/>
      <c r="H394" s="73">
        <f>+'材料表 '!$E$178</f>
        <v>0</v>
      </c>
      <c r="I394" s="52">
        <f>H394*I393</f>
        <v>0</v>
      </c>
      <c r="J394" s="53" t="s">
        <v>392</v>
      </c>
      <c r="K394" s="60"/>
      <c r="L394" s="69" t="s">
        <v>433</v>
      </c>
      <c r="M394" s="70" t="s">
        <v>1008</v>
      </c>
      <c r="N394" s="34">
        <v>0.507</v>
      </c>
      <c r="O394" s="34">
        <f>O393*2</f>
        <v>7.2</v>
      </c>
      <c r="P394" s="34">
        <f>P393</f>
        <v>1</v>
      </c>
      <c r="Q394" s="44">
        <f t="shared" si="63"/>
        <v>3.6504</v>
      </c>
      <c r="R394" s="71">
        <f>+Q394/R390</f>
        <v>0.363701578192253</v>
      </c>
      <c r="S394" s="47"/>
      <c r="T394" s="47"/>
    </row>
    <row r="395" s="27" customFormat="1" ht="18" customHeight="1" spans="1:21">
      <c r="A395" s="34"/>
      <c r="B395" s="48">
        <v>6</v>
      </c>
      <c r="C395" s="48" t="s">
        <v>409</v>
      </c>
      <c r="D395" s="48" t="s">
        <v>410</v>
      </c>
      <c r="E395" s="48"/>
      <c r="F395" s="50"/>
      <c r="G395" s="48"/>
      <c r="H395" s="73">
        <f>+'材料表 '!$E$179</f>
        <v>0</v>
      </c>
      <c r="I395" s="52">
        <f>H395*I393</f>
        <v>0</v>
      </c>
      <c r="J395" s="74" t="s">
        <v>392</v>
      </c>
      <c r="K395" s="75"/>
      <c r="L395" s="69" t="s">
        <v>429</v>
      </c>
      <c r="M395" s="70" t="s">
        <v>1009</v>
      </c>
      <c r="N395" s="34">
        <v>0.499</v>
      </c>
      <c r="O395" s="34">
        <f>P390/0.3*0.05</f>
        <v>0.6</v>
      </c>
      <c r="P395" s="34">
        <f>P393</f>
        <v>1</v>
      </c>
      <c r="Q395" s="44">
        <f t="shared" si="63"/>
        <v>0.2994</v>
      </c>
      <c r="R395" s="71">
        <f>+Q395/R390</f>
        <v>0.029830224772836</v>
      </c>
      <c r="S395" s="47"/>
      <c r="T395" s="47"/>
      <c r="U395" s="76"/>
    </row>
    <row r="396" s="27" customFormat="1" ht="18" customHeight="1" spans="1:21">
      <c r="A396" s="34"/>
      <c r="B396" s="48">
        <v>7</v>
      </c>
      <c r="C396" s="48" t="s">
        <v>412</v>
      </c>
      <c r="D396" s="72" t="s">
        <v>413</v>
      </c>
      <c r="E396" s="72"/>
      <c r="F396" s="77"/>
      <c r="G396" s="72"/>
      <c r="H396" s="73">
        <f>+'材料表 '!$E$180</f>
        <v>0.09</v>
      </c>
      <c r="I396" s="52">
        <f>(I393+I394+I395)*H396</f>
        <v>127.825735509865</v>
      </c>
      <c r="J396" s="74" t="s">
        <v>392</v>
      </c>
      <c r="K396" s="75"/>
      <c r="L396" s="69" t="s">
        <v>429</v>
      </c>
      <c r="M396" s="70" t="s">
        <v>1010</v>
      </c>
      <c r="N396" s="34">
        <f>2.9</f>
        <v>2.9</v>
      </c>
      <c r="O396" s="34">
        <v>0.2</v>
      </c>
      <c r="P396" s="34">
        <f>P393</f>
        <v>1</v>
      </c>
      <c r="Q396" s="44">
        <f t="shared" si="63"/>
        <v>0.58</v>
      </c>
      <c r="R396" s="71">
        <f>+Q396/R390</f>
        <v>0.0577873425793081</v>
      </c>
      <c r="S396" s="47"/>
      <c r="T396" s="47"/>
    </row>
    <row r="397" s="27" customFormat="1" ht="18" customHeight="1" spans="1:21">
      <c r="A397" s="78" t="s">
        <v>1023</v>
      </c>
      <c r="B397" s="48">
        <v>8</v>
      </c>
      <c r="C397" s="48" t="s">
        <v>363</v>
      </c>
      <c r="D397" s="72" t="s">
        <v>415</v>
      </c>
      <c r="E397" s="72"/>
      <c r="F397" s="77"/>
      <c r="G397" s="72"/>
      <c r="H397" s="51"/>
      <c r="I397" s="74">
        <f>SUM(I393:I396)</f>
        <v>1548.11168561948</v>
      </c>
      <c r="J397" s="74" t="s">
        <v>416</v>
      </c>
      <c r="K397" s="75"/>
      <c r="L397" s="69" t="s">
        <v>429</v>
      </c>
      <c r="M397" s="70"/>
      <c r="N397" s="34"/>
      <c r="O397" s="34"/>
      <c r="P397" s="34">
        <v>1</v>
      </c>
      <c r="Q397" s="44">
        <f t="shared" si="63"/>
        <v>0</v>
      </c>
      <c r="R397" s="71">
        <f>+Q397/R390</f>
        <v>0</v>
      </c>
      <c r="S397" s="79"/>
      <c r="T397" s="47"/>
    </row>
    <row r="398" s="27" customFormat="1" ht="18" customHeight="1" spans="1:21">
      <c r="A398" s="34"/>
      <c r="B398" s="48" t="s">
        <v>418</v>
      </c>
      <c r="C398" s="48"/>
      <c r="D398" s="48"/>
      <c r="E398" s="48"/>
      <c r="F398" s="48"/>
      <c r="G398" s="48"/>
      <c r="H398" s="48"/>
      <c r="I398" s="48"/>
      <c r="J398" s="48"/>
      <c r="K398" s="80"/>
      <c r="L398" s="69" t="s">
        <v>447</v>
      </c>
      <c r="M398" s="70"/>
      <c r="N398" s="34"/>
      <c r="O398" s="34"/>
      <c r="P398" s="34">
        <v>1</v>
      </c>
      <c r="Q398" s="44">
        <f t="shared" si="63"/>
        <v>0</v>
      </c>
      <c r="R398" s="71">
        <f>+Q398/R390</f>
        <v>0</v>
      </c>
      <c r="S398" s="47"/>
      <c r="T398" s="47"/>
      <c r="U398" s="76"/>
    </row>
    <row r="399" s="27" customFormat="1" ht="18" customHeight="1" spans="1:21">
      <c r="A399" s="34"/>
      <c r="B399" s="48">
        <v>1</v>
      </c>
      <c r="C399" s="48" t="s">
        <v>391</v>
      </c>
      <c r="D399" s="48" t="s">
        <v>396</v>
      </c>
      <c r="E399" s="48" t="s">
        <v>37</v>
      </c>
      <c r="F399" s="50"/>
      <c r="G399" s="48"/>
      <c r="H399" s="51" t="s">
        <v>399</v>
      </c>
      <c r="I399" s="51" t="s">
        <v>420</v>
      </c>
      <c r="J399" s="51" t="s">
        <v>421</v>
      </c>
      <c r="K399" s="43"/>
      <c r="L399" s="69" t="s">
        <v>404</v>
      </c>
      <c r="M399" s="81"/>
      <c r="N399" s="82"/>
      <c r="O399" s="34"/>
      <c r="P399" s="34">
        <v>1</v>
      </c>
      <c r="Q399" s="44">
        <f t="shared" si="63"/>
        <v>0</v>
      </c>
      <c r="R399" s="71">
        <f>+Q399/R390</f>
        <v>0</v>
      </c>
      <c r="S399" s="47"/>
      <c r="T399" s="47"/>
    </row>
    <row r="400" s="27" customFormat="1" ht="18" customHeight="1" spans="1:21">
      <c r="A400" s="34"/>
      <c r="B400" s="48">
        <v>2</v>
      </c>
      <c r="C400" s="48"/>
      <c r="D400" s="48" t="s">
        <v>965</v>
      </c>
      <c r="E400" s="72" t="s">
        <v>423</v>
      </c>
      <c r="F400" s="50"/>
      <c r="G400" s="48"/>
      <c r="H400" s="51">
        <v>1</v>
      </c>
      <c r="I400" s="51">
        <f>+辅材及安装费!$G$17</f>
        <v>190</v>
      </c>
      <c r="J400" s="51">
        <f t="shared" ref="J400:J408" si="64">H400*I400</f>
        <v>190</v>
      </c>
      <c r="K400" s="43"/>
      <c r="L400" s="69" t="s">
        <v>427</v>
      </c>
      <c r="M400" s="70"/>
      <c r="N400" s="83"/>
      <c r="O400" s="34"/>
      <c r="P400" s="34">
        <v>1</v>
      </c>
      <c r="Q400" s="44">
        <f t="shared" si="63"/>
        <v>0</v>
      </c>
      <c r="R400" s="84">
        <f>+Q400/R390</f>
        <v>0</v>
      </c>
      <c r="S400" s="47"/>
      <c r="T400" s="47"/>
    </row>
    <row r="401" s="27" customFormat="1" ht="18" customHeight="1" spans="1:20">
      <c r="A401" s="34"/>
      <c r="B401" s="48">
        <v>3</v>
      </c>
      <c r="C401" s="48"/>
      <c r="D401" s="48"/>
      <c r="E401" s="72"/>
      <c r="F401" s="50"/>
      <c r="G401" s="48"/>
      <c r="H401" s="51"/>
      <c r="I401" s="51"/>
      <c r="J401" s="51"/>
      <c r="K401" s="43"/>
      <c r="L401" s="69"/>
      <c r="M401" s="81"/>
      <c r="N401" s="82"/>
      <c r="O401" s="44"/>
      <c r="P401" s="34">
        <v>1</v>
      </c>
      <c r="Q401" s="44">
        <f t="shared" si="63"/>
        <v>0</v>
      </c>
      <c r="R401" s="84">
        <f>+Q401/R390</f>
        <v>0</v>
      </c>
      <c r="S401" s="47"/>
      <c r="T401" s="47"/>
    </row>
    <row r="402" s="27" customFormat="1" ht="18" customHeight="1" spans="1:20">
      <c r="A402" s="34"/>
      <c r="B402" s="48">
        <v>4</v>
      </c>
      <c r="C402" s="48"/>
      <c r="D402" s="85" t="s">
        <v>426</v>
      </c>
      <c r="E402" s="48" t="s">
        <v>392</v>
      </c>
      <c r="F402" s="50"/>
      <c r="G402" s="48"/>
      <c r="H402" s="86"/>
      <c r="I402" s="86"/>
      <c r="J402" s="51">
        <f>SUM(J400:J400)</f>
        <v>190</v>
      </c>
      <c r="K402" s="75"/>
      <c r="L402" s="69"/>
      <c r="M402" s="70"/>
      <c r="N402" s="83"/>
      <c r="O402" s="83"/>
      <c r="P402" s="34">
        <v>1</v>
      </c>
      <c r="Q402" s="83"/>
      <c r="R402" s="87"/>
      <c r="S402" s="47"/>
      <c r="T402" s="47"/>
    </row>
    <row r="403" s="27" customFormat="1" ht="23" customHeight="1" spans="1:20">
      <c r="A403" s="34"/>
      <c r="B403" s="48">
        <v>1</v>
      </c>
      <c r="C403" s="48" t="s">
        <v>394</v>
      </c>
      <c r="D403" s="88" t="s">
        <v>427</v>
      </c>
      <c r="E403" s="72" t="str">
        <f>+VLOOKUP(D403,'材料表 '!C:F,2,0)</f>
        <v>kg</v>
      </c>
      <c r="F403" s="77">
        <f>+SUMIF($L$390:$L$430,D403,$R$390:$R$430)</f>
        <v>1.11585365853659</v>
      </c>
      <c r="G403" s="89">
        <f>+VLOOKUP(D403,'材料表 '!C:F,4,0)</f>
        <v>0.03</v>
      </c>
      <c r="H403" s="74">
        <f t="shared" ref="H403:H408" si="65">F403*(G403+1)</f>
        <v>1.14932926829269</v>
      </c>
      <c r="I403" s="74">
        <f>+VLOOKUP(D403,'材料表 '!C:F,3,0)</f>
        <v>25.8495575221239</v>
      </c>
      <c r="J403" s="51">
        <f t="shared" si="64"/>
        <v>29.7096530325924</v>
      </c>
      <c r="K403" s="75">
        <f ca="1">H403*K389</f>
        <v>10.294312390244</v>
      </c>
      <c r="L403" s="69"/>
      <c r="M403" s="70"/>
      <c r="N403" s="83"/>
      <c r="O403" s="83"/>
      <c r="P403" s="34">
        <v>1</v>
      </c>
      <c r="Q403" s="83"/>
      <c r="R403" s="87"/>
      <c r="S403" s="47"/>
      <c r="T403" s="47"/>
    </row>
    <row r="404" s="27" customFormat="1" ht="18" customHeight="1" spans="1:20">
      <c r="A404" s="34"/>
      <c r="B404" s="48">
        <v>2</v>
      </c>
      <c r="C404" s="48"/>
      <c r="D404" s="88" t="s">
        <v>404</v>
      </c>
      <c r="E404" s="72" t="str">
        <f>+VLOOKUP(D404,'材料表 '!C:F,2,0)</f>
        <v>kg</v>
      </c>
      <c r="F404" s="77">
        <f>+SUMIF($L$390:$L$430,D404,$R$390:$R$430)</f>
        <v>0</v>
      </c>
      <c r="G404" s="89">
        <f>+VLOOKUP(D404,'材料表 '!C:F,4,0)</f>
        <v>0.03</v>
      </c>
      <c r="H404" s="74">
        <f t="shared" si="65"/>
        <v>0</v>
      </c>
      <c r="I404" s="74">
        <f>+VLOOKUP(D404,'材料表 '!C:F,3,0)</f>
        <v>25.6725663716814</v>
      </c>
      <c r="J404" s="51">
        <f t="shared" si="64"/>
        <v>0</v>
      </c>
      <c r="K404" s="75">
        <f ca="1">H404*K389</f>
        <v>0</v>
      </c>
      <c r="L404" s="69"/>
      <c r="M404" s="70"/>
      <c r="N404" s="83"/>
      <c r="O404" s="83"/>
      <c r="P404" s="83"/>
      <c r="Q404" s="83"/>
      <c r="R404" s="87"/>
      <c r="S404" s="47"/>
      <c r="T404" s="47"/>
    </row>
    <row r="405" s="27" customFormat="1" ht="18" customHeight="1" spans="1:20">
      <c r="A405" s="34"/>
      <c r="B405" s="48">
        <v>3</v>
      </c>
      <c r="C405" s="48"/>
      <c r="D405" s="88" t="s">
        <v>433</v>
      </c>
      <c r="E405" s="72" t="str">
        <f>+VLOOKUP(D405,'材料表 '!C:F,2,0)</f>
        <v>kg</v>
      </c>
      <c r="F405" s="77">
        <f t="shared" ref="F404:F416" si="66">+SUMIF($L$390:$L$430,D405,$R$390:$R$430)</f>
        <v>0.363701578192253</v>
      </c>
      <c r="G405" s="89">
        <f>+VLOOKUP(D405,'材料表 '!C:F,4,0)</f>
        <v>0.03</v>
      </c>
      <c r="H405" s="74">
        <f t="shared" si="65"/>
        <v>0.374612625538021</v>
      </c>
      <c r="I405" s="74">
        <f>+VLOOKUP(D405,'材料表 '!C:F,3,0)</f>
        <v>26.1150442477876</v>
      </c>
      <c r="J405" s="51">
        <f t="shared" si="64"/>
        <v>9.78302529170529</v>
      </c>
      <c r="K405" s="75">
        <f ca="1">H405*K389</f>
        <v>3.35533036441895</v>
      </c>
      <c r="L405" s="69"/>
      <c r="N405" s="83"/>
      <c r="O405" s="83"/>
      <c r="P405" s="83"/>
      <c r="Q405" s="83"/>
      <c r="R405" s="87"/>
      <c r="S405" s="47"/>
      <c r="T405" s="47"/>
    </row>
    <row r="406" s="27" customFormat="1" ht="18" customHeight="1" spans="1:20">
      <c r="A406" s="34"/>
      <c r="B406" s="48">
        <v>4</v>
      </c>
      <c r="C406" s="48"/>
      <c r="D406" s="88" t="s">
        <v>429</v>
      </c>
      <c r="E406" s="72" t="str">
        <f>+VLOOKUP(D406,'材料表 '!C:F,2,0)</f>
        <v>kg</v>
      </c>
      <c r="F406" s="77">
        <f t="shared" si="66"/>
        <v>0.0876175673521441</v>
      </c>
      <c r="G406" s="89">
        <f>+VLOOKUP(D406,'材料表 '!C:F,4,0)</f>
        <v>0.03</v>
      </c>
      <c r="H406" s="74">
        <f t="shared" si="65"/>
        <v>0.0902460943727084</v>
      </c>
      <c r="I406" s="74">
        <f>+VLOOKUP(D406,'材料表 '!C:F,3,0)</f>
        <v>26.1150442477876</v>
      </c>
      <c r="J406" s="51">
        <f t="shared" si="64"/>
        <v>2.3567807477333</v>
      </c>
      <c r="K406" s="75">
        <f ca="1">H406*K389</f>
        <v>0.808316218077475</v>
      </c>
      <c r="L406" s="90" t="s">
        <v>428</v>
      </c>
      <c r="M406" s="44"/>
      <c r="N406" s="82"/>
      <c r="O406" s="44">
        <f>(O393*P393)</f>
        <v>3.6</v>
      </c>
      <c r="P406" s="44">
        <v>1</v>
      </c>
      <c r="Q406" s="44">
        <f>+P406*O406</f>
        <v>3.6</v>
      </c>
      <c r="R406" s="84">
        <f>+Q406/R390</f>
        <v>0.358680057388809</v>
      </c>
      <c r="S406" s="47"/>
      <c r="T406" s="47"/>
    </row>
    <row r="407" s="27" customFormat="1" ht="18" customHeight="1" spans="1:20">
      <c r="A407" s="34"/>
      <c r="B407" s="48">
        <v>5</v>
      </c>
      <c r="C407" s="48"/>
      <c r="D407" s="88" t="s">
        <v>447</v>
      </c>
      <c r="E407" s="72" t="str">
        <f>+VLOOKUP(D407,'材料表 '!C:F,2,0)</f>
        <v>kg</v>
      </c>
      <c r="F407" s="77">
        <f t="shared" si="66"/>
        <v>0</v>
      </c>
      <c r="G407" s="89">
        <f>+VLOOKUP(D407,'材料表 '!C:F,4,0)</f>
        <v>0.03</v>
      </c>
      <c r="H407" s="74">
        <f t="shared" si="65"/>
        <v>0</v>
      </c>
      <c r="I407" s="74">
        <f>+VLOOKUP(D407,'材料表 '!C:F,3,0)</f>
        <v>24.4336283185841</v>
      </c>
      <c r="J407" s="51">
        <f t="shared" si="64"/>
        <v>0</v>
      </c>
      <c r="K407" s="43">
        <f ca="1">H407*K389</f>
        <v>0</v>
      </c>
      <c r="L407" s="90"/>
      <c r="M407" s="44"/>
      <c r="N407" s="82"/>
      <c r="O407" s="44"/>
      <c r="P407" s="44"/>
      <c r="Q407" s="44"/>
      <c r="R407" s="84"/>
      <c r="S407" s="47"/>
      <c r="T407" s="47"/>
    </row>
    <row r="408" s="27" customFormat="1" ht="18" customHeight="1" spans="1:20">
      <c r="A408" s="34"/>
      <c r="B408" s="48">
        <v>6</v>
      </c>
      <c r="C408" s="48"/>
      <c r="D408" s="88" t="s">
        <v>434</v>
      </c>
      <c r="E408" s="72" t="str">
        <f>+VLOOKUP(D408,'材料表 '!C:F,2,0)</f>
        <v>m2</v>
      </c>
      <c r="F408" s="77">
        <f t="shared" si="66"/>
        <v>0</v>
      </c>
      <c r="G408" s="89">
        <f>+VLOOKUP(D408,'材料表 '!C:F,4,0)</f>
        <v>0</v>
      </c>
      <c r="H408" s="74">
        <f t="shared" si="65"/>
        <v>0</v>
      </c>
      <c r="I408" s="74">
        <f>+VLOOKUP(D408,'材料表 '!C:F,3,0)</f>
        <v>49.5575221238938</v>
      </c>
      <c r="J408" s="51">
        <f t="shared" si="64"/>
        <v>0</v>
      </c>
      <c r="K408" s="43">
        <f ca="1">H408*K389</f>
        <v>0</v>
      </c>
      <c r="L408" s="90" t="s">
        <v>463</v>
      </c>
      <c r="M408" s="91" t="s">
        <v>1012</v>
      </c>
      <c r="N408" s="82">
        <f>0.32*0.3*8*7.85</f>
        <v>6.0288</v>
      </c>
      <c r="O408" s="44">
        <v>1</v>
      </c>
      <c r="P408" s="44">
        <f>P393</f>
        <v>1</v>
      </c>
      <c r="Q408" s="44">
        <f t="shared" ref="Q408:Q412" si="67">+P408*O408*N408</f>
        <v>6.0288</v>
      </c>
      <c r="R408" s="84">
        <f>+Q408/R390</f>
        <v>0.600669536107126</v>
      </c>
      <c r="S408" s="47"/>
      <c r="T408" s="47"/>
    </row>
    <row r="409" s="27" customFormat="1" ht="18" customHeight="1" spans="1:20">
      <c r="A409" s="34"/>
      <c r="B409" s="48">
        <v>7</v>
      </c>
      <c r="C409" s="48"/>
      <c r="D409" s="88"/>
      <c r="E409" s="72"/>
      <c r="F409" s="77">
        <f t="shared" si="66"/>
        <v>0</v>
      </c>
      <c r="G409" s="89"/>
      <c r="H409" s="74"/>
      <c r="I409" s="74"/>
      <c r="J409" s="51"/>
      <c r="K409" s="43">
        <f ca="1">H409*K389</f>
        <v>0</v>
      </c>
      <c r="L409" s="69" t="s">
        <v>465</v>
      </c>
      <c r="M409" s="81" t="s">
        <v>1013</v>
      </c>
      <c r="N409" s="34">
        <v>9.88</v>
      </c>
      <c r="O409" s="34">
        <f>0.13</f>
        <v>0.13</v>
      </c>
      <c r="P409" s="34">
        <f>2*P408</f>
        <v>2</v>
      </c>
      <c r="Q409" s="44">
        <f t="shared" si="67"/>
        <v>2.5688</v>
      </c>
      <c r="R409" s="84">
        <f>Q409/R390</f>
        <v>0.25593814761677</v>
      </c>
      <c r="S409" s="47"/>
      <c r="T409" s="47"/>
    </row>
    <row r="410" s="27" customFormat="1" ht="18" customHeight="1" spans="1:20">
      <c r="A410" s="34"/>
      <c r="B410" s="48">
        <v>8</v>
      </c>
      <c r="C410" s="48"/>
      <c r="D410" s="88" t="s">
        <v>431</v>
      </c>
      <c r="E410" s="72" t="str">
        <f>+VLOOKUP(D410,'材料表 '!C:F,2,0)</f>
        <v>kg</v>
      </c>
      <c r="F410" s="77">
        <f t="shared" si="66"/>
        <v>0</v>
      </c>
      <c r="G410" s="89">
        <f>+VLOOKUP(D410,'材料表 '!C:F,4,0)</f>
        <v>0.03</v>
      </c>
      <c r="H410" s="74">
        <f t="shared" ref="H410:H419" si="68">F410*(G410+1)</f>
        <v>0</v>
      </c>
      <c r="I410" s="74">
        <f>+VLOOKUP(D410,'材料表 '!C:F,3,0)</f>
        <v>3.80530973451327</v>
      </c>
      <c r="J410" s="51">
        <f t="shared" ref="J410:J419" si="69">H410*I410</f>
        <v>0</v>
      </c>
      <c r="K410" s="43">
        <f ca="1">H410*K389</f>
        <v>0</v>
      </c>
      <c r="L410" s="90" t="s">
        <v>474</v>
      </c>
      <c r="M410" s="44"/>
      <c r="N410" s="82"/>
      <c r="O410" s="44">
        <v>6</v>
      </c>
      <c r="P410" s="44">
        <f>O408*P408</f>
        <v>1</v>
      </c>
      <c r="Q410" s="44">
        <f>O410*P410</f>
        <v>6</v>
      </c>
      <c r="R410" s="84">
        <f>Q410/R390</f>
        <v>0.597800095648015</v>
      </c>
      <c r="S410" s="47"/>
      <c r="T410" s="47"/>
    </row>
    <row r="411" s="27" customFormat="1" ht="18" customHeight="1" spans="1:20">
      <c r="A411" s="34"/>
      <c r="B411" s="48">
        <v>9</v>
      </c>
      <c r="C411" s="48"/>
      <c r="D411" s="88" t="s">
        <v>461</v>
      </c>
      <c r="E411" s="72" t="str">
        <f>+VLOOKUP(D411,'材料表 '!C:F,2,0)</f>
        <v>kg</v>
      </c>
      <c r="F411" s="77">
        <f t="shared" si="66"/>
        <v>0</v>
      </c>
      <c r="G411" s="89">
        <f>+VLOOKUP(D411,'材料表 '!C:F,4,0)</f>
        <v>0.03</v>
      </c>
      <c r="H411" s="74">
        <f t="shared" si="68"/>
        <v>0</v>
      </c>
      <c r="I411" s="74">
        <f>+VLOOKUP(D411,'材料表 '!C:F,3,0)</f>
        <v>3.53982300884956</v>
      </c>
      <c r="J411" s="51">
        <f t="shared" si="69"/>
        <v>0</v>
      </c>
      <c r="K411" s="43">
        <f ca="1">H411*K389</f>
        <v>0</v>
      </c>
      <c r="L411" s="90" t="s">
        <v>472</v>
      </c>
      <c r="M411" s="91"/>
      <c r="N411" s="82"/>
      <c r="O411" s="44">
        <v>2</v>
      </c>
      <c r="P411" s="44">
        <f>P393</f>
        <v>1</v>
      </c>
      <c r="Q411" s="44">
        <f>O411*P411</f>
        <v>2</v>
      </c>
      <c r="R411" s="84">
        <f>Q411/R390</f>
        <v>0.199266698549338</v>
      </c>
      <c r="S411" s="47"/>
      <c r="T411" s="47"/>
    </row>
    <row r="412" s="27" customFormat="1" ht="18" customHeight="1" spans="1:20">
      <c r="A412" s="34"/>
      <c r="B412" s="48">
        <v>10</v>
      </c>
      <c r="C412" s="48"/>
      <c r="D412" s="88" t="s">
        <v>435</v>
      </c>
      <c r="E412" s="72" t="str">
        <f>+VLOOKUP(D412,'材料表 '!C:F,2,0)</f>
        <v>kg</v>
      </c>
      <c r="F412" s="77">
        <f t="shared" si="66"/>
        <v>0</v>
      </c>
      <c r="G412" s="89">
        <f>+VLOOKUP(D412,'材料表 '!C:F,4,0)</f>
        <v>0.03</v>
      </c>
      <c r="H412" s="74">
        <f t="shared" si="68"/>
        <v>0</v>
      </c>
      <c r="I412" s="74">
        <f>+VLOOKUP(D412,'材料表 '!C:F,3,0)</f>
        <v>19.4690265486726</v>
      </c>
      <c r="J412" s="51">
        <f t="shared" si="69"/>
        <v>0</v>
      </c>
      <c r="K412" s="43">
        <f ca="1">H412*K389</f>
        <v>0</v>
      </c>
      <c r="L412" s="69" t="s">
        <v>465</v>
      </c>
      <c r="M412" s="91"/>
      <c r="N412" s="82">
        <f>(0.058+0.04*2)*5*7.85</f>
        <v>5.4165</v>
      </c>
      <c r="O412" s="44">
        <f>O390</f>
        <v>2.788</v>
      </c>
      <c r="P412" s="44">
        <v>1</v>
      </c>
      <c r="Q412" s="44">
        <f t="shared" si="67"/>
        <v>15.101202</v>
      </c>
      <c r="R412" s="84">
        <f>+Q412/R390</f>
        <v>1.50458333333333</v>
      </c>
      <c r="S412" s="47"/>
      <c r="T412" s="47"/>
    </row>
    <row r="413" s="27" customFormat="1" ht="18" customHeight="1" spans="1:20">
      <c r="A413" s="34"/>
      <c r="B413" s="48">
        <v>11</v>
      </c>
      <c r="C413" s="48"/>
      <c r="D413" s="88" t="s">
        <v>463</v>
      </c>
      <c r="E413" s="72" t="str">
        <f>+VLOOKUP(D413,'材料表 '!C:F,2,0)</f>
        <v>kg</v>
      </c>
      <c r="F413" s="77">
        <f t="shared" si="66"/>
        <v>0.600669536107126</v>
      </c>
      <c r="G413" s="89">
        <f>+VLOOKUP(D413,'材料表 '!C:F,4,0)</f>
        <v>0.03</v>
      </c>
      <c r="H413" s="74">
        <f t="shared" si="68"/>
        <v>0.61868962219034</v>
      </c>
      <c r="I413" s="74">
        <f>+VLOOKUP(D413,'材料表 '!C:F,3,0)</f>
        <v>6.01769911504425</v>
      </c>
      <c r="J413" s="51">
        <f t="shared" si="69"/>
        <v>3.72308799194187</v>
      </c>
      <c r="K413" s="43">
        <f ca="1">H413*K389</f>
        <v>5.54147920803444</v>
      </c>
      <c r="L413" s="69" t="s">
        <v>461</v>
      </c>
      <c r="N413" s="83"/>
      <c r="O413" s="83"/>
      <c r="P413" s="83"/>
      <c r="Q413" s="83"/>
      <c r="R413" s="84"/>
      <c r="S413" s="47"/>
      <c r="T413" s="47"/>
    </row>
    <row r="414" s="27" customFormat="1" ht="18" customHeight="1" spans="1:20">
      <c r="A414" s="34"/>
      <c r="B414" s="48">
        <v>12</v>
      </c>
      <c r="C414" s="48"/>
      <c r="D414" s="88" t="s">
        <v>465</v>
      </c>
      <c r="E414" s="72" t="str">
        <f>+VLOOKUP(D414,'材料表 '!C:F,2,0)</f>
        <v>kg</v>
      </c>
      <c r="F414" s="77">
        <f t="shared" si="66"/>
        <v>1.7605214809501</v>
      </c>
      <c r="G414" s="89">
        <f>+VLOOKUP(D414,'材料表 '!C:F,4,0)</f>
        <v>0.03</v>
      </c>
      <c r="H414" s="74">
        <f t="shared" si="68"/>
        <v>1.8133371253786</v>
      </c>
      <c r="I414" s="74">
        <f>+VLOOKUP(D414,'材料表 '!C:F,3,0)</f>
        <v>6.01769911504425</v>
      </c>
      <c r="J414" s="51">
        <f t="shared" si="69"/>
        <v>10.9121172146677</v>
      </c>
      <c r="K414" s="43">
        <f ca="1">H414*K389</f>
        <v>16.241697964591</v>
      </c>
      <c r="L414" s="90"/>
      <c r="M414" s="44"/>
      <c r="N414" s="82"/>
      <c r="O414" s="44"/>
      <c r="P414" s="44"/>
      <c r="Q414" s="44"/>
      <c r="R414" s="84"/>
      <c r="S414" s="47"/>
      <c r="T414" s="47"/>
    </row>
    <row r="415" s="27" customFormat="1" ht="18" customHeight="1" spans="1:20">
      <c r="A415" s="34"/>
      <c r="B415" s="48">
        <v>13</v>
      </c>
      <c r="C415" s="48"/>
      <c r="D415" s="88" t="s">
        <v>474</v>
      </c>
      <c r="E415" s="72" t="str">
        <f>+VLOOKUP(D415,'材料表 '!C:F,2,0)</f>
        <v>套</v>
      </c>
      <c r="F415" s="77">
        <f t="shared" si="66"/>
        <v>0.597800095648015</v>
      </c>
      <c r="G415" s="89">
        <f>+VLOOKUP(D415,'材料表 '!C:F,4,0)</f>
        <v>0</v>
      </c>
      <c r="H415" s="74">
        <f t="shared" si="68"/>
        <v>0.597800095648015</v>
      </c>
      <c r="I415" s="74">
        <f>+VLOOKUP(D415,'材料表 '!C:F,3,0)</f>
        <v>2.21238938053097</v>
      </c>
      <c r="J415" s="51">
        <f t="shared" si="69"/>
        <v>1.32256658329207</v>
      </c>
      <c r="K415" s="43">
        <f ca="1">H415*K389</f>
        <v>5.35437589670014</v>
      </c>
      <c r="L415" s="90"/>
      <c r="M415" s="44"/>
      <c r="N415" s="82"/>
      <c r="O415" s="44"/>
      <c r="P415" s="44"/>
      <c r="Q415" s="44"/>
      <c r="R415" s="84"/>
      <c r="S415" s="47"/>
      <c r="T415" s="47"/>
    </row>
    <row r="416" s="27" customFormat="1" ht="18" customHeight="1" spans="1:20">
      <c r="A416" s="34"/>
      <c r="B416" s="48">
        <v>14</v>
      </c>
      <c r="C416" s="48"/>
      <c r="D416" s="88" t="s">
        <v>472</v>
      </c>
      <c r="E416" s="72" t="str">
        <f>+VLOOKUP(D416,'材料表 '!C:F,2,0)</f>
        <v>套</v>
      </c>
      <c r="F416" s="77">
        <f t="shared" si="66"/>
        <v>0.199266698549338</v>
      </c>
      <c r="G416" s="89">
        <f>+VLOOKUP(D416,'材料表 '!C:F,4,0)</f>
        <v>0</v>
      </c>
      <c r="H416" s="74">
        <f t="shared" si="68"/>
        <v>0.199266698549338</v>
      </c>
      <c r="I416" s="74">
        <f>+VLOOKUP(D416,'材料表 '!C:F,3,0)</f>
        <v>2.47787610619469</v>
      </c>
      <c r="J416" s="51">
        <f t="shared" si="69"/>
        <v>0.493758191095705</v>
      </c>
      <c r="K416" s="43">
        <f ca="1">H416*K389</f>
        <v>1.78479196556671</v>
      </c>
      <c r="L416" s="90"/>
      <c r="M416" s="44"/>
      <c r="N416" s="82"/>
      <c r="O416" s="44"/>
      <c r="P416" s="44"/>
      <c r="Q416" s="44"/>
      <c r="R416" s="84"/>
      <c r="S416" s="47"/>
      <c r="T416" s="47"/>
    </row>
    <row r="417" s="27" customFormat="1" ht="18" customHeight="1" spans="1:20">
      <c r="A417" s="34"/>
      <c r="B417" s="48">
        <v>15</v>
      </c>
      <c r="C417" s="48"/>
      <c r="D417" s="88" t="s">
        <v>476</v>
      </c>
      <c r="E417" s="72" t="str">
        <f>+VLOOKUP(D417,'材料表 '!C:F,2,0)</f>
        <v>支</v>
      </c>
      <c r="F417" s="77">
        <f>8*8*(O390*2+P390*P393*2)/500/R390+15*26*(P390*P393)/500/R390</f>
        <v>0.442703650565917</v>
      </c>
      <c r="G417" s="89">
        <f>+VLOOKUP(D417,'材料表 '!C:F,4,0)</f>
        <v>0.15</v>
      </c>
      <c r="H417" s="74">
        <f t="shared" si="68"/>
        <v>0.509109198150804</v>
      </c>
      <c r="I417" s="74">
        <f>+VLOOKUP(D417,'材料表 '!C:F,3,0)</f>
        <v>11.5044247787611</v>
      </c>
      <c r="J417" s="51">
        <f t="shared" si="69"/>
        <v>5.85700847430131</v>
      </c>
      <c r="K417" s="43">
        <f ca="1">H417*K389</f>
        <v>4.55998926599712</v>
      </c>
      <c r="L417" s="92"/>
      <c r="M417" s="44"/>
      <c r="N417" s="82"/>
      <c r="O417" s="44"/>
      <c r="P417" s="44"/>
      <c r="Q417" s="44"/>
      <c r="R417" s="84"/>
      <c r="S417" s="47"/>
      <c r="T417" s="47"/>
    </row>
    <row r="418" s="27" customFormat="1" ht="18" customHeight="1" spans="1:20">
      <c r="A418" s="34"/>
      <c r="B418" s="48">
        <v>16</v>
      </c>
      <c r="C418" s="48"/>
      <c r="D418" s="88" t="s">
        <v>576</v>
      </c>
      <c r="E418" s="72" t="str">
        <f>+VLOOKUP(D418,'材料表 '!C:F,2,0)</f>
        <v>支</v>
      </c>
      <c r="F418" s="77">
        <f>16*8*(P390*P393)*2/500/R390</f>
        <v>0.18364418938307</v>
      </c>
      <c r="G418" s="89">
        <f>+VLOOKUP(D418,'材料表 '!C:F,4,0)</f>
        <v>0.15</v>
      </c>
      <c r="H418" s="74">
        <f t="shared" si="68"/>
        <v>0.21119081779053</v>
      </c>
      <c r="I418" s="74">
        <f>+VLOOKUP(D418,'材料表 '!C:F,3,0)</f>
        <v>14.1592920353982</v>
      </c>
      <c r="J418" s="51">
        <f t="shared" si="69"/>
        <v>2.99031246429069</v>
      </c>
      <c r="K418" s="43">
        <f ca="1">H418*K389</f>
        <v>1.89159391678622</v>
      </c>
      <c r="L418" s="92"/>
      <c r="M418" s="44"/>
      <c r="N418" s="82"/>
      <c r="O418" s="44"/>
      <c r="P418" s="44"/>
      <c r="Q418" s="44"/>
      <c r="R418" s="84"/>
      <c r="S418" s="47"/>
      <c r="T418" s="47"/>
    </row>
    <row r="419" s="27" customFormat="1" ht="18" customHeight="1" spans="1:20">
      <c r="A419" s="34"/>
      <c r="B419" s="48">
        <v>17</v>
      </c>
      <c r="C419" s="48"/>
      <c r="D419" s="88" t="s">
        <v>479</v>
      </c>
      <c r="E419" s="72" t="str">
        <f>+VLOOKUP(D419,'材料表 '!C:F,2,0)</f>
        <v>kg</v>
      </c>
      <c r="F419" s="77">
        <f>R412</f>
        <v>1.50458333333333</v>
      </c>
      <c r="G419" s="89">
        <f>+VLOOKUP(D419,'材料表 '!C:F,4,0)</f>
        <v>0.03</v>
      </c>
      <c r="H419" s="74">
        <f t="shared" si="68"/>
        <v>1.54972083333333</v>
      </c>
      <c r="I419" s="74">
        <f>+VLOOKUP(D419,'材料表 '!C:F,3,0)</f>
        <v>14.1592920353982</v>
      </c>
      <c r="J419" s="51">
        <f t="shared" si="69"/>
        <v>21.9429498525073</v>
      </c>
      <c r="K419" s="43">
        <f ca="1">H419*K389</f>
        <v>13.88053956</v>
      </c>
      <c r="L419" s="92"/>
      <c r="M419" s="44"/>
      <c r="N419" s="82"/>
      <c r="O419" s="44"/>
      <c r="P419" s="44"/>
      <c r="Q419" s="44"/>
      <c r="R419" s="84"/>
      <c r="S419" s="47"/>
      <c r="T419" s="47"/>
    </row>
    <row r="420" s="27" customFormat="1" ht="21" customHeight="1" spans="1:20">
      <c r="A420" s="34"/>
      <c r="B420" s="48">
        <v>18</v>
      </c>
      <c r="C420" s="48"/>
      <c r="D420" s="88" t="s">
        <v>500</v>
      </c>
      <c r="E420" s="72" t="str">
        <f>+VLOOKUP(D420,'材料表 '!C:F,2,0)</f>
        <v>kg</v>
      </c>
      <c r="F420" s="77"/>
      <c r="G420" s="89"/>
      <c r="H420" s="74"/>
      <c r="I420" s="74"/>
      <c r="J420" s="51"/>
      <c r="K420" s="43">
        <f ca="1">H420*K389</f>
        <v>0</v>
      </c>
      <c r="L420" s="92"/>
      <c r="M420" s="44"/>
      <c r="N420" s="82"/>
      <c r="O420" s="44"/>
      <c r="P420" s="44"/>
      <c r="Q420" s="44"/>
      <c r="R420" s="84"/>
      <c r="S420" s="47"/>
      <c r="T420" s="47"/>
    </row>
    <row r="421" s="27" customFormat="1" ht="34" customHeight="1" spans="1:20">
      <c r="A421" s="34"/>
      <c r="B421" s="48">
        <v>19</v>
      </c>
      <c r="C421" s="48"/>
      <c r="D421" s="88" t="s">
        <v>686</v>
      </c>
      <c r="E421" s="72" t="str">
        <f>+VLOOKUP(D421,'材料表 '!C:F,2,0)</f>
        <v>m2</v>
      </c>
      <c r="F421" s="77">
        <v>1</v>
      </c>
      <c r="G421" s="89">
        <f>+VLOOKUP(D421,'材料表 '!C:F,4,0)</f>
        <v>0.01</v>
      </c>
      <c r="H421" s="74">
        <f>F421*(G421+1)</f>
        <v>1.01</v>
      </c>
      <c r="I421" s="74">
        <f>+VLOOKUP(D421,'材料表 '!C:F,3,0)</f>
        <v>1115.04424778761</v>
      </c>
      <c r="J421" s="51">
        <f>H421*I421</f>
        <v>1126.19469026549</v>
      </c>
      <c r="K421" s="43">
        <f ca="1">H421*K389</f>
        <v>9.046368</v>
      </c>
      <c r="L421" s="90"/>
      <c r="M421" s="44"/>
      <c r="N421" s="82"/>
      <c r="O421" s="44"/>
      <c r="P421" s="44"/>
      <c r="Q421" s="44"/>
      <c r="R421" s="84"/>
      <c r="S421" s="47"/>
      <c r="T421" s="47"/>
    </row>
    <row r="422" s="27" customFormat="1" ht="19" customHeight="1" spans="1:20">
      <c r="A422" s="34"/>
      <c r="B422" s="48">
        <v>20</v>
      </c>
      <c r="C422" s="48"/>
      <c r="D422" s="88"/>
      <c r="E422" s="72"/>
      <c r="F422" s="77"/>
      <c r="G422" s="89"/>
      <c r="H422" s="74"/>
      <c r="I422" s="74"/>
      <c r="J422" s="51"/>
      <c r="K422" s="43">
        <f ca="1">H422*K389</f>
        <v>0</v>
      </c>
      <c r="L422" s="90"/>
      <c r="M422" s="44"/>
      <c r="N422" s="82"/>
      <c r="O422" s="44"/>
      <c r="P422" s="44"/>
      <c r="Q422" s="44"/>
      <c r="R422" s="84"/>
      <c r="S422" s="47"/>
      <c r="T422" s="47"/>
    </row>
    <row r="423" s="27" customFormat="1" ht="18" customHeight="1" spans="1:20">
      <c r="A423" s="34"/>
      <c r="B423" s="48">
        <v>21</v>
      </c>
      <c r="C423" s="48"/>
      <c r="D423" s="88"/>
      <c r="E423" s="72"/>
      <c r="F423" s="77"/>
      <c r="G423" s="89"/>
      <c r="H423" s="74"/>
      <c r="I423" s="74"/>
      <c r="J423" s="51"/>
      <c r="K423" s="43">
        <f ca="1">H423*K389</f>
        <v>0</v>
      </c>
      <c r="L423" s="92"/>
      <c r="M423" s="44"/>
      <c r="N423" s="82"/>
      <c r="O423" s="44"/>
      <c r="P423" s="44"/>
      <c r="Q423" s="44"/>
      <c r="R423" s="84"/>
      <c r="S423" s="47"/>
      <c r="T423" s="47"/>
    </row>
    <row r="424" s="27" customFormat="1" ht="18" customHeight="1" spans="1:20">
      <c r="A424" s="34"/>
      <c r="B424" s="48">
        <v>22</v>
      </c>
      <c r="C424" s="48"/>
      <c r="D424" s="88"/>
      <c r="E424" s="72"/>
      <c r="F424" s="77"/>
      <c r="G424" s="89"/>
      <c r="H424" s="74"/>
      <c r="I424" s="74"/>
      <c r="J424" s="51"/>
      <c r="K424" s="43">
        <f ca="1">H424*K389</f>
        <v>0</v>
      </c>
      <c r="L424" s="92"/>
      <c r="M424" s="44"/>
      <c r="N424" s="44"/>
      <c r="O424" s="44"/>
      <c r="P424" s="44"/>
      <c r="Q424" s="44"/>
      <c r="R424" s="84"/>
      <c r="S424" s="47"/>
      <c r="T424" s="47"/>
    </row>
    <row r="425" s="27" customFormat="1" ht="18" customHeight="1" spans="1:20">
      <c r="A425" s="34"/>
      <c r="B425" s="48">
        <v>23</v>
      </c>
      <c r="C425" s="48"/>
      <c r="D425" s="88"/>
      <c r="E425" s="72"/>
      <c r="F425" s="77"/>
      <c r="G425" s="89"/>
      <c r="H425" s="74"/>
      <c r="I425" s="74"/>
      <c r="J425" s="51"/>
      <c r="K425" s="75">
        <f ca="1">H425*K389</f>
        <v>0</v>
      </c>
      <c r="L425" s="92"/>
      <c r="M425" s="44"/>
      <c r="N425" s="44"/>
      <c r="O425" s="44"/>
      <c r="P425" s="44"/>
      <c r="Q425" s="44"/>
      <c r="R425" s="84"/>
      <c r="S425" s="47"/>
      <c r="T425" s="47"/>
    </row>
    <row r="426" s="27" customFormat="1" ht="18" customHeight="1" spans="1:20">
      <c r="A426" s="34"/>
      <c r="B426" s="48">
        <v>24</v>
      </c>
      <c r="C426" s="48"/>
      <c r="D426" s="88"/>
      <c r="E426" s="72"/>
      <c r="F426" s="77"/>
      <c r="G426" s="89"/>
      <c r="H426" s="74"/>
      <c r="I426" s="74"/>
      <c r="J426" s="51"/>
      <c r="K426" s="75">
        <f ca="1">H426*K389</f>
        <v>0</v>
      </c>
      <c r="L426" s="92"/>
      <c r="M426" s="44"/>
      <c r="N426" s="44"/>
      <c r="O426" s="44"/>
      <c r="P426" s="44"/>
      <c r="Q426" s="44"/>
      <c r="R426" s="84"/>
      <c r="S426" s="47"/>
      <c r="T426" s="47"/>
    </row>
    <row r="427" s="27" customFormat="1" ht="18" customHeight="1" spans="1:20">
      <c r="A427" s="34"/>
      <c r="B427" s="48">
        <v>25</v>
      </c>
      <c r="C427" s="48"/>
      <c r="D427" s="88"/>
      <c r="E427" s="72"/>
      <c r="F427" s="77"/>
      <c r="G427" s="89"/>
      <c r="H427" s="74"/>
      <c r="I427" s="74"/>
      <c r="J427" s="51"/>
      <c r="K427" s="75"/>
      <c r="L427" s="92"/>
      <c r="M427" s="44"/>
      <c r="N427" s="44"/>
      <c r="O427" s="44"/>
      <c r="P427" s="44"/>
      <c r="Q427" s="44"/>
      <c r="R427" s="84"/>
      <c r="S427" s="47"/>
      <c r="T427" s="47"/>
    </row>
    <row r="428" s="27" customFormat="1" ht="18" customHeight="1" spans="1:20">
      <c r="A428" s="34"/>
      <c r="B428" s="48">
        <v>26</v>
      </c>
      <c r="C428" s="48"/>
      <c r="D428" s="88" t="s">
        <v>441</v>
      </c>
      <c r="E428" s="72" t="s">
        <v>43</v>
      </c>
      <c r="F428" s="77"/>
      <c r="G428" s="72">
        <v>1</v>
      </c>
      <c r="H428" s="74">
        <v>1</v>
      </c>
      <c r="I428" s="74">
        <f>+辅材及安装费!$E$17</f>
        <v>10</v>
      </c>
      <c r="J428" s="51">
        <f>H428*I428</f>
        <v>10</v>
      </c>
      <c r="K428" s="75"/>
      <c r="L428" s="92"/>
      <c r="M428" s="44"/>
      <c r="N428" s="44"/>
      <c r="O428" s="44"/>
      <c r="P428" s="44"/>
      <c r="Q428" s="44"/>
      <c r="R428" s="62"/>
      <c r="S428" s="47"/>
      <c r="T428" s="47"/>
    </row>
    <row r="429" s="27" customFormat="1" ht="18" customHeight="1" spans="1:20">
      <c r="A429" s="34"/>
      <c r="B429" s="48">
        <v>27</v>
      </c>
      <c r="C429" s="48"/>
      <c r="D429" s="93" t="s">
        <v>442</v>
      </c>
      <c r="E429" s="72"/>
      <c r="F429" s="77"/>
      <c r="G429" s="72"/>
      <c r="H429" s="74"/>
      <c r="I429" s="74"/>
      <c r="J429" s="51">
        <f>SUM(J403:J428)</f>
        <v>1225.28595010961</v>
      </c>
      <c r="K429" s="75"/>
      <c r="L429" s="94"/>
      <c r="N429" s="83"/>
      <c r="O429" s="83"/>
      <c r="P429" s="83"/>
      <c r="Q429" s="83"/>
      <c r="R429" s="87"/>
      <c r="S429" s="47"/>
      <c r="T429" s="47"/>
    </row>
    <row r="430" s="27" customFormat="1" ht="18" customHeight="1" spans="1:20">
      <c r="A430" s="34"/>
      <c r="B430" s="48">
        <v>1</v>
      </c>
      <c r="C430" s="48" t="s">
        <v>443</v>
      </c>
      <c r="D430" s="48" t="s">
        <v>444</v>
      </c>
      <c r="E430" s="72" t="s">
        <v>43</v>
      </c>
      <c r="F430" s="50"/>
      <c r="G430" s="48"/>
      <c r="H430" s="51">
        <v>1</v>
      </c>
      <c r="I430" s="74">
        <f>+辅材及安装费!$F$17</f>
        <v>5</v>
      </c>
      <c r="J430" s="95">
        <f>H430*I430</f>
        <v>5</v>
      </c>
      <c r="K430" s="60"/>
      <c r="L430" s="96"/>
      <c r="M430" s="97"/>
      <c r="N430" s="98"/>
      <c r="O430" s="98"/>
      <c r="P430" s="98"/>
      <c r="Q430" s="98"/>
      <c r="R430" s="99"/>
      <c r="S430" s="47"/>
      <c r="T430" s="47"/>
    </row>
    <row r="431" s="26" customFormat="1" ht="30" customHeight="1" spans="1:20">
      <c r="A431" s="28"/>
      <c r="B431" s="29" t="s">
        <v>386</v>
      </c>
      <c r="C431" s="29"/>
      <c r="D431" s="29"/>
      <c r="E431" s="29"/>
      <c r="F431" s="29"/>
      <c r="G431" s="29"/>
      <c r="H431" s="29"/>
      <c r="I431" s="29"/>
      <c r="J431" s="29"/>
      <c r="K431" s="29"/>
      <c r="L431" s="30"/>
      <c r="M431" s="31"/>
      <c r="N431" s="31"/>
      <c r="O431" s="31"/>
      <c r="P431" s="31"/>
      <c r="Q431" s="31"/>
      <c r="R431" s="32"/>
      <c r="S431" s="33"/>
      <c r="T431" s="33"/>
    </row>
    <row r="432" s="27" customFormat="1" ht="33.75" customHeight="1" spans="1:20">
      <c r="A432" s="34">
        <v>11</v>
      </c>
      <c r="B432" s="35" t="s">
        <v>1</v>
      </c>
      <c r="C432" s="35" t="s">
        <v>387</v>
      </c>
      <c r="D432" s="36" t="str">
        <f>+A440</f>
        <v>首层座槽式玻璃幕墙（10+1.9SGP+10Low-E(双银)+12A+10㎜全超白钢化夹层中空玻璃）</v>
      </c>
      <c r="E432" s="37"/>
      <c r="F432" s="38" t="s">
        <v>225</v>
      </c>
      <c r="G432" s="39"/>
      <c r="H432" s="35" t="s">
        <v>388</v>
      </c>
      <c r="I432" s="40" t="s">
        <v>389</v>
      </c>
      <c r="J432" s="41" t="s">
        <v>37</v>
      </c>
      <c r="K432" s="42">
        <f ca="1">VLOOKUP(A432,'商业工程量清单 '!$A$4:$D$44,4,FALSE)</f>
        <v>54.9</v>
      </c>
      <c r="L432" s="43"/>
      <c r="M432" s="44"/>
      <c r="N432" s="44"/>
      <c r="O432" s="44"/>
      <c r="P432" s="45"/>
      <c r="Q432" s="44"/>
      <c r="R432" s="46"/>
      <c r="S432" s="47"/>
      <c r="T432" s="47"/>
    </row>
    <row r="433" s="27" customFormat="1" ht="25" customHeight="1" spans="1:21">
      <c r="A433" s="34"/>
      <c r="B433" s="48">
        <v>1</v>
      </c>
      <c r="C433" s="49" t="s">
        <v>390</v>
      </c>
      <c r="D433" s="48" t="s">
        <v>391</v>
      </c>
      <c r="E433" s="48"/>
      <c r="F433" s="50"/>
      <c r="G433" s="48"/>
      <c r="H433" s="51"/>
      <c r="I433" s="52">
        <f>J445</f>
        <v>190</v>
      </c>
      <c r="J433" s="53" t="s">
        <v>392</v>
      </c>
      <c r="K433" s="54"/>
      <c r="L433" s="55" t="s">
        <v>1019</v>
      </c>
      <c r="M433" s="56"/>
      <c r="N433" s="57"/>
      <c r="O433" s="57">
        <f>1.7+13.55</f>
        <v>15.25</v>
      </c>
      <c r="P433" s="57">
        <v>3.6</v>
      </c>
      <c r="Q433" s="57">
        <v>1</v>
      </c>
      <c r="R433" s="58">
        <f>+Q433*P433*O433</f>
        <v>54.9</v>
      </c>
      <c r="S433" s="47"/>
      <c r="T433" s="47"/>
    </row>
    <row r="434" s="27" customFormat="1" ht="18" customHeight="1" spans="1:21">
      <c r="A434" s="34"/>
      <c r="B434" s="48">
        <v>2</v>
      </c>
      <c r="C434" s="59"/>
      <c r="D434" s="48" t="s">
        <v>394</v>
      </c>
      <c r="E434" s="48"/>
      <c r="F434" s="50"/>
      <c r="G434" s="48"/>
      <c r="H434" s="51"/>
      <c r="I434" s="52">
        <f>J472</f>
        <v>673.38812031046</v>
      </c>
      <c r="J434" s="53" t="s">
        <v>392</v>
      </c>
      <c r="K434" s="60"/>
      <c r="L434" s="61"/>
      <c r="M434" s="44"/>
      <c r="N434" s="44"/>
      <c r="O434" s="44"/>
      <c r="P434" s="44"/>
      <c r="Q434" s="44"/>
      <c r="R434" s="62"/>
      <c r="S434" s="47"/>
      <c r="T434" s="47"/>
    </row>
    <row r="435" s="27" customFormat="1" ht="18" customHeight="1" spans="1:21">
      <c r="A435" s="34"/>
      <c r="B435" s="48">
        <v>3</v>
      </c>
      <c r="C435" s="63"/>
      <c r="D435" s="48" t="s">
        <v>395</v>
      </c>
      <c r="E435" s="48"/>
      <c r="F435" s="50"/>
      <c r="G435" s="48"/>
      <c r="H435" s="51"/>
      <c r="I435" s="52">
        <f>J473</f>
        <v>5</v>
      </c>
      <c r="J435" s="53" t="s">
        <v>392</v>
      </c>
      <c r="K435" s="60"/>
      <c r="L435" s="60"/>
      <c r="M435" s="64" t="s">
        <v>396</v>
      </c>
      <c r="N435" s="65" t="s">
        <v>397</v>
      </c>
      <c r="O435" s="65" t="s">
        <v>398</v>
      </c>
      <c r="P435" s="65" t="s">
        <v>399</v>
      </c>
      <c r="Q435" s="65" t="s">
        <v>400</v>
      </c>
      <c r="R435" s="66" t="s">
        <v>401</v>
      </c>
      <c r="S435" s="47"/>
      <c r="T435" s="47"/>
    </row>
    <row r="436" s="27" customFormat="1" ht="18" customHeight="1" spans="1:21">
      <c r="A436" s="34"/>
      <c r="B436" s="48">
        <v>4</v>
      </c>
      <c r="C436" s="48" t="s">
        <v>402</v>
      </c>
      <c r="D436" s="67" t="s">
        <v>403</v>
      </c>
      <c r="E436" s="67"/>
      <c r="F436" s="50"/>
      <c r="G436" s="67"/>
      <c r="H436" s="68"/>
      <c r="I436" s="52">
        <f>SUM(I433:I435)</f>
        <v>868.38812031046</v>
      </c>
      <c r="J436" s="53" t="s">
        <v>392</v>
      </c>
      <c r="K436" s="60"/>
      <c r="L436" s="69" t="s">
        <v>427</v>
      </c>
      <c r="M436" s="70" t="s">
        <v>1007</v>
      </c>
      <c r="N436" s="34">
        <v>3.111</v>
      </c>
      <c r="O436" s="34">
        <f>P433</f>
        <v>3.6</v>
      </c>
      <c r="P436" s="34">
        <v>10</v>
      </c>
      <c r="Q436" s="44">
        <f t="shared" ref="Q436:Q444" si="70">+P436*O436*N436</f>
        <v>111.996</v>
      </c>
      <c r="R436" s="71">
        <f>+Q436/R433</f>
        <v>2.04</v>
      </c>
      <c r="S436" s="47"/>
      <c r="T436" s="47"/>
    </row>
    <row r="437" s="27" customFormat="1" ht="28" customHeight="1" spans="1:21">
      <c r="A437" s="34"/>
      <c r="B437" s="48">
        <v>5</v>
      </c>
      <c r="C437" s="72" t="s">
        <v>406</v>
      </c>
      <c r="D437" s="48" t="s">
        <v>407</v>
      </c>
      <c r="E437" s="48"/>
      <c r="F437" s="50"/>
      <c r="G437" s="48"/>
      <c r="H437" s="73">
        <f>+'材料表 '!$E$178</f>
        <v>0</v>
      </c>
      <c r="I437" s="52">
        <f>H437*I436</f>
        <v>0</v>
      </c>
      <c r="J437" s="53" t="s">
        <v>392</v>
      </c>
      <c r="K437" s="60"/>
      <c r="L437" s="69" t="s">
        <v>433</v>
      </c>
      <c r="M437" s="70" t="s">
        <v>1008</v>
      </c>
      <c r="N437" s="34">
        <v>0.507</v>
      </c>
      <c r="O437" s="34">
        <f>O436*2</f>
        <v>7.2</v>
      </c>
      <c r="P437" s="34">
        <f>P436</f>
        <v>10</v>
      </c>
      <c r="Q437" s="44">
        <f t="shared" si="70"/>
        <v>36.504</v>
      </c>
      <c r="R437" s="71">
        <f>+Q437/R433</f>
        <v>0.664918032786885</v>
      </c>
      <c r="S437" s="47"/>
      <c r="T437" s="47"/>
    </row>
    <row r="438" s="27" customFormat="1" ht="18" customHeight="1" spans="1:21">
      <c r="A438" s="34"/>
      <c r="B438" s="48">
        <v>6</v>
      </c>
      <c r="C438" s="48" t="s">
        <v>409</v>
      </c>
      <c r="D438" s="48" t="s">
        <v>410</v>
      </c>
      <c r="E438" s="48"/>
      <c r="F438" s="50"/>
      <c r="G438" s="48"/>
      <c r="H438" s="73">
        <f>+'材料表 '!$E$179</f>
        <v>0</v>
      </c>
      <c r="I438" s="52">
        <f>H438*I436</f>
        <v>0</v>
      </c>
      <c r="J438" s="74" t="s">
        <v>392</v>
      </c>
      <c r="K438" s="75"/>
      <c r="L438" s="69" t="s">
        <v>429</v>
      </c>
      <c r="M438" s="70" t="s">
        <v>1009</v>
      </c>
      <c r="N438" s="34">
        <v>0.499</v>
      </c>
      <c r="O438" s="34">
        <f>P433/0.3*0.05</f>
        <v>0.6</v>
      </c>
      <c r="P438" s="34">
        <f>P436</f>
        <v>10</v>
      </c>
      <c r="Q438" s="44">
        <f t="shared" si="70"/>
        <v>2.994</v>
      </c>
      <c r="R438" s="71">
        <f>+Q438/R433</f>
        <v>0.0545355191256831</v>
      </c>
      <c r="S438" s="47"/>
      <c r="T438" s="47"/>
      <c r="U438" s="76"/>
    </row>
    <row r="439" s="27" customFormat="1" ht="18" customHeight="1" spans="1:21">
      <c r="A439" s="34"/>
      <c r="B439" s="48">
        <v>7</v>
      </c>
      <c r="C439" s="48" t="s">
        <v>412</v>
      </c>
      <c r="D439" s="72" t="s">
        <v>413</v>
      </c>
      <c r="E439" s="72"/>
      <c r="F439" s="77"/>
      <c r="G439" s="72"/>
      <c r="H439" s="73">
        <f>+'材料表 '!$E$180</f>
        <v>0.09</v>
      </c>
      <c r="I439" s="52">
        <f>(I436+I437+I438)*H439</f>
        <v>78.1549308279414</v>
      </c>
      <c r="J439" s="74" t="s">
        <v>392</v>
      </c>
      <c r="K439" s="75"/>
      <c r="L439" s="69" t="s">
        <v>429</v>
      </c>
      <c r="M439" s="70" t="s">
        <v>1010</v>
      </c>
      <c r="N439" s="34">
        <f>2.9</f>
        <v>2.9</v>
      </c>
      <c r="O439" s="34">
        <v>0.2</v>
      </c>
      <c r="P439" s="34">
        <f>P436</f>
        <v>10</v>
      </c>
      <c r="Q439" s="44">
        <f t="shared" si="70"/>
        <v>5.8</v>
      </c>
      <c r="R439" s="71">
        <f>+Q439/R433</f>
        <v>0.105646630236794</v>
      </c>
      <c r="S439" s="47"/>
      <c r="T439" s="47"/>
    </row>
    <row r="440" s="27" customFormat="1" ht="18" customHeight="1" spans="1:21">
      <c r="A440" s="78" t="s">
        <v>241</v>
      </c>
      <c r="B440" s="48">
        <v>8</v>
      </c>
      <c r="C440" s="48" t="s">
        <v>363</v>
      </c>
      <c r="D440" s="72" t="s">
        <v>415</v>
      </c>
      <c r="E440" s="72"/>
      <c r="F440" s="77"/>
      <c r="G440" s="72"/>
      <c r="H440" s="51"/>
      <c r="I440" s="74">
        <f>SUM(I436:I439)</f>
        <v>946.543051138401</v>
      </c>
      <c r="J440" s="74" t="s">
        <v>416</v>
      </c>
      <c r="K440" s="75"/>
      <c r="L440" s="69" t="s">
        <v>429</v>
      </c>
      <c r="M440" s="70"/>
      <c r="N440" s="34"/>
      <c r="O440" s="34"/>
      <c r="P440" s="34">
        <v>1</v>
      </c>
      <c r="Q440" s="44">
        <f t="shared" si="70"/>
        <v>0</v>
      </c>
      <c r="R440" s="71">
        <f>+Q440/R433</f>
        <v>0</v>
      </c>
      <c r="S440" s="79"/>
      <c r="T440" s="47"/>
    </row>
    <row r="441" s="27" customFormat="1" ht="18" customHeight="1" spans="1:21">
      <c r="A441" s="34"/>
      <c r="B441" s="48" t="s">
        <v>418</v>
      </c>
      <c r="C441" s="48"/>
      <c r="D441" s="48"/>
      <c r="E441" s="48"/>
      <c r="F441" s="48"/>
      <c r="G441" s="48"/>
      <c r="H441" s="48"/>
      <c r="I441" s="48"/>
      <c r="J441" s="48"/>
      <c r="K441" s="80"/>
      <c r="L441" s="69" t="s">
        <v>447</v>
      </c>
      <c r="M441" s="70"/>
      <c r="N441" s="34"/>
      <c r="O441" s="34"/>
      <c r="P441" s="34">
        <v>1</v>
      </c>
      <c r="Q441" s="44">
        <f t="shared" si="70"/>
        <v>0</v>
      </c>
      <c r="R441" s="71">
        <f>+Q441/R433</f>
        <v>0</v>
      </c>
      <c r="S441" s="47"/>
      <c r="T441" s="47"/>
      <c r="U441" s="76"/>
    </row>
    <row r="442" s="27" customFormat="1" ht="18" customHeight="1" spans="1:21">
      <c r="A442" s="34"/>
      <c r="B442" s="48">
        <v>1</v>
      </c>
      <c r="C442" s="48" t="s">
        <v>391</v>
      </c>
      <c r="D442" s="48" t="s">
        <v>396</v>
      </c>
      <c r="E442" s="48" t="s">
        <v>37</v>
      </c>
      <c r="F442" s="50"/>
      <c r="G442" s="48"/>
      <c r="H442" s="51" t="s">
        <v>399</v>
      </c>
      <c r="I442" s="51" t="s">
        <v>420</v>
      </c>
      <c r="J442" s="51" t="s">
        <v>421</v>
      </c>
      <c r="K442" s="43"/>
      <c r="L442" s="69" t="s">
        <v>404</v>
      </c>
      <c r="M442" s="81"/>
      <c r="N442" s="82"/>
      <c r="O442" s="34"/>
      <c r="P442" s="34">
        <v>1</v>
      </c>
      <c r="Q442" s="44">
        <f t="shared" si="70"/>
        <v>0</v>
      </c>
      <c r="R442" s="71">
        <f>+Q442/R433</f>
        <v>0</v>
      </c>
      <c r="S442" s="47"/>
      <c r="T442" s="47"/>
    </row>
    <row r="443" s="27" customFormat="1" ht="18" customHeight="1" spans="1:21">
      <c r="A443" s="34"/>
      <c r="B443" s="48">
        <v>2</v>
      </c>
      <c r="C443" s="48"/>
      <c r="D443" s="48" t="s">
        <v>965</v>
      </c>
      <c r="E443" s="72" t="s">
        <v>423</v>
      </c>
      <c r="F443" s="50"/>
      <c r="G443" s="48"/>
      <c r="H443" s="51">
        <v>1</v>
      </c>
      <c r="I443" s="51">
        <f>+辅材及安装费!$G$17</f>
        <v>190</v>
      </c>
      <c r="J443" s="51">
        <f t="shared" ref="J443:J451" si="71">H443*I443</f>
        <v>190</v>
      </c>
      <c r="K443" s="43"/>
      <c r="L443" s="69" t="s">
        <v>427</v>
      </c>
      <c r="M443" s="70"/>
      <c r="N443" s="83"/>
      <c r="O443" s="34"/>
      <c r="P443" s="34">
        <v>1</v>
      </c>
      <c r="Q443" s="44">
        <f t="shared" si="70"/>
        <v>0</v>
      </c>
      <c r="R443" s="84">
        <f>+Q443/R433</f>
        <v>0</v>
      </c>
      <c r="S443" s="47"/>
      <c r="T443" s="47"/>
    </row>
    <row r="444" s="27" customFormat="1" ht="18" customHeight="1" spans="1:21">
      <c r="A444" s="34"/>
      <c r="B444" s="48">
        <v>3</v>
      </c>
      <c r="C444" s="48"/>
      <c r="D444" s="48"/>
      <c r="E444" s="72"/>
      <c r="F444" s="50"/>
      <c r="G444" s="48"/>
      <c r="H444" s="51"/>
      <c r="I444" s="51"/>
      <c r="J444" s="51"/>
      <c r="K444" s="43"/>
      <c r="L444" s="69"/>
      <c r="M444" s="81"/>
      <c r="N444" s="82"/>
      <c r="O444" s="44"/>
      <c r="P444" s="34">
        <v>1</v>
      </c>
      <c r="Q444" s="44">
        <f t="shared" si="70"/>
        <v>0</v>
      </c>
      <c r="R444" s="84">
        <f>+Q444/R433</f>
        <v>0</v>
      </c>
      <c r="S444" s="47"/>
      <c r="T444" s="47"/>
    </row>
    <row r="445" s="27" customFormat="1" ht="18" customHeight="1" spans="1:21">
      <c r="A445" s="34"/>
      <c r="B445" s="48">
        <v>4</v>
      </c>
      <c r="C445" s="48"/>
      <c r="D445" s="85" t="s">
        <v>426</v>
      </c>
      <c r="E445" s="48" t="s">
        <v>392</v>
      </c>
      <c r="F445" s="50"/>
      <c r="G445" s="48"/>
      <c r="H445" s="86"/>
      <c r="I445" s="86"/>
      <c r="J445" s="51">
        <f>SUM(J443:J443)</f>
        <v>190</v>
      </c>
      <c r="K445" s="75"/>
      <c r="L445" s="69"/>
      <c r="M445" s="70"/>
      <c r="N445" s="83"/>
      <c r="O445" s="83"/>
      <c r="P445" s="34">
        <v>1</v>
      </c>
      <c r="Q445" s="83"/>
      <c r="R445" s="87"/>
      <c r="S445" s="47"/>
      <c r="T445" s="47"/>
    </row>
    <row r="446" s="27" customFormat="1" ht="23" customHeight="1" spans="1:21">
      <c r="A446" s="34"/>
      <c r="B446" s="48">
        <v>1</v>
      </c>
      <c r="C446" s="48" t="s">
        <v>394</v>
      </c>
      <c r="D446" s="88" t="s">
        <v>427</v>
      </c>
      <c r="E446" s="72" t="str">
        <f>+VLOOKUP(D446,'材料表 '!C:F,2,0)</f>
        <v>kg</v>
      </c>
      <c r="F446" s="77">
        <f>+SUMIF($L$433:$L$473,D446,$R$433:$R$473)</f>
        <v>2.04</v>
      </c>
      <c r="G446" s="89">
        <f>+VLOOKUP(D446,'材料表 '!C:F,4,0)</f>
        <v>0.03</v>
      </c>
      <c r="H446" s="74">
        <f t="shared" ref="H446:H451" si="72">F446*(G446+1)</f>
        <v>2.1012</v>
      </c>
      <c r="I446" s="74">
        <f>+VLOOKUP(D446,'材料表 '!C:F,3,0)</f>
        <v>25.8495575221239</v>
      </c>
      <c r="J446" s="51">
        <f t="shared" si="71"/>
        <v>54.3150902654867</v>
      </c>
      <c r="K446" s="75">
        <f ca="1">H446*K432</f>
        <v>115.35588</v>
      </c>
      <c r="L446" s="69"/>
      <c r="M446" s="70"/>
      <c r="N446" s="83"/>
      <c r="O446" s="83"/>
      <c r="P446" s="34">
        <v>1</v>
      </c>
      <c r="Q446" s="83"/>
      <c r="R446" s="87"/>
      <c r="S446" s="47"/>
      <c r="T446" s="47"/>
    </row>
    <row r="447" s="27" customFormat="1" ht="18" customHeight="1" spans="1:21">
      <c r="A447" s="34"/>
      <c r="B447" s="48">
        <v>2</v>
      </c>
      <c r="C447" s="48"/>
      <c r="D447" s="88" t="s">
        <v>404</v>
      </c>
      <c r="E447" s="72" t="str">
        <f>+VLOOKUP(D447,'材料表 '!C:F,2,0)</f>
        <v>kg</v>
      </c>
      <c r="F447" s="77">
        <f t="shared" ref="F447:F459" si="73">+SUMIF($L$433:$L$473,D447,$R$433:$R$473)</f>
        <v>0</v>
      </c>
      <c r="G447" s="89">
        <f>+VLOOKUP(D447,'材料表 '!C:F,4,0)</f>
        <v>0.03</v>
      </c>
      <c r="H447" s="74">
        <f t="shared" si="72"/>
        <v>0</v>
      </c>
      <c r="I447" s="74">
        <f>+VLOOKUP(D447,'材料表 '!C:F,3,0)</f>
        <v>25.6725663716814</v>
      </c>
      <c r="J447" s="51">
        <f t="shared" si="71"/>
        <v>0</v>
      </c>
      <c r="K447" s="75">
        <f ca="1">H447*K432</f>
        <v>0</v>
      </c>
      <c r="L447" s="69"/>
      <c r="M447" s="70"/>
      <c r="N447" s="83"/>
      <c r="O447" s="83"/>
      <c r="P447" s="83"/>
      <c r="Q447" s="83"/>
      <c r="R447" s="87"/>
      <c r="S447" s="47"/>
      <c r="T447" s="47"/>
    </row>
    <row r="448" s="27" customFormat="1" ht="18" customHeight="1" spans="1:21">
      <c r="A448" s="34"/>
      <c r="B448" s="48">
        <v>3</v>
      </c>
      <c r="C448" s="48"/>
      <c r="D448" s="88" t="s">
        <v>433</v>
      </c>
      <c r="E448" s="72" t="str">
        <f>+VLOOKUP(D448,'材料表 '!C:F,2,0)</f>
        <v>kg</v>
      </c>
      <c r="F448" s="77">
        <f t="shared" si="73"/>
        <v>0.664918032786885</v>
      </c>
      <c r="G448" s="89">
        <f>+VLOOKUP(D448,'材料表 '!C:F,4,0)</f>
        <v>0.03</v>
      </c>
      <c r="H448" s="74">
        <f t="shared" si="72"/>
        <v>0.684865573770492</v>
      </c>
      <c r="I448" s="74">
        <f>+VLOOKUP(D448,'材料表 '!C:F,3,0)</f>
        <v>26.1150442477876</v>
      </c>
      <c r="J448" s="51">
        <f t="shared" si="71"/>
        <v>17.8852947628028</v>
      </c>
      <c r="K448" s="75">
        <f ca="1">H448*K432</f>
        <v>37.59912</v>
      </c>
      <c r="L448" s="69"/>
      <c r="N448" s="83"/>
      <c r="O448" s="83"/>
      <c r="P448" s="83"/>
      <c r="Q448" s="83"/>
      <c r="R448" s="87"/>
      <c r="S448" s="47"/>
      <c r="T448" s="47"/>
    </row>
    <row r="449" s="27" customFormat="1" ht="18" customHeight="1" spans="1:20">
      <c r="A449" s="34"/>
      <c r="B449" s="48">
        <v>4</v>
      </c>
      <c r="C449" s="48"/>
      <c r="D449" s="88" t="s">
        <v>429</v>
      </c>
      <c r="E449" s="72" t="str">
        <f>+VLOOKUP(D449,'材料表 '!C:F,2,0)</f>
        <v>kg</v>
      </c>
      <c r="F449" s="77">
        <f t="shared" si="73"/>
        <v>0.160182149362477</v>
      </c>
      <c r="G449" s="89">
        <f>+VLOOKUP(D449,'材料表 '!C:F,4,0)</f>
        <v>0.03</v>
      </c>
      <c r="H449" s="74">
        <f t="shared" si="72"/>
        <v>0.164987613843351</v>
      </c>
      <c r="I449" s="74">
        <f>+VLOOKUP(D449,'材料表 '!C:F,3,0)</f>
        <v>26.1150442477876</v>
      </c>
      <c r="J449" s="51">
        <f t="shared" si="71"/>
        <v>4.30865883585601</v>
      </c>
      <c r="K449" s="75">
        <f ca="1">H449*K432</f>
        <v>9.05781999999997</v>
      </c>
      <c r="L449" s="90" t="s">
        <v>428</v>
      </c>
      <c r="M449" s="44"/>
      <c r="N449" s="82"/>
      <c r="O449" s="44">
        <f>(O436*P436)</f>
        <v>36</v>
      </c>
      <c r="P449" s="44">
        <v>1</v>
      </c>
      <c r="Q449" s="44">
        <f>+P449*O449</f>
        <v>36</v>
      </c>
      <c r="R449" s="84">
        <f>+Q449/R433</f>
        <v>0.655737704918033</v>
      </c>
      <c r="S449" s="47"/>
      <c r="T449" s="47"/>
    </row>
    <row r="450" s="27" customFormat="1" ht="18" customHeight="1" spans="1:20">
      <c r="A450" s="34"/>
      <c r="B450" s="48">
        <v>5</v>
      </c>
      <c r="C450" s="48"/>
      <c r="D450" s="88" t="s">
        <v>447</v>
      </c>
      <c r="E450" s="72" t="str">
        <f>+VLOOKUP(D450,'材料表 '!C:F,2,0)</f>
        <v>kg</v>
      </c>
      <c r="F450" s="77">
        <f t="shared" si="73"/>
        <v>0</v>
      </c>
      <c r="G450" s="89">
        <f>+VLOOKUP(D450,'材料表 '!C:F,4,0)</f>
        <v>0.03</v>
      </c>
      <c r="H450" s="74">
        <f t="shared" si="72"/>
        <v>0</v>
      </c>
      <c r="I450" s="74">
        <f>+VLOOKUP(D450,'材料表 '!C:F,3,0)</f>
        <v>24.4336283185841</v>
      </c>
      <c r="J450" s="51">
        <f t="shared" si="71"/>
        <v>0</v>
      </c>
      <c r="K450" s="43">
        <f ca="1">H450*K432</f>
        <v>0</v>
      </c>
      <c r="L450" s="90"/>
      <c r="M450" s="44"/>
      <c r="N450" s="82"/>
      <c r="O450" s="44"/>
      <c r="P450" s="44"/>
      <c r="Q450" s="44"/>
      <c r="R450" s="84"/>
      <c r="S450" s="47"/>
      <c r="T450" s="47"/>
    </row>
    <row r="451" s="27" customFormat="1" ht="18" customHeight="1" spans="1:20">
      <c r="A451" s="34"/>
      <c r="B451" s="48">
        <v>6</v>
      </c>
      <c r="C451" s="48"/>
      <c r="D451" s="88" t="s">
        <v>434</v>
      </c>
      <c r="E451" s="72" t="str">
        <f>+VLOOKUP(D451,'材料表 '!C:F,2,0)</f>
        <v>m2</v>
      </c>
      <c r="F451" s="77">
        <f t="shared" si="73"/>
        <v>0</v>
      </c>
      <c r="G451" s="89">
        <f>+VLOOKUP(D451,'材料表 '!C:F,4,0)</f>
        <v>0</v>
      </c>
      <c r="H451" s="74">
        <f t="shared" si="72"/>
        <v>0</v>
      </c>
      <c r="I451" s="74">
        <f>+VLOOKUP(D451,'材料表 '!C:F,3,0)</f>
        <v>49.5575221238938</v>
      </c>
      <c r="J451" s="51">
        <f t="shared" si="71"/>
        <v>0</v>
      </c>
      <c r="K451" s="43">
        <f ca="1">H451*K432</f>
        <v>0</v>
      </c>
      <c r="L451" s="90" t="s">
        <v>463</v>
      </c>
      <c r="M451" s="91" t="s">
        <v>1012</v>
      </c>
      <c r="N451" s="82">
        <f>0.32*0.3*8*7.85</f>
        <v>6.0288</v>
      </c>
      <c r="O451" s="44">
        <v>1</v>
      </c>
      <c r="P451" s="44">
        <f>P436</f>
        <v>10</v>
      </c>
      <c r="Q451" s="44">
        <f t="shared" ref="Q451:Q455" si="74">+P451*O451*N451</f>
        <v>60.288</v>
      </c>
      <c r="R451" s="84">
        <f>+Q451/R433</f>
        <v>1.09814207650273</v>
      </c>
      <c r="S451" s="47"/>
      <c r="T451" s="47"/>
    </row>
    <row r="452" s="27" customFormat="1" ht="18" customHeight="1" spans="1:20">
      <c r="A452" s="34"/>
      <c r="B452" s="48">
        <v>7</v>
      </c>
      <c r="C452" s="48"/>
      <c r="D452" s="88"/>
      <c r="E452" s="72"/>
      <c r="F452" s="77"/>
      <c r="G452" s="89"/>
      <c r="H452" s="74"/>
      <c r="I452" s="74"/>
      <c r="J452" s="51"/>
      <c r="K452" s="43">
        <f ca="1">H452*K432</f>
        <v>0</v>
      </c>
      <c r="L452" s="69" t="s">
        <v>465</v>
      </c>
      <c r="M452" s="81" t="s">
        <v>1013</v>
      </c>
      <c r="N452" s="34">
        <v>9.88</v>
      </c>
      <c r="O452" s="34">
        <f>0.13</f>
        <v>0.13</v>
      </c>
      <c r="P452" s="34">
        <f>2*P451</f>
        <v>20</v>
      </c>
      <c r="Q452" s="44">
        <f t="shared" si="74"/>
        <v>25.688</v>
      </c>
      <c r="R452" s="84">
        <f>Q452/R433</f>
        <v>0.467905282331512</v>
      </c>
      <c r="S452" s="47"/>
      <c r="T452" s="47"/>
    </row>
    <row r="453" s="27" customFormat="1" ht="18" customHeight="1" spans="1:20">
      <c r="A453" s="34"/>
      <c r="B453" s="48">
        <v>8</v>
      </c>
      <c r="C453" s="48"/>
      <c r="D453" s="88" t="s">
        <v>431</v>
      </c>
      <c r="E453" s="72" t="str">
        <f>+VLOOKUP(D453,'材料表 '!C:F,2,0)</f>
        <v>kg</v>
      </c>
      <c r="F453" s="77">
        <f t="shared" si="73"/>
        <v>0</v>
      </c>
      <c r="G453" s="89">
        <f>+VLOOKUP(D453,'材料表 '!C:F,4,0)</f>
        <v>0.03</v>
      </c>
      <c r="H453" s="74">
        <f t="shared" ref="H453:H462" si="75">F453*(G453+1)</f>
        <v>0</v>
      </c>
      <c r="I453" s="74">
        <f>+VLOOKUP(D453,'材料表 '!C:F,3,0)</f>
        <v>3.80530973451327</v>
      </c>
      <c r="J453" s="51">
        <f t="shared" ref="J453:J462" si="76">H453*I453</f>
        <v>0</v>
      </c>
      <c r="K453" s="43">
        <f ca="1">H453*K432</f>
        <v>0</v>
      </c>
      <c r="L453" s="90" t="s">
        <v>474</v>
      </c>
      <c r="M453" s="44"/>
      <c r="N453" s="82"/>
      <c r="O453" s="44">
        <v>6</v>
      </c>
      <c r="P453" s="44">
        <f>O451*P451</f>
        <v>10</v>
      </c>
      <c r="Q453" s="44">
        <f>O453*P453</f>
        <v>60</v>
      </c>
      <c r="R453" s="84">
        <f>Q453/R433</f>
        <v>1.09289617486339</v>
      </c>
      <c r="S453" s="47"/>
      <c r="T453" s="47"/>
    </row>
    <row r="454" s="27" customFormat="1" ht="18" customHeight="1" spans="1:20">
      <c r="A454" s="34"/>
      <c r="B454" s="48">
        <v>9</v>
      </c>
      <c r="C454" s="48"/>
      <c r="D454" s="88" t="s">
        <v>461</v>
      </c>
      <c r="E454" s="72" t="str">
        <f>+VLOOKUP(D454,'材料表 '!C:F,2,0)</f>
        <v>kg</v>
      </c>
      <c r="F454" s="77">
        <f t="shared" si="73"/>
        <v>0</v>
      </c>
      <c r="G454" s="89">
        <f>+VLOOKUP(D454,'材料表 '!C:F,4,0)</f>
        <v>0.03</v>
      </c>
      <c r="H454" s="74">
        <f t="shared" si="75"/>
        <v>0</v>
      </c>
      <c r="I454" s="74">
        <f>+VLOOKUP(D454,'材料表 '!C:F,3,0)</f>
        <v>3.53982300884956</v>
      </c>
      <c r="J454" s="51">
        <f t="shared" si="76"/>
        <v>0</v>
      </c>
      <c r="K454" s="43">
        <f ca="1">H454*K432</f>
        <v>0</v>
      </c>
      <c r="L454" s="90" t="s">
        <v>472</v>
      </c>
      <c r="M454" s="91"/>
      <c r="N454" s="82"/>
      <c r="O454" s="44">
        <v>2</v>
      </c>
      <c r="P454" s="44">
        <f>P436</f>
        <v>10</v>
      </c>
      <c r="Q454" s="44">
        <f>O454*P454</f>
        <v>20</v>
      </c>
      <c r="R454" s="84">
        <f>Q454/R433</f>
        <v>0.364298724954463</v>
      </c>
      <c r="S454" s="47"/>
      <c r="T454" s="47"/>
    </row>
    <row r="455" s="27" customFormat="1" ht="18" customHeight="1" spans="1:20">
      <c r="A455" s="34"/>
      <c r="B455" s="48">
        <v>10</v>
      </c>
      <c r="C455" s="48"/>
      <c r="D455" s="88" t="s">
        <v>435</v>
      </c>
      <c r="E455" s="72" t="str">
        <f>+VLOOKUP(D455,'材料表 '!C:F,2,0)</f>
        <v>kg</v>
      </c>
      <c r="F455" s="77">
        <f t="shared" si="73"/>
        <v>0</v>
      </c>
      <c r="G455" s="89">
        <f>+VLOOKUP(D455,'材料表 '!C:F,4,0)</f>
        <v>0.03</v>
      </c>
      <c r="H455" s="74">
        <f t="shared" si="75"/>
        <v>0</v>
      </c>
      <c r="I455" s="74">
        <f>+VLOOKUP(D455,'材料表 '!C:F,3,0)</f>
        <v>19.4690265486726</v>
      </c>
      <c r="J455" s="51">
        <f t="shared" si="76"/>
        <v>0</v>
      </c>
      <c r="K455" s="43">
        <f ca="1">H455*K432</f>
        <v>0</v>
      </c>
      <c r="L455" s="69" t="s">
        <v>465</v>
      </c>
      <c r="M455" s="91"/>
      <c r="N455" s="82">
        <f>(0.058+0.04*2)*5*7.85</f>
        <v>5.4165</v>
      </c>
      <c r="O455" s="44">
        <f>O433</f>
        <v>15.25</v>
      </c>
      <c r="P455" s="44">
        <v>1</v>
      </c>
      <c r="Q455" s="44">
        <f t="shared" si="74"/>
        <v>82.601625</v>
      </c>
      <c r="R455" s="84">
        <f>+Q455/R433</f>
        <v>1.50458333333333</v>
      </c>
      <c r="S455" s="47"/>
      <c r="T455" s="47"/>
    </row>
    <row r="456" s="27" customFormat="1" ht="18" customHeight="1" spans="1:20">
      <c r="A456" s="34"/>
      <c r="B456" s="48">
        <v>11</v>
      </c>
      <c r="C456" s="48"/>
      <c r="D456" s="88" t="s">
        <v>463</v>
      </c>
      <c r="E456" s="72" t="str">
        <f>+VLOOKUP(D456,'材料表 '!C:F,2,0)</f>
        <v>kg</v>
      </c>
      <c r="F456" s="77">
        <f t="shared" si="73"/>
        <v>1.09814207650273</v>
      </c>
      <c r="G456" s="89">
        <f>+VLOOKUP(D456,'材料表 '!C:F,4,0)</f>
        <v>0.03</v>
      </c>
      <c r="H456" s="74">
        <f t="shared" si="75"/>
        <v>1.13108633879781</v>
      </c>
      <c r="I456" s="74">
        <f>+VLOOKUP(D456,'材料表 '!C:F,3,0)</f>
        <v>6.01769911504425</v>
      </c>
      <c r="J456" s="51">
        <f t="shared" si="76"/>
        <v>6.80653726002223</v>
      </c>
      <c r="K456" s="43">
        <f ca="1">H456*K432</f>
        <v>62.0966399999998</v>
      </c>
      <c r="L456" s="69" t="s">
        <v>461</v>
      </c>
      <c r="N456" s="83"/>
      <c r="O456" s="83"/>
      <c r="P456" s="83"/>
      <c r="Q456" s="83"/>
      <c r="R456" s="84"/>
      <c r="S456" s="47"/>
      <c r="T456" s="47"/>
    </row>
    <row r="457" s="27" customFormat="1" ht="18" customHeight="1" spans="1:20">
      <c r="A457" s="34"/>
      <c r="B457" s="48">
        <v>12</v>
      </c>
      <c r="C457" s="48"/>
      <c r="D457" s="88" t="s">
        <v>465</v>
      </c>
      <c r="E457" s="72" t="str">
        <f>+VLOOKUP(D457,'材料表 '!C:F,2,0)</f>
        <v>kg</v>
      </c>
      <c r="F457" s="77">
        <f t="shared" si="73"/>
        <v>1.97248861566484</v>
      </c>
      <c r="G457" s="89">
        <f>+VLOOKUP(D457,'材料表 '!C:F,4,0)</f>
        <v>0.03</v>
      </c>
      <c r="H457" s="74">
        <f t="shared" si="75"/>
        <v>2.03166327413478</v>
      </c>
      <c r="I457" s="74">
        <f>+VLOOKUP(D457,'材料表 '!C:F,3,0)</f>
        <v>6.01769911504425</v>
      </c>
      <c r="J457" s="51">
        <f t="shared" si="76"/>
        <v>12.2259382868288</v>
      </c>
      <c r="K457" s="43">
        <f ca="1">H457*K432</f>
        <v>111.538313749999</v>
      </c>
      <c r="L457" s="90"/>
      <c r="M457" s="44"/>
      <c r="N457" s="82"/>
      <c r="O457" s="44"/>
      <c r="P457" s="44"/>
      <c r="Q457" s="44"/>
      <c r="R457" s="84"/>
      <c r="S457" s="47"/>
      <c r="T457" s="47"/>
    </row>
    <row r="458" s="27" customFormat="1" ht="18" customHeight="1" spans="1:20">
      <c r="A458" s="34"/>
      <c r="B458" s="48">
        <v>13</v>
      </c>
      <c r="C458" s="48"/>
      <c r="D458" s="88" t="s">
        <v>474</v>
      </c>
      <c r="E458" s="72" t="str">
        <f>+VLOOKUP(D458,'材料表 '!C:F,2,0)</f>
        <v>套</v>
      </c>
      <c r="F458" s="77">
        <f t="shared" si="73"/>
        <v>1.09289617486339</v>
      </c>
      <c r="G458" s="89">
        <f>+VLOOKUP(D458,'材料表 '!C:F,4,0)</f>
        <v>0</v>
      </c>
      <c r="H458" s="74">
        <f t="shared" si="75"/>
        <v>1.09289617486339</v>
      </c>
      <c r="I458" s="74">
        <f>+VLOOKUP(D458,'材料表 '!C:F,3,0)</f>
        <v>2.21238938053097</v>
      </c>
      <c r="J458" s="51">
        <f t="shared" si="76"/>
        <v>2.41791189129068</v>
      </c>
      <c r="K458" s="43">
        <f ca="1">H458*K432</f>
        <v>60.0000000000001</v>
      </c>
      <c r="L458" s="90"/>
      <c r="M458" s="44"/>
      <c r="N458" s="82"/>
      <c r="O458" s="44"/>
      <c r="P458" s="44"/>
      <c r="Q458" s="44"/>
      <c r="R458" s="84"/>
      <c r="S458" s="47"/>
      <c r="T458" s="47"/>
    </row>
    <row r="459" s="27" customFormat="1" ht="18" customHeight="1" spans="1:20">
      <c r="A459" s="34"/>
      <c r="B459" s="48">
        <v>14</v>
      </c>
      <c r="C459" s="48"/>
      <c r="D459" s="88" t="s">
        <v>472</v>
      </c>
      <c r="E459" s="72" t="str">
        <f>+VLOOKUP(D459,'材料表 '!C:F,2,0)</f>
        <v>套</v>
      </c>
      <c r="F459" s="77">
        <f t="shared" si="73"/>
        <v>0.364298724954463</v>
      </c>
      <c r="G459" s="89">
        <f>+VLOOKUP(D459,'材料表 '!C:F,4,0)</f>
        <v>0</v>
      </c>
      <c r="H459" s="74">
        <f t="shared" si="75"/>
        <v>0.364298724954463</v>
      </c>
      <c r="I459" s="74">
        <f>+VLOOKUP(D459,'材料表 '!C:F,3,0)</f>
        <v>2.47787610619469</v>
      </c>
      <c r="J459" s="51">
        <f t="shared" si="76"/>
        <v>0.902687106081855</v>
      </c>
      <c r="K459" s="43">
        <f ca="1">H459*K432</f>
        <v>20</v>
      </c>
      <c r="L459" s="90"/>
      <c r="M459" s="44"/>
      <c r="N459" s="82"/>
      <c r="O459" s="44"/>
      <c r="P459" s="44"/>
      <c r="Q459" s="44"/>
      <c r="R459" s="84"/>
      <c r="S459" s="47"/>
      <c r="T459" s="47"/>
    </row>
    <row r="460" s="27" customFormat="1" ht="18" customHeight="1" spans="1:20">
      <c r="A460" s="34"/>
      <c r="B460" s="48">
        <v>15</v>
      </c>
      <c r="C460" s="48"/>
      <c r="D460" s="88" t="s">
        <v>476</v>
      </c>
      <c r="E460" s="72" t="str">
        <f>+VLOOKUP(D460,'材料表 '!C:F,2,0)</f>
        <v>支</v>
      </c>
      <c r="F460" s="77">
        <f>8*8*(O433*2+P433*P436*2)/500/R433+15*46*(P433*P436)/500/R433</f>
        <v>1.14389799635701</v>
      </c>
      <c r="G460" s="89">
        <f>+VLOOKUP(D460,'材料表 '!C:F,4,0)</f>
        <v>0.15</v>
      </c>
      <c r="H460" s="74">
        <f t="shared" si="75"/>
        <v>1.31548269581056</v>
      </c>
      <c r="I460" s="74">
        <f>+VLOOKUP(D460,'材料表 '!C:F,3,0)</f>
        <v>11.5044247787611</v>
      </c>
      <c r="J460" s="51">
        <f t="shared" si="76"/>
        <v>15.1338717217145</v>
      </c>
      <c r="K460" s="43">
        <f ca="1">H460*K432</f>
        <v>72.2199999999997</v>
      </c>
      <c r="L460" s="92"/>
      <c r="M460" s="44"/>
      <c r="N460" s="82"/>
      <c r="O460" s="44"/>
      <c r="P460" s="44"/>
      <c r="Q460" s="44"/>
      <c r="R460" s="84"/>
      <c r="S460" s="47"/>
      <c r="T460" s="47"/>
    </row>
    <row r="461" s="27" customFormat="1" ht="18" customHeight="1" spans="1:20">
      <c r="A461" s="34"/>
      <c r="B461" s="48">
        <v>16</v>
      </c>
      <c r="C461" s="48"/>
      <c r="D461" s="88" t="s">
        <v>576</v>
      </c>
      <c r="E461" s="72" t="str">
        <f>+VLOOKUP(D461,'材料表 '!C:F,2,0)</f>
        <v>支</v>
      </c>
      <c r="F461" s="77">
        <f>16*8*(P433*P436)*2/500/R433</f>
        <v>0.335737704918033</v>
      </c>
      <c r="G461" s="89">
        <f>+VLOOKUP(D461,'材料表 '!C:F,4,0)</f>
        <v>0.15</v>
      </c>
      <c r="H461" s="74">
        <f t="shared" si="75"/>
        <v>0.386098360655738</v>
      </c>
      <c r="I461" s="74">
        <f>+VLOOKUP(D461,'材料表 '!C:F,3,0)</f>
        <v>14.1592920353982</v>
      </c>
      <c r="J461" s="51">
        <f t="shared" si="76"/>
        <v>5.46687944291309</v>
      </c>
      <c r="K461" s="43">
        <f ca="1">H461*K432</f>
        <v>21.1968</v>
      </c>
      <c r="L461" s="92"/>
      <c r="M461" s="44"/>
      <c r="N461" s="82"/>
      <c r="O461" s="44"/>
      <c r="P461" s="44"/>
      <c r="Q461" s="44"/>
      <c r="R461" s="84"/>
      <c r="S461" s="47"/>
      <c r="T461" s="47"/>
    </row>
    <row r="462" s="27" customFormat="1" ht="18" customHeight="1" spans="1:20">
      <c r="A462" s="34"/>
      <c r="B462" s="48">
        <v>17</v>
      </c>
      <c r="C462" s="48"/>
      <c r="D462" s="88" t="s">
        <v>479</v>
      </c>
      <c r="E462" s="72" t="str">
        <f>+VLOOKUP(D462,'材料表 '!C:F,2,0)</f>
        <v>kg</v>
      </c>
      <c r="F462" s="77">
        <f>R455</f>
        <v>1.50458333333333</v>
      </c>
      <c r="G462" s="89">
        <f>+VLOOKUP(D462,'材料表 '!C:F,4,0)</f>
        <v>0.03</v>
      </c>
      <c r="H462" s="74">
        <f t="shared" si="75"/>
        <v>1.54972083333333</v>
      </c>
      <c r="I462" s="74">
        <f>+VLOOKUP(D462,'材料表 '!C:F,3,0)</f>
        <v>14.1592920353982</v>
      </c>
      <c r="J462" s="51">
        <f t="shared" si="76"/>
        <v>21.9429498525073</v>
      </c>
      <c r="K462" s="43">
        <f ca="1">H462*K432</f>
        <v>85.0796737499998</v>
      </c>
      <c r="L462" s="92"/>
      <c r="M462" s="44"/>
      <c r="N462" s="82"/>
      <c r="O462" s="44"/>
      <c r="P462" s="44"/>
      <c r="Q462" s="44"/>
      <c r="R462" s="84"/>
      <c r="S462" s="47"/>
      <c r="T462" s="47"/>
    </row>
    <row r="463" s="27" customFormat="1" ht="21" customHeight="1" spans="1:20">
      <c r="A463" s="34"/>
      <c r="B463" s="48">
        <v>18</v>
      </c>
      <c r="C463" s="48"/>
      <c r="D463" s="88" t="s">
        <v>500</v>
      </c>
      <c r="E463" s="72" t="str">
        <f>+VLOOKUP(D463,'材料表 '!C:F,2,0)</f>
        <v>kg</v>
      </c>
      <c r="F463" s="77"/>
      <c r="G463" s="89"/>
      <c r="H463" s="74"/>
      <c r="I463" s="74"/>
      <c r="J463" s="51"/>
      <c r="K463" s="43">
        <f ca="1">H463*K432</f>
        <v>0</v>
      </c>
      <c r="L463" s="92"/>
      <c r="M463" s="44"/>
      <c r="N463" s="82"/>
      <c r="O463" s="44"/>
      <c r="P463" s="44"/>
      <c r="Q463" s="44"/>
      <c r="R463" s="84"/>
      <c r="S463" s="47"/>
      <c r="T463" s="47"/>
    </row>
    <row r="464" s="27" customFormat="1" ht="34" customHeight="1" spans="1:20">
      <c r="A464" s="34"/>
      <c r="B464" s="48">
        <v>19</v>
      </c>
      <c r="C464" s="48"/>
      <c r="D464" s="88" t="s">
        <v>1024</v>
      </c>
      <c r="E464" s="72" t="str">
        <f>+VLOOKUP(D464,'材料表 '!C:F,2,0)</f>
        <v>m2</v>
      </c>
      <c r="F464" s="77">
        <v>1</v>
      </c>
      <c r="G464" s="89">
        <f>+VLOOKUP(D464,'材料表 '!C:F,4,0)</f>
        <v>0.01</v>
      </c>
      <c r="H464" s="74">
        <f>F464*(G464+1)</f>
        <v>1.01</v>
      </c>
      <c r="I464" s="74">
        <f>+VLOOKUP(D464,'材料表 '!C:F,3,0)</f>
        <v>516.814159292035</v>
      </c>
      <c r="J464" s="51">
        <f>H464*I464</f>
        <v>521.982300884956</v>
      </c>
      <c r="K464" s="43">
        <f ca="1">H464*K432</f>
        <v>55.449</v>
      </c>
      <c r="L464" s="90"/>
      <c r="M464" s="44"/>
      <c r="N464" s="82"/>
      <c r="O464" s="44"/>
      <c r="P464" s="44"/>
      <c r="Q464" s="44"/>
      <c r="R464" s="84"/>
      <c r="S464" s="47"/>
      <c r="T464" s="47"/>
    </row>
    <row r="465" s="27" customFormat="1" ht="19" customHeight="1" spans="1:20">
      <c r="A465" s="34"/>
      <c r="B465" s="48">
        <v>20</v>
      </c>
      <c r="C465" s="48"/>
      <c r="D465" s="88"/>
      <c r="E465" s="72"/>
      <c r="F465" s="77"/>
      <c r="G465" s="89"/>
      <c r="H465" s="74"/>
      <c r="I465" s="74"/>
      <c r="J465" s="51"/>
      <c r="K465" s="43">
        <f ca="1">H465*K432</f>
        <v>0</v>
      </c>
      <c r="L465" s="90"/>
      <c r="M465" s="44"/>
      <c r="N465" s="82"/>
      <c r="O465" s="44"/>
      <c r="P465" s="44"/>
      <c r="Q465" s="44"/>
      <c r="R465" s="84"/>
      <c r="S465" s="47"/>
      <c r="T465" s="47"/>
    </row>
    <row r="466" s="27" customFormat="1" ht="18" customHeight="1" spans="1:20">
      <c r="A466" s="34"/>
      <c r="B466" s="48">
        <v>21</v>
      </c>
      <c r="C466" s="48"/>
      <c r="D466" s="88"/>
      <c r="E466" s="72"/>
      <c r="F466" s="77"/>
      <c r="G466" s="89"/>
      <c r="H466" s="74"/>
      <c r="I466" s="74"/>
      <c r="J466" s="51"/>
      <c r="K466" s="43">
        <f ca="1">H466*K432</f>
        <v>0</v>
      </c>
      <c r="L466" s="92"/>
      <c r="M466" s="44"/>
      <c r="N466" s="82"/>
      <c r="O466" s="44"/>
      <c r="P466" s="44"/>
      <c r="Q466" s="44"/>
      <c r="R466" s="84"/>
      <c r="S466" s="47"/>
      <c r="T466" s="47"/>
    </row>
    <row r="467" s="27" customFormat="1" ht="18" customHeight="1" spans="1:20">
      <c r="A467" s="34"/>
      <c r="B467" s="48">
        <v>22</v>
      </c>
      <c r="C467" s="48"/>
      <c r="D467" s="88"/>
      <c r="E467" s="72"/>
      <c r="F467" s="77"/>
      <c r="G467" s="89"/>
      <c r="H467" s="74"/>
      <c r="I467" s="74"/>
      <c r="J467" s="51"/>
      <c r="K467" s="43">
        <f ca="1">H467*K432</f>
        <v>0</v>
      </c>
      <c r="L467" s="92"/>
      <c r="M467" s="44"/>
      <c r="N467" s="44"/>
      <c r="O467" s="44"/>
      <c r="P467" s="44"/>
      <c r="Q467" s="44"/>
      <c r="R467" s="84"/>
      <c r="S467" s="47"/>
      <c r="T467" s="47"/>
    </row>
    <row r="468" s="27" customFormat="1" ht="18" customHeight="1" spans="1:20">
      <c r="A468" s="34"/>
      <c r="B468" s="48">
        <v>23</v>
      </c>
      <c r="C468" s="48"/>
      <c r="D468" s="88"/>
      <c r="E468" s="72"/>
      <c r="F468" s="77"/>
      <c r="G468" s="89"/>
      <c r="H468" s="74"/>
      <c r="I468" s="74"/>
      <c r="J468" s="51"/>
      <c r="K468" s="75">
        <f ca="1">H468*K432</f>
        <v>0</v>
      </c>
      <c r="L468" s="92"/>
      <c r="M468" s="44"/>
      <c r="N468" s="44"/>
      <c r="O468" s="44"/>
      <c r="P468" s="44"/>
      <c r="Q468" s="44"/>
      <c r="R468" s="84"/>
      <c r="S468" s="47"/>
      <c r="T468" s="47"/>
    </row>
    <row r="469" s="27" customFormat="1" ht="18" customHeight="1" spans="1:20">
      <c r="A469" s="34"/>
      <c r="B469" s="48">
        <v>24</v>
      </c>
      <c r="C469" s="48"/>
      <c r="D469" s="88"/>
      <c r="E469" s="72"/>
      <c r="F469" s="77"/>
      <c r="G469" s="89"/>
      <c r="H469" s="74"/>
      <c r="I469" s="74"/>
      <c r="J469" s="51"/>
      <c r="K469" s="75">
        <f ca="1">H469*K432</f>
        <v>0</v>
      </c>
      <c r="L469" s="92"/>
      <c r="M469" s="44"/>
      <c r="N469" s="44"/>
      <c r="O469" s="44"/>
      <c r="P469" s="44"/>
      <c r="Q469" s="44"/>
      <c r="R469" s="84"/>
      <c r="S469" s="47"/>
      <c r="T469" s="47"/>
    </row>
    <row r="470" s="27" customFormat="1" ht="18" customHeight="1" spans="1:20">
      <c r="A470" s="34"/>
      <c r="B470" s="48">
        <v>25</v>
      </c>
      <c r="C470" s="48"/>
      <c r="D470" s="88"/>
      <c r="E470" s="72"/>
      <c r="F470" s="77"/>
      <c r="G470" s="89"/>
      <c r="H470" s="74"/>
      <c r="I470" s="74"/>
      <c r="J470" s="51"/>
      <c r="K470" s="75"/>
      <c r="L470" s="92"/>
      <c r="M470" s="44"/>
      <c r="N470" s="44"/>
      <c r="O470" s="44"/>
      <c r="P470" s="44"/>
      <c r="Q470" s="44"/>
      <c r="R470" s="84"/>
      <c r="S470" s="47"/>
      <c r="T470" s="47"/>
    </row>
    <row r="471" s="27" customFormat="1" ht="18" customHeight="1" spans="1:20">
      <c r="A471" s="34"/>
      <c r="B471" s="48">
        <v>26</v>
      </c>
      <c r="C471" s="48"/>
      <c r="D471" s="88" t="s">
        <v>441</v>
      </c>
      <c r="E471" s="72" t="s">
        <v>43</v>
      </c>
      <c r="F471" s="77"/>
      <c r="G471" s="72">
        <v>1</v>
      </c>
      <c r="H471" s="74">
        <v>1</v>
      </c>
      <c r="I471" s="74">
        <f>+辅材及安装费!$E$17</f>
        <v>10</v>
      </c>
      <c r="J471" s="51">
        <f>H471*I471</f>
        <v>10</v>
      </c>
      <c r="K471" s="75"/>
      <c r="L471" s="92"/>
      <c r="M471" s="44"/>
      <c r="N471" s="44"/>
      <c r="O471" s="44"/>
      <c r="P471" s="44"/>
      <c r="Q471" s="44"/>
      <c r="R471" s="62"/>
      <c r="S471" s="47"/>
      <c r="T471" s="47"/>
    </row>
    <row r="472" s="27" customFormat="1" ht="18" customHeight="1" spans="1:20">
      <c r="A472" s="34"/>
      <c r="B472" s="48">
        <v>27</v>
      </c>
      <c r="C472" s="48"/>
      <c r="D472" s="93" t="s">
        <v>442</v>
      </c>
      <c r="E472" s="72"/>
      <c r="F472" s="77"/>
      <c r="G472" s="72"/>
      <c r="H472" s="74"/>
      <c r="I472" s="74"/>
      <c r="J472" s="51">
        <f>SUM(J446:J471)</f>
        <v>673.38812031046</v>
      </c>
      <c r="K472" s="75"/>
      <c r="L472" s="94"/>
      <c r="N472" s="83"/>
      <c r="O472" s="83"/>
      <c r="P472" s="83"/>
      <c r="Q472" s="83"/>
      <c r="R472" s="87"/>
      <c r="S472" s="47"/>
      <c r="T472" s="47"/>
    </row>
    <row r="473" s="27" customFormat="1" ht="18" customHeight="1" spans="1:20">
      <c r="A473" s="34"/>
      <c r="B473" s="48">
        <v>1</v>
      </c>
      <c r="C473" s="48" t="s">
        <v>443</v>
      </c>
      <c r="D473" s="48" t="s">
        <v>444</v>
      </c>
      <c r="E473" s="72" t="s">
        <v>43</v>
      </c>
      <c r="F473" s="50"/>
      <c r="G473" s="48"/>
      <c r="H473" s="51">
        <v>1</v>
      </c>
      <c r="I473" s="74">
        <f>+辅材及安装费!$F$17</f>
        <v>5</v>
      </c>
      <c r="J473" s="95">
        <f>H473*I473</f>
        <v>5</v>
      </c>
      <c r="K473" s="60"/>
      <c r="L473" s="96"/>
      <c r="M473" s="97"/>
      <c r="N473" s="98"/>
      <c r="O473" s="98"/>
      <c r="P473" s="98"/>
      <c r="Q473" s="98"/>
      <c r="R473" s="99"/>
      <c r="S473" s="47"/>
      <c r="T473" s="47"/>
    </row>
    <row r="474" s="26" customFormat="1" ht="30" customHeight="1" spans="1:20">
      <c r="A474" s="28"/>
      <c r="B474" s="29" t="s">
        <v>386</v>
      </c>
      <c r="C474" s="29"/>
      <c r="D474" s="29"/>
      <c r="E474" s="29"/>
      <c r="F474" s="29"/>
      <c r="G474" s="29"/>
      <c r="H474" s="29"/>
      <c r="I474" s="29"/>
      <c r="J474" s="29"/>
      <c r="K474" s="29"/>
      <c r="L474" s="30"/>
      <c r="M474" s="31"/>
      <c r="N474" s="31"/>
      <c r="O474" s="31"/>
      <c r="P474" s="31"/>
      <c r="Q474" s="31"/>
      <c r="R474" s="32"/>
      <c r="S474" s="33"/>
      <c r="T474" s="33"/>
    </row>
    <row r="475" s="27" customFormat="1" ht="33.75" customHeight="1" spans="1:20">
      <c r="A475" s="34">
        <v>12</v>
      </c>
      <c r="B475" s="35" t="s">
        <v>1</v>
      </c>
      <c r="C475" s="35" t="s">
        <v>387</v>
      </c>
      <c r="D475" s="36" t="str">
        <f>+A483</f>
        <v>首层座槽式玻璃幕墙（10+1.9SGP+10Low-E(双银)+12A+10㎜全超白钢化夹层中空玻璃）（弯弧）（弧长1100㎜，圆弧半径900㎜，高3600㎜）</v>
      </c>
      <c r="E475" s="37"/>
      <c r="F475" s="38" t="s">
        <v>225</v>
      </c>
      <c r="G475" s="39"/>
      <c r="H475" s="35" t="s">
        <v>388</v>
      </c>
      <c r="I475" s="40" t="s">
        <v>389</v>
      </c>
      <c r="J475" s="41" t="s">
        <v>37</v>
      </c>
      <c r="K475" s="42">
        <f ca="1">VLOOKUP(A475,'商业工程量清单 '!$A$4:$D$44,4,FALSE)</f>
        <v>3.96</v>
      </c>
      <c r="L475" s="43"/>
      <c r="M475" s="44"/>
      <c r="N475" s="44"/>
      <c r="O475" s="44"/>
      <c r="P475" s="45"/>
      <c r="Q475" s="44"/>
      <c r="R475" s="46"/>
      <c r="S475" s="47"/>
      <c r="T475" s="47"/>
    </row>
    <row r="476" s="27" customFormat="1" ht="25" customHeight="1" spans="1:20">
      <c r="A476" s="34"/>
      <c r="B476" s="48">
        <v>1</v>
      </c>
      <c r="C476" s="49" t="s">
        <v>390</v>
      </c>
      <c r="D476" s="48" t="s">
        <v>391</v>
      </c>
      <c r="E476" s="48"/>
      <c r="F476" s="50"/>
      <c r="G476" s="48"/>
      <c r="H476" s="51"/>
      <c r="I476" s="52">
        <f>J488</f>
        <v>190</v>
      </c>
      <c r="J476" s="53" t="s">
        <v>392</v>
      </c>
      <c r="K476" s="54"/>
      <c r="L476" s="55" t="s">
        <v>1019</v>
      </c>
      <c r="M476" s="56"/>
      <c r="N476" s="57"/>
      <c r="O476" s="57">
        <v>1.1</v>
      </c>
      <c r="P476" s="57">
        <v>3.6</v>
      </c>
      <c r="Q476" s="57">
        <v>1</v>
      </c>
      <c r="R476" s="58">
        <f>+Q476*P476*O476</f>
        <v>3.96</v>
      </c>
      <c r="S476" s="47"/>
      <c r="T476" s="47"/>
    </row>
    <row r="477" s="27" customFormat="1" ht="18" customHeight="1" spans="1:20">
      <c r="A477" s="34"/>
      <c r="B477" s="48">
        <v>2</v>
      </c>
      <c r="C477" s="59"/>
      <c r="D477" s="48" t="s">
        <v>394</v>
      </c>
      <c r="E477" s="48"/>
      <c r="F477" s="50"/>
      <c r="G477" s="48"/>
      <c r="H477" s="51"/>
      <c r="I477" s="52">
        <f>J515</f>
        <v>1314.36119165549</v>
      </c>
      <c r="J477" s="53" t="s">
        <v>392</v>
      </c>
      <c r="K477" s="60"/>
      <c r="L477" s="61"/>
      <c r="M477" s="44"/>
      <c r="N477" s="44"/>
      <c r="O477" s="44"/>
      <c r="P477" s="44"/>
      <c r="Q477" s="44"/>
      <c r="R477" s="62"/>
      <c r="S477" s="47"/>
      <c r="T477" s="47"/>
    </row>
    <row r="478" s="27" customFormat="1" ht="18" customHeight="1" spans="1:20">
      <c r="A478" s="34"/>
      <c r="B478" s="48">
        <v>3</v>
      </c>
      <c r="C478" s="63"/>
      <c r="D478" s="48" t="s">
        <v>395</v>
      </c>
      <c r="E478" s="48"/>
      <c r="F478" s="50"/>
      <c r="G478" s="48"/>
      <c r="H478" s="51"/>
      <c r="I478" s="52">
        <f>J516</f>
        <v>5</v>
      </c>
      <c r="J478" s="53" t="s">
        <v>392</v>
      </c>
      <c r="K478" s="60"/>
      <c r="L478" s="60"/>
      <c r="M478" s="64" t="s">
        <v>396</v>
      </c>
      <c r="N478" s="65" t="s">
        <v>397</v>
      </c>
      <c r="O478" s="65" t="s">
        <v>398</v>
      </c>
      <c r="P478" s="65" t="s">
        <v>399</v>
      </c>
      <c r="Q478" s="65" t="s">
        <v>400</v>
      </c>
      <c r="R478" s="66" t="s">
        <v>401</v>
      </c>
      <c r="S478" s="47"/>
      <c r="T478" s="47"/>
    </row>
    <row r="479" s="27" customFormat="1" ht="18" customHeight="1" spans="1:20">
      <c r="A479" s="34"/>
      <c r="B479" s="48">
        <v>4</v>
      </c>
      <c r="C479" s="48" t="s">
        <v>402</v>
      </c>
      <c r="D479" s="67" t="s">
        <v>403</v>
      </c>
      <c r="E479" s="67"/>
      <c r="F479" s="50"/>
      <c r="G479" s="67"/>
      <c r="H479" s="68"/>
      <c r="I479" s="52">
        <f>SUM(I476:I478)</f>
        <v>1509.36119165549</v>
      </c>
      <c r="J479" s="53" t="s">
        <v>392</v>
      </c>
      <c r="K479" s="60"/>
      <c r="L479" s="69" t="s">
        <v>427</v>
      </c>
      <c r="M479" s="70" t="s">
        <v>1007</v>
      </c>
      <c r="N479" s="34">
        <v>3.111</v>
      </c>
      <c r="O479" s="34">
        <f>P476</f>
        <v>3.6</v>
      </c>
      <c r="P479" s="34">
        <v>1</v>
      </c>
      <c r="Q479" s="44">
        <f t="shared" ref="Q479:Q487" si="77">+P479*O479*N479</f>
        <v>11.1996</v>
      </c>
      <c r="R479" s="71">
        <f>+Q479/R476</f>
        <v>2.82818181818182</v>
      </c>
      <c r="S479" s="47"/>
      <c r="T479" s="47"/>
    </row>
    <row r="480" s="27" customFormat="1" ht="28" customHeight="1" spans="1:20">
      <c r="A480" s="34"/>
      <c r="B480" s="48">
        <v>5</v>
      </c>
      <c r="C480" s="72" t="s">
        <v>406</v>
      </c>
      <c r="D480" s="48" t="s">
        <v>407</v>
      </c>
      <c r="E480" s="48"/>
      <c r="F480" s="50"/>
      <c r="G480" s="48"/>
      <c r="H480" s="73">
        <f>+'材料表 '!$E$178</f>
        <v>0</v>
      </c>
      <c r="I480" s="52">
        <f>H480*I479</f>
        <v>0</v>
      </c>
      <c r="J480" s="53" t="s">
        <v>392</v>
      </c>
      <c r="K480" s="60"/>
      <c r="L480" s="69" t="s">
        <v>433</v>
      </c>
      <c r="M480" s="70" t="s">
        <v>1008</v>
      </c>
      <c r="N480" s="34">
        <v>0.507</v>
      </c>
      <c r="O480" s="34">
        <f>O479*2</f>
        <v>7.2</v>
      </c>
      <c r="P480" s="34">
        <f>P479</f>
        <v>1</v>
      </c>
      <c r="Q480" s="44">
        <f t="shared" si="77"/>
        <v>3.6504</v>
      </c>
      <c r="R480" s="71">
        <f>+Q480/R476</f>
        <v>0.921818181818182</v>
      </c>
      <c r="S480" s="47"/>
      <c r="T480" s="47"/>
    </row>
    <row r="481" s="27" customFormat="1" ht="18" customHeight="1" spans="1:21">
      <c r="A481" s="34"/>
      <c r="B481" s="48">
        <v>6</v>
      </c>
      <c r="C481" s="48" t="s">
        <v>409</v>
      </c>
      <c r="D481" s="48" t="s">
        <v>410</v>
      </c>
      <c r="E481" s="48"/>
      <c r="F481" s="50"/>
      <c r="G481" s="48"/>
      <c r="H481" s="73">
        <f>+'材料表 '!$E$179</f>
        <v>0</v>
      </c>
      <c r="I481" s="52">
        <f>H481*I479</f>
        <v>0</v>
      </c>
      <c r="J481" s="74" t="s">
        <v>392</v>
      </c>
      <c r="K481" s="75"/>
      <c r="L481" s="69" t="s">
        <v>429</v>
      </c>
      <c r="M481" s="70" t="s">
        <v>1009</v>
      </c>
      <c r="N481" s="34">
        <v>0.499</v>
      </c>
      <c r="O481" s="34">
        <f>P476/0.3*0.05</f>
        <v>0.6</v>
      </c>
      <c r="P481" s="34">
        <f>P479</f>
        <v>1</v>
      </c>
      <c r="Q481" s="44">
        <f t="shared" si="77"/>
        <v>0.2994</v>
      </c>
      <c r="R481" s="71">
        <f>+Q481/R476</f>
        <v>0.0756060606060606</v>
      </c>
      <c r="S481" s="47"/>
      <c r="T481" s="47"/>
      <c r="U481" s="76"/>
    </row>
    <row r="482" s="27" customFormat="1" ht="18" customHeight="1" spans="1:21">
      <c r="A482" s="34"/>
      <c r="B482" s="48">
        <v>7</v>
      </c>
      <c r="C482" s="48" t="s">
        <v>412</v>
      </c>
      <c r="D482" s="72" t="s">
        <v>413</v>
      </c>
      <c r="E482" s="72"/>
      <c r="F482" s="77"/>
      <c r="G482" s="72"/>
      <c r="H482" s="73">
        <f>+'材料表 '!$E$180</f>
        <v>0.09</v>
      </c>
      <c r="I482" s="52">
        <f>(I479+I480+I481)*H482</f>
        <v>135.842507248994</v>
      </c>
      <c r="J482" s="74" t="s">
        <v>392</v>
      </c>
      <c r="K482" s="75"/>
      <c r="L482" s="69" t="s">
        <v>429</v>
      </c>
      <c r="M482" s="70" t="s">
        <v>1010</v>
      </c>
      <c r="N482" s="34">
        <f>2.9</f>
        <v>2.9</v>
      </c>
      <c r="O482" s="34">
        <v>0.2</v>
      </c>
      <c r="P482" s="34">
        <f>P479</f>
        <v>1</v>
      </c>
      <c r="Q482" s="44">
        <f t="shared" si="77"/>
        <v>0.58</v>
      </c>
      <c r="R482" s="71">
        <f>+Q482/R476</f>
        <v>0.146464646464646</v>
      </c>
      <c r="S482" s="47"/>
      <c r="T482" s="47"/>
    </row>
    <row r="483" s="27" customFormat="1" ht="18" customHeight="1" spans="1:21">
      <c r="A483" s="78" t="s">
        <v>1025</v>
      </c>
      <c r="B483" s="48">
        <v>8</v>
      </c>
      <c r="C483" s="48" t="s">
        <v>363</v>
      </c>
      <c r="D483" s="72" t="s">
        <v>415</v>
      </c>
      <c r="E483" s="72"/>
      <c r="F483" s="77"/>
      <c r="G483" s="72"/>
      <c r="H483" s="51"/>
      <c r="I483" s="74">
        <f>SUM(I479:I482)</f>
        <v>1645.20369890449</v>
      </c>
      <c r="J483" s="74" t="s">
        <v>416</v>
      </c>
      <c r="K483" s="75"/>
      <c r="L483" s="69" t="s">
        <v>429</v>
      </c>
      <c r="M483" s="70"/>
      <c r="N483" s="34"/>
      <c r="O483" s="34"/>
      <c r="P483" s="34">
        <v>1</v>
      </c>
      <c r="Q483" s="44">
        <f t="shared" si="77"/>
        <v>0</v>
      </c>
      <c r="R483" s="71">
        <f>+Q483/R476</f>
        <v>0</v>
      </c>
      <c r="S483" s="79"/>
      <c r="T483" s="47"/>
    </row>
    <row r="484" s="27" customFormat="1" ht="18" customHeight="1" spans="1:21">
      <c r="A484" s="34"/>
      <c r="B484" s="48" t="s">
        <v>418</v>
      </c>
      <c r="C484" s="48"/>
      <c r="D484" s="48"/>
      <c r="E484" s="48"/>
      <c r="F484" s="48"/>
      <c r="G484" s="48"/>
      <c r="H484" s="48"/>
      <c r="I484" s="48"/>
      <c r="J484" s="48"/>
      <c r="K484" s="80"/>
      <c r="L484" s="69" t="s">
        <v>447</v>
      </c>
      <c r="M484" s="70"/>
      <c r="N484" s="34"/>
      <c r="O484" s="34"/>
      <c r="P484" s="34">
        <v>1</v>
      </c>
      <c r="Q484" s="44">
        <f t="shared" si="77"/>
        <v>0</v>
      </c>
      <c r="R484" s="71">
        <f>+Q484/R476</f>
        <v>0</v>
      </c>
      <c r="S484" s="47"/>
      <c r="T484" s="47"/>
      <c r="U484" s="76"/>
    </row>
    <row r="485" s="27" customFormat="1" ht="18" customHeight="1" spans="1:21">
      <c r="A485" s="34"/>
      <c r="B485" s="48">
        <v>1</v>
      </c>
      <c r="C485" s="48" t="s">
        <v>391</v>
      </c>
      <c r="D485" s="48" t="s">
        <v>396</v>
      </c>
      <c r="E485" s="48" t="s">
        <v>37</v>
      </c>
      <c r="F485" s="50"/>
      <c r="G485" s="48"/>
      <c r="H485" s="51" t="s">
        <v>399</v>
      </c>
      <c r="I485" s="51" t="s">
        <v>420</v>
      </c>
      <c r="J485" s="51" t="s">
        <v>421</v>
      </c>
      <c r="K485" s="43"/>
      <c r="L485" s="69" t="s">
        <v>404</v>
      </c>
      <c r="M485" s="81"/>
      <c r="N485" s="82"/>
      <c r="O485" s="34"/>
      <c r="P485" s="34">
        <v>1</v>
      </c>
      <c r="Q485" s="44">
        <f t="shared" si="77"/>
        <v>0</v>
      </c>
      <c r="R485" s="71">
        <f>+Q485/R476</f>
        <v>0</v>
      </c>
      <c r="S485" s="47"/>
      <c r="T485" s="47"/>
    </row>
    <row r="486" s="27" customFormat="1" ht="18" customHeight="1" spans="1:21">
      <c r="A486" s="34"/>
      <c r="B486" s="48">
        <v>2</v>
      </c>
      <c r="C486" s="48"/>
      <c r="D486" s="48" t="s">
        <v>965</v>
      </c>
      <c r="E486" s="72" t="s">
        <v>423</v>
      </c>
      <c r="F486" s="50"/>
      <c r="G486" s="48"/>
      <c r="H486" s="51">
        <v>1</v>
      </c>
      <c r="I486" s="51">
        <f>+辅材及安装费!$G$17</f>
        <v>190</v>
      </c>
      <c r="J486" s="51">
        <f t="shared" ref="J486:J494" si="78">H486*I486</f>
        <v>190</v>
      </c>
      <c r="K486" s="43"/>
      <c r="L486" s="69" t="s">
        <v>427</v>
      </c>
      <c r="M486" s="70"/>
      <c r="N486" s="83"/>
      <c r="O486" s="34"/>
      <c r="P486" s="34">
        <v>1</v>
      </c>
      <c r="Q486" s="44">
        <f t="shared" si="77"/>
        <v>0</v>
      </c>
      <c r="R486" s="84">
        <f>+Q486/R476</f>
        <v>0</v>
      </c>
      <c r="S486" s="47"/>
      <c r="T486" s="47"/>
    </row>
    <row r="487" s="27" customFormat="1" ht="18" customHeight="1" spans="1:21">
      <c r="A487" s="34"/>
      <c r="B487" s="48">
        <v>3</v>
      </c>
      <c r="C487" s="48"/>
      <c r="D487" s="48"/>
      <c r="E487" s="72"/>
      <c r="F487" s="50"/>
      <c r="G487" s="48"/>
      <c r="H487" s="51"/>
      <c r="I487" s="51"/>
      <c r="J487" s="51"/>
      <c r="K487" s="43"/>
      <c r="L487" s="69"/>
      <c r="M487" s="81"/>
      <c r="N487" s="82"/>
      <c r="O487" s="44"/>
      <c r="P487" s="34">
        <v>1</v>
      </c>
      <c r="Q487" s="44">
        <f t="shared" si="77"/>
        <v>0</v>
      </c>
      <c r="R487" s="84">
        <f>+Q487/R476</f>
        <v>0</v>
      </c>
      <c r="S487" s="47"/>
      <c r="T487" s="47"/>
    </row>
    <row r="488" s="27" customFormat="1" ht="18" customHeight="1" spans="1:21">
      <c r="A488" s="34"/>
      <c r="B488" s="48">
        <v>4</v>
      </c>
      <c r="C488" s="48"/>
      <c r="D488" s="85" t="s">
        <v>426</v>
      </c>
      <c r="E488" s="48" t="s">
        <v>392</v>
      </c>
      <c r="F488" s="50"/>
      <c r="G488" s="48"/>
      <c r="H488" s="86"/>
      <c r="I488" s="86"/>
      <c r="J488" s="51">
        <f>SUM(J486:J486)</f>
        <v>190</v>
      </c>
      <c r="K488" s="75"/>
      <c r="L488" s="69"/>
      <c r="M488" s="70"/>
      <c r="N488" s="83"/>
      <c r="O488" s="83"/>
      <c r="P488" s="34">
        <v>1</v>
      </c>
      <c r="Q488" s="83"/>
      <c r="R488" s="87"/>
      <c r="S488" s="47"/>
      <c r="T488" s="47"/>
    </row>
    <row r="489" s="27" customFormat="1" ht="23" customHeight="1" spans="1:21">
      <c r="A489" s="34"/>
      <c r="B489" s="48">
        <v>1</v>
      </c>
      <c r="C489" s="48" t="s">
        <v>394</v>
      </c>
      <c r="D489" s="88" t="s">
        <v>427</v>
      </c>
      <c r="E489" s="72" t="str">
        <f>+VLOOKUP(D489,'材料表 '!C:F,2,0)</f>
        <v>kg</v>
      </c>
      <c r="F489" s="77">
        <f>+SUMIF($L$476:$L$516,D489,$R$476:$R$516)</f>
        <v>2.82818181818182</v>
      </c>
      <c r="G489" s="89">
        <f>+VLOOKUP(D489,'材料表 '!C:F,4,0)</f>
        <v>0.03</v>
      </c>
      <c r="H489" s="74">
        <f t="shared" ref="H489:H494" si="79">F489*(G489+1)</f>
        <v>2.91302727272727</v>
      </c>
      <c r="I489" s="74">
        <f>+VLOOKUP(D489,'材料表 '!C:F,3,0)</f>
        <v>25.8495575221239</v>
      </c>
      <c r="J489" s="51">
        <f t="shared" si="78"/>
        <v>75.3004660498794</v>
      </c>
      <c r="K489" s="75">
        <f ca="1">H489*K475</f>
        <v>11.535588</v>
      </c>
      <c r="L489" s="69"/>
      <c r="M489" s="70"/>
      <c r="N489" s="83"/>
      <c r="O489" s="83"/>
      <c r="P489" s="34">
        <v>1</v>
      </c>
      <c r="Q489" s="83"/>
      <c r="R489" s="87"/>
      <c r="S489" s="47"/>
      <c r="T489" s="47"/>
    </row>
    <row r="490" s="27" customFormat="1" ht="18" customHeight="1" spans="1:21">
      <c r="A490" s="34"/>
      <c r="B490" s="48">
        <v>2</v>
      </c>
      <c r="C490" s="48"/>
      <c r="D490" s="88" t="s">
        <v>404</v>
      </c>
      <c r="E490" s="72" t="str">
        <f>+VLOOKUP(D490,'材料表 '!C:F,2,0)</f>
        <v>kg</v>
      </c>
      <c r="F490" s="77">
        <f t="shared" ref="F490:F502" si="80">+SUMIF($L$476:$L$516,D490,$R$476:$R$516)</f>
        <v>0</v>
      </c>
      <c r="G490" s="89">
        <f>+VLOOKUP(D490,'材料表 '!C:F,4,0)</f>
        <v>0.03</v>
      </c>
      <c r="H490" s="74">
        <f t="shared" si="79"/>
        <v>0</v>
      </c>
      <c r="I490" s="74">
        <f>+VLOOKUP(D490,'材料表 '!C:F,3,0)</f>
        <v>25.6725663716814</v>
      </c>
      <c r="J490" s="51">
        <f t="shared" si="78"/>
        <v>0</v>
      </c>
      <c r="K490" s="75">
        <f ca="1">H490*K475</f>
        <v>0</v>
      </c>
      <c r="L490" s="69"/>
      <c r="M490" s="70"/>
      <c r="N490" s="83"/>
      <c r="O490" s="83"/>
      <c r="P490" s="83"/>
      <c r="Q490" s="83"/>
      <c r="R490" s="87"/>
      <c r="S490" s="47"/>
      <c r="T490" s="47"/>
    </row>
    <row r="491" s="27" customFormat="1" ht="18" customHeight="1" spans="1:21">
      <c r="A491" s="34"/>
      <c r="B491" s="48">
        <v>3</v>
      </c>
      <c r="C491" s="48"/>
      <c r="D491" s="88" t="s">
        <v>433</v>
      </c>
      <c r="E491" s="72" t="str">
        <f>+VLOOKUP(D491,'材料表 '!C:F,2,0)</f>
        <v>kg</v>
      </c>
      <c r="F491" s="77">
        <f t="shared" si="80"/>
        <v>0.921818181818182</v>
      </c>
      <c r="G491" s="89">
        <f>+VLOOKUP(D491,'材料表 '!C:F,4,0)</f>
        <v>0.03</v>
      </c>
      <c r="H491" s="74">
        <f t="shared" si="79"/>
        <v>0.949472727272727</v>
      </c>
      <c r="I491" s="74">
        <f>+VLOOKUP(D491,'材料表 '!C:F,3,0)</f>
        <v>26.1150442477876</v>
      </c>
      <c r="J491" s="51">
        <f t="shared" si="78"/>
        <v>24.7955222847948</v>
      </c>
      <c r="K491" s="75">
        <f ca="1">H491*K475</f>
        <v>3.759912</v>
      </c>
      <c r="L491" s="69"/>
      <c r="N491" s="83"/>
      <c r="O491" s="83"/>
      <c r="P491" s="83"/>
      <c r="Q491" s="83"/>
      <c r="R491" s="87"/>
      <c r="S491" s="47"/>
      <c r="T491" s="47"/>
    </row>
    <row r="492" s="27" customFormat="1" ht="18" customHeight="1" spans="1:21">
      <c r="A492" s="34"/>
      <c r="B492" s="48">
        <v>4</v>
      </c>
      <c r="C492" s="48"/>
      <c r="D492" s="88" t="s">
        <v>429</v>
      </c>
      <c r="E492" s="72" t="str">
        <f>+VLOOKUP(D492,'材料表 '!C:F,2,0)</f>
        <v>kg</v>
      </c>
      <c r="F492" s="77">
        <f t="shared" si="80"/>
        <v>0.222070707070707</v>
      </c>
      <c r="G492" s="89">
        <f>+VLOOKUP(D492,'材料表 '!C:F,4,0)</f>
        <v>0.03</v>
      </c>
      <c r="H492" s="74">
        <f t="shared" si="79"/>
        <v>0.228732828282828</v>
      </c>
      <c r="I492" s="74">
        <f>+VLOOKUP(D492,'材料表 '!C:F,3,0)</f>
        <v>26.1150442477876</v>
      </c>
      <c r="J492" s="51">
        <f t="shared" si="78"/>
        <v>5.97336793152766</v>
      </c>
      <c r="K492" s="75">
        <f ca="1">H492*K475</f>
        <v>0.905781999999999</v>
      </c>
      <c r="L492" s="90" t="s">
        <v>428</v>
      </c>
      <c r="M492" s="44"/>
      <c r="N492" s="82"/>
      <c r="O492" s="44">
        <f>(O479*P479)</f>
        <v>3.6</v>
      </c>
      <c r="P492" s="44">
        <v>1</v>
      </c>
      <c r="Q492" s="44">
        <f>+P492*O492</f>
        <v>3.6</v>
      </c>
      <c r="R492" s="84">
        <f>+Q492/R476</f>
        <v>0.909090909090909</v>
      </c>
      <c r="S492" s="47"/>
      <c r="T492" s="47"/>
    </row>
    <row r="493" s="27" customFormat="1" ht="18" customHeight="1" spans="1:21">
      <c r="A493" s="34"/>
      <c r="B493" s="48">
        <v>5</v>
      </c>
      <c r="C493" s="48"/>
      <c r="D493" s="88" t="s">
        <v>447</v>
      </c>
      <c r="E493" s="72" t="str">
        <f>+VLOOKUP(D493,'材料表 '!C:F,2,0)</f>
        <v>kg</v>
      </c>
      <c r="F493" s="77">
        <f t="shared" si="80"/>
        <v>0</v>
      </c>
      <c r="G493" s="89">
        <f>+VLOOKUP(D493,'材料表 '!C:F,4,0)</f>
        <v>0.03</v>
      </c>
      <c r="H493" s="74">
        <f t="shared" si="79"/>
        <v>0</v>
      </c>
      <c r="I493" s="74">
        <f>+VLOOKUP(D493,'材料表 '!C:F,3,0)</f>
        <v>24.4336283185841</v>
      </c>
      <c r="J493" s="51">
        <f t="shared" si="78"/>
        <v>0</v>
      </c>
      <c r="K493" s="43">
        <f ca="1">H493*K475</f>
        <v>0</v>
      </c>
      <c r="L493" s="90"/>
      <c r="M493" s="44"/>
      <c r="N493" s="82"/>
      <c r="O493" s="44"/>
      <c r="P493" s="44"/>
      <c r="Q493" s="44"/>
      <c r="R493" s="84"/>
      <c r="S493" s="47"/>
      <c r="T493" s="47"/>
    </row>
    <row r="494" s="27" customFormat="1" ht="18" customHeight="1" spans="1:21">
      <c r="A494" s="34"/>
      <c r="B494" s="48">
        <v>6</v>
      </c>
      <c r="C494" s="48"/>
      <c r="D494" s="88" t="s">
        <v>434</v>
      </c>
      <c r="E494" s="72" t="str">
        <f>+VLOOKUP(D494,'材料表 '!C:F,2,0)</f>
        <v>m2</v>
      </c>
      <c r="F494" s="77">
        <f t="shared" si="80"/>
        <v>0</v>
      </c>
      <c r="G494" s="89">
        <f>+VLOOKUP(D494,'材料表 '!C:F,4,0)</f>
        <v>0</v>
      </c>
      <c r="H494" s="74">
        <f t="shared" si="79"/>
        <v>0</v>
      </c>
      <c r="I494" s="74">
        <f>+VLOOKUP(D494,'材料表 '!C:F,3,0)</f>
        <v>49.5575221238938</v>
      </c>
      <c r="J494" s="51">
        <f t="shared" si="78"/>
        <v>0</v>
      </c>
      <c r="K494" s="43">
        <f ca="1">H494*K475</f>
        <v>0</v>
      </c>
      <c r="L494" s="90" t="s">
        <v>463</v>
      </c>
      <c r="M494" s="91" t="s">
        <v>1012</v>
      </c>
      <c r="N494" s="82">
        <f>0.32*0.3*8*7.85</f>
        <v>6.0288</v>
      </c>
      <c r="O494" s="44">
        <v>1</v>
      </c>
      <c r="P494" s="44">
        <f>P479</f>
        <v>1</v>
      </c>
      <c r="Q494" s="44">
        <f t="shared" ref="Q494:Q498" si="81">+P494*O494*N494</f>
        <v>6.0288</v>
      </c>
      <c r="R494" s="84">
        <f>+Q494/R476</f>
        <v>1.52242424242424</v>
      </c>
      <c r="S494" s="47"/>
      <c r="T494" s="47"/>
    </row>
    <row r="495" s="27" customFormat="1" ht="18" customHeight="1" spans="1:21">
      <c r="A495" s="34"/>
      <c r="B495" s="48">
        <v>7</v>
      </c>
      <c r="C495" s="48"/>
      <c r="D495" s="88"/>
      <c r="E495" s="72"/>
      <c r="F495" s="77">
        <f t="shared" si="80"/>
        <v>0</v>
      </c>
      <c r="G495" s="89"/>
      <c r="H495" s="74"/>
      <c r="I495" s="74"/>
      <c r="J495" s="51"/>
      <c r="K495" s="43">
        <f ca="1">H495*K475</f>
        <v>0</v>
      </c>
      <c r="L495" s="69" t="s">
        <v>465</v>
      </c>
      <c r="M495" s="81" t="s">
        <v>1013</v>
      </c>
      <c r="N495" s="34">
        <v>9.88</v>
      </c>
      <c r="O495" s="34">
        <f>0.13</f>
        <v>0.13</v>
      </c>
      <c r="P495" s="34">
        <f>2*P494</f>
        <v>2</v>
      </c>
      <c r="Q495" s="44">
        <f t="shared" si="81"/>
        <v>2.5688</v>
      </c>
      <c r="R495" s="84">
        <f>Q495/R476</f>
        <v>0.648686868686869</v>
      </c>
      <c r="S495" s="47"/>
      <c r="T495" s="47"/>
    </row>
    <row r="496" s="27" customFormat="1" ht="18" customHeight="1" spans="1:21">
      <c r="A496" s="34"/>
      <c r="B496" s="48">
        <v>8</v>
      </c>
      <c r="C496" s="48"/>
      <c r="D496" s="88" t="s">
        <v>431</v>
      </c>
      <c r="E496" s="72" t="str">
        <f>+VLOOKUP(D496,'材料表 '!C:F,2,0)</f>
        <v>kg</v>
      </c>
      <c r="F496" s="77">
        <f t="shared" si="80"/>
        <v>0</v>
      </c>
      <c r="G496" s="89">
        <f>+VLOOKUP(D496,'材料表 '!C:F,4,0)</f>
        <v>0.03</v>
      </c>
      <c r="H496" s="74">
        <f t="shared" ref="H496:H505" si="82">F496*(G496+1)</f>
        <v>0</v>
      </c>
      <c r="I496" s="74">
        <f>+VLOOKUP(D496,'材料表 '!C:F,3,0)</f>
        <v>3.80530973451327</v>
      </c>
      <c r="J496" s="51">
        <f t="shared" ref="J496:J505" si="83">H496*I496</f>
        <v>0</v>
      </c>
      <c r="K496" s="43">
        <f ca="1">H496*K475</f>
        <v>0</v>
      </c>
      <c r="L496" s="90" t="s">
        <v>474</v>
      </c>
      <c r="M496" s="44"/>
      <c r="N496" s="82"/>
      <c r="O496" s="44">
        <v>6</v>
      </c>
      <c r="P496" s="44">
        <f>O494*P494</f>
        <v>1</v>
      </c>
      <c r="Q496" s="44">
        <f>O496*P496</f>
        <v>6</v>
      </c>
      <c r="R496" s="84">
        <f>Q496/R476</f>
        <v>1.51515151515151</v>
      </c>
      <c r="S496" s="47"/>
      <c r="T496" s="47"/>
    </row>
    <row r="497" s="27" customFormat="1" ht="18" customHeight="1" spans="1:20">
      <c r="A497" s="34"/>
      <c r="B497" s="48">
        <v>9</v>
      </c>
      <c r="C497" s="48"/>
      <c r="D497" s="88" t="s">
        <v>461</v>
      </c>
      <c r="E497" s="72" t="str">
        <f>+VLOOKUP(D497,'材料表 '!C:F,2,0)</f>
        <v>kg</v>
      </c>
      <c r="F497" s="77">
        <f t="shared" si="80"/>
        <v>0</v>
      </c>
      <c r="G497" s="89">
        <f>+VLOOKUP(D497,'材料表 '!C:F,4,0)</f>
        <v>0.03</v>
      </c>
      <c r="H497" s="74">
        <f t="shared" si="82"/>
        <v>0</v>
      </c>
      <c r="I497" s="74">
        <f>+VLOOKUP(D497,'材料表 '!C:F,3,0)</f>
        <v>3.53982300884956</v>
      </c>
      <c r="J497" s="51">
        <f t="shared" si="83"/>
        <v>0</v>
      </c>
      <c r="K497" s="43">
        <f ca="1">H497*K475</f>
        <v>0</v>
      </c>
      <c r="L497" s="90" t="s">
        <v>472</v>
      </c>
      <c r="M497" s="91"/>
      <c r="N497" s="82"/>
      <c r="O497" s="44">
        <v>2</v>
      </c>
      <c r="P497" s="44">
        <f>P479</f>
        <v>1</v>
      </c>
      <c r="Q497" s="44">
        <f>O497*P497</f>
        <v>2</v>
      </c>
      <c r="R497" s="84">
        <f>Q497/R476</f>
        <v>0.505050505050505</v>
      </c>
      <c r="S497" s="47"/>
      <c r="T497" s="47"/>
    </row>
    <row r="498" s="27" customFormat="1" ht="18" customHeight="1" spans="1:20">
      <c r="A498" s="34"/>
      <c r="B498" s="48">
        <v>10</v>
      </c>
      <c r="C498" s="48"/>
      <c r="D498" s="88" t="s">
        <v>435</v>
      </c>
      <c r="E498" s="72" t="str">
        <f>+VLOOKUP(D498,'材料表 '!C:F,2,0)</f>
        <v>kg</v>
      </c>
      <c r="F498" s="77">
        <f t="shared" si="80"/>
        <v>0</v>
      </c>
      <c r="G498" s="89">
        <f>+VLOOKUP(D498,'材料表 '!C:F,4,0)</f>
        <v>0.03</v>
      </c>
      <c r="H498" s="74">
        <f t="shared" si="82"/>
        <v>0</v>
      </c>
      <c r="I498" s="74">
        <f>+VLOOKUP(D498,'材料表 '!C:F,3,0)</f>
        <v>19.4690265486726</v>
      </c>
      <c r="J498" s="51">
        <f t="shared" si="83"/>
        <v>0</v>
      </c>
      <c r="K498" s="43">
        <f ca="1">H498*K475</f>
        <v>0</v>
      </c>
      <c r="L498" s="69" t="s">
        <v>465</v>
      </c>
      <c r="M498" s="91"/>
      <c r="N498" s="82">
        <f>(0.058+0.04*2)*5*7.85</f>
        <v>5.4165</v>
      </c>
      <c r="O498" s="44">
        <f>O476</f>
        <v>1.1</v>
      </c>
      <c r="P498" s="44">
        <v>1</v>
      </c>
      <c r="Q498" s="44">
        <f t="shared" si="81"/>
        <v>5.95815</v>
      </c>
      <c r="R498" s="84">
        <f>+Q498/R476</f>
        <v>1.50458333333333</v>
      </c>
      <c r="S498" s="47"/>
      <c r="T498" s="47"/>
    </row>
    <row r="499" s="27" customFormat="1" ht="18" customHeight="1" spans="1:20">
      <c r="A499" s="34"/>
      <c r="B499" s="48">
        <v>11</v>
      </c>
      <c r="C499" s="48"/>
      <c r="D499" s="88" t="s">
        <v>463</v>
      </c>
      <c r="E499" s="72" t="str">
        <f>+VLOOKUP(D499,'材料表 '!C:F,2,0)</f>
        <v>kg</v>
      </c>
      <c r="F499" s="77">
        <f t="shared" si="80"/>
        <v>1.52242424242424</v>
      </c>
      <c r="G499" s="89">
        <f>+VLOOKUP(D499,'材料表 '!C:F,4,0)</f>
        <v>0.03</v>
      </c>
      <c r="H499" s="74">
        <f t="shared" si="82"/>
        <v>1.56809696969697</v>
      </c>
      <c r="I499" s="74">
        <f>+VLOOKUP(D499,'材料表 '!C:F,3,0)</f>
        <v>6.01769911504425</v>
      </c>
      <c r="J499" s="51">
        <f t="shared" si="83"/>
        <v>9.43633574684901</v>
      </c>
      <c r="K499" s="43">
        <f ca="1">H499*K475</f>
        <v>6.209664</v>
      </c>
      <c r="L499" s="69" t="s">
        <v>461</v>
      </c>
      <c r="N499" s="83"/>
      <c r="O499" s="83"/>
      <c r="P499" s="83"/>
      <c r="Q499" s="83"/>
      <c r="R499" s="84"/>
      <c r="S499" s="47"/>
      <c r="T499" s="47"/>
    </row>
    <row r="500" s="27" customFormat="1" ht="18" customHeight="1" spans="1:20">
      <c r="A500" s="34"/>
      <c r="B500" s="48">
        <v>12</v>
      </c>
      <c r="C500" s="48"/>
      <c r="D500" s="88" t="s">
        <v>465</v>
      </c>
      <c r="E500" s="72" t="str">
        <f>+VLOOKUP(D500,'材料表 '!C:F,2,0)</f>
        <v>kg</v>
      </c>
      <c r="F500" s="77">
        <f t="shared" si="80"/>
        <v>2.1532702020202</v>
      </c>
      <c r="G500" s="89">
        <f>+VLOOKUP(D500,'材料表 '!C:F,4,0)</f>
        <v>0.03</v>
      </c>
      <c r="H500" s="74">
        <f t="shared" si="82"/>
        <v>2.21786830808081</v>
      </c>
      <c r="I500" s="74">
        <f>+VLOOKUP(D500,'材料表 '!C:F,3,0)</f>
        <v>6.01769911504425</v>
      </c>
      <c r="J500" s="51">
        <f t="shared" si="83"/>
        <v>13.3464641548226</v>
      </c>
      <c r="K500" s="43">
        <f ca="1">H500*K475</f>
        <v>8.78275850000001</v>
      </c>
      <c r="L500" s="90"/>
      <c r="M500" s="44"/>
      <c r="N500" s="82"/>
      <c r="O500" s="44"/>
      <c r="P500" s="44"/>
      <c r="Q500" s="44"/>
      <c r="R500" s="84"/>
      <c r="S500" s="47"/>
      <c r="T500" s="47"/>
    </row>
    <row r="501" s="27" customFormat="1" ht="18" customHeight="1" spans="1:20">
      <c r="A501" s="34"/>
      <c r="B501" s="48">
        <v>13</v>
      </c>
      <c r="C501" s="48"/>
      <c r="D501" s="88" t="s">
        <v>474</v>
      </c>
      <c r="E501" s="72" t="str">
        <f>+VLOOKUP(D501,'材料表 '!C:F,2,0)</f>
        <v>套</v>
      </c>
      <c r="F501" s="77">
        <f t="shared" si="80"/>
        <v>1.51515151515151</v>
      </c>
      <c r="G501" s="89">
        <f>+VLOOKUP(D501,'材料表 '!C:F,4,0)</f>
        <v>0</v>
      </c>
      <c r="H501" s="74">
        <f t="shared" si="82"/>
        <v>1.51515151515151</v>
      </c>
      <c r="I501" s="74">
        <f>+VLOOKUP(D501,'材料表 '!C:F,3,0)</f>
        <v>2.21238938053097</v>
      </c>
      <c r="J501" s="51">
        <f t="shared" si="83"/>
        <v>3.35210512201661</v>
      </c>
      <c r="K501" s="43">
        <f ca="1">H501*K475</f>
        <v>5.99999999999998</v>
      </c>
      <c r="L501" s="90"/>
      <c r="M501" s="44"/>
      <c r="N501" s="82"/>
      <c r="O501" s="44"/>
      <c r="P501" s="44"/>
      <c r="Q501" s="44"/>
      <c r="R501" s="84"/>
      <c r="S501" s="47"/>
      <c r="T501" s="47"/>
    </row>
    <row r="502" s="27" customFormat="1" ht="18" customHeight="1" spans="1:20">
      <c r="A502" s="34"/>
      <c r="B502" s="48">
        <v>14</v>
      </c>
      <c r="C502" s="48"/>
      <c r="D502" s="88" t="s">
        <v>472</v>
      </c>
      <c r="E502" s="72" t="str">
        <f>+VLOOKUP(D502,'材料表 '!C:F,2,0)</f>
        <v>套</v>
      </c>
      <c r="F502" s="77">
        <f t="shared" si="80"/>
        <v>0.505050505050505</v>
      </c>
      <c r="G502" s="89">
        <f>+VLOOKUP(D502,'材料表 '!C:F,4,0)</f>
        <v>0</v>
      </c>
      <c r="H502" s="74">
        <f t="shared" si="82"/>
        <v>0.505050505050505</v>
      </c>
      <c r="I502" s="74">
        <f>+VLOOKUP(D502,'材料表 '!C:F,3,0)</f>
        <v>2.47787610619469</v>
      </c>
      <c r="J502" s="51">
        <f t="shared" si="83"/>
        <v>1.25145257888621</v>
      </c>
      <c r="K502" s="43">
        <f ca="1">H502*K475</f>
        <v>2</v>
      </c>
      <c r="L502" s="90"/>
      <c r="M502" s="44"/>
      <c r="N502" s="82"/>
      <c r="O502" s="44"/>
      <c r="P502" s="44"/>
      <c r="Q502" s="44"/>
      <c r="R502" s="84"/>
      <c r="S502" s="47"/>
      <c r="T502" s="47"/>
    </row>
    <row r="503" s="27" customFormat="1" ht="18" customHeight="1" spans="1:20">
      <c r="A503" s="34"/>
      <c r="B503" s="48">
        <v>15</v>
      </c>
      <c r="C503" s="48"/>
      <c r="D503" s="88" t="s">
        <v>476</v>
      </c>
      <c r="E503" s="72" t="str">
        <f>+VLOOKUP(D503,'材料表 '!C:F,2,0)</f>
        <v>支</v>
      </c>
      <c r="F503" s="77">
        <f>8*8*(O476*2+P476*P479*2)/500/R476+15*26*(P476*P479)/500/R476</f>
        <v>1.01292929292929</v>
      </c>
      <c r="G503" s="89">
        <f>+VLOOKUP(D503,'材料表 '!C:F,4,0)</f>
        <v>0.15</v>
      </c>
      <c r="H503" s="74">
        <f t="shared" si="82"/>
        <v>1.16486868686868</v>
      </c>
      <c r="I503" s="74">
        <f>+VLOOKUP(D503,'材料表 '!C:F,3,0)</f>
        <v>11.5044247787611</v>
      </c>
      <c r="J503" s="51">
        <f t="shared" si="83"/>
        <v>13.401144185215</v>
      </c>
      <c r="K503" s="43">
        <f ca="1">H503*K475</f>
        <v>4.61287999999997</v>
      </c>
      <c r="L503" s="92"/>
      <c r="M503" s="44"/>
      <c r="N503" s="82"/>
      <c r="O503" s="44"/>
      <c r="P503" s="44"/>
      <c r="Q503" s="44"/>
      <c r="R503" s="84"/>
      <c r="S503" s="47"/>
      <c r="T503" s="47"/>
    </row>
    <row r="504" s="27" customFormat="1" ht="18" customHeight="1" spans="1:20">
      <c r="A504" s="34"/>
      <c r="B504" s="48">
        <v>16</v>
      </c>
      <c r="C504" s="48"/>
      <c r="D504" s="88" t="s">
        <v>576</v>
      </c>
      <c r="E504" s="72" t="str">
        <f>+VLOOKUP(D504,'材料表 '!C:F,2,0)</f>
        <v>支</v>
      </c>
      <c r="F504" s="77">
        <f>16*8*(P476*P479)*2/500/R476</f>
        <v>0.465454545454545</v>
      </c>
      <c r="G504" s="89">
        <f>+VLOOKUP(D504,'材料表 '!C:F,4,0)</f>
        <v>0.15</v>
      </c>
      <c r="H504" s="74">
        <f t="shared" si="82"/>
        <v>0.535272727272727</v>
      </c>
      <c r="I504" s="74">
        <f>+VLOOKUP(D504,'材料表 '!C:F,3,0)</f>
        <v>14.1592920353982</v>
      </c>
      <c r="J504" s="51">
        <f t="shared" si="83"/>
        <v>7.57908286403859</v>
      </c>
      <c r="K504" s="43">
        <f ca="1">H504*K475</f>
        <v>2.11968</v>
      </c>
      <c r="L504" s="92"/>
      <c r="M504" s="44"/>
      <c r="N504" s="82"/>
      <c r="O504" s="44"/>
      <c r="P504" s="44"/>
      <c r="Q504" s="44"/>
      <c r="R504" s="84"/>
      <c r="S504" s="47"/>
      <c r="T504" s="47"/>
    </row>
    <row r="505" s="27" customFormat="1" ht="18" customHeight="1" spans="1:20">
      <c r="A505" s="34"/>
      <c r="B505" s="48">
        <v>17</v>
      </c>
      <c r="C505" s="48"/>
      <c r="D505" s="88" t="s">
        <v>479</v>
      </c>
      <c r="E505" s="72" t="str">
        <f>+VLOOKUP(D505,'材料表 '!C:F,2,0)</f>
        <v>kg</v>
      </c>
      <c r="F505" s="77">
        <f>R498</f>
        <v>1.50458333333333</v>
      </c>
      <c r="G505" s="89">
        <f>+VLOOKUP(D505,'材料表 '!C:F,4,0)</f>
        <v>0.03</v>
      </c>
      <c r="H505" s="74">
        <f t="shared" si="82"/>
        <v>1.54972083333333</v>
      </c>
      <c r="I505" s="74">
        <f>+VLOOKUP(D505,'材料表 '!C:F,3,0)</f>
        <v>14.1592920353982</v>
      </c>
      <c r="J505" s="51">
        <f t="shared" si="83"/>
        <v>21.9429498525073</v>
      </c>
      <c r="K505" s="43">
        <f ca="1">H505*K475</f>
        <v>6.13689449999999</v>
      </c>
      <c r="L505" s="92"/>
      <c r="M505" s="44"/>
      <c r="N505" s="82"/>
      <c r="O505" s="44"/>
      <c r="P505" s="44"/>
      <c r="Q505" s="44"/>
      <c r="R505" s="84"/>
      <c r="S505" s="47"/>
      <c r="T505" s="47"/>
    </row>
    <row r="506" s="27" customFormat="1" ht="21" customHeight="1" spans="1:20">
      <c r="A506" s="34"/>
      <c r="B506" s="48">
        <v>18</v>
      </c>
      <c r="C506" s="48"/>
      <c r="D506" s="88" t="s">
        <v>500</v>
      </c>
      <c r="E506" s="72" t="str">
        <f>+VLOOKUP(D506,'材料表 '!C:F,2,0)</f>
        <v>kg</v>
      </c>
      <c r="F506" s="77"/>
      <c r="G506" s="89"/>
      <c r="H506" s="74"/>
      <c r="I506" s="74"/>
      <c r="J506" s="51"/>
      <c r="K506" s="43">
        <f ca="1">H506*K475</f>
        <v>0</v>
      </c>
      <c r="L506" s="92"/>
      <c r="M506" s="44"/>
      <c r="N506" s="82"/>
      <c r="O506" s="44"/>
      <c r="P506" s="44"/>
      <c r="Q506" s="44"/>
      <c r="R506" s="84"/>
      <c r="S506" s="47"/>
      <c r="T506" s="47"/>
    </row>
    <row r="507" s="27" customFormat="1" ht="52" customHeight="1" spans="1:20">
      <c r="A507" s="34"/>
      <c r="B507" s="48">
        <v>19</v>
      </c>
      <c r="C507" s="48"/>
      <c r="D507" s="88" t="s">
        <v>673</v>
      </c>
      <c r="E507" s="72" t="str">
        <f>+VLOOKUP(D507,'材料表 '!C:F,2,0)</f>
        <v>m2</v>
      </c>
      <c r="F507" s="77">
        <v>1</v>
      </c>
      <c r="G507" s="89">
        <f>+VLOOKUP(D507,'材料表 '!C:F,4,0)</f>
        <v>0.01</v>
      </c>
      <c r="H507" s="74">
        <f>F507*(G507+1)</f>
        <v>1.01</v>
      </c>
      <c r="I507" s="74">
        <f>+VLOOKUP(D507,'材料表 '!C:F,3,0)</f>
        <v>1116.81415929204</v>
      </c>
      <c r="J507" s="51">
        <f>H507*I507</f>
        <v>1127.98230088496</v>
      </c>
      <c r="K507" s="43">
        <f ca="1">H507*K475</f>
        <v>3.9996</v>
      </c>
      <c r="L507" s="90"/>
      <c r="M507" s="44"/>
      <c r="N507" s="82"/>
      <c r="O507" s="44"/>
      <c r="P507" s="44"/>
      <c r="Q507" s="44"/>
      <c r="R507" s="84"/>
      <c r="S507" s="47"/>
      <c r="T507" s="47"/>
    </row>
    <row r="508" s="27" customFormat="1" ht="19" customHeight="1" spans="1:20">
      <c r="A508" s="34"/>
      <c r="B508" s="48">
        <v>20</v>
      </c>
      <c r="C508" s="48"/>
      <c r="D508" s="88"/>
      <c r="E508" s="72"/>
      <c r="F508" s="77"/>
      <c r="G508" s="89"/>
      <c r="H508" s="74"/>
      <c r="I508" s="74"/>
      <c r="J508" s="51"/>
      <c r="K508" s="43">
        <f ca="1">H508*K475</f>
        <v>0</v>
      </c>
      <c r="L508" s="90"/>
      <c r="M508" s="44"/>
      <c r="N508" s="82"/>
      <c r="O508" s="44"/>
      <c r="P508" s="44"/>
      <c r="Q508" s="44"/>
      <c r="R508" s="84"/>
      <c r="S508" s="47"/>
      <c r="T508" s="47"/>
    </row>
    <row r="509" s="27" customFormat="1" ht="18" customHeight="1" spans="1:20">
      <c r="A509" s="34"/>
      <c r="B509" s="48">
        <v>21</v>
      </c>
      <c r="C509" s="48"/>
      <c r="D509" s="88"/>
      <c r="E509" s="72"/>
      <c r="F509" s="77"/>
      <c r="G509" s="89"/>
      <c r="H509" s="74"/>
      <c r="I509" s="74"/>
      <c r="J509" s="51"/>
      <c r="K509" s="43">
        <f ca="1">H509*K475</f>
        <v>0</v>
      </c>
      <c r="L509" s="92"/>
      <c r="M509" s="44"/>
      <c r="N509" s="82"/>
      <c r="O509" s="44"/>
      <c r="P509" s="44"/>
      <c r="Q509" s="44"/>
      <c r="R509" s="84"/>
      <c r="S509" s="47"/>
      <c r="T509" s="47"/>
    </row>
    <row r="510" s="27" customFormat="1" ht="18" customHeight="1" spans="1:20">
      <c r="A510" s="34"/>
      <c r="B510" s="48">
        <v>22</v>
      </c>
      <c r="C510" s="48"/>
      <c r="D510" s="88"/>
      <c r="E510" s="72"/>
      <c r="F510" s="77"/>
      <c r="G510" s="89"/>
      <c r="H510" s="74"/>
      <c r="I510" s="74"/>
      <c r="J510" s="51"/>
      <c r="K510" s="43">
        <f ca="1">H510*K475</f>
        <v>0</v>
      </c>
      <c r="L510" s="92"/>
      <c r="M510" s="44"/>
      <c r="N510" s="44"/>
      <c r="O510" s="44"/>
      <c r="P510" s="44"/>
      <c r="Q510" s="44"/>
      <c r="R510" s="84"/>
      <c r="S510" s="47"/>
      <c r="T510" s="47"/>
    </row>
    <row r="511" s="27" customFormat="1" ht="18" customHeight="1" spans="1:20">
      <c r="A511" s="34"/>
      <c r="B511" s="48">
        <v>23</v>
      </c>
      <c r="C511" s="48"/>
      <c r="D511" s="88"/>
      <c r="E511" s="72"/>
      <c r="F511" s="77"/>
      <c r="G511" s="89"/>
      <c r="H511" s="74"/>
      <c r="I511" s="74"/>
      <c r="J511" s="51"/>
      <c r="K511" s="75">
        <f ca="1">H511*K475</f>
        <v>0</v>
      </c>
      <c r="L511" s="92"/>
      <c r="M511" s="44"/>
      <c r="N511" s="44"/>
      <c r="O511" s="44"/>
      <c r="P511" s="44"/>
      <c r="Q511" s="44"/>
      <c r="R511" s="84"/>
      <c r="S511" s="47"/>
      <c r="T511" s="47"/>
    </row>
    <row r="512" s="27" customFormat="1" ht="18" customHeight="1" spans="1:20">
      <c r="A512" s="34"/>
      <c r="B512" s="48">
        <v>24</v>
      </c>
      <c r="C512" s="48"/>
      <c r="D512" s="88"/>
      <c r="E512" s="72"/>
      <c r="F512" s="77"/>
      <c r="G512" s="89"/>
      <c r="H512" s="74"/>
      <c r="I512" s="74"/>
      <c r="J512" s="51"/>
      <c r="K512" s="75">
        <f ca="1">H512*K475</f>
        <v>0</v>
      </c>
      <c r="L512" s="92"/>
      <c r="M512" s="44"/>
      <c r="N512" s="44"/>
      <c r="O512" s="44"/>
      <c r="P512" s="44"/>
      <c r="Q512" s="44"/>
      <c r="R512" s="84"/>
      <c r="S512" s="47"/>
      <c r="T512" s="47"/>
    </row>
    <row r="513" s="27" customFormat="1" ht="18" customHeight="1" spans="1:21">
      <c r="A513" s="34"/>
      <c r="B513" s="48">
        <v>25</v>
      </c>
      <c r="C513" s="48"/>
      <c r="D513" s="88"/>
      <c r="E513" s="72"/>
      <c r="F513" s="77"/>
      <c r="G513" s="89"/>
      <c r="H513" s="74"/>
      <c r="I513" s="74"/>
      <c r="J513" s="51"/>
      <c r="K513" s="75"/>
      <c r="L513" s="92"/>
      <c r="M513" s="44"/>
      <c r="N513" s="44"/>
      <c r="O513" s="44"/>
      <c r="P513" s="44"/>
      <c r="Q513" s="44"/>
      <c r="R513" s="84"/>
      <c r="S513" s="47"/>
      <c r="T513" s="47"/>
    </row>
    <row r="514" s="27" customFormat="1" ht="18" customHeight="1" spans="1:21">
      <c r="A514" s="34"/>
      <c r="B514" s="48">
        <v>26</v>
      </c>
      <c r="C514" s="48"/>
      <c r="D514" s="88" t="s">
        <v>441</v>
      </c>
      <c r="E514" s="72" t="s">
        <v>43</v>
      </c>
      <c r="F514" s="77"/>
      <c r="G514" s="72">
        <v>1</v>
      </c>
      <c r="H514" s="74">
        <v>1</v>
      </c>
      <c r="I514" s="74">
        <f>+辅材及安装费!$E$17</f>
        <v>10</v>
      </c>
      <c r="J514" s="51">
        <f>H514*I514</f>
        <v>10</v>
      </c>
      <c r="K514" s="75"/>
      <c r="L514" s="92"/>
      <c r="M514" s="44"/>
      <c r="N514" s="44"/>
      <c r="O514" s="44"/>
      <c r="P514" s="44"/>
      <c r="Q514" s="44"/>
      <c r="R514" s="62"/>
      <c r="S514" s="47"/>
      <c r="T514" s="47"/>
    </row>
    <row r="515" s="27" customFormat="1" ht="18" customHeight="1" spans="1:21">
      <c r="A515" s="34"/>
      <c r="B515" s="48">
        <v>27</v>
      </c>
      <c r="C515" s="48"/>
      <c r="D515" s="93" t="s">
        <v>442</v>
      </c>
      <c r="E515" s="72"/>
      <c r="F515" s="77"/>
      <c r="G515" s="72"/>
      <c r="H515" s="74"/>
      <c r="I515" s="74"/>
      <c r="J515" s="51">
        <f>SUM(J489:J514)</f>
        <v>1314.36119165549</v>
      </c>
      <c r="K515" s="75"/>
      <c r="L515" s="94"/>
      <c r="N515" s="83"/>
      <c r="O515" s="83"/>
      <c r="P515" s="83"/>
      <c r="Q515" s="83"/>
      <c r="R515" s="87"/>
      <c r="S515" s="47"/>
      <c r="T515" s="47"/>
    </row>
    <row r="516" s="27" customFormat="1" ht="18" customHeight="1" spans="1:21">
      <c r="A516" s="34"/>
      <c r="B516" s="48">
        <v>1</v>
      </c>
      <c r="C516" s="48" t="s">
        <v>443</v>
      </c>
      <c r="D516" s="48" t="s">
        <v>444</v>
      </c>
      <c r="E516" s="72" t="s">
        <v>43</v>
      </c>
      <c r="F516" s="50"/>
      <c r="G516" s="48"/>
      <c r="H516" s="51">
        <v>1</v>
      </c>
      <c r="I516" s="74">
        <f>+辅材及安装费!$F$17</f>
        <v>5</v>
      </c>
      <c r="J516" s="95">
        <f>H516*I516</f>
        <v>5</v>
      </c>
      <c r="K516" s="60"/>
      <c r="L516" s="96"/>
      <c r="M516" s="97"/>
      <c r="N516" s="98"/>
      <c r="O516" s="98"/>
      <c r="P516" s="98"/>
      <c r="Q516" s="98"/>
      <c r="R516" s="99"/>
      <c r="S516" s="47"/>
      <c r="T516" s="47"/>
    </row>
    <row r="517" s="26" customFormat="1" ht="30" customHeight="1" spans="1:21">
      <c r="A517" s="28"/>
      <c r="B517" s="29" t="s">
        <v>386</v>
      </c>
      <c r="C517" s="29"/>
      <c r="D517" s="29"/>
      <c r="E517" s="29"/>
      <c r="F517" s="29"/>
      <c r="G517" s="29"/>
      <c r="H517" s="29"/>
      <c r="I517" s="29"/>
      <c r="J517" s="29"/>
      <c r="K517" s="29"/>
      <c r="L517" s="30"/>
      <c r="M517" s="31"/>
      <c r="N517" s="31"/>
      <c r="O517" s="31"/>
      <c r="P517" s="31"/>
      <c r="Q517" s="31"/>
      <c r="R517" s="32"/>
      <c r="S517" s="33"/>
      <c r="T517" s="33"/>
    </row>
    <row r="518" s="27" customFormat="1" ht="33.75" customHeight="1" spans="1:21">
      <c r="A518" s="34">
        <v>13</v>
      </c>
      <c r="B518" s="35" t="s">
        <v>1</v>
      </c>
      <c r="C518" s="35" t="s">
        <v>387</v>
      </c>
      <c r="D518" s="36" t="str">
        <f>+A526</f>
        <v>首层座槽式玻璃幕墙（10+1.9SGP+10Low-E(双银)+12A+10㎜全超白钢化夹层中空玻璃）（直+弯弧）（直段宽度600㎜+弧长1100㎜，圆弧半径700㎜，高3600㎜）</v>
      </c>
      <c r="E518" s="37"/>
      <c r="F518" s="38" t="s">
        <v>225</v>
      </c>
      <c r="G518" s="39"/>
      <c r="H518" s="35" t="s">
        <v>388</v>
      </c>
      <c r="I518" s="40" t="s">
        <v>389</v>
      </c>
      <c r="J518" s="41" t="s">
        <v>37</v>
      </c>
      <c r="K518" s="42">
        <f ca="1">VLOOKUP(A518,'商业工程量清单 '!$A$4:$D$44,4,FALSE)</f>
        <v>6.12</v>
      </c>
      <c r="L518" s="43"/>
      <c r="M518" s="44"/>
      <c r="N518" s="44"/>
      <c r="O518" s="44"/>
      <c r="P518" s="45"/>
      <c r="Q518" s="44"/>
      <c r="R518" s="46"/>
      <c r="S518" s="47"/>
      <c r="T518" s="47"/>
    </row>
    <row r="519" s="27" customFormat="1" ht="25" customHeight="1" spans="1:21">
      <c r="A519" s="34"/>
      <c r="B519" s="48">
        <v>1</v>
      </c>
      <c r="C519" s="49" t="s">
        <v>390</v>
      </c>
      <c r="D519" s="48" t="s">
        <v>391</v>
      </c>
      <c r="E519" s="48"/>
      <c r="F519" s="50"/>
      <c r="G519" s="48"/>
      <c r="H519" s="51"/>
      <c r="I519" s="52">
        <f>J531</f>
        <v>190</v>
      </c>
      <c r="J519" s="53" t="s">
        <v>392</v>
      </c>
      <c r="K519" s="54"/>
      <c r="L519" s="55" t="s">
        <v>1019</v>
      </c>
      <c r="M519" s="56"/>
      <c r="N519" s="57"/>
      <c r="O519" s="57">
        <f>0.6+1.1</f>
        <v>1.7</v>
      </c>
      <c r="P519" s="57">
        <v>3.6</v>
      </c>
      <c r="Q519" s="57">
        <v>1</v>
      </c>
      <c r="R519" s="58">
        <f>+Q519*P519*O519</f>
        <v>6.12</v>
      </c>
      <c r="S519" s="47"/>
      <c r="T519" s="47"/>
    </row>
    <row r="520" s="27" customFormat="1" ht="18" customHeight="1" spans="1:21">
      <c r="A520" s="34"/>
      <c r="B520" s="48">
        <v>2</v>
      </c>
      <c r="C520" s="59"/>
      <c r="D520" s="48" t="s">
        <v>394</v>
      </c>
      <c r="E520" s="48"/>
      <c r="F520" s="50"/>
      <c r="G520" s="48"/>
      <c r="H520" s="51"/>
      <c r="I520" s="52">
        <f>J558</f>
        <v>1948.13274799294</v>
      </c>
      <c r="J520" s="53" t="s">
        <v>392</v>
      </c>
      <c r="K520" s="60"/>
      <c r="L520" s="61"/>
      <c r="M520" s="44"/>
      <c r="N520" s="44"/>
      <c r="O520" s="44"/>
      <c r="P520" s="44"/>
      <c r="Q520" s="44"/>
      <c r="R520" s="62"/>
      <c r="S520" s="47"/>
      <c r="T520" s="47"/>
    </row>
    <row r="521" s="27" customFormat="1" ht="18" customHeight="1" spans="1:21">
      <c r="A521" s="34"/>
      <c r="B521" s="48">
        <v>3</v>
      </c>
      <c r="C521" s="63"/>
      <c r="D521" s="48" t="s">
        <v>395</v>
      </c>
      <c r="E521" s="48"/>
      <c r="F521" s="50"/>
      <c r="G521" s="48"/>
      <c r="H521" s="51"/>
      <c r="I521" s="52">
        <f>J559</f>
        <v>5</v>
      </c>
      <c r="J521" s="53" t="s">
        <v>392</v>
      </c>
      <c r="K521" s="60"/>
      <c r="L521" s="60"/>
      <c r="M521" s="64" t="s">
        <v>396</v>
      </c>
      <c r="N521" s="65" t="s">
        <v>397</v>
      </c>
      <c r="O521" s="65" t="s">
        <v>398</v>
      </c>
      <c r="P521" s="65" t="s">
        <v>399</v>
      </c>
      <c r="Q521" s="65" t="s">
        <v>400</v>
      </c>
      <c r="R521" s="66" t="s">
        <v>401</v>
      </c>
      <c r="S521" s="47"/>
      <c r="T521" s="47"/>
    </row>
    <row r="522" s="27" customFormat="1" ht="18" customHeight="1" spans="1:21">
      <c r="A522" s="34"/>
      <c r="B522" s="48">
        <v>4</v>
      </c>
      <c r="C522" s="48" t="s">
        <v>402</v>
      </c>
      <c r="D522" s="67" t="s">
        <v>403</v>
      </c>
      <c r="E522" s="67"/>
      <c r="F522" s="50"/>
      <c r="G522" s="67"/>
      <c r="H522" s="68"/>
      <c r="I522" s="52">
        <f>SUM(I519:I521)</f>
        <v>2143.13274799294</v>
      </c>
      <c r="J522" s="53" t="s">
        <v>392</v>
      </c>
      <c r="K522" s="60"/>
      <c r="L522" s="69" t="s">
        <v>427</v>
      </c>
      <c r="M522" s="70" t="s">
        <v>1007</v>
      </c>
      <c r="N522" s="34">
        <v>3.111</v>
      </c>
      <c r="O522" s="34">
        <f>P519</f>
        <v>3.6</v>
      </c>
      <c r="P522" s="34">
        <v>1</v>
      </c>
      <c r="Q522" s="44">
        <f t="shared" ref="Q522:Q530" si="84">+P522*O522*N522</f>
        <v>11.1996</v>
      </c>
      <c r="R522" s="71">
        <f>+Q522/R519</f>
        <v>1.83</v>
      </c>
      <c r="S522" s="47"/>
      <c r="T522" s="47"/>
    </row>
    <row r="523" s="27" customFormat="1" ht="28" customHeight="1" spans="1:21">
      <c r="A523" s="34"/>
      <c r="B523" s="48">
        <v>5</v>
      </c>
      <c r="C523" s="72" t="s">
        <v>406</v>
      </c>
      <c r="D523" s="48" t="s">
        <v>407</v>
      </c>
      <c r="E523" s="48"/>
      <c r="F523" s="50"/>
      <c r="G523" s="48"/>
      <c r="H523" s="73">
        <f>+'材料表 '!$E$178</f>
        <v>0</v>
      </c>
      <c r="I523" s="52">
        <f>H523*I522</f>
        <v>0</v>
      </c>
      <c r="J523" s="53" t="s">
        <v>392</v>
      </c>
      <c r="K523" s="60"/>
      <c r="L523" s="69" t="s">
        <v>433</v>
      </c>
      <c r="M523" s="70" t="s">
        <v>1008</v>
      </c>
      <c r="N523" s="34">
        <v>0.507</v>
      </c>
      <c r="O523" s="34">
        <f>O522*2</f>
        <v>7.2</v>
      </c>
      <c r="P523" s="34">
        <f>P522</f>
        <v>1</v>
      </c>
      <c r="Q523" s="44">
        <f t="shared" si="84"/>
        <v>3.6504</v>
      </c>
      <c r="R523" s="71">
        <f>+Q523/R519</f>
        <v>0.596470588235294</v>
      </c>
      <c r="S523" s="47"/>
      <c r="T523" s="47"/>
    </row>
    <row r="524" s="27" customFormat="1" ht="18" customHeight="1" spans="1:21">
      <c r="A524" s="34"/>
      <c r="B524" s="48">
        <v>6</v>
      </c>
      <c r="C524" s="48" t="s">
        <v>409</v>
      </c>
      <c r="D524" s="48" t="s">
        <v>410</v>
      </c>
      <c r="E524" s="48"/>
      <c r="F524" s="50"/>
      <c r="G524" s="48"/>
      <c r="H524" s="73">
        <f>+'材料表 '!$E$179</f>
        <v>0</v>
      </c>
      <c r="I524" s="52">
        <f>H524*I522</f>
        <v>0</v>
      </c>
      <c r="J524" s="74" t="s">
        <v>392</v>
      </c>
      <c r="K524" s="75"/>
      <c r="L524" s="69" t="s">
        <v>429</v>
      </c>
      <c r="M524" s="70" t="s">
        <v>1009</v>
      </c>
      <c r="N524" s="34">
        <v>0.499</v>
      </c>
      <c r="O524" s="34">
        <f>P519/0.3*0.05</f>
        <v>0.6</v>
      </c>
      <c r="P524" s="34">
        <f>P522</f>
        <v>1</v>
      </c>
      <c r="Q524" s="44">
        <f t="shared" si="84"/>
        <v>0.2994</v>
      </c>
      <c r="R524" s="71">
        <f>+Q524/R519</f>
        <v>0.048921568627451</v>
      </c>
      <c r="S524" s="47"/>
      <c r="T524" s="47"/>
      <c r="U524" s="76"/>
    </row>
    <row r="525" s="27" customFormat="1" ht="18" customHeight="1" spans="1:21">
      <c r="A525" s="34"/>
      <c r="B525" s="48">
        <v>7</v>
      </c>
      <c r="C525" s="48" t="s">
        <v>412</v>
      </c>
      <c r="D525" s="72" t="s">
        <v>413</v>
      </c>
      <c r="E525" s="72"/>
      <c r="F525" s="77"/>
      <c r="G525" s="72"/>
      <c r="H525" s="73">
        <f>+'材料表 '!$E$180</f>
        <v>0.09</v>
      </c>
      <c r="I525" s="52">
        <f>(I522+I523+I524)*H525</f>
        <v>192.881947319365</v>
      </c>
      <c r="J525" s="74" t="s">
        <v>392</v>
      </c>
      <c r="K525" s="75"/>
      <c r="L525" s="69" t="s">
        <v>429</v>
      </c>
      <c r="M525" s="70" t="s">
        <v>1010</v>
      </c>
      <c r="N525" s="34">
        <f>2.9</f>
        <v>2.9</v>
      </c>
      <c r="O525" s="34">
        <v>0.2</v>
      </c>
      <c r="P525" s="34">
        <f>P522</f>
        <v>1</v>
      </c>
      <c r="Q525" s="44">
        <f t="shared" si="84"/>
        <v>0.58</v>
      </c>
      <c r="R525" s="71">
        <f>+Q525/R519</f>
        <v>0.0947712418300653</v>
      </c>
      <c r="S525" s="47"/>
      <c r="T525" s="47"/>
    </row>
    <row r="526" s="27" customFormat="1" ht="18" customHeight="1" spans="1:21">
      <c r="A526" s="78" t="s">
        <v>244</v>
      </c>
      <c r="B526" s="48">
        <v>8</v>
      </c>
      <c r="C526" s="48" t="s">
        <v>363</v>
      </c>
      <c r="D526" s="72" t="s">
        <v>415</v>
      </c>
      <c r="E526" s="72"/>
      <c r="F526" s="77"/>
      <c r="G526" s="72"/>
      <c r="H526" s="51"/>
      <c r="I526" s="74">
        <f>SUM(I522:I525)</f>
        <v>2336.01469531231</v>
      </c>
      <c r="J526" s="74" t="s">
        <v>416</v>
      </c>
      <c r="K526" s="75"/>
      <c r="L526" s="69" t="s">
        <v>429</v>
      </c>
      <c r="M526" s="70"/>
      <c r="N526" s="34"/>
      <c r="O526" s="34"/>
      <c r="P526" s="34">
        <v>1</v>
      </c>
      <c r="Q526" s="44">
        <f t="shared" si="84"/>
        <v>0</v>
      </c>
      <c r="R526" s="71">
        <f>+Q526/R519</f>
        <v>0</v>
      </c>
      <c r="S526" s="79"/>
      <c r="T526" s="47"/>
    </row>
    <row r="527" s="27" customFormat="1" ht="18" customHeight="1" spans="1:21">
      <c r="A527" s="34"/>
      <c r="B527" s="48" t="s">
        <v>418</v>
      </c>
      <c r="C527" s="48"/>
      <c r="D527" s="48"/>
      <c r="E527" s="48"/>
      <c r="F527" s="48"/>
      <c r="G527" s="48"/>
      <c r="H527" s="48"/>
      <c r="I527" s="48"/>
      <c r="J527" s="48"/>
      <c r="K527" s="80"/>
      <c r="L527" s="69" t="s">
        <v>447</v>
      </c>
      <c r="M527" s="70"/>
      <c r="N527" s="34"/>
      <c r="O527" s="34"/>
      <c r="P527" s="34">
        <v>1</v>
      </c>
      <c r="Q527" s="44">
        <f t="shared" si="84"/>
        <v>0</v>
      </c>
      <c r="R527" s="71">
        <f>+Q527/R519</f>
        <v>0</v>
      </c>
      <c r="S527" s="47"/>
      <c r="T527" s="47"/>
      <c r="U527" s="76"/>
    </row>
    <row r="528" s="27" customFormat="1" ht="18" customHeight="1" spans="1:21">
      <c r="A528" s="34"/>
      <c r="B528" s="48">
        <v>1</v>
      </c>
      <c r="C528" s="48" t="s">
        <v>391</v>
      </c>
      <c r="D528" s="48" t="s">
        <v>396</v>
      </c>
      <c r="E528" s="48" t="s">
        <v>37</v>
      </c>
      <c r="F528" s="50"/>
      <c r="G528" s="48"/>
      <c r="H528" s="51" t="s">
        <v>399</v>
      </c>
      <c r="I528" s="51" t="s">
        <v>420</v>
      </c>
      <c r="J528" s="51" t="s">
        <v>421</v>
      </c>
      <c r="K528" s="43"/>
      <c r="L528" s="69" t="s">
        <v>404</v>
      </c>
      <c r="M528" s="81"/>
      <c r="N528" s="82"/>
      <c r="O528" s="34"/>
      <c r="P528" s="34">
        <v>1</v>
      </c>
      <c r="Q528" s="44">
        <f t="shared" si="84"/>
        <v>0</v>
      </c>
      <c r="R528" s="71">
        <f>+Q528/R519</f>
        <v>0</v>
      </c>
      <c r="S528" s="47"/>
      <c r="T528" s="47"/>
    </row>
    <row r="529" s="27" customFormat="1" ht="18" customHeight="1" spans="1:20">
      <c r="A529" s="34"/>
      <c r="B529" s="48">
        <v>2</v>
      </c>
      <c r="C529" s="48"/>
      <c r="D529" s="48" t="s">
        <v>965</v>
      </c>
      <c r="E529" s="72" t="s">
        <v>423</v>
      </c>
      <c r="F529" s="50"/>
      <c r="G529" s="48"/>
      <c r="H529" s="51">
        <v>1</v>
      </c>
      <c r="I529" s="51">
        <f>+辅材及安装费!$G$17</f>
        <v>190</v>
      </c>
      <c r="J529" s="51">
        <f t="shared" ref="J529:J537" si="85">H529*I529</f>
        <v>190</v>
      </c>
      <c r="K529" s="43"/>
      <c r="L529" s="69" t="s">
        <v>427</v>
      </c>
      <c r="M529" s="70"/>
      <c r="N529" s="83"/>
      <c r="O529" s="34"/>
      <c r="P529" s="34">
        <v>1</v>
      </c>
      <c r="Q529" s="44">
        <f t="shared" si="84"/>
        <v>0</v>
      </c>
      <c r="R529" s="84">
        <f>+Q529/R519</f>
        <v>0</v>
      </c>
      <c r="S529" s="47"/>
      <c r="T529" s="47"/>
    </row>
    <row r="530" s="27" customFormat="1" ht="18" customHeight="1" spans="1:20">
      <c r="A530" s="34"/>
      <c r="B530" s="48">
        <v>3</v>
      </c>
      <c r="C530" s="48"/>
      <c r="D530" s="48"/>
      <c r="E530" s="72"/>
      <c r="F530" s="50"/>
      <c r="G530" s="48"/>
      <c r="H530" s="51"/>
      <c r="I530" s="51"/>
      <c r="J530" s="51"/>
      <c r="K530" s="43"/>
      <c r="L530" s="69"/>
      <c r="M530" s="81"/>
      <c r="N530" s="82"/>
      <c r="O530" s="44"/>
      <c r="P530" s="34">
        <v>1</v>
      </c>
      <c r="Q530" s="44">
        <f t="shared" si="84"/>
        <v>0</v>
      </c>
      <c r="R530" s="84">
        <f>+Q530/R519</f>
        <v>0</v>
      </c>
      <c r="S530" s="47"/>
      <c r="T530" s="47"/>
    </row>
    <row r="531" s="27" customFormat="1" ht="18" customHeight="1" spans="1:20">
      <c r="A531" s="34"/>
      <c r="B531" s="48">
        <v>4</v>
      </c>
      <c r="C531" s="48"/>
      <c r="D531" s="85" t="s">
        <v>426</v>
      </c>
      <c r="E531" s="48" t="s">
        <v>392</v>
      </c>
      <c r="F531" s="50"/>
      <c r="G531" s="48"/>
      <c r="H531" s="86"/>
      <c r="I531" s="86"/>
      <c r="J531" s="51">
        <f>SUM(J529:J529)</f>
        <v>190</v>
      </c>
      <c r="K531" s="75"/>
      <c r="L531" s="69"/>
      <c r="M531" s="70"/>
      <c r="N531" s="83"/>
      <c r="O531" s="83"/>
      <c r="P531" s="34">
        <v>1</v>
      </c>
      <c r="Q531" s="83"/>
      <c r="R531" s="87"/>
      <c r="S531" s="47"/>
      <c r="T531" s="47"/>
    </row>
    <row r="532" s="27" customFormat="1" ht="23" customHeight="1" spans="1:20">
      <c r="A532" s="34"/>
      <c r="B532" s="48">
        <v>1</v>
      </c>
      <c r="C532" s="48" t="s">
        <v>394</v>
      </c>
      <c r="D532" s="88" t="s">
        <v>427</v>
      </c>
      <c r="E532" s="72" t="str">
        <f>+VLOOKUP(D532,'材料表 '!C:F,2,0)</f>
        <v>kg</v>
      </c>
      <c r="F532" s="77">
        <f>+SUMIF($L$519:$L$559,D532,$R$519:$R$559)</f>
        <v>1.83</v>
      </c>
      <c r="G532" s="89">
        <f>+VLOOKUP(D532,'材料表 '!C:F,4,0)</f>
        <v>0.03</v>
      </c>
      <c r="H532" s="74">
        <f t="shared" ref="H532:H537" si="86">F532*(G532+1)</f>
        <v>1.8849</v>
      </c>
      <c r="I532" s="74">
        <f>+VLOOKUP(D532,'材料表 '!C:F,3,0)</f>
        <v>25.8495575221239</v>
      </c>
      <c r="J532" s="51">
        <f t="shared" si="85"/>
        <v>48.7238309734513</v>
      </c>
      <c r="K532" s="75">
        <f ca="1">H532*K518</f>
        <v>11.535588</v>
      </c>
      <c r="L532" s="69"/>
      <c r="M532" s="70"/>
      <c r="N532" s="83"/>
      <c r="O532" s="83"/>
      <c r="P532" s="34">
        <v>1</v>
      </c>
      <c r="Q532" s="83"/>
      <c r="R532" s="87"/>
      <c r="S532" s="47"/>
      <c r="T532" s="47"/>
    </row>
    <row r="533" s="27" customFormat="1" ht="18" customHeight="1" spans="1:20">
      <c r="A533" s="34"/>
      <c r="B533" s="48">
        <v>2</v>
      </c>
      <c r="C533" s="48"/>
      <c r="D533" s="88" t="s">
        <v>404</v>
      </c>
      <c r="E533" s="72" t="str">
        <f>+VLOOKUP(D533,'材料表 '!C:F,2,0)</f>
        <v>kg</v>
      </c>
      <c r="F533" s="77">
        <f t="shared" ref="F533:F545" si="87">+SUMIF($L$519:$L$559,D533,$R$519:$R$559)</f>
        <v>0</v>
      </c>
      <c r="G533" s="89">
        <f>+VLOOKUP(D533,'材料表 '!C:F,4,0)</f>
        <v>0.03</v>
      </c>
      <c r="H533" s="74">
        <f t="shared" si="86"/>
        <v>0</v>
      </c>
      <c r="I533" s="74">
        <f>+VLOOKUP(D533,'材料表 '!C:F,3,0)</f>
        <v>25.6725663716814</v>
      </c>
      <c r="J533" s="51">
        <f t="shared" si="85"/>
        <v>0</v>
      </c>
      <c r="K533" s="75">
        <f ca="1">H533*K518</f>
        <v>0</v>
      </c>
      <c r="L533" s="69"/>
      <c r="M533" s="70"/>
      <c r="N533" s="83"/>
      <c r="O533" s="83"/>
      <c r="P533" s="83"/>
      <c r="Q533" s="83"/>
      <c r="R533" s="87"/>
      <c r="S533" s="47"/>
      <c r="T533" s="47"/>
    </row>
    <row r="534" s="27" customFormat="1" ht="18" customHeight="1" spans="1:20">
      <c r="A534" s="34"/>
      <c r="B534" s="48">
        <v>3</v>
      </c>
      <c r="C534" s="48"/>
      <c r="D534" s="88" t="s">
        <v>433</v>
      </c>
      <c r="E534" s="72" t="str">
        <f>+VLOOKUP(D534,'材料表 '!C:F,2,0)</f>
        <v>kg</v>
      </c>
      <c r="F534" s="77">
        <f t="shared" si="87"/>
        <v>0.596470588235294</v>
      </c>
      <c r="G534" s="89">
        <f>+VLOOKUP(D534,'材料表 '!C:F,4,0)</f>
        <v>0.03</v>
      </c>
      <c r="H534" s="74">
        <f t="shared" si="86"/>
        <v>0.614364705882353</v>
      </c>
      <c r="I534" s="74">
        <f>+VLOOKUP(D534,'材料表 '!C:F,3,0)</f>
        <v>26.1150442477876</v>
      </c>
      <c r="J534" s="51">
        <f t="shared" si="85"/>
        <v>16.0441614783967</v>
      </c>
      <c r="K534" s="75">
        <f ca="1">H534*K518</f>
        <v>3.759912</v>
      </c>
      <c r="L534" s="69"/>
      <c r="N534" s="83"/>
      <c r="O534" s="83"/>
      <c r="P534" s="83"/>
      <c r="Q534" s="83"/>
      <c r="R534" s="87"/>
      <c r="S534" s="47"/>
      <c r="T534" s="47"/>
    </row>
    <row r="535" s="27" customFormat="1" ht="18" customHeight="1" spans="1:20">
      <c r="A535" s="34"/>
      <c r="B535" s="48">
        <v>4</v>
      </c>
      <c r="C535" s="48"/>
      <c r="D535" s="88" t="s">
        <v>429</v>
      </c>
      <c r="E535" s="72" t="str">
        <f>+VLOOKUP(D535,'材料表 '!C:F,2,0)</f>
        <v>kg</v>
      </c>
      <c r="F535" s="77">
        <f t="shared" si="87"/>
        <v>0.143692810457516</v>
      </c>
      <c r="G535" s="89">
        <f>+VLOOKUP(D535,'材料表 '!C:F,4,0)</f>
        <v>0.03</v>
      </c>
      <c r="H535" s="74">
        <f t="shared" si="86"/>
        <v>0.148003594771241</v>
      </c>
      <c r="I535" s="74">
        <f>+VLOOKUP(D535,'材料表 '!C:F,3,0)</f>
        <v>26.1150442477876</v>
      </c>
      <c r="J535" s="51">
        <f t="shared" si="85"/>
        <v>3.8651204262826</v>
      </c>
      <c r="K535" s="75">
        <f ca="1">H535*K518</f>
        <v>0.905781999999995</v>
      </c>
      <c r="L535" s="90" t="s">
        <v>428</v>
      </c>
      <c r="M535" s="44"/>
      <c r="N535" s="82"/>
      <c r="O535" s="44">
        <f>(O522*P522)</f>
        <v>3.6</v>
      </c>
      <c r="P535" s="44">
        <v>1</v>
      </c>
      <c r="Q535" s="44">
        <f>+P535*O535</f>
        <v>3.6</v>
      </c>
      <c r="R535" s="84">
        <f>+Q535/R519</f>
        <v>0.588235294117647</v>
      </c>
      <c r="S535" s="47"/>
      <c r="T535" s="47"/>
    </row>
    <row r="536" s="27" customFormat="1" ht="18" customHeight="1" spans="1:20">
      <c r="A536" s="34"/>
      <c r="B536" s="48">
        <v>5</v>
      </c>
      <c r="C536" s="48"/>
      <c r="D536" s="88" t="s">
        <v>447</v>
      </c>
      <c r="E536" s="72" t="str">
        <f>+VLOOKUP(D536,'材料表 '!C:F,2,0)</f>
        <v>kg</v>
      </c>
      <c r="F536" s="77">
        <f t="shared" si="87"/>
        <v>0</v>
      </c>
      <c r="G536" s="89">
        <f>+VLOOKUP(D536,'材料表 '!C:F,4,0)</f>
        <v>0.03</v>
      </c>
      <c r="H536" s="74">
        <f t="shared" si="86"/>
        <v>0</v>
      </c>
      <c r="I536" s="74">
        <f>+VLOOKUP(D536,'材料表 '!C:F,3,0)</f>
        <v>24.4336283185841</v>
      </c>
      <c r="J536" s="51">
        <f t="shared" si="85"/>
        <v>0</v>
      </c>
      <c r="K536" s="43">
        <f ca="1">H536*K518</f>
        <v>0</v>
      </c>
      <c r="L536" s="90"/>
      <c r="M536" s="44"/>
      <c r="N536" s="82"/>
      <c r="O536" s="44"/>
      <c r="P536" s="44"/>
      <c r="Q536" s="44"/>
      <c r="R536" s="84"/>
      <c r="S536" s="47"/>
      <c r="T536" s="47"/>
    </row>
    <row r="537" s="27" customFormat="1" ht="18" customHeight="1" spans="1:20">
      <c r="A537" s="34"/>
      <c r="B537" s="48">
        <v>6</v>
      </c>
      <c r="C537" s="48"/>
      <c r="D537" s="88" t="s">
        <v>434</v>
      </c>
      <c r="E537" s="72" t="str">
        <f>+VLOOKUP(D537,'材料表 '!C:F,2,0)</f>
        <v>m2</v>
      </c>
      <c r="F537" s="77">
        <f t="shared" si="87"/>
        <v>0</v>
      </c>
      <c r="G537" s="89">
        <f>+VLOOKUP(D537,'材料表 '!C:F,4,0)</f>
        <v>0</v>
      </c>
      <c r="H537" s="74">
        <f t="shared" si="86"/>
        <v>0</v>
      </c>
      <c r="I537" s="74">
        <f>+VLOOKUP(D537,'材料表 '!C:F,3,0)</f>
        <v>49.5575221238938</v>
      </c>
      <c r="J537" s="51">
        <f t="shared" si="85"/>
        <v>0</v>
      </c>
      <c r="K537" s="43">
        <f ca="1">H537*K518</f>
        <v>0</v>
      </c>
      <c r="L537" s="90" t="s">
        <v>463</v>
      </c>
      <c r="M537" s="91" t="s">
        <v>1012</v>
      </c>
      <c r="N537" s="82">
        <f>0.32*0.3*8*7.85</f>
        <v>6.0288</v>
      </c>
      <c r="O537" s="44">
        <v>1</v>
      </c>
      <c r="P537" s="44">
        <f>P522</f>
        <v>1</v>
      </c>
      <c r="Q537" s="44">
        <f t="shared" ref="Q537:Q541" si="88">+P537*O537*N537</f>
        <v>6.0288</v>
      </c>
      <c r="R537" s="84">
        <f>+Q537/R519</f>
        <v>0.985098039215686</v>
      </c>
      <c r="S537" s="47"/>
      <c r="T537" s="47"/>
    </row>
    <row r="538" s="27" customFormat="1" ht="18" customHeight="1" spans="1:20">
      <c r="A538" s="34"/>
      <c r="B538" s="48">
        <v>7</v>
      </c>
      <c r="C538" s="48"/>
      <c r="D538" s="88"/>
      <c r="E538" s="72"/>
      <c r="F538" s="77">
        <f t="shared" si="87"/>
        <v>0</v>
      </c>
      <c r="G538" s="89"/>
      <c r="H538" s="74"/>
      <c r="I538" s="74"/>
      <c r="J538" s="51"/>
      <c r="K538" s="43">
        <f ca="1">H538*K518</f>
        <v>0</v>
      </c>
      <c r="L538" s="69" t="s">
        <v>465</v>
      </c>
      <c r="M538" s="81" t="s">
        <v>1013</v>
      </c>
      <c r="N538" s="34">
        <v>9.88</v>
      </c>
      <c r="O538" s="34">
        <f>0.13</f>
        <v>0.13</v>
      </c>
      <c r="P538" s="34">
        <f>2*P537</f>
        <v>2</v>
      </c>
      <c r="Q538" s="44">
        <f t="shared" si="88"/>
        <v>2.5688</v>
      </c>
      <c r="R538" s="84">
        <f>Q538/R519</f>
        <v>0.419738562091503</v>
      </c>
      <c r="S538" s="47"/>
      <c r="T538" s="47"/>
    </row>
    <row r="539" s="27" customFormat="1" ht="18" customHeight="1" spans="1:20">
      <c r="A539" s="34"/>
      <c r="B539" s="48">
        <v>8</v>
      </c>
      <c r="C539" s="48"/>
      <c r="D539" s="88" t="s">
        <v>431</v>
      </c>
      <c r="E539" s="72" t="str">
        <f>+VLOOKUP(D539,'材料表 '!C:F,2,0)</f>
        <v>kg</v>
      </c>
      <c r="F539" s="77">
        <f t="shared" si="87"/>
        <v>0</v>
      </c>
      <c r="G539" s="89">
        <f>+VLOOKUP(D539,'材料表 '!C:F,4,0)</f>
        <v>0.03</v>
      </c>
      <c r="H539" s="74">
        <f t="shared" ref="H539:H548" si="89">F539*(G539+1)</f>
        <v>0</v>
      </c>
      <c r="I539" s="74">
        <f>+VLOOKUP(D539,'材料表 '!C:F,3,0)</f>
        <v>3.80530973451327</v>
      </c>
      <c r="J539" s="51">
        <f t="shared" ref="J539:J548" si="90">H539*I539</f>
        <v>0</v>
      </c>
      <c r="K539" s="43">
        <f ca="1">H539*K518</f>
        <v>0</v>
      </c>
      <c r="L539" s="90" t="s">
        <v>474</v>
      </c>
      <c r="M539" s="44"/>
      <c r="N539" s="82"/>
      <c r="O539" s="44">
        <v>6</v>
      </c>
      <c r="P539" s="44">
        <f>O537*P537</f>
        <v>1</v>
      </c>
      <c r="Q539" s="44">
        <f>O539*P539</f>
        <v>6</v>
      </c>
      <c r="R539" s="84">
        <f>Q539/R519</f>
        <v>0.980392156862745</v>
      </c>
      <c r="S539" s="47"/>
      <c r="T539" s="47"/>
    </row>
    <row r="540" s="27" customFormat="1" ht="18" customHeight="1" spans="1:20">
      <c r="A540" s="34"/>
      <c r="B540" s="48">
        <v>9</v>
      </c>
      <c r="C540" s="48"/>
      <c r="D540" s="88" t="s">
        <v>461</v>
      </c>
      <c r="E540" s="72" t="str">
        <f>+VLOOKUP(D540,'材料表 '!C:F,2,0)</f>
        <v>kg</v>
      </c>
      <c r="F540" s="77">
        <f t="shared" si="87"/>
        <v>0</v>
      </c>
      <c r="G540" s="89">
        <f>+VLOOKUP(D540,'材料表 '!C:F,4,0)</f>
        <v>0.03</v>
      </c>
      <c r="H540" s="74">
        <f t="shared" si="89"/>
        <v>0</v>
      </c>
      <c r="I540" s="74">
        <f>+VLOOKUP(D540,'材料表 '!C:F,3,0)</f>
        <v>3.53982300884956</v>
      </c>
      <c r="J540" s="51">
        <f t="shared" si="90"/>
        <v>0</v>
      </c>
      <c r="K540" s="43">
        <f ca="1">H540*K518</f>
        <v>0</v>
      </c>
      <c r="L540" s="90" t="s">
        <v>472</v>
      </c>
      <c r="M540" s="91"/>
      <c r="N540" s="82"/>
      <c r="O540" s="44">
        <v>2</v>
      </c>
      <c r="P540" s="44">
        <f>P522</f>
        <v>1</v>
      </c>
      <c r="Q540" s="44">
        <f>O540*P540</f>
        <v>2</v>
      </c>
      <c r="R540" s="84">
        <f>Q540/R519</f>
        <v>0.326797385620915</v>
      </c>
      <c r="S540" s="47"/>
      <c r="T540" s="47"/>
    </row>
    <row r="541" s="27" customFormat="1" ht="18" customHeight="1" spans="1:20">
      <c r="A541" s="34"/>
      <c r="B541" s="48">
        <v>10</v>
      </c>
      <c r="C541" s="48"/>
      <c r="D541" s="88" t="s">
        <v>435</v>
      </c>
      <c r="E541" s="72" t="str">
        <f>+VLOOKUP(D541,'材料表 '!C:F,2,0)</f>
        <v>kg</v>
      </c>
      <c r="F541" s="77">
        <f t="shared" si="87"/>
        <v>0</v>
      </c>
      <c r="G541" s="89">
        <f>+VLOOKUP(D541,'材料表 '!C:F,4,0)</f>
        <v>0.03</v>
      </c>
      <c r="H541" s="74">
        <f t="shared" si="89"/>
        <v>0</v>
      </c>
      <c r="I541" s="74">
        <f>+VLOOKUP(D541,'材料表 '!C:F,3,0)</f>
        <v>19.4690265486726</v>
      </c>
      <c r="J541" s="51">
        <f t="shared" si="90"/>
        <v>0</v>
      </c>
      <c r="K541" s="43">
        <f ca="1">H541*K518</f>
        <v>0</v>
      </c>
      <c r="L541" s="69" t="s">
        <v>465</v>
      </c>
      <c r="M541" s="91"/>
      <c r="N541" s="82">
        <f>(0.058+0.04*2)*5*7.85</f>
        <v>5.4165</v>
      </c>
      <c r="O541" s="44">
        <f>O519</f>
        <v>1.7</v>
      </c>
      <c r="P541" s="44">
        <v>1</v>
      </c>
      <c r="Q541" s="44">
        <f t="shared" si="88"/>
        <v>9.20805</v>
      </c>
      <c r="R541" s="84">
        <f>+Q541/R519</f>
        <v>1.50458333333333</v>
      </c>
      <c r="S541" s="47"/>
      <c r="T541" s="47"/>
    </row>
    <row r="542" s="27" customFormat="1" ht="18" customHeight="1" spans="1:20">
      <c r="A542" s="34"/>
      <c r="B542" s="48">
        <v>11</v>
      </c>
      <c r="C542" s="48"/>
      <c r="D542" s="88" t="s">
        <v>463</v>
      </c>
      <c r="E542" s="72" t="str">
        <f>+VLOOKUP(D542,'材料表 '!C:F,2,0)</f>
        <v>kg</v>
      </c>
      <c r="F542" s="77">
        <f t="shared" si="87"/>
        <v>0.985098039215686</v>
      </c>
      <c r="G542" s="89">
        <f>+VLOOKUP(D542,'材料表 '!C:F,4,0)</f>
        <v>0.03</v>
      </c>
      <c r="H542" s="74">
        <f t="shared" si="89"/>
        <v>1.01465098039216</v>
      </c>
      <c r="I542" s="74">
        <f>+VLOOKUP(D542,'材料表 '!C:F,3,0)</f>
        <v>6.01769911504425</v>
      </c>
      <c r="J542" s="51">
        <f t="shared" si="90"/>
        <v>6.10586430678466</v>
      </c>
      <c r="K542" s="43">
        <f ca="1">H542*K518</f>
        <v>6.20966400000002</v>
      </c>
      <c r="L542" s="69" t="s">
        <v>461</v>
      </c>
      <c r="N542" s="83"/>
      <c r="O542" s="83"/>
      <c r="P542" s="83"/>
      <c r="Q542" s="83"/>
      <c r="R542" s="84"/>
      <c r="S542" s="47"/>
      <c r="T542" s="47"/>
    </row>
    <row r="543" s="27" customFormat="1" ht="18" customHeight="1" spans="1:20">
      <c r="A543" s="34"/>
      <c r="B543" s="48">
        <v>12</v>
      </c>
      <c r="C543" s="48"/>
      <c r="D543" s="88" t="s">
        <v>465</v>
      </c>
      <c r="E543" s="72" t="str">
        <f>+VLOOKUP(D543,'材料表 '!C:F,2,0)</f>
        <v>kg</v>
      </c>
      <c r="F543" s="77">
        <f t="shared" si="87"/>
        <v>1.92432189542483</v>
      </c>
      <c r="G543" s="89">
        <f>+VLOOKUP(D543,'材料表 '!C:F,4,0)</f>
        <v>0.03</v>
      </c>
      <c r="H543" s="74">
        <f t="shared" si="89"/>
        <v>1.98205155228758</v>
      </c>
      <c r="I543" s="74">
        <f>+VLOOKUP(D543,'材料表 '!C:F,3,0)</f>
        <v>6.01769911504425</v>
      </c>
      <c r="J543" s="51">
        <f t="shared" si="90"/>
        <v>11.927389872173</v>
      </c>
      <c r="K543" s="43">
        <f ca="1">H543*K518</f>
        <v>12.1301555</v>
      </c>
      <c r="L543" s="90"/>
      <c r="M543" s="44"/>
      <c r="N543" s="82"/>
      <c r="O543" s="44"/>
      <c r="P543" s="44"/>
      <c r="Q543" s="44"/>
      <c r="R543" s="84"/>
      <c r="S543" s="47"/>
      <c r="T543" s="47"/>
    </row>
    <row r="544" s="27" customFormat="1" ht="18" customHeight="1" spans="1:20">
      <c r="A544" s="34"/>
      <c r="B544" s="48">
        <v>13</v>
      </c>
      <c r="C544" s="48"/>
      <c r="D544" s="88" t="s">
        <v>474</v>
      </c>
      <c r="E544" s="72" t="str">
        <f>+VLOOKUP(D544,'材料表 '!C:F,2,0)</f>
        <v>套</v>
      </c>
      <c r="F544" s="77">
        <f t="shared" si="87"/>
        <v>0.980392156862745</v>
      </c>
      <c r="G544" s="89">
        <f>+VLOOKUP(D544,'材料表 '!C:F,4,0)</f>
        <v>0</v>
      </c>
      <c r="H544" s="74">
        <f t="shared" si="89"/>
        <v>0.980392156862745</v>
      </c>
      <c r="I544" s="74">
        <f>+VLOOKUP(D544,'材料表 '!C:F,3,0)</f>
        <v>2.21238938053097</v>
      </c>
      <c r="J544" s="51">
        <f t="shared" si="90"/>
        <v>2.16900919659899</v>
      </c>
      <c r="K544" s="43">
        <f ca="1">H544*K518</f>
        <v>6</v>
      </c>
      <c r="L544" s="90"/>
      <c r="M544" s="44"/>
      <c r="N544" s="82"/>
      <c r="O544" s="44"/>
      <c r="P544" s="44"/>
      <c r="Q544" s="44"/>
      <c r="R544" s="84"/>
      <c r="S544" s="47"/>
      <c r="T544" s="47"/>
    </row>
    <row r="545" s="27" customFormat="1" ht="18" customHeight="1" spans="1:20">
      <c r="A545" s="34"/>
      <c r="B545" s="48">
        <v>14</v>
      </c>
      <c r="C545" s="48"/>
      <c r="D545" s="88" t="s">
        <v>472</v>
      </c>
      <c r="E545" s="72" t="str">
        <f>+VLOOKUP(D545,'材料表 '!C:F,2,0)</f>
        <v>套</v>
      </c>
      <c r="F545" s="77">
        <f t="shared" si="87"/>
        <v>0.326797385620915</v>
      </c>
      <c r="G545" s="89">
        <f>+VLOOKUP(D545,'材料表 '!C:F,4,0)</f>
        <v>0</v>
      </c>
      <c r="H545" s="74">
        <f t="shared" si="89"/>
        <v>0.326797385620915</v>
      </c>
      <c r="I545" s="74">
        <f>+VLOOKUP(D545,'材料表 '!C:F,3,0)</f>
        <v>2.47787610619469</v>
      </c>
      <c r="J545" s="51">
        <f t="shared" si="90"/>
        <v>0.809763433396957</v>
      </c>
      <c r="K545" s="43">
        <f ca="1">H545*K518</f>
        <v>2</v>
      </c>
      <c r="L545" s="90"/>
      <c r="M545" s="44"/>
      <c r="N545" s="82"/>
      <c r="O545" s="44"/>
      <c r="P545" s="44"/>
      <c r="Q545" s="44"/>
      <c r="R545" s="84"/>
      <c r="S545" s="47"/>
      <c r="T545" s="47"/>
    </row>
    <row r="546" s="27" customFormat="1" ht="18" customHeight="1" spans="1:20">
      <c r="A546" s="34"/>
      <c r="B546" s="48">
        <v>15</v>
      </c>
      <c r="C546" s="48"/>
      <c r="D546" s="88" t="s">
        <v>476</v>
      </c>
      <c r="E546" s="72" t="str">
        <f>+VLOOKUP(D546,'材料表 '!C:F,2,0)</f>
        <v>支</v>
      </c>
      <c r="F546" s="77">
        <f>8*8*(O519*2+P519*P522*2)/500/R519+15*26*(P519*P522)/500/R519</f>
        <v>0.680522875816993</v>
      </c>
      <c r="G546" s="89">
        <f>+VLOOKUP(D546,'材料表 '!C:F,4,0)</f>
        <v>0.15</v>
      </c>
      <c r="H546" s="74">
        <f t="shared" si="89"/>
        <v>0.782601307189542</v>
      </c>
      <c r="I546" s="74">
        <f>+VLOOKUP(D546,'材料表 '!C:F,3,0)</f>
        <v>11.5044247787611</v>
      </c>
      <c r="J546" s="51">
        <f t="shared" si="90"/>
        <v>9.00337787032219</v>
      </c>
      <c r="K546" s="43">
        <f ca="1">H546*K518</f>
        <v>4.78952</v>
      </c>
      <c r="L546" s="92"/>
      <c r="M546" s="44"/>
      <c r="N546" s="82"/>
      <c r="O546" s="44"/>
      <c r="P546" s="44"/>
      <c r="Q546" s="44"/>
      <c r="R546" s="84"/>
      <c r="S546" s="47"/>
      <c r="T546" s="47"/>
    </row>
    <row r="547" s="27" customFormat="1" ht="18" customHeight="1" spans="1:20">
      <c r="A547" s="34"/>
      <c r="B547" s="48">
        <v>16</v>
      </c>
      <c r="C547" s="48"/>
      <c r="D547" s="88" t="s">
        <v>576</v>
      </c>
      <c r="E547" s="72" t="str">
        <f>+VLOOKUP(D547,'材料表 '!C:F,2,0)</f>
        <v>支</v>
      </c>
      <c r="F547" s="77">
        <f>16*8*(P519*P522)*2/500/R519</f>
        <v>0.301176470588235</v>
      </c>
      <c r="G547" s="89">
        <f>+VLOOKUP(D547,'材料表 '!C:F,4,0)</f>
        <v>0.15</v>
      </c>
      <c r="H547" s="74">
        <f t="shared" si="89"/>
        <v>0.34635294117647</v>
      </c>
      <c r="I547" s="74">
        <f>+VLOOKUP(D547,'材料表 '!C:F,3,0)</f>
        <v>14.1592920353982</v>
      </c>
      <c r="J547" s="51">
        <f t="shared" si="90"/>
        <v>4.90411244143674</v>
      </c>
      <c r="K547" s="43">
        <f ca="1">H547*K518</f>
        <v>2.11968</v>
      </c>
      <c r="L547" s="92"/>
      <c r="M547" s="44"/>
      <c r="N547" s="82"/>
      <c r="O547" s="44"/>
      <c r="P547" s="44"/>
      <c r="Q547" s="44"/>
      <c r="R547" s="84"/>
      <c r="S547" s="47"/>
      <c r="T547" s="47"/>
    </row>
    <row r="548" s="27" customFormat="1" ht="18" customHeight="1" spans="1:20">
      <c r="A548" s="34"/>
      <c r="B548" s="48">
        <v>17</v>
      </c>
      <c r="C548" s="48"/>
      <c r="D548" s="88" t="s">
        <v>479</v>
      </c>
      <c r="E548" s="72" t="str">
        <f>+VLOOKUP(D548,'材料表 '!C:F,2,0)</f>
        <v>kg</v>
      </c>
      <c r="F548" s="77">
        <f>R541</f>
        <v>1.50458333333333</v>
      </c>
      <c r="G548" s="89">
        <f>+VLOOKUP(D548,'材料表 '!C:F,4,0)</f>
        <v>0.03</v>
      </c>
      <c r="H548" s="74">
        <f t="shared" si="89"/>
        <v>1.54972083333333</v>
      </c>
      <c r="I548" s="74">
        <f>+VLOOKUP(D548,'材料表 '!C:F,3,0)</f>
        <v>14.1592920353982</v>
      </c>
      <c r="J548" s="51">
        <f t="shared" si="90"/>
        <v>21.9429498525073</v>
      </c>
      <c r="K548" s="43">
        <f ca="1">H548*K518</f>
        <v>9.48429149999998</v>
      </c>
      <c r="L548" s="92"/>
      <c r="M548" s="44"/>
      <c r="N548" s="82"/>
      <c r="O548" s="44"/>
      <c r="P548" s="44"/>
      <c r="Q548" s="44"/>
      <c r="R548" s="84"/>
      <c r="S548" s="47"/>
      <c r="T548" s="47"/>
    </row>
    <row r="549" s="27" customFormat="1" ht="21" customHeight="1" spans="1:20">
      <c r="A549" s="34"/>
      <c r="B549" s="48">
        <v>18</v>
      </c>
      <c r="C549" s="48"/>
      <c r="D549" s="88" t="s">
        <v>500</v>
      </c>
      <c r="E549" s="72" t="str">
        <f>+VLOOKUP(D549,'材料表 '!C:F,2,0)</f>
        <v>kg</v>
      </c>
      <c r="F549" s="77"/>
      <c r="G549" s="89"/>
      <c r="H549" s="74"/>
      <c r="I549" s="74"/>
      <c r="J549" s="51"/>
      <c r="K549" s="43">
        <f ca="1">H549*K518</f>
        <v>0</v>
      </c>
      <c r="L549" s="92"/>
      <c r="M549" s="44"/>
      <c r="N549" s="82"/>
      <c r="O549" s="44"/>
      <c r="P549" s="44"/>
      <c r="Q549" s="44"/>
      <c r="R549" s="84"/>
      <c r="S549" s="47"/>
      <c r="T549" s="47"/>
    </row>
    <row r="550" s="27" customFormat="1" ht="52" customHeight="1" spans="1:20">
      <c r="A550" s="34"/>
      <c r="B550" s="48">
        <v>19</v>
      </c>
      <c r="C550" s="48"/>
      <c r="D550" s="88" t="s">
        <v>674</v>
      </c>
      <c r="E550" s="72" t="str">
        <f>+VLOOKUP(D550,'材料表 '!C:F,2,0)</f>
        <v>m2</v>
      </c>
      <c r="F550" s="77">
        <v>1</v>
      </c>
      <c r="G550" s="89">
        <f>+VLOOKUP(D550,'材料表 '!C:F,4,0)</f>
        <v>0.01</v>
      </c>
      <c r="H550" s="74">
        <f>F550*(G550+1)</f>
        <v>1.01</v>
      </c>
      <c r="I550" s="74">
        <f>+VLOOKUP(D550,'材料表 '!C:F,3,0)</f>
        <v>1794.69026548673</v>
      </c>
      <c r="J550" s="51">
        <f>H550*I550</f>
        <v>1812.63716814159</v>
      </c>
      <c r="K550" s="43">
        <f ca="1">H550*K518</f>
        <v>6.1812</v>
      </c>
      <c r="L550" s="90"/>
      <c r="M550" s="44"/>
      <c r="N550" s="82"/>
      <c r="O550" s="44"/>
      <c r="P550" s="44"/>
      <c r="Q550" s="44"/>
      <c r="R550" s="84"/>
      <c r="S550" s="47"/>
      <c r="T550" s="47"/>
    </row>
    <row r="551" s="27" customFormat="1" ht="19" customHeight="1" spans="1:20">
      <c r="A551" s="34"/>
      <c r="B551" s="48">
        <v>20</v>
      </c>
      <c r="C551" s="48"/>
      <c r="D551" s="88"/>
      <c r="E551" s="72"/>
      <c r="F551" s="77"/>
      <c r="G551" s="89"/>
      <c r="H551" s="74"/>
      <c r="I551" s="74"/>
      <c r="J551" s="51"/>
      <c r="K551" s="43">
        <f ca="1">H551*K518</f>
        <v>0</v>
      </c>
      <c r="L551" s="90"/>
      <c r="M551" s="44"/>
      <c r="N551" s="82"/>
      <c r="O551" s="44"/>
      <c r="P551" s="44"/>
      <c r="Q551" s="44"/>
      <c r="R551" s="84"/>
      <c r="S551" s="47"/>
      <c r="T551" s="47"/>
    </row>
    <row r="552" s="27" customFormat="1" ht="18" customHeight="1" spans="1:20">
      <c r="A552" s="34"/>
      <c r="B552" s="48">
        <v>21</v>
      </c>
      <c r="C552" s="48"/>
      <c r="D552" s="88"/>
      <c r="E552" s="72"/>
      <c r="F552" s="77"/>
      <c r="G552" s="89"/>
      <c r="H552" s="74"/>
      <c r="I552" s="74"/>
      <c r="J552" s="51"/>
      <c r="K552" s="43">
        <f ca="1">H552*K518</f>
        <v>0</v>
      </c>
      <c r="L552" s="92"/>
      <c r="M552" s="44"/>
      <c r="N552" s="82"/>
      <c r="O552" s="44"/>
      <c r="P552" s="44"/>
      <c r="Q552" s="44"/>
      <c r="R552" s="84"/>
      <c r="S552" s="47"/>
      <c r="T552" s="47"/>
    </row>
    <row r="553" s="27" customFormat="1" ht="18" customHeight="1" spans="1:20">
      <c r="A553" s="34"/>
      <c r="B553" s="48">
        <v>22</v>
      </c>
      <c r="C553" s="48"/>
      <c r="D553" s="88"/>
      <c r="E553" s="72"/>
      <c r="F553" s="77"/>
      <c r="G553" s="89"/>
      <c r="H553" s="74"/>
      <c r="I553" s="74"/>
      <c r="J553" s="51"/>
      <c r="K553" s="43">
        <f ca="1">H553*K518</f>
        <v>0</v>
      </c>
      <c r="L553" s="92"/>
      <c r="M553" s="44"/>
      <c r="N553" s="44"/>
      <c r="O553" s="44"/>
      <c r="P553" s="44"/>
      <c r="Q553" s="44"/>
      <c r="R553" s="84"/>
      <c r="S553" s="47"/>
      <c r="T553" s="47"/>
    </row>
    <row r="554" s="27" customFormat="1" ht="18" customHeight="1" spans="1:20">
      <c r="A554" s="34"/>
      <c r="B554" s="48">
        <v>23</v>
      </c>
      <c r="C554" s="48"/>
      <c r="D554" s="88"/>
      <c r="E554" s="72"/>
      <c r="F554" s="77"/>
      <c r="G554" s="89"/>
      <c r="H554" s="74"/>
      <c r="I554" s="74"/>
      <c r="J554" s="51"/>
      <c r="K554" s="75">
        <f ca="1">H554*K518</f>
        <v>0</v>
      </c>
      <c r="L554" s="92"/>
      <c r="M554" s="44"/>
      <c r="N554" s="44"/>
      <c r="O554" s="44"/>
      <c r="P554" s="44"/>
      <c r="Q554" s="44"/>
      <c r="R554" s="84"/>
      <c r="S554" s="47"/>
      <c r="T554" s="47"/>
    </row>
    <row r="555" s="27" customFormat="1" ht="18" customHeight="1" spans="1:20">
      <c r="A555" s="34"/>
      <c r="B555" s="48">
        <v>24</v>
      </c>
      <c r="C555" s="48"/>
      <c r="D555" s="88"/>
      <c r="E555" s="72"/>
      <c r="F555" s="77"/>
      <c r="G555" s="89"/>
      <c r="H555" s="74"/>
      <c r="I555" s="74"/>
      <c r="J555" s="51"/>
      <c r="K555" s="75">
        <f ca="1">H555*K518</f>
        <v>0</v>
      </c>
      <c r="L555" s="92"/>
      <c r="M555" s="44"/>
      <c r="N555" s="44"/>
      <c r="O555" s="44"/>
      <c r="P555" s="44"/>
      <c r="Q555" s="44"/>
      <c r="R555" s="84"/>
      <c r="S555" s="47"/>
      <c r="T555" s="47"/>
    </row>
    <row r="556" s="27" customFormat="1" ht="18" customHeight="1" spans="1:20">
      <c r="A556" s="34"/>
      <c r="B556" s="48">
        <v>25</v>
      </c>
      <c r="C556" s="48"/>
      <c r="D556" s="88"/>
      <c r="E556" s="72"/>
      <c r="F556" s="77"/>
      <c r="G556" s="89"/>
      <c r="H556" s="74"/>
      <c r="I556" s="74"/>
      <c r="J556" s="51"/>
      <c r="K556" s="75"/>
      <c r="L556" s="92"/>
      <c r="M556" s="44"/>
      <c r="N556" s="44"/>
      <c r="O556" s="44"/>
      <c r="P556" s="44"/>
      <c r="Q556" s="44"/>
      <c r="R556" s="84"/>
      <c r="S556" s="47"/>
      <c r="T556" s="47"/>
    </row>
    <row r="557" s="27" customFormat="1" ht="18" customHeight="1" spans="1:20">
      <c r="A557" s="34"/>
      <c r="B557" s="48">
        <v>26</v>
      </c>
      <c r="C557" s="48"/>
      <c r="D557" s="88" t="s">
        <v>441</v>
      </c>
      <c r="E557" s="72" t="s">
        <v>43</v>
      </c>
      <c r="F557" s="77"/>
      <c r="G557" s="72">
        <v>1</v>
      </c>
      <c r="H557" s="74">
        <v>1</v>
      </c>
      <c r="I557" s="74">
        <f>+辅材及安装费!$E$17</f>
        <v>10</v>
      </c>
      <c r="J557" s="51">
        <f>H557*I557</f>
        <v>10</v>
      </c>
      <c r="K557" s="75"/>
      <c r="L557" s="92"/>
      <c r="M557" s="44"/>
      <c r="N557" s="44"/>
      <c r="O557" s="44"/>
      <c r="P557" s="44"/>
      <c r="Q557" s="44"/>
      <c r="R557" s="62"/>
      <c r="S557" s="47"/>
      <c r="T557" s="47"/>
    </row>
    <row r="558" s="27" customFormat="1" ht="18" customHeight="1" spans="1:20">
      <c r="A558" s="34"/>
      <c r="B558" s="48">
        <v>27</v>
      </c>
      <c r="C558" s="48"/>
      <c r="D558" s="93" t="s">
        <v>442</v>
      </c>
      <c r="E558" s="72"/>
      <c r="F558" s="77"/>
      <c r="G558" s="72"/>
      <c r="H558" s="74"/>
      <c r="I558" s="74"/>
      <c r="J558" s="51">
        <f>SUM(J532:J557)</f>
        <v>1948.13274799294</v>
      </c>
      <c r="K558" s="75"/>
      <c r="L558" s="94"/>
      <c r="N558" s="83"/>
      <c r="O558" s="83"/>
      <c r="P558" s="83"/>
      <c r="Q558" s="83"/>
      <c r="R558" s="87"/>
      <c r="S558" s="47"/>
      <c r="T558" s="47"/>
    </row>
    <row r="559" s="27" customFormat="1" ht="18" customHeight="1" spans="1:20">
      <c r="A559" s="34"/>
      <c r="B559" s="48">
        <v>1</v>
      </c>
      <c r="C559" s="48" t="s">
        <v>443</v>
      </c>
      <c r="D559" s="48" t="s">
        <v>444</v>
      </c>
      <c r="E559" s="72" t="s">
        <v>43</v>
      </c>
      <c r="F559" s="50"/>
      <c r="G559" s="48"/>
      <c r="H559" s="51">
        <v>1</v>
      </c>
      <c r="I559" s="74">
        <f>+辅材及安装费!$F$17</f>
        <v>5</v>
      </c>
      <c r="J559" s="95">
        <f>H559*I559</f>
        <v>5</v>
      </c>
      <c r="K559" s="60"/>
      <c r="L559" s="96"/>
      <c r="M559" s="97"/>
      <c r="N559" s="98"/>
      <c r="O559" s="98"/>
      <c r="P559" s="98"/>
      <c r="Q559" s="98"/>
      <c r="R559" s="99"/>
      <c r="S559" s="47"/>
      <c r="T559" s="47"/>
    </row>
    <row r="560" s="26" customFormat="1" ht="30" customHeight="1" spans="1:20">
      <c r="A560" s="28"/>
      <c r="B560" s="29" t="s">
        <v>386</v>
      </c>
      <c r="C560" s="29"/>
      <c r="D560" s="29"/>
      <c r="E560" s="29"/>
      <c r="F560" s="29"/>
      <c r="G560" s="29"/>
      <c r="H560" s="29"/>
      <c r="I560" s="29"/>
      <c r="J560" s="29"/>
      <c r="K560" s="29"/>
      <c r="L560" s="30"/>
      <c r="M560" s="31"/>
      <c r="N560" s="31"/>
      <c r="O560" s="31"/>
      <c r="P560" s="31"/>
      <c r="Q560" s="31"/>
      <c r="R560" s="32"/>
      <c r="S560" s="33"/>
      <c r="T560" s="33"/>
    </row>
    <row r="561" s="27" customFormat="1" ht="33.75" customHeight="1" spans="1:21">
      <c r="A561" s="34">
        <v>14</v>
      </c>
      <c r="B561" s="35" t="s">
        <v>1</v>
      </c>
      <c r="C561" s="35" t="s">
        <v>387</v>
      </c>
      <c r="D561" s="36" t="str">
        <f>+A569</f>
        <v>二层T型钢龙骨玻璃幕墙（8+1.52PVB+8㎜全超白钢化夹层玻璃）</v>
      </c>
      <c r="E561" s="37"/>
      <c r="F561" s="38" t="s">
        <v>225</v>
      </c>
      <c r="G561" s="39"/>
      <c r="H561" s="35" t="s">
        <v>388</v>
      </c>
      <c r="I561" s="40" t="s">
        <v>389</v>
      </c>
      <c r="J561" s="41" t="s">
        <v>37</v>
      </c>
      <c r="K561" s="42">
        <f ca="1">VLOOKUP(A561,'商业工程量清单 '!$A$4:$D$44,4,FALSE)</f>
        <v>272.676975</v>
      </c>
      <c r="L561" s="43"/>
      <c r="M561" s="44"/>
      <c r="N561" s="44"/>
      <c r="O561" s="44"/>
      <c r="P561" s="45"/>
      <c r="Q561" s="44"/>
      <c r="R561" s="46"/>
      <c r="S561" s="47"/>
      <c r="T561" s="47"/>
    </row>
    <row r="562" s="27" customFormat="1" ht="25" customHeight="1" spans="1:21">
      <c r="A562" s="34"/>
      <c r="B562" s="48">
        <v>1</v>
      </c>
      <c r="C562" s="49" t="s">
        <v>390</v>
      </c>
      <c r="D562" s="48" t="s">
        <v>391</v>
      </c>
      <c r="E562" s="48"/>
      <c r="F562" s="50"/>
      <c r="G562" s="48"/>
      <c r="H562" s="51"/>
      <c r="I562" s="52">
        <f>J574</f>
        <v>275.207058809735</v>
      </c>
      <c r="J562" s="53" t="s">
        <v>392</v>
      </c>
      <c r="K562" s="54"/>
      <c r="L562" s="55" t="s">
        <v>1005</v>
      </c>
      <c r="M562" s="56"/>
      <c r="N562" s="57"/>
      <c r="O562" s="57">
        <f>7.2+1.65+0.985</f>
        <v>9.835</v>
      </c>
      <c r="P562" s="57">
        <v>3.035</v>
      </c>
      <c r="Q562" s="57">
        <v>1</v>
      </c>
      <c r="R562" s="58">
        <f>+Q562*P562*O562</f>
        <v>29.849225</v>
      </c>
      <c r="S562" s="47"/>
      <c r="T562" s="47"/>
    </row>
    <row r="563" s="27" customFormat="1" ht="18" customHeight="1" spans="1:21">
      <c r="A563" s="34"/>
      <c r="B563" s="48">
        <v>2</v>
      </c>
      <c r="C563" s="59"/>
      <c r="D563" s="48" t="s">
        <v>394</v>
      </c>
      <c r="E563" s="48"/>
      <c r="F563" s="50"/>
      <c r="G563" s="48"/>
      <c r="H563" s="51"/>
      <c r="I563" s="52">
        <f>J601</f>
        <v>1111.37434412436</v>
      </c>
      <c r="J563" s="53" t="s">
        <v>392</v>
      </c>
      <c r="K563" s="60"/>
      <c r="L563" s="61"/>
      <c r="M563" s="44"/>
      <c r="N563" s="44"/>
      <c r="O563" s="44"/>
      <c r="P563" s="44"/>
      <c r="Q563" s="44"/>
      <c r="R563" s="62"/>
      <c r="S563" s="47"/>
      <c r="T563" s="47"/>
    </row>
    <row r="564" s="27" customFormat="1" ht="18" customHeight="1" spans="1:21">
      <c r="A564" s="34"/>
      <c r="B564" s="48">
        <v>3</v>
      </c>
      <c r="C564" s="63"/>
      <c r="D564" s="48" t="s">
        <v>395</v>
      </c>
      <c r="E564" s="48"/>
      <c r="F564" s="50"/>
      <c r="G564" s="48"/>
      <c r="H564" s="51"/>
      <c r="I564" s="52">
        <f>J602</f>
        <v>5</v>
      </c>
      <c r="J564" s="53" t="s">
        <v>392</v>
      </c>
      <c r="K564" s="60"/>
      <c r="L564" s="60"/>
      <c r="M564" s="64" t="s">
        <v>396</v>
      </c>
      <c r="N564" s="65" t="s">
        <v>397</v>
      </c>
      <c r="O564" s="65" t="s">
        <v>398</v>
      </c>
      <c r="P564" s="65" t="s">
        <v>399</v>
      </c>
      <c r="Q564" s="65" t="s">
        <v>400</v>
      </c>
      <c r="R564" s="66" t="s">
        <v>401</v>
      </c>
      <c r="S564" s="47"/>
      <c r="T564" s="47"/>
    </row>
    <row r="565" s="27" customFormat="1" ht="18" customHeight="1" spans="1:21">
      <c r="A565" s="34"/>
      <c r="B565" s="48">
        <v>4</v>
      </c>
      <c r="C565" s="48" t="s">
        <v>402</v>
      </c>
      <c r="D565" s="67" t="s">
        <v>403</v>
      </c>
      <c r="E565" s="67"/>
      <c r="F565" s="50"/>
      <c r="G565" s="67"/>
      <c r="H565" s="68"/>
      <c r="I565" s="52">
        <f>SUM(I562:I564)</f>
        <v>1391.58140293409</v>
      </c>
      <c r="J565" s="53" t="s">
        <v>392</v>
      </c>
      <c r="K565" s="60"/>
      <c r="L565" s="69" t="s">
        <v>427</v>
      </c>
      <c r="M565" s="70" t="s">
        <v>1007</v>
      </c>
      <c r="N565" s="34"/>
      <c r="O565" s="34">
        <v>0</v>
      </c>
      <c r="P565" s="34">
        <v>1</v>
      </c>
      <c r="Q565" s="44">
        <f t="shared" ref="Q565:Q575" si="91">+P565*O565*N565</f>
        <v>0</v>
      </c>
      <c r="R565" s="71">
        <f>+Q565/R562</f>
        <v>0</v>
      </c>
      <c r="S565" s="47"/>
      <c r="T565" s="47"/>
    </row>
    <row r="566" s="27" customFormat="1" ht="28" customHeight="1" spans="1:21">
      <c r="A566" s="34"/>
      <c r="B566" s="48">
        <v>5</v>
      </c>
      <c r="C566" s="72" t="s">
        <v>406</v>
      </c>
      <c r="D566" s="48" t="s">
        <v>407</v>
      </c>
      <c r="E566" s="48"/>
      <c r="F566" s="50"/>
      <c r="G566" s="48"/>
      <c r="H566" s="73">
        <f>+'材料表 '!$E$178</f>
        <v>0</v>
      </c>
      <c r="I566" s="52">
        <f>H566*I565</f>
        <v>0</v>
      </c>
      <c r="J566" s="53" t="s">
        <v>392</v>
      </c>
      <c r="K566" s="60"/>
      <c r="L566" s="69" t="s">
        <v>433</v>
      </c>
      <c r="M566" s="70" t="s">
        <v>1008</v>
      </c>
      <c r="N566" s="100">
        <f>0.214*2.71</f>
        <v>0.57994</v>
      </c>
      <c r="O566" s="34">
        <f>P562</f>
        <v>3.035</v>
      </c>
      <c r="P566" s="34">
        <f>6*2</f>
        <v>12</v>
      </c>
      <c r="Q566" s="44">
        <f t="shared" si="91"/>
        <v>21.1214148</v>
      </c>
      <c r="R566" s="71">
        <f>+Q566/R562</f>
        <v>0.70760345704118</v>
      </c>
      <c r="S566" s="47"/>
      <c r="T566" s="47"/>
    </row>
    <row r="567" s="27" customFormat="1" ht="18" customHeight="1" spans="1:21">
      <c r="A567" s="34"/>
      <c r="B567" s="48">
        <v>6</v>
      </c>
      <c r="C567" s="48" t="s">
        <v>409</v>
      </c>
      <c r="D567" s="48" t="s">
        <v>410</v>
      </c>
      <c r="E567" s="48"/>
      <c r="F567" s="50"/>
      <c r="G567" s="48"/>
      <c r="H567" s="73">
        <f>+'材料表 '!$E$179</f>
        <v>0</v>
      </c>
      <c r="I567" s="52">
        <f>H567*I565</f>
        <v>0</v>
      </c>
      <c r="J567" s="74" t="s">
        <v>392</v>
      </c>
      <c r="K567" s="75"/>
      <c r="L567" s="69" t="s">
        <v>429</v>
      </c>
      <c r="M567" s="70" t="s">
        <v>1009</v>
      </c>
      <c r="N567" s="100">
        <f>0.142*2.71</f>
        <v>0.38482</v>
      </c>
      <c r="O567" s="100">
        <f>P562/0.3*0.05</f>
        <v>0.505833333333333</v>
      </c>
      <c r="P567" s="34">
        <v>7</v>
      </c>
      <c r="Q567" s="44">
        <f t="shared" si="91"/>
        <v>1.36258348333333</v>
      </c>
      <c r="R567" s="71">
        <f>+Q567/R562</f>
        <v>0.0456488730723606</v>
      </c>
      <c r="S567" s="47"/>
      <c r="T567" s="47"/>
      <c r="U567" s="76"/>
    </row>
    <row r="568" s="27" customFormat="1" ht="18" customHeight="1" spans="1:21">
      <c r="A568" s="34"/>
      <c r="B568" s="48">
        <v>7</v>
      </c>
      <c r="C568" s="48" t="s">
        <v>412</v>
      </c>
      <c r="D568" s="72" t="s">
        <v>413</v>
      </c>
      <c r="E568" s="72"/>
      <c r="F568" s="77"/>
      <c r="G568" s="72"/>
      <c r="H568" s="73">
        <f>+'材料表 '!$E$180</f>
        <v>0.09</v>
      </c>
      <c r="I568" s="52">
        <f>(I565+I566+I567)*H568</f>
        <v>125.242326264069</v>
      </c>
      <c r="J568" s="74" t="s">
        <v>392</v>
      </c>
      <c r="K568" s="75"/>
      <c r="L568" s="69" t="s">
        <v>429</v>
      </c>
      <c r="M568" s="70" t="s">
        <v>1026</v>
      </c>
      <c r="N568" s="34">
        <f>0.5*2.71</f>
        <v>1.355</v>
      </c>
      <c r="O568" s="34">
        <f>O562</f>
        <v>9.835</v>
      </c>
      <c r="P568" s="34">
        <v>1</v>
      </c>
      <c r="Q568" s="44">
        <f t="shared" si="91"/>
        <v>13.326425</v>
      </c>
      <c r="R568" s="71">
        <f>+Q568/R562</f>
        <v>0.446457990115321</v>
      </c>
      <c r="S568" s="47"/>
      <c r="T568" s="47"/>
    </row>
    <row r="569" s="27" customFormat="1" ht="18" customHeight="1" spans="1:21">
      <c r="A569" s="78" t="s">
        <v>245</v>
      </c>
      <c r="B569" s="48">
        <v>8</v>
      </c>
      <c r="C569" s="48" t="s">
        <v>363</v>
      </c>
      <c r="D569" s="72" t="s">
        <v>415</v>
      </c>
      <c r="E569" s="72"/>
      <c r="F569" s="77"/>
      <c r="G569" s="72"/>
      <c r="H569" s="51"/>
      <c r="I569" s="74">
        <f>SUM(I565:I568)</f>
        <v>1516.82372919816</v>
      </c>
      <c r="J569" s="74" t="s">
        <v>416</v>
      </c>
      <c r="K569" s="75"/>
      <c r="L569" s="69" t="s">
        <v>429</v>
      </c>
      <c r="M569" s="70" t="s">
        <v>1027</v>
      </c>
      <c r="N569" s="101">
        <f>0.247*2.71</f>
        <v>0.66937</v>
      </c>
      <c r="O569" s="34">
        <f>O568</f>
        <v>9.835</v>
      </c>
      <c r="P569" s="34">
        <v>1</v>
      </c>
      <c r="Q569" s="44">
        <f t="shared" si="91"/>
        <v>6.58325395</v>
      </c>
      <c r="R569" s="71">
        <f>+Q569/R562</f>
        <v>0.220550247116969</v>
      </c>
      <c r="S569" s="79"/>
      <c r="T569" s="47"/>
    </row>
    <row r="570" s="27" customFormat="1" ht="18" customHeight="1" spans="1:21">
      <c r="A570" s="34"/>
      <c r="B570" s="48" t="s">
        <v>418</v>
      </c>
      <c r="C570" s="48"/>
      <c r="D570" s="48"/>
      <c r="E570" s="48"/>
      <c r="F570" s="48"/>
      <c r="G570" s="48"/>
      <c r="H570" s="48"/>
      <c r="I570" s="48"/>
      <c r="J570" s="48"/>
      <c r="K570" s="80"/>
      <c r="L570" s="69" t="s">
        <v>447</v>
      </c>
      <c r="M570" s="70" t="s">
        <v>1028</v>
      </c>
      <c r="N570" s="34">
        <f>0.166*2.71</f>
        <v>0.44986</v>
      </c>
      <c r="O570" s="34">
        <f>O568</f>
        <v>9.835</v>
      </c>
      <c r="P570" s="34">
        <v>1</v>
      </c>
      <c r="Q570" s="44">
        <f t="shared" si="91"/>
        <v>4.4243731</v>
      </c>
      <c r="R570" s="71">
        <f>+Q570/R562</f>
        <v>0.148224052718287</v>
      </c>
      <c r="S570" s="47">
        <f>0.094</f>
        <v>0.094</v>
      </c>
      <c r="T570" s="47">
        <f>O570*P570*S570</f>
        <v>0.92449</v>
      </c>
      <c r="U570" s="76">
        <f>T570/R562</f>
        <v>0.0309719934102142</v>
      </c>
    </row>
    <row r="571" s="27" customFormat="1" ht="18" customHeight="1" spans="1:21">
      <c r="A571" s="34"/>
      <c r="B571" s="48">
        <v>1</v>
      </c>
      <c r="C571" s="48" t="s">
        <v>391</v>
      </c>
      <c r="D571" s="48" t="s">
        <v>396</v>
      </c>
      <c r="E571" s="48" t="s">
        <v>37</v>
      </c>
      <c r="F571" s="50"/>
      <c r="G571" s="48"/>
      <c r="H571" s="51" t="s">
        <v>399</v>
      </c>
      <c r="I571" s="51" t="s">
        <v>420</v>
      </c>
      <c r="J571" s="51" t="s">
        <v>421</v>
      </c>
      <c r="K571" s="43"/>
      <c r="L571" s="69" t="s">
        <v>404</v>
      </c>
      <c r="M571" s="81" t="s">
        <v>1029</v>
      </c>
      <c r="N571" s="82">
        <v>3.727</v>
      </c>
      <c r="O571" s="34">
        <f>O562</f>
        <v>9.835</v>
      </c>
      <c r="P571" s="34">
        <v>1</v>
      </c>
      <c r="Q571" s="44">
        <f t="shared" si="91"/>
        <v>36.655045</v>
      </c>
      <c r="R571" s="71">
        <f>+Q571/R562</f>
        <v>1.22800658978583</v>
      </c>
      <c r="S571" s="47"/>
      <c r="T571" s="47"/>
    </row>
    <row r="572" s="27" customFormat="1" ht="18" customHeight="1" spans="1:21">
      <c r="A572" s="34"/>
      <c r="B572" s="48">
        <v>2</v>
      </c>
      <c r="C572" s="48"/>
      <c r="D572" s="48" t="s">
        <v>966</v>
      </c>
      <c r="E572" s="72" t="s">
        <v>423</v>
      </c>
      <c r="F572" s="50"/>
      <c r="G572" s="48"/>
      <c r="H572" s="51">
        <v>1</v>
      </c>
      <c r="I572" s="51">
        <f>+辅材及安装费!$G$18+F595*135</f>
        <v>275.207058809735</v>
      </c>
      <c r="J572" s="51">
        <f t="shared" ref="J572:J582" si="92">H572*I572</f>
        <v>275.207058809735</v>
      </c>
      <c r="K572" s="43"/>
      <c r="L572" s="69" t="s">
        <v>429</v>
      </c>
      <c r="M572" s="70" t="s">
        <v>1030</v>
      </c>
      <c r="N572" s="34">
        <v>0.604</v>
      </c>
      <c r="O572" s="34">
        <f>O562</f>
        <v>9.835</v>
      </c>
      <c r="P572" s="34">
        <v>1</v>
      </c>
      <c r="Q572" s="44">
        <f t="shared" si="91"/>
        <v>5.94034</v>
      </c>
      <c r="R572" s="84">
        <f>+Q572/R562</f>
        <v>0.199011532125206</v>
      </c>
      <c r="S572" s="47"/>
      <c r="T572" s="47"/>
    </row>
    <row r="573" s="27" customFormat="1" ht="18" customHeight="1" spans="1:21">
      <c r="A573" s="34"/>
      <c r="B573" s="48">
        <v>3</v>
      </c>
      <c r="C573" s="48"/>
      <c r="D573" s="48"/>
      <c r="E573" s="72"/>
      <c r="F573" s="50"/>
      <c r="G573" s="48"/>
      <c r="H573" s="51"/>
      <c r="I573" s="51"/>
      <c r="J573" s="51"/>
      <c r="K573" s="43"/>
      <c r="L573" s="69" t="s">
        <v>447</v>
      </c>
      <c r="M573" s="70" t="s">
        <v>1028</v>
      </c>
      <c r="N573" s="82">
        <f>0.668*2.71+0.022*2.71</f>
        <v>1.8699</v>
      </c>
      <c r="O573" s="82">
        <f>O571</f>
        <v>9.835</v>
      </c>
      <c r="P573" s="34">
        <v>1</v>
      </c>
      <c r="Q573" s="44">
        <f t="shared" si="91"/>
        <v>18.3904665</v>
      </c>
      <c r="R573" s="84">
        <f>+Q573/R562</f>
        <v>0.616112026359143</v>
      </c>
      <c r="S573" s="47">
        <v>0.31</v>
      </c>
      <c r="T573" s="47">
        <f>O573*P573*S573</f>
        <v>3.04885</v>
      </c>
      <c r="U573" s="76">
        <f>T573/R562</f>
        <v>0.102141680395387</v>
      </c>
    </row>
    <row r="574" s="27" customFormat="1" ht="18" customHeight="1" spans="1:21">
      <c r="A574" s="34"/>
      <c r="B574" s="48">
        <v>4</v>
      </c>
      <c r="C574" s="48"/>
      <c r="D574" s="85" t="s">
        <v>426</v>
      </c>
      <c r="E574" s="48" t="s">
        <v>392</v>
      </c>
      <c r="F574" s="50"/>
      <c r="G574" s="48"/>
      <c r="H574" s="86"/>
      <c r="I574" s="86"/>
      <c r="J574" s="51">
        <f>SUM(J572:J572)</f>
        <v>275.207058809735</v>
      </c>
      <c r="K574" s="75"/>
      <c r="L574" s="69" t="s">
        <v>447</v>
      </c>
      <c r="M574" s="70" t="s">
        <v>1031</v>
      </c>
      <c r="N574" s="34">
        <f>0.074*2.71</f>
        <v>0.20054</v>
      </c>
      <c r="O574" s="34">
        <f>O570</f>
        <v>9.835</v>
      </c>
      <c r="P574" s="34">
        <v>1</v>
      </c>
      <c r="Q574" s="44">
        <f t="shared" si="91"/>
        <v>1.9723109</v>
      </c>
      <c r="R574" s="84">
        <f>+Q574/R562</f>
        <v>0.0660757825370675</v>
      </c>
      <c r="S574" s="47">
        <f>0.048</f>
        <v>0.048</v>
      </c>
      <c r="T574" s="47">
        <f>O574*P574*S574</f>
        <v>0.47208</v>
      </c>
      <c r="U574" s="76">
        <f>T574/R562</f>
        <v>0.0158154859967051</v>
      </c>
    </row>
    <row r="575" s="27" customFormat="1" ht="23" customHeight="1" spans="1:21">
      <c r="A575" s="34"/>
      <c r="B575" s="48">
        <v>1</v>
      </c>
      <c r="C575" s="48" t="s">
        <v>394</v>
      </c>
      <c r="D575" s="88" t="s">
        <v>427</v>
      </c>
      <c r="E575" s="72" t="str">
        <f>+VLOOKUP(D575,'材料表 '!C:F,2,0)</f>
        <v>kg</v>
      </c>
      <c r="F575" s="77">
        <f>+SUMIF($L$562:$L$602,D575,$R$562:$R$602)</f>
        <v>0</v>
      </c>
      <c r="G575" s="89">
        <f>+VLOOKUP(D575,'材料表 '!C:F,4,0)</f>
        <v>0.03</v>
      </c>
      <c r="H575" s="74">
        <f t="shared" ref="H575:H582" si="93">F575*(G575+1)</f>
        <v>0</v>
      </c>
      <c r="I575" s="74">
        <f>+VLOOKUP(D575,'材料表 '!C:F,3,0)</f>
        <v>25.8495575221239</v>
      </c>
      <c r="J575" s="51">
        <f t="shared" si="92"/>
        <v>0</v>
      </c>
      <c r="K575" s="75">
        <f ca="1">H575*K561</f>
        <v>0</v>
      </c>
      <c r="L575" s="69" t="s">
        <v>433</v>
      </c>
      <c r="M575" s="70" t="s">
        <v>1031</v>
      </c>
      <c r="N575" s="34">
        <f>0.055*2.71</f>
        <v>0.14905</v>
      </c>
      <c r="O575" s="34">
        <f>O571</f>
        <v>9.835</v>
      </c>
      <c r="P575" s="34">
        <v>3</v>
      </c>
      <c r="Q575" s="44">
        <f t="shared" si="91"/>
        <v>4.39772025</v>
      </c>
      <c r="R575" s="84">
        <f>+Q575/R562</f>
        <v>0.147331136738056</v>
      </c>
      <c r="S575" s="47"/>
      <c r="T575" s="47"/>
    </row>
    <row r="576" s="27" customFormat="1" ht="18" customHeight="1" spans="1:21">
      <c r="A576" s="34"/>
      <c r="B576" s="48">
        <v>2</v>
      </c>
      <c r="C576" s="48"/>
      <c r="D576" s="88" t="s">
        <v>404</v>
      </c>
      <c r="E576" s="72" t="str">
        <f>+VLOOKUP(D576,'材料表 '!C:F,2,0)</f>
        <v>kg</v>
      </c>
      <c r="F576" s="77">
        <f t="shared" ref="F576:F581" si="94">+SUMIF($L$562:$L$602,D576,$R$562:$R$602)</f>
        <v>1.22800658978583</v>
      </c>
      <c r="G576" s="89">
        <f>+VLOOKUP(D576,'材料表 '!C:F,4,0)</f>
        <v>0.03</v>
      </c>
      <c r="H576" s="74">
        <f t="shared" si="93"/>
        <v>1.2648467874794</v>
      </c>
      <c r="I576" s="74">
        <f>+VLOOKUP(D576,'材料表 '!C:F,3,0)</f>
        <v>25.6725663716814</v>
      </c>
      <c r="J576" s="51">
        <f t="shared" si="92"/>
        <v>32.471863101573</v>
      </c>
      <c r="K576" s="75">
        <f ca="1">H576*K561</f>
        <v>344.894595848351</v>
      </c>
      <c r="L576" s="69"/>
      <c r="M576" s="70"/>
      <c r="N576" s="83"/>
      <c r="O576" s="83"/>
      <c r="P576" s="83"/>
      <c r="Q576" s="83"/>
      <c r="R576" s="87"/>
      <c r="S576" s="47"/>
      <c r="T576" s="47"/>
    </row>
    <row r="577" s="27" customFormat="1" ht="18" customHeight="1" spans="1:20">
      <c r="A577" s="34"/>
      <c r="B577" s="48">
        <v>3</v>
      </c>
      <c r="C577" s="48"/>
      <c r="D577" s="88" t="s">
        <v>433</v>
      </c>
      <c r="E577" s="72" t="str">
        <f>+VLOOKUP(D577,'材料表 '!C:F,2,0)</f>
        <v>kg</v>
      </c>
      <c r="F577" s="77">
        <f t="shared" si="94"/>
        <v>0.854934593779236</v>
      </c>
      <c r="G577" s="89">
        <f>+VLOOKUP(D577,'材料表 '!C:F,4,0)</f>
        <v>0.03</v>
      </c>
      <c r="H577" s="74">
        <f t="shared" si="93"/>
        <v>0.880582631592613</v>
      </c>
      <c r="I577" s="74">
        <f>+VLOOKUP(D577,'材料表 '!C:F,3,0)</f>
        <v>26.1150442477876</v>
      </c>
      <c r="J577" s="51">
        <f t="shared" si="92"/>
        <v>22.9964543878743</v>
      </c>
      <c r="K577" s="75">
        <f ca="1">H577*K561</f>
        <v>240.114608220213</v>
      </c>
      <c r="L577" s="69"/>
      <c r="N577" s="83"/>
      <c r="O577" s="83"/>
      <c r="P577" s="83"/>
      <c r="Q577" s="83"/>
      <c r="R577" s="87"/>
      <c r="S577" s="47"/>
      <c r="T577" s="47"/>
    </row>
    <row r="578" s="27" customFormat="1" ht="18" customHeight="1" spans="1:20">
      <c r="A578" s="34"/>
      <c r="B578" s="48">
        <v>4</v>
      </c>
      <c r="C578" s="48"/>
      <c r="D578" s="88" t="s">
        <v>429</v>
      </c>
      <c r="E578" s="72" t="str">
        <f>+VLOOKUP(D578,'材料表 '!C:F,2,0)</f>
        <v>kg</v>
      </c>
      <c r="F578" s="77">
        <f t="shared" si="94"/>
        <v>0.911668642429857</v>
      </c>
      <c r="G578" s="89">
        <f>+VLOOKUP(D578,'材料表 '!C:F,4,0)</f>
        <v>0.03</v>
      </c>
      <c r="H578" s="74">
        <f t="shared" si="93"/>
        <v>0.939018701702753</v>
      </c>
      <c r="I578" s="74">
        <f>+VLOOKUP(D578,'材料表 '!C:F,3,0)</f>
        <v>26.1150442477876</v>
      </c>
      <c r="J578" s="51">
        <f t="shared" si="92"/>
        <v>24.5225149444675</v>
      </c>
      <c r="K578" s="75">
        <f ca="1">H578*K561</f>
        <v>256.048779048734</v>
      </c>
      <c r="L578" s="90" t="s">
        <v>707</v>
      </c>
      <c r="M578" s="44"/>
      <c r="N578" s="82"/>
      <c r="O578" s="44">
        <f>O568*P568+O571*P571</f>
        <v>19.67</v>
      </c>
      <c r="P578" s="44">
        <v>1</v>
      </c>
      <c r="Q578" s="44">
        <f>+P578*O578</f>
        <v>19.67</v>
      </c>
      <c r="R578" s="84">
        <f>+Q578/R562</f>
        <v>0.658978583196046</v>
      </c>
      <c r="S578" s="47"/>
      <c r="T578" s="47"/>
    </row>
    <row r="579" s="27" customFormat="1" ht="18" customHeight="1" spans="1:20">
      <c r="A579" s="34"/>
      <c r="B579" s="48">
        <v>5</v>
      </c>
      <c r="C579" s="48"/>
      <c r="D579" s="88" t="s">
        <v>447</v>
      </c>
      <c r="E579" s="72" t="str">
        <f>+VLOOKUP(D579,'材料表 '!C:F,2,0)</f>
        <v>kg</v>
      </c>
      <c r="F579" s="77">
        <f t="shared" si="94"/>
        <v>0.830411861614497</v>
      </c>
      <c r="G579" s="89">
        <f>+VLOOKUP(D579,'材料表 '!C:F,4,0)</f>
        <v>0.03</v>
      </c>
      <c r="H579" s="74">
        <f t="shared" si="93"/>
        <v>0.855324217462932</v>
      </c>
      <c r="I579" s="74">
        <f>+VLOOKUP(D579,'材料表 '!C:F,3,0)</f>
        <v>24.4336283185841</v>
      </c>
      <c r="J579" s="51">
        <f t="shared" si="92"/>
        <v>20.8986740213731</v>
      </c>
      <c r="K579" s="43">
        <f ca="1">H579*K561</f>
        <v>233.227220262034</v>
      </c>
      <c r="L579" s="90" t="s">
        <v>435</v>
      </c>
      <c r="M579" s="44"/>
      <c r="N579" s="82">
        <f>0.073*1.2</f>
        <v>0.0876</v>
      </c>
      <c r="O579" s="44">
        <f>O562*2*3+P562*7</f>
        <v>80.255</v>
      </c>
      <c r="P579" s="44">
        <v>1</v>
      </c>
      <c r="Q579" s="44">
        <f>+P579*O579</f>
        <v>80.255</v>
      </c>
      <c r="R579" s="84">
        <f>+Q579/R562</f>
        <v>2.68867952183013</v>
      </c>
      <c r="S579" s="47"/>
      <c r="T579" s="47"/>
    </row>
    <row r="580" s="27" customFormat="1" ht="18" customHeight="1" spans="1:20">
      <c r="A580" s="34"/>
      <c r="B580" s="48">
        <v>6</v>
      </c>
      <c r="C580" s="48"/>
      <c r="D580" s="88" t="s">
        <v>434</v>
      </c>
      <c r="E580" s="72" t="str">
        <f>+VLOOKUP(D580,'材料表 '!C:F,2,0)</f>
        <v>m2</v>
      </c>
      <c r="F580" s="77">
        <f>U570+U573+U574</f>
        <v>0.148929159802306</v>
      </c>
      <c r="G580" s="89">
        <f>+VLOOKUP(D580,'材料表 '!C:F,4,0)</f>
        <v>0</v>
      </c>
      <c r="H580" s="74">
        <f t="shared" si="93"/>
        <v>0.148929159802306</v>
      </c>
      <c r="I580" s="74">
        <f>+VLOOKUP(D580,'材料表 '!C:F,3,0)</f>
        <v>49.5575221238938</v>
      </c>
      <c r="J580" s="51">
        <f t="shared" si="92"/>
        <v>7.38056013179569</v>
      </c>
      <c r="K580" s="43">
        <f ca="1">H580*K561</f>
        <v>40.6095527841844</v>
      </c>
      <c r="L580" s="90" t="s">
        <v>463</v>
      </c>
      <c r="M580" s="91" t="s">
        <v>1032</v>
      </c>
      <c r="N580" s="82">
        <f>0.2*0.3*10*7.85</f>
        <v>4.71</v>
      </c>
      <c r="O580" s="44">
        <v>2</v>
      </c>
      <c r="P580" s="44">
        <f>P587</f>
        <v>7</v>
      </c>
      <c r="Q580" s="44">
        <f>+P580*O580*N580</f>
        <v>65.94</v>
      </c>
      <c r="R580" s="84">
        <f>+Q580/R562</f>
        <v>2.2091025813903</v>
      </c>
      <c r="S580" s="47"/>
      <c r="T580" s="47"/>
    </row>
    <row r="581" s="27" customFormat="1" ht="18" customHeight="1" spans="1:20">
      <c r="A581" s="34"/>
      <c r="B581" s="48">
        <v>7</v>
      </c>
      <c r="C581" s="48"/>
      <c r="D581" s="88" t="s">
        <v>707</v>
      </c>
      <c r="E581" s="72" t="str">
        <f>+VLOOKUP(D581,'材料表 '!C:F,2,0)</f>
        <v>m2</v>
      </c>
      <c r="F581" s="77">
        <f>+SUMIF($L$562:$L$602,D581,$R$562:$R$602)</f>
        <v>0.658978583196046</v>
      </c>
      <c r="G581" s="89">
        <f>+VLOOKUP(D581,'材料表 '!C:F,4,0)</f>
        <v>0</v>
      </c>
      <c r="H581" s="74">
        <f t="shared" si="93"/>
        <v>0.658978583196046</v>
      </c>
      <c r="I581" s="74">
        <f>+VLOOKUP(D581,'材料表 '!C:F,3,0)</f>
        <v>8.8495575221239</v>
      </c>
      <c r="J581" s="51">
        <f t="shared" si="92"/>
        <v>5.83166887784112</v>
      </c>
      <c r="K581" s="43">
        <f ca="1">H581*K561</f>
        <v>179.688286655684</v>
      </c>
      <c r="L581" s="90"/>
      <c r="M581" s="91"/>
      <c r="N581" s="82"/>
      <c r="O581" s="44"/>
      <c r="P581" s="44"/>
      <c r="Q581" s="44"/>
      <c r="R581" s="84"/>
      <c r="S581" s="47"/>
      <c r="T581" s="47"/>
    </row>
    <row r="582" s="27" customFormat="1" ht="18" customHeight="1" spans="1:20">
      <c r="A582" s="34"/>
      <c r="B582" s="48">
        <v>8</v>
      </c>
      <c r="C582" s="48"/>
      <c r="D582" s="88" t="s">
        <v>710</v>
      </c>
      <c r="E582" s="72" t="str">
        <f>+VLOOKUP(D582,'材料表 '!C:F,2,0)</f>
        <v>kg</v>
      </c>
      <c r="F582" s="77">
        <f t="shared" ref="F582:F589" si="95">+SUMIF($L$562:$L$602,D582,$R$562:$R$602)</f>
        <v>63.1048561562319</v>
      </c>
      <c r="G582" s="89">
        <f>+VLOOKUP(D582,'材料表 '!C:F,4,0)</f>
        <v>0.03</v>
      </c>
      <c r="H582" s="74">
        <f t="shared" si="93"/>
        <v>64.9980018409189</v>
      </c>
      <c r="I582" s="74">
        <f>+VLOOKUP(D582,'材料表 '!C:F,3,0)</f>
        <v>8.8495575221239</v>
      </c>
      <c r="J582" s="51">
        <f t="shared" si="92"/>
        <v>575.203556114327</v>
      </c>
      <c r="K582" s="43">
        <f ca="1">H582*K561</f>
        <v>17723.4585230262</v>
      </c>
      <c r="L582" s="69" t="s">
        <v>465</v>
      </c>
      <c r="M582" s="81" t="s">
        <v>1013</v>
      </c>
      <c r="N582" s="34">
        <v>9.88</v>
      </c>
      <c r="O582" s="34">
        <f>0.13</f>
        <v>0.13</v>
      </c>
      <c r="P582" s="34">
        <f>2*P580</f>
        <v>14</v>
      </c>
      <c r="Q582" s="44">
        <f>+P582*O582*N582</f>
        <v>17.9816</v>
      </c>
      <c r="R582" s="84">
        <f>Q582/R562</f>
        <v>0.602414300538791</v>
      </c>
      <c r="S582" s="47"/>
      <c r="T582" s="47"/>
    </row>
    <row r="583" s="27" customFormat="1" ht="18" customHeight="1" spans="1:20">
      <c r="A583" s="34"/>
      <c r="B583" s="48">
        <v>9</v>
      </c>
      <c r="C583" s="48"/>
      <c r="D583" s="88" t="s">
        <v>431</v>
      </c>
      <c r="E583" s="72" t="str">
        <f>+VLOOKUP(D583,'材料表 '!C:F,2,0)</f>
        <v>kg</v>
      </c>
      <c r="F583" s="77">
        <f t="shared" si="95"/>
        <v>0</v>
      </c>
      <c r="G583" s="89">
        <f>+VLOOKUP(D583,'材料表 '!C:F,4,0)</f>
        <v>0.03</v>
      </c>
      <c r="H583" s="74">
        <f t="shared" ref="H583:H592" si="96">F583*(G583+1)</f>
        <v>0</v>
      </c>
      <c r="I583" s="74">
        <f>+VLOOKUP(D583,'材料表 '!C:F,3,0)</f>
        <v>3.80530973451327</v>
      </c>
      <c r="J583" s="51">
        <f t="shared" ref="J583:J592" si="97">H583*I583</f>
        <v>0</v>
      </c>
      <c r="K583" s="43">
        <f ca="1">H583*K561</f>
        <v>0</v>
      </c>
      <c r="L583" s="90" t="s">
        <v>474</v>
      </c>
      <c r="M583" s="44"/>
      <c r="N583" s="82"/>
      <c r="O583" s="44">
        <v>4</v>
      </c>
      <c r="P583" s="44">
        <f>O580*P580</f>
        <v>14</v>
      </c>
      <c r="Q583" s="44">
        <f>O583*P583</f>
        <v>56</v>
      </c>
      <c r="R583" s="84">
        <f>Q583/R562</f>
        <v>1.87609561052255</v>
      </c>
      <c r="S583" s="47"/>
      <c r="T583" s="47"/>
    </row>
    <row r="584" s="27" customFormat="1" ht="18" customHeight="1" spans="1:20">
      <c r="A584" s="34"/>
      <c r="B584" s="48">
        <v>10</v>
      </c>
      <c r="C584" s="48"/>
      <c r="D584" s="88" t="s">
        <v>461</v>
      </c>
      <c r="E584" s="72" t="str">
        <f>+VLOOKUP(D584,'材料表 '!C:F,2,0)</f>
        <v>kg</v>
      </c>
      <c r="F584" s="77">
        <f t="shared" si="95"/>
        <v>0</v>
      </c>
      <c r="G584" s="89">
        <f>+VLOOKUP(D584,'材料表 '!C:F,4,0)</f>
        <v>0.03</v>
      </c>
      <c r="H584" s="74">
        <f t="shared" si="96"/>
        <v>0</v>
      </c>
      <c r="I584" s="74">
        <f>+VLOOKUP(D584,'材料表 '!C:F,3,0)</f>
        <v>3.53982300884956</v>
      </c>
      <c r="J584" s="51">
        <f t="shared" si="97"/>
        <v>0</v>
      </c>
      <c r="K584" s="43">
        <f ca="1">H584*K561</f>
        <v>0</v>
      </c>
      <c r="L584" s="90" t="s">
        <v>472</v>
      </c>
      <c r="M584" s="91"/>
      <c r="N584" s="82"/>
      <c r="O584" s="44">
        <v>2</v>
      </c>
      <c r="P584" s="44">
        <f>P580</f>
        <v>7</v>
      </c>
      <c r="Q584" s="44">
        <f>O584*P584</f>
        <v>14</v>
      </c>
      <c r="R584" s="84">
        <f>Q584/R562</f>
        <v>0.469023902630638</v>
      </c>
      <c r="S584" s="47"/>
      <c r="T584" s="47"/>
    </row>
    <row r="585" s="27" customFormat="1" ht="18" customHeight="1" spans="1:20">
      <c r="A585" s="34"/>
      <c r="B585" s="48">
        <v>11</v>
      </c>
      <c r="C585" s="48"/>
      <c r="D585" s="88" t="s">
        <v>435</v>
      </c>
      <c r="E585" s="72" t="str">
        <f>+VLOOKUP(D585,'材料表 '!C:F,2,0)</f>
        <v>kg</v>
      </c>
      <c r="F585" s="77">
        <f t="shared" si="95"/>
        <v>2.68867952183013</v>
      </c>
      <c r="G585" s="89">
        <f>+VLOOKUP(D585,'材料表 '!C:F,4,0)</f>
        <v>0.03</v>
      </c>
      <c r="H585" s="74">
        <f t="shared" si="96"/>
        <v>2.76933990748503</v>
      </c>
      <c r="I585" s="74">
        <f>+VLOOKUP(D585,'材料表 '!C:F,3,0)</f>
        <v>19.4690265486726</v>
      </c>
      <c r="J585" s="51">
        <f t="shared" si="97"/>
        <v>53.9163521811246</v>
      </c>
      <c r="K585" s="43">
        <f ca="1">H585*K561</f>
        <v>755.135228719798</v>
      </c>
      <c r="L585" s="69" t="s">
        <v>465</v>
      </c>
      <c r="M585" s="91"/>
      <c r="N585" s="82">
        <f>(0.058+0.04*2)*5*7.85</f>
        <v>5.4165</v>
      </c>
      <c r="O585" s="44">
        <f>O562</f>
        <v>9.835</v>
      </c>
      <c r="P585" s="44">
        <v>0</v>
      </c>
      <c r="Q585" s="44">
        <f>+P585*O585*N585</f>
        <v>0</v>
      </c>
      <c r="R585" s="84">
        <f>+Q585/R562</f>
        <v>0</v>
      </c>
      <c r="S585" s="47"/>
      <c r="T585" s="47"/>
    </row>
    <row r="586" s="27" customFormat="1" ht="18" customHeight="1" spans="1:20">
      <c r="A586" s="34"/>
      <c r="B586" s="48">
        <v>12</v>
      </c>
      <c r="C586" s="48"/>
      <c r="D586" s="88" t="s">
        <v>463</v>
      </c>
      <c r="E586" s="72" t="str">
        <f>+VLOOKUP(D586,'材料表 '!C:F,2,0)</f>
        <v>kg</v>
      </c>
      <c r="F586" s="77">
        <f t="shared" si="95"/>
        <v>2.2091025813903</v>
      </c>
      <c r="G586" s="89">
        <f>+VLOOKUP(D586,'材料表 '!C:F,4,0)</f>
        <v>0.03</v>
      </c>
      <c r="H586" s="74">
        <f t="shared" si="96"/>
        <v>2.27537565883201</v>
      </c>
      <c r="I586" s="74">
        <f>+VLOOKUP(D586,'材料表 '!C:F,3,0)</f>
        <v>6.01769911504425</v>
      </c>
      <c r="J586" s="51">
        <f t="shared" si="97"/>
        <v>13.6925260885466</v>
      </c>
      <c r="K586" s="43">
        <f ca="1">H586*K561</f>
        <v>620.442551638945</v>
      </c>
      <c r="L586" s="69" t="s">
        <v>461</v>
      </c>
      <c r="N586" s="83"/>
      <c r="O586" s="83"/>
      <c r="P586" s="83"/>
      <c r="Q586" s="83"/>
      <c r="R586" s="84"/>
      <c r="S586" s="47"/>
      <c r="T586" s="47"/>
    </row>
    <row r="587" s="27" customFormat="1" ht="18" customHeight="1" spans="1:20">
      <c r="A587" s="34"/>
      <c r="B587" s="48">
        <v>13</v>
      </c>
      <c r="C587" s="48"/>
      <c r="D587" s="88" t="s">
        <v>465</v>
      </c>
      <c r="E587" s="72" t="str">
        <f>+VLOOKUP(D587,'材料表 '!C:F,2,0)</f>
        <v>kg</v>
      </c>
      <c r="F587" s="77">
        <f t="shared" si="95"/>
        <v>0.602414300538791</v>
      </c>
      <c r="G587" s="89">
        <f>+VLOOKUP(D587,'材料表 '!C:F,4,0)</f>
        <v>0.03</v>
      </c>
      <c r="H587" s="74">
        <f t="shared" si="96"/>
        <v>0.620486729554955</v>
      </c>
      <c r="I587" s="74">
        <f>+VLOOKUP(D587,'材料表 '!C:F,3,0)</f>
        <v>6.01769911504425</v>
      </c>
      <c r="J587" s="51">
        <f t="shared" si="97"/>
        <v>3.73390244333955</v>
      </c>
      <c r="K587" s="43">
        <f ca="1">H587*K561</f>
        <v>169.192444442688</v>
      </c>
      <c r="L587" s="90" t="s">
        <v>1033</v>
      </c>
      <c r="M587" s="44"/>
      <c r="N587" s="82">
        <f>(0.225+0.07)*1*25*7.85</f>
        <v>57.89375</v>
      </c>
      <c r="O587" s="44">
        <f>3.243</f>
        <v>3.243</v>
      </c>
      <c r="P587" s="44">
        <f>9-2</f>
        <v>7</v>
      </c>
      <c r="Q587" s="44">
        <f>+P587*O587*N587</f>
        <v>1314.24601875</v>
      </c>
      <c r="R587" s="84">
        <f>+Q587/R562</f>
        <v>44.0294854807788</v>
      </c>
      <c r="S587" s="47"/>
      <c r="T587" s="47"/>
    </row>
    <row r="588" s="27" customFormat="1" ht="18" customHeight="1" spans="1:20">
      <c r="A588" s="34"/>
      <c r="B588" s="48">
        <v>14</v>
      </c>
      <c r="C588" s="48"/>
      <c r="D588" s="88" t="s">
        <v>474</v>
      </c>
      <c r="E588" s="72" t="str">
        <f>+VLOOKUP(D588,'材料表 '!C:F,2,0)</f>
        <v>套</v>
      </c>
      <c r="F588" s="77">
        <f t="shared" si="95"/>
        <v>1.87609561052255</v>
      </c>
      <c r="G588" s="89">
        <f>+VLOOKUP(D588,'材料表 '!C:F,4,0)</f>
        <v>0</v>
      </c>
      <c r="H588" s="74">
        <f t="shared" si="96"/>
        <v>1.87609561052255</v>
      </c>
      <c r="I588" s="74">
        <f>+VLOOKUP(D588,'材料表 '!C:F,3,0)</f>
        <v>2.21238938053097</v>
      </c>
      <c r="J588" s="51">
        <f t="shared" si="97"/>
        <v>4.15065400558086</v>
      </c>
      <c r="K588" s="43">
        <f ca="1">H588*K561</f>
        <v>511.568075888067</v>
      </c>
      <c r="L588" s="90" t="s">
        <v>1033</v>
      </c>
      <c r="M588" s="44"/>
      <c r="N588" s="82">
        <f>(0.225+0.07)*1*25*7.85</f>
        <v>57.89375</v>
      </c>
      <c r="O588" s="44">
        <f>O562</f>
        <v>9.835</v>
      </c>
      <c r="P588" s="44">
        <v>1</v>
      </c>
      <c r="Q588" s="44">
        <f>+P588*O588*N588</f>
        <v>569.38503125</v>
      </c>
      <c r="R588" s="84">
        <f>+Q588/R562</f>
        <v>19.0753706754531</v>
      </c>
      <c r="S588" s="47"/>
      <c r="T588" s="47"/>
    </row>
    <row r="589" s="27" customFormat="1" ht="18" customHeight="1" spans="1:20">
      <c r="A589" s="34"/>
      <c r="B589" s="48">
        <v>15</v>
      </c>
      <c r="C589" s="48"/>
      <c r="D589" s="88" t="s">
        <v>472</v>
      </c>
      <c r="E589" s="72" t="str">
        <f>+VLOOKUP(D589,'材料表 '!C:F,2,0)</f>
        <v>套</v>
      </c>
      <c r="F589" s="77">
        <f t="shared" si="95"/>
        <v>0.469023902630638</v>
      </c>
      <c r="G589" s="89">
        <f>+VLOOKUP(D589,'材料表 '!C:F,4,0)</f>
        <v>0</v>
      </c>
      <c r="H589" s="74">
        <f t="shared" si="96"/>
        <v>0.469023902630638</v>
      </c>
      <c r="I589" s="74">
        <f>+VLOOKUP(D589,'材料表 '!C:F,3,0)</f>
        <v>2.47787610619469</v>
      </c>
      <c r="J589" s="51">
        <f t="shared" si="97"/>
        <v>1.16218312156264</v>
      </c>
      <c r="K589" s="43">
        <f ca="1">H589*K561</f>
        <v>127.892018972017</v>
      </c>
      <c r="L589" s="90"/>
      <c r="M589" s="44"/>
      <c r="N589" s="82"/>
      <c r="O589" s="44"/>
      <c r="P589" s="44"/>
      <c r="Q589" s="44"/>
      <c r="R589" s="84"/>
      <c r="S589" s="47"/>
      <c r="T589" s="47"/>
    </row>
    <row r="590" s="27" customFormat="1" ht="18" customHeight="1" spans="1:20">
      <c r="A590" s="34"/>
      <c r="B590" s="48">
        <v>16</v>
      </c>
      <c r="C590" s="48"/>
      <c r="D590" s="88" t="s">
        <v>476</v>
      </c>
      <c r="E590" s="72" t="str">
        <f>+VLOOKUP(D590,'材料表 '!C:F,2,0)</f>
        <v>支</v>
      </c>
      <c r="F590" s="77">
        <f>8*8*(O562*4)*2/500/R562+16*8*(O566*P587)/500/R562</f>
        <v>0.519603440290326</v>
      </c>
      <c r="G590" s="89">
        <f>+VLOOKUP(D590,'材料表 '!C:F,4,0)</f>
        <v>0.15</v>
      </c>
      <c r="H590" s="74">
        <f t="shared" si="96"/>
        <v>0.597543956333875</v>
      </c>
      <c r="I590" s="74">
        <f>+VLOOKUP(D590,'材料表 '!C:F,3,0)</f>
        <v>11.5044247787611</v>
      </c>
      <c r="J590" s="51">
        <f t="shared" si="97"/>
        <v>6.87439949764637</v>
      </c>
      <c r="K590" s="43">
        <f ca="1">H590*K561</f>
        <v>162.936478442653</v>
      </c>
      <c r="L590" s="92"/>
      <c r="M590" s="44"/>
      <c r="N590" s="82"/>
      <c r="O590" s="44"/>
      <c r="P590" s="44"/>
      <c r="Q590" s="44"/>
      <c r="R590" s="84"/>
      <c r="S590" s="47"/>
      <c r="T590" s="47"/>
    </row>
    <row r="591" s="27" customFormat="1" ht="18" customHeight="1" spans="1:20">
      <c r="A591" s="34"/>
      <c r="B591" s="48">
        <v>17</v>
      </c>
      <c r="C591" s="48"/>
      <c r="D591" s="88" t="s">
        <v>576</v>
      </c>
      <c r="E591" s="72" t="str">
        <f>+VLOOKUP(D591,'材料表 '!C:F,2,0)</f>
        <v>支</v>
      </c>
      <c r="F591" s="77">
        <f>18*10*(O566*P566)/500/R562</f>
        <v>0.439247585155059</v>
      </c>
      <c r="G591" s="89">
        <f>+VLOOKUP(D591,'材料表 '!C:F,4,0)</f>
        <v>0.15</v>
      </c>
      <c r="H591" s="74">
        <f t="shared" si="96"/>
        <v>0.505134722928318</v>
      </c>
      <c r="I591" s="74">
        <f>+VLOOKUP(D591,'材料表 '!C:F,3,0)</f>
        <v>14.1592920353982</v>
      </c>
      <c r="J591" s="51">
        <f t="shared" si="97"/>
        <v>7.15235005916201</v>
      </c>
      <c r="K591" s="43">
        <f ca="1">H591*K561</f>
        <v>137.738608215557</v>
      </c>
      <c r="L591" s="92"/>
      <c r="M591" s="44"/>
      <c r="N591" s="82"/>
      <c r="O591" s="44"/>
      <c r="P591" s="44"/>
      <c r="Q591" s="44"/>
      <c r="R591" s="84"/>
      <c r="S591" s="47"/>
      <c r="T591" s="47"/>
    </row>
    <row r="592" s="27" customFormat="1" ht="18" customHeight="1" spans="1:20">
      <c r="A592" s="34"/>
      <c r="B592" s="48">
        <v>18</v>
      </c>
      <c r="C592" s="48"/>
      <c r="D592" s="88" t="s">
        <v>479</v>
      </c>
      <c r="E592" s="72" t="str">
        <f>+VLOOKUP(D592,'材料表 '!C:F,2,0)</f>
        <v>kg</v>
      </c>
      <c r="F592" s="77">
        <v>0</v>
      </c>
      <c r="G592" s="89">
        <f>+VLOOKUP(D592,'材料表 '!C:F,4,0)</f>
        <v>0.03</v>
      </c>
      <c r="H592" s="74">
        <f t="shared" si="96"/>
        <v>0</v>
      </c>
      <c r="I592" s="74">
        <f>+VLOOKUP(D592,'材料表 '!C:F,3,0)</f>
        <v>14.1592920353982</v>
      </c>
      <c r="J592" s="51">
        <f t="shared" si="97"/>
        <v>0</v>
      </c>
      <c r="K592" s="43">
        <f ca="1">H592*K561</f>
        <v>0</v>
      </c>
      <c r="L592" s="92"/>
      <c r="M592" s="44"/>
      <c r="N592" s="82"/>
      <c r="O592" s="44"/>
      <c r="P592" s="44"/>
      <c r="Q592" s="44"/>
      <c r="R592" s="84"/>
      <c r="S592" s="47"/>
      <c r="T592" s="47"/>
    </row>
    <row r="593" s="27" customFormat="1" ht="21" customHeight="1" spans="1:20">
      <c r="A593" s="34"/>
      <c r="B593" s="48">
        <v>19</v>
      </c>
      <c r="C593" s="48"/>
      <c r="D593" s="88" t="s">
        <v>500</v>
      </c>
      <c r="E593" s="72" t="str">
        <f>+VLOOKUP(D593,'材料表 '!C:F,2,0)</f>
        <v>kg</v>
      </c>
      <c r="F593" s="77"/>
      <c r="G593" s="89"/>
      <c r="H593" s="74"/>
      <c r="I593" s="74"/>
      <c r="J593" s="51"/>
      <c r="K593" s="43">
        <f ca="1">H593*K561</f>
        <v>0</v>
      </c>
      <c r="L593" s="92"/>
      <c r="M593" s="44"/>
      <c r="N593" s="82"/>
      <c r="O593" s="44"/>
      <c r="P593" s="44"/>
      <c r="Q593" s="44"/>
      <c r="R593" s="84"/>
      <c r="S593" s="47"/>
      <c r="T593" s="47"/>
    </row>
    <row r="594" s="27" customFormat="1" ht="27" customHeight="1" spans="1:20">
      <c r="A594" s="34"/>
      <c r="B594" s="48">
        <v>20</v>
      </c>
      <c r="C594" s="48"/>
      <c r="D594" s="88" t="s">
        <v>698</v>
      </c>
      <c r="E594" s="72" t="str">
        <f>+VLOOKUP(D594,'材料表 '!C:F,2,0)</f>
        <v>m2</v>
      </c>
      <c r="F594" s="77">
        <v>1</v>
      </c>
      <c r="G594" s="89">
        <f>+VLOOKUP(D594,'材料表 '!C:F,4,0)</f>
        <v>0.01</v>
      </c>
      <c r="H594" s="74">
        <f>F594*(G594+1)</f>
        <v>1.01</v>
      </c>
      <c r="I594" s="74">
        <f>+VLOOKUP(D594,'材料表 '!C:F,3,0)</f>
        <v>130.973451327434</v>
      </c>
      <c r="J594" s="51">
        <f>H594*I594</f>
        <v>132.283185840708</v>
      </c>
      <c r="K594" s="43">
        <f ca="1">H594*K561</f>
        <v>275.40374475</v>
      </c>
      <c r="L594" s="90"/>
      <c r="M594" s="44"/>
      <c r="N594" s="82"/>
      <c r="O594" s="44"/>
      <c r="P594" s="44"/>
      <c r="Q594" s="44"/>
      <c r="R594" s="84"/>
      <c r="S594" s="47"/>
      <c r="T594" s="47"/>
    </row>
    <row r="595" s="27" customFormat="1" ht="19" customHeight="1" spans="1:20">
      <c r="A595" s="34"/>
      <c r="B595" s="48">
        <v>21</v>
      </c>
      <c r="C595" s="48"/>
      <c r="D595" s="88" t="s">
        <v>713</v>
      </c>
      <c r="E595" s="72" t="str">
        <f>+VLOOKUP(D595,'材料表 '!C:F,2,0)</f>
        <v>m2</v>
      </c>
      <c r="F595" s="77">
        <f>0.647*(O587*P587+O588*P588)/R562</f>
        <v>0.705237472664701</v>
      </c>
      <c r="G595" s="89">
        <f>+VLOOKUP(D595,'材料表 '!C:F,4,0)</f>
        <v>0.01</v>
      </c>
      <c r="H595" s="74">
        <f>F595*(G595+1)</f>
        <v>0.712289847391348</v>
      </c>
      <c r="I595" s="74">
        <f>+VLOOKUP(D595,'材料表 '!C:F,3,0)</f>
        <v>265.486725663717</v>
      </c>
      <c r="J595" s="51">
        <f>H595*I595</f>
        <v>189.103499307438</v>
      </c>
      <c r="K595" s="43">
        <f ca="1">H595*K561</f>
        <v>194.225040909884</v>
      </c>
      <c r="L595" s="90"/>
      <c r="M595" s="44"/>
      <c r="N595" s="82"/>
      <c r="O595" s="44"/>
      <c r="P595" s="44"/>
      <c r="Q595" s="44"/>
      <c r="R595" s="84"/>
      <c r="S595" s="47"/>
      <c r="T595" s="47"/>
    </row>
    <row r="596" s="27" customFormat="1" ht="18" customHeight="1" spans="1:20">
      <c r="A596" s="34"/>
      <c r="B596" s="48">
        <v>22</v>
      </c>
      <c r="C596" s="48"/>
      <c r="D596" s="88"/>
      <c r="E596" s="72"/>
      <c r="F596" s="77"/>
      <c r="G596" s="89"/>
      <c r="H596" s="74"/>
      <c r="I596" s="74"/>
      <c r="J596" s="51"/>
      <c r="K596" s="43">
        <f ca="1">H596*K561</f>
        <v>0</v>
      </c>
      <c r="L596" s="92"/>
      <c r="M596" s="44"/>
      <c r="N596" s="82"/>
      <c r="O596" s="44"/>
      <c r="P596" s="44"/>
      <c r="Q596" s="44"/>
      <c r="R596" s="84"/>
      <c r="S596" s="47"/>
      <c r="T596" s="47"/>
    </row>
    <row r="597" s="27" customFormat="1" ht="18" customHeight="1" spans="1:20">
      <c r="A597" s="34"/>
      <c r="B597" s="48">
        <v>23</v>
      </c>
      <c r="C597" s="48"/>
      <c r="D597" s="88"/>
      <c r="E597" s="72"/>
      <c r="F597" s="77"/>
      <c r="G597" s="89"/>
      <c r="H597" s="74"/>
      <c r="I597" s="74"/>
      <c r="J597" s="51"/>
      <c r="K597" s="43">
        <f ca="1">H597*K561</f>
        <v>0</v>
      </c>
      <c r="L597" s="92"/>
      <c r="M597" s="44"/>
      <c r="N597" s="44"/>
      <c r="O597" s="44"/>
      <c r="P597" s="44"/>
      <c r="Q597" s="44"/>
      <c r="R597" s="84"/>
      <c r="S597" s="47"/>
      <c r="T597" s="47"/>
    </row>
    <row r="598" s="27" customFormat="1" ht="18" customHeight="1" spans="1:20">
      <c r="A598" s="34"/>
      <c r="B598" s="48">
        <v>24</v>
      </c>
      <c r="C598" s="48"/>
      <c r="D598" s="88"/>
      <c r="E598" s="72"/>
      <c r="F598" s="77"/>
      <c r="G598" s="89"/>
      <c r="H598" s="74"/>
      <c r="I598" s="74"/>
      <c r="J598" s="51"/>
      <c r="K598" s="75">
        <f ca="1">H598*K561</f>
        <v>0</v>
      </c>
      <c r="L598" s="92"/>
      <c r="M598" s="44"/>
      <c r="N598" s="44"/>
      <c r="O598" s="44"/>
      <c r="P598" s="44"/>
      <c r="Q598" s="44"/>
      <c r="R598" s="84"/>
      <c r="S598" s="47"/>
      <c r="T598" s="47"/>
    </row>
    <row r="599" s="27" customFormat="1" ht="18" customHeight="1" spans="1:20">
      <c r="A599" s="34"/>
      <c r="B599" s="48">
        <v>25</v>
      </c>
      <c r="C599" s="48"/>
      <c r="D599" s="88"/>
      <c r="E599" s="72"/>
      <c r="F599" s="77"/>
      <c r="G599" s="89"/>
      <c r="H599" s="74"/>
      <c r="I599" s="74"/>
      <c r="J599" s="51"/>
      <c r="K599" s="75">
        <f ca="1">H599*K561</f>
        <v>0</v>
      </c>
      <c r="L599" s="92"/>
      <c r="M599" s="44"/>
      <c r="N599" s="44"/>
      <c r="O599" s="44"/>
      <c r="P599" s="44"/>
      <c r="Q599" s="44"/>
      <c r="R599" s="84"/>
      <c r="S599" s="47"/>
      <c r="T599" s="47"/>
    </row>
    <row r="600" s="27" customFormat="1" ht="18" customHeight="1" spans="1:20">
      <c r="A600" s="34"/>
      <c r="B600" s="48">
        <v>26</v>
      </c>
      <c r="C600" s="48"/>
      <c r="D600" s="88" t="s">
        <v>441</v>
      </c>
      <c r="E600" s="72" t="s">
        <v>43</v>
      </c>
      <c r="F600" s="77"/>
      <c r="G600" s="72">
        <v>1</v>
      </c>
      <c r="H600" s="74">
        <v>1</v>
      </c>
      <c r="I600" s="74">
        <f>+辅材及安装费!$E$18</f>
        <v>10</v>
      </c>
      <c r="J600" s="51">
        <f>H600*I600</f>
        <v>10</v>
      </c>
      <c r="K600" s="75"/>
      <c r="L600" s="92"/>
      <c r="M600" s="44"/>
      <c r="N600" s="44"/>
      <c r="O600" s="44"/>
      <c r="P600" s="44"/>
      <c r="Q600" s="44"/>
      <c r="R600" s="62"/>
      <c r="S600" s="47"/>
      <c r="T600" s="47"/>
    </row>
    <row r="601" s="27" customFormat="1" ht="18" customHeight="1" spans="1:20">
      <c r="A601" s="34"/>
      <c r="B601" s="48">
        <v>27</v>
      </c>
      <c r="C601" s="48"/>
      <c r="D601" s="93" t="s">
        <v>442</v>
      </c>
      <c r="E601" s="72"/>
      <c r="F601" s="77"/>
      <c r="G601" s="72"/>
      <c r="H601" s="74"/>
      <c r="I601" s="74"/>
      <c r="J601" s="51">
        <f>SUM(J575:J600)</f>
        <v>1111.37434412436</v>
      </c>
      <c r="K601" s="75"/>
      <c r="L601" s="94"/>
      <c r="N601" s="83"/>
      <c r="O601" s="83"/>
      <c r="P601" s="83"/>
      <c r="Q601" s="83"/>
      <c r="R601" s="87"/>
      <c r="S601" s="47"/>
      <c r="T601" s="47"/>
    </row>
    <row r="602" s="27" customFormat="1" ht="18" customHeight="1" spans="1:20">
      <c r="A602" s="34"/>
      <c r="B602" s="48">
        <v>1</v>
      </c>
      <c r="C602" s="48" t="s">
        <v>443</v>
      </c>
      <c r="D602" s="48" t="s">
        <v>444</v>
      </c>
      <c r="E602" s="72" t="s">
        <v>43</v>
      </c>
      <c r="F602" s="50"/>
      <c r="G602" s="48"/>
      <c r="H602" s="51">
        <v>1</v>
      </c>
      <c r="I602" s="74">
        <f>+辅材及安装费!$F$18</f>
        <v>5</v>
      </c>
      <c r="J602" s="95">
        <f>H602*I602</f>
        <v>5</v>
      </c>
      <c r="K602" s="60"/>
      <c r="L602" s="96"/>
      <c r="M602" s="97"/>
      <c r="N602" s="98"/>
      <c r="O602" s="98"/>
      <c r="P602" s="98"/>
      <c r="Q602" s="98"/>
      <c r="R602" s="99"/>
      <c r="S602" s="47"/>
      <c r="T602" s="47"/>
    </row>
    <row r="603" s="26" customFormat="1" ht="30" customHeight="1" spans="1:20">
      <c r="A603" s="28"/>
      <c r="B603" s="29" t="s">
        <v>386</v>
      </c>
      <c r="C603" s="29"/>
      <c r="D603" s="29"/>
      <c r="E603" s="29"/>
      <c r="F603" s="29"/>
      <c r="G603" s="29"/>
      <c r="H603" s="29"/>
      <c r="I603" s="29"/>
      <c r="J603" s="29"/>
      <c r="K603" s="29"/>
      <c r="L603" s="30"/>
      <c r="M603" s="31"/>
      <c r="N603" s="31"/>
      <c r="O603" s="31"/>
      <c r="P603" s="31"/>
      <c r="Q603" s="31"/>
      <c r="R603" s="32"/>
      <c r="S603" s="33"/>
      <c r="T603" s="33"/>
    </row>
    <row r="604" s="27" customFormat="1" ht="33.75" customHeight="1" spans="1:20">
      <c r="A604" s="34">
        <v>15</v>
      </c>
      <c r="B604" s="35" t="s">
        <v>1</v>
      </c>
      <c r="C604" s="35" t="s">
        <v>387</v>
      </c>
      <c r="D604" s="36" t="str">
        <f>+A612</f>
        <v>二层T型钢龙骨玻璃幕墙（8+1.52PVB+8㎜全超白钢化夹层玻璃）（直+弯弧）（直段宽度300㎜+弧长942㎜，圆弧半径600㎜，高3035㎜）</v>
      </c>
      <c r="E604" s="37"/>
      <c r="F604" s="38" t="s">
        <v>225</v>
      </c>
      <c r="G604" s="39"/>
      <c r="H604" s="35" t="s">
        <v>388</v>
      </c>
      <c r="I604" s="40" t="s">
        <v>389</v>
      </c>
      <c r="J604" s="41" t="s">
        <v>37</v>
      </c>
      <c r="K604" s="42">
        <f ca="1">VLOOKUP(A604,'商业工程量清单 '!$A$4:$D$44,4,FALSE)</f>
        <v>7.53894</v>
      </c>
      <c r="L604" s="43"/>
      <c r="M604" s="44"/>
      <c r="N604" s="44"/>
      <c r="O604" s="44"/>
      <c r="P604" s="45"/>
      <c r="Q604" s="44"/>
      <c r="R604" s="46"/>
      <c r="S604" s="47"/>
      <c r="T604" s="47"/>
    </row>
    <row r="605" s="27" customFormat="1" ht="25" customHeight="1" spans="1:20">
      <c r="A605" s="34"/>
      <c r="B605" s="48">
        <v>1</v>
      </c>
      <c r="C605" s="49" t="s">
        <v>390</v>
      </c>
      <c r="D605" s="48" t="s">
        <v>391</v>
      </c>
      <c r="E605" s="48"/>
      <c r="F605" s="50"/>
      <c r="G605" s="48"/>
      <c r="H605" s="51"/>
      <c r="I605" s="52">
        <f>J617</f>
        <v>283.925041186161</v>
      </c>
      <c r="J605" s="53" t="s">
        <v>392</v>
      </c>
      <c r="K605" s="54"/>
      <c r="L605" s="55" t="s">
        <v>1005</v>
      </c>
      <c r="M605" s="56"/>
      <c r="N605" s="57"/>
      <c r="O605" s="57">
        <f>0.3+0.942</f>
        <v>1.242</v>
      </c>
      <c r="P605" s="57">
        <v>3.035</v>
      </c>
      <c r="Q605" s="57">
        <v>1</v>
      </c>
      <c r="R605" s="58">
        <f>+Q605*P605*O605</f>
        <v>3.76947</v>
      </c>
      <c r="S605" s="47"/>
      <c r="T605" s="47"/>
    </row>
    <row r="606" s="27" customFormat="1" ht="18" customHeight="1" spans="1:20">
      <c r="A606" s="34"/>
      <c r="B606" s="48">
        <v>2</v>
      </c>
      <c r="C606" s="59"/>
      <c r="D606" s="48" t="s">
        <v>394</v>
      </c>
      <c r="E606" s="48"/>
      <c r="F606" s="50"/>
      <c r="G606" s="48"/>
      <c r="H606" s="51"/>
      <c r="I606" s="52">
        <f>J644</f>
        <v>2102.06379034909</v>
      </c>
      <c r="J606" s="53" t="s">
        <v>392</v>
      </c>
      <c r="K606" s="60"/>
      <c r="L606" s="61"/>
      <c r="M606" s="44"/>
      <c r="N606" s="44"/>
      <c r="O606" s="44"/>
      <c r="P606" s="44"/>
      <c r="Q606" s="44"/>
      <c r="R606" s="62"/>
      <c r="S606" s="47"/>
      <c r="T606" s="47"/>
    </row>
    <row r="607" s="27" customFormat="1" ht="18" customHeight="1" spans="1:20">
      <c r="A607" s="34"/>
      <c r="B607" s="48">
        <v>3</v>
      </c>
      <c r="C607" s="63"/>
      <c r="D607" s="48" t="s">
        <v>395</v>
      </c>
      <c r="E607" s="48"/>
      <c r="F607" s="50"/>
      <c r="G607" s="48"/>
      <c r="H607" s="51"/>
      <c r="I607" s="52">
        <f>J645</f>
        <v>5</v>
      </c>
      <c r="J607" s="53" t="s">
        <v>392</v>
      </c>
      <c r="K607" s="60"/>
      <c r="L607" s="60"/>
      <c r="M607" s="64" t="s">
        <v>396</v>
      </c>
      <c r="N607" s="65" t="s">
        <v>397</v>
      </c>
      <c r="O607" s="65" t="s">
        <v>398</v>
      </c>
      <c r="P607" s="65" t="s">
        <v>399</v>
      </c>
      <c r="Q607" s="65" t="s">
        <v>400</v>
      </c>
      <c r="R607" s="66" t="s">
        <v>401</v>
      </c>
      <c r="S607" s="47"/>
      <c r="T607" s="47"/>
    </row>
    <row r="608" s="27" customFormat="1" ht="18" customHeight="1" spans="1:20">
      <c r="A608" s="34"/>
      <c r="B608" s="48">
        <v>4</v>
      </c>
      <c r="C608" s="48" t="s">
        <v>402</v>
      </c>
      <c r="D608" s="67" t="s">
        <v>403</v>
      </c>
      <c r="E608" s="67"/>
      <c r="F608" s="50"/>
      <c r="G608" s="67"/>
      <c r="H608" s="68"/>
      <c r="I608" s="52">
        <f>SUM(I605:I607)</f>
        <v>2390.98883153525</v>
      </c>
      <c r="J608" s="53" t="s">
        <v>392</v>
      </c>
      <c r="K608" s="60"/>
      <c r="L608" s="69" t="s">
        <v>427</v>
      </c>
      <c r="M608" s="70" t="s">
        <v>1007</v>
      </c>
      <c r="N608" s="34"/>
      <c r="O608" s="34">
        <v>0</v>
      </c>
      <c r="P608" s="34">
        <v>1</v>
      </c>
      <c r="Q608" s="44">
        <f t="shared" ref="Q608:Q618" si="98">+P608*O608*N608</f>
        <v>0</v>
      </c>
      <c r="R608" s="71">
        <f>+Q608/R605</f>
        <v>0</v>
      </c>
      <c r="S608" s="47"/>
      <c r="T608" s="47"/>
    </row>
    <row r="609" s="27" customFormat="1" ht="28" customHeight="1" spans="1:21">
      <c r="A609" s="34"/>
      <c r="B609" s="48">
        <v>5</v>
      </c>
      <c r="C609" s="72" t="s">
        <v>406</v>
      </c>
      <c r="D609" s="48" t="s">
        <v>407</v>
      </c>
      <c r="E609" s="48"/>
      <c r="F609" s="50"/>
      <c r="G609" s="48"/>
      <c r="H609" s="73">
        <f>+'材料表 '!$E$178</f>
        <v>0</v>
      </c>
      <c r="I609" s="52">
        <f>H609*I608</f>
        <v>0</v>
      </c>
      <c r="J609" s="53" t="s">
        <v>392</v>
      </c>
      <c r="K609" s="60"/>
      <c r="L609" s="69" t="s">
        <v>433</v>
      </c>
      <c r="M609" s="70" t="s">
        <v>1008</v>
      </c>
      <c r="N609" s="100">
        <f>0.214*2.71</f>
        <v>0.57994</v>
      </c>
      <c r="O609" s="34">
        <f>P605</f>
        <v>3.035</v>
      </c>
      <c r="P609" s="34">
        <f>1*2</f>
        <v>2</v>
      </c>
      <c r="Q609" s="44">
        <f t="shared" si="98"/>
        <v>3.5202358</v>
      </c>
      <c r="R609" s="71">
        <f>+Q609/R605</f>
        <v>0.933880837359098</v>
      </c>
      <c r="S609" s="47"/>
      <c r="T609" s="47"/>
    </row>
    <row r="610" s="27" customFormat="1" ht="18" customHeight="1" spans="1:21">
      <c r="A610" s="34"/>
      <c r="B610" s="48">
        <v>6</v>
      </c>
      <c r="C610" s="48" t="s">
        <v>409</v>
      </c>
      <c r="D610" s="48" t="s">
        <v>410</v>
      </c>
      <c r="E610" s="48"/>
      <c r="F610" s="50"/>
      <c r="G610" s="48"/>
      <c r="H610" s="73">
        <f>+'材料表 '!$E$179</f>
        <v>0</v>
      </c>
      <c r="I610" s="52">
        <f>H610*I608</f>
        <v>0</v>
      </c>
      <c r="J610" s="74" t="s">
        <v>392</v>
      </c>
      <c r="K610" s="75"/>
      <c r="L610" s="69" t="s">
        <v>429</v>
      </c>
      <c r="M610" s="70" t="s">
        <v>1009</v>
      </c>
      <c r="N610" s="100">
        <f>0.142*2.71</f>
        <v>0.38482</v>
      </c>
      <c r="O610" s="100">
        <f>P605/0.3*0.05</f>
        <v>0.505833333333333</v>
      </c>
      <c r="P610" s="34">
        <v>1</v>
      </c>
      <c r="Q610" s="44">
        <f t="shared" si="98"/>
        <v>0.194654783333333</v>
      </c>
      <c r="R610" s="71">
        <f>+Q610/R605</f>
        <v>0.0516398282340311</v>
      </c>
      <c r="S610" s="47"/>
      <c r="T610" s="47"/>
      <c r="U610" s="76"/>
    </row>
    <row r="611" s="27" customFormat="1" ht="18" customHeight="1" spans="1:21">
      <c r="A611" s="34"/>
      <c r="B611" s="48">
        <v>7</v>
      </c>
      <c r="C611" s="48" t="s">
        <v>412</v>
      </c>
      <c r="D611" s="72" t="s">
        <v>413</v>
      </c>
      <c r="E611" s="72"/>
      <c r="F611" s="77"/>
      <c r="G611" s="72"/>
      <c r="H611" s="73">
        <f>+'材料表 '!$E$180</f>
        <v>0.09</v>
      </c>
      <c r="I611" s="52">
        <f>(I608+I609+I610)*H611</f>
        <v>215.188994838173</v>
      </c>
      <c r="J611" s="74" t="s">
        <v>392</v>
      </c>
      <c r="K611" s="75"/>
      <c r="L611" s="69" t="s">
        <v>429</v>
      </c>
      <c r="M611" s="70" t="s">
        <v>1026</v>
      </c>
      <c r="N611" s="34">
        <f>0.5*2.71</f>
        <v>1.355</v>
      </c>
      <c r="O611" s="34">
        <f>O605</f>
        <v>1.242</v>
      </c>
      <c r="P611" s="34">
        <v>1</v>
      </c>
      <c r="Q611" s="44">
        <f t="shared" si="98"/>
        <v>1.68291</v>
      </c>
      <c r="R611" s="71">
        <f>+Q611/R605</f>
        <v>0.446457990115321</v>
      </c>
      <c r="S611" s="47"/>
      <c r="T611" s="47"/>
    </row>
    <row r="612" s="27" customFormat="1" ht="18" customHeight="1" spans="1:21">
      <c r="A612" s="78" t="s">
        <v>247</v>
      </c>
      <c r="B612" s="48">
        <v>8</v>
      </c>
      <c r="C612" s="48" t="s">
        <v>363</v>
      </c>
      <c r="D612" s="72" t="s">
        <v>415</v>
      </c>
      <c r="E612" s="72"/>
      <c r="F612" s="77"/>
      <c r="G612" s="72"/>
      <c r="H612" s="51"/>
      <c r="I612" s="74">
        <f>SUM(I608:I611)</f>
        <v>2606.17782637342</v>
      </c>
      <c r="J612" s="74" t="s">
        <v>416</v>
      </c>
      <c r="K612" s="75"/>
      <c r="L612" s="69" t="s">
        <v>429</v>
      </c>
      <c r="M612" s="70" t="s">
        <v>1027</v>
      </c>
      <c r="N612" s="101">
        <f>0.247*2.71</f>
        <v>0.66937</v>
      </c>
      <c r="O612" s="34">
        <f>O611</f>
        <v>1.242</v>
      </c>
      <c r="P612" s="34">
        <v>1</v>
      </c>
      <c r="Q612" s="44">
        <f t="shared" si="98"/>
        <v>0.83135754</v>
      </c>
      <c r="R612" s="71">
        <f>+Q612/R605</f>
        <v>0.220550247116969</v>
      </c>
      <c r="S612" s="79"/>
      <c r="T612" s="47"/>
    </row>
    <row r="613" s="27" customFormat="1" ht="18" customHeight="1" spans="1:21">
      <c r="A613" s="34"/>
      <c r="B613" s="48" t="s">
        <v>418</v>
      </c>
      <c r="C613" s="48"/>
      <c r="D613" s="48"/>
      <c r="E613" s="48"/>
      <c r="F613" s="48"/>
      <c r="G613" s="48"/>
      <c r="H613" s="48"/>
      <c r="I613" s="48"/>
      <c r="J613" s="48"/>
      <c r="K613" s="80"/>
      <c r="L613" s="69" t="s">
        <v>447</v>
      </c>
      <c r="M613" s="70" t="s">
        <v>1028</v>
      </c>
      <c r="N613" s="101">
        <f>0.166*2.71</f>
        <v>0.44986</v>
      </c>
      <c r="O613" s="34">
        <f>O611</f>
        <v>1.242</v>
      </c>
      <c r="P613" s="34">
        <v>1</v>
      </c>
      <c r="Q613" s="44">
        <f t="shared" si="98"/>
        <v>0.55872612</v>
      </c>
      <c r="R613" s="71">
        <f>+Q613/R605</f>
        <v>0.148224052718287</v>
      </c>
      <c r="S613" s="47">
        <f>0.094</f>
        <v>0.094</v>
      </c>
      <c r="T613" s="47">
        <f t="shared" ref="T613:T617" si="99">O613*P613*S613</f>
        <v>0.116748</v>
      </c>
      <c r="U613" s="76">
        <f>T613/R605</f>
        <v>0.0309719934102142</v>
      </c>
    </row>
    <row r="614" s="27" customFormat="1" ht="18" customHeight="1" spans="1:21">
      <c r="A614" s="34"/>
      <c r="B614" s="48">
        <v>1</v>
      </c>
      <c r="C614" s="48" t="s">
        <v>391</v>
      </c>
      <c r="D614" s="48" t="s">
        <v>396</v>
      </c>
      <c r="E614" s="48" t="s">
        <v>37</v>
      </c>
      <c r="F614" s="50"/>
      <c r="G614" s="48"/>
      <c r="H614" s="51" t="s">
        <v>399</v>
      </c>
      <c r="I614" s="51" t="s">
        <v>420</v>
      </c>
      <c r="J614" s="51" t="s">
        <v>421</v>
      </c>
      <c r="K614" s="43"/>
      <c r="L614" s="69" t="s">
        <v>404</v>
      </c>
      <c r="M614" s="81" t="s">
        <v>1029</v>
      </c>
      <c r="N614" s="82">
        <v>3.727</v>
      </c>
      <c r="O614" s="34">
        <f>O605</f>
        <v>1.242</v>
      </c>
      <c r="P614" s="34">
        <v>1</v>
      </c>
      <c r="Q614" s="44">
        <f t="shared" si="98"/>
        <v>4.628934</v>
      </c>
      <c r="R614" s="71">
        <f>+Q614/R605</f>
        <v>1.22800658978583</v>
      </c>
      <c r="S614" s="47"/>
      <c r="T614" s="47"/>
    </row>
    <row r="615" s="27" customFormat="1" ht="18" customHeight="1" spans="1:21">
      <c r="A615" s="34"/>
      <c r="B615" s="48">
        <v>2</v>
      </c>
      <c r="C615" s="48"/>
      <c r="D615" s="48" t="s">
        <v>966</v>
      </c>
      <c r="E615" s="72" t="s">
        <v>423</v>
      </c>
      <c r="F615" s="50"/>
      <c r="G615" s="48"/>
      <c r="H615" s="51">
        <v>1</v>
      </c>
      <c r="I615" s="51">
        <f>+辅材及安装费!$G$18+F638*135</f>
        <v>283.925041186161</v>
      </c>
      <c r="J615" s="51">
        <f t="shared" ref="J615:J638" si="100">H615*I615</f>
        <v>283.925041186161</v>
      </c>
      <c r="K615" s="43"/>
      <c r="L615" s="69" t="s">
        <v>429</v>
      </c>
      <c r="M615" s="70" t="s">
        <v>1030</v>
      </c>
      <c r="N615" s="34">
        <v>0.604</v>
      </c>
      <c r="O615" s="34">
        <f>O605</f>
        <v>1.242</v>
      </c>
      <c r="P615" s="34">
        <v>1</v>
      </c>
      <c r="Q615" s="44">
        <f t="shared" si="98"/>
        <v>0.750168</v>
      </c>
      <c r="R615" s="84">
        <f>+Q615/R605</f>
        <v>0.199011532125206</v>
      </c>
      <c r="S615" s="47"/>
      <c r="T615" s="47"/>
    </row>
    <row r="616" s="27" customFormat="1" ht="18" customHeight="1" spans="1:21">
      <c r="A616" s="34"/>
      <c r="B616" s="48">
        <v>3</v>
      </c>
      <c r="C616" s="48"/>
      <c r="D616" s="48"/>
      <c r="E616" s="72"/>
      <c r="F616" s="50"/>
      <c r="G616" s="48"/>
      <c r="H616" s="51"/>
      <c r="I616" s="51"/>
      <c r="J616" s="51"/>
      <c r="K616" s="43"/>
      <c r="L616" s="69" t="s">
        <v>447</v>
      </c>
      <c r="M616" s="70" t="s">
        <v>1028</v>
      </c>
      <c r="N616" s="82">
        <f>0.668*2.71+0.022*2.71</f>
        <v>1.8699</v>
      </c>
      <c r="O616" s="82">
        <f>O614</f>
        <v>1.242</v>
      </c>
      <c r="P616" s="34">
        <v>1</v>
      </c>
      <c r="Q616" s="44">
        <f t="shared" si="98"/>
        <v>2.3224158</v>
      </c>
      <c r="R616" s="84">
        <f>+Q616/R605</f>
        <v>0.616112026359143</v>
      </c>
      <c r="S616" s="47">
        <v>0.31</v>
      </c>
      <c r="T616" s="47">
        <f t="shared" si="99"/>
        <v>0.38502</v>
      </c>
      <c r="U616" s="76">
        <f>T616/R605</f>
        <v>0.102141680395387</v>
      </c>
    </row>
    <row r="617" s="27" customFormat="1" ht="18" customHeight="1" spans="1:21">
      <c r="A617" s="34"/>
      <c r="B617" s="48">
        <v>4</v>
      </c>
      <c r="C617" s="48"/>
      <c r="D617" s="85" t="s">
        <v>426</v>
      </c>
      <c r="E617" s="48" t="s">
        <v>392</v>
      </c>
      <c r="F617" s="50"/>
      <c r="G617" s="48"/>
      <c r="H617" s="86"/>
      <c r="I617" s="86"/>
      <c r="J617" s="51">
        <f>SUM(J615:J615)</f>
        <v>283.925041186161</v>
      </c>
      <c r="K617" s="75"/>
      <c r="L617" s="69" t="s">
        <v>447</v>
      </c>
      <c r="M617" s="70" t="s">
        <v>1031</v>
      </c>
      <c r="N617" s="101">
        <f>0.074*2.71</f>
        <v>0.20054</v>
      </c>
      <c r="O617" s="34">
        <f>O613</f>
        <v>1.242</v>
      </c>
      <c r="P617" s="34">
        <v>1</v>
      </c>
      <c r="Q617" s="44">
        <f t="shared" si="98"/>
        <v>0.24907068</v>
      </c>
      <c r="R617" s="84">
        <f>+Q617/R605</f>
        <v>0.0660757825370675</v>
      </c>
      <c r="S617" s="47">
        <f>0.048</f>
        <v>0.048</v>
      </c>
      <c r="T617" s="47">
        <f t="shared" si="99"/>
        <v>0.059616</v>
      </c>
      <c r="U617" s="76">
        <f>T617/R605</f>
        <v>0.0158154859967051</v>
      </c>
    </row>
    <row r="618" s="27" customFormat="1" ht="23" customHeight="1" spans="1:21">
      <c r="A618" s="34"/>
      <c r="B618" s="48">
        <v>1</v>
      </c>
      <c r="C618" s="48" t="s">
        <v>394</v>
      </c>
      <c r="D618" s="88" t="s">
        <v>427</v>
      </c>
      <c r="E618" s="72" t="str">
        <f>+VLOOKUP(D618,'材料表 '!C:F,2,0)</f>
        <v>kg</v>
      </c>
      <c r="F618" s="77">
        <f>+SUMIF($L$605:$L$645,D618,$R$605:$R$645)</f>
        <v>0</v>
      </c>
      <c r="G618" s="89">
        <f>+VLOOKUP(D618,'材料表 '!C:F,4,0)</f>
        <v>0.03</v>
      </c>
      <c r="H618" s="74">
        <f t="shared" ref="H618:H638" si="101">F618*(G618+1)</f>
        <v>0</v>
      </c>
      <c r="I618" s="74">
        <f>+VLOOKUP(D618,'材料表 '!C:F,3,0)</f>
        <v>25.8495575221239</v>
      </c>
      <c r="J618" s="51">
        <f t="shared" si="100"/>
        <v>0</v>
      </c>
      <c r="K618" s="75">
        <f ca="1">H618*K604</f>
        <v>0</v>
      </c>
      <c r="L618" s="69" t="s">
        <v>433</v>
      </c>
      <c r="M618" s="70" t="s">
        <v>1031</v>
      </c>
      <c r="N618" s="101">
        <f>0.055*2.71</f>
        <v>0.14905</v>
      </c>
      <c r="O618" s="34">
        <f>O614</f>
        <v>1.242</v>
      </c>
      <c r="P618" s="34">
        <v>3</v>
      </c>
      <c r="Q618" s="44">
        <f t="shared" si="98"/>
        <v>0.5553603</v>
      </c>
      <c r="R618" s="84">
        <f>+Q618/R605</f>
        <v>0.147331136738056</v>
      </c>
      <c r="S618" s="47"/>
      <c r="T618" s="47"/>
    </row>
    <row r="619" s="27" customFormat="1" ht="18" customHeight="1" spans="1:21">
      <c r="A619" s="34"/>
      <c r="B619" s="48">
        <v>2</v>
      </c>
      <c r="C619" s="48"/>
      <c r="D619" s="88" t="s">
        <v>404</v>
      </c>
      <c r="E619" s="72" t="str">
        <f>+VLOOKUP(D619,'材料表 '!C:F,2,0)</f>
        <v>kg</v>
      </c>
      <c r="F619" s="77">
        <f t="shared" ref="F619:F632" si="102">+SUMIF($L$605:$L$645,D619,$R$605:$R$645)</f>
        <v>1.22800658978583</v>
      </c>
      <c r="G619" s="89">
        <f>+VLOOKUP(D619,'材料表 '!C:F,4,0)</f>
        <v>0.03</v>
      </c>
      <c r="H619" s="74">
        <f t="shared" si="101"/>
        <v>1.2648467874794</v>
      </c>
      <c r="I619" s="74">
        <f>+VLOOKUP(D619,'材料表 '!C:F,3,0)</f>
        <v>25.6725663716814</v>
      </c>
      <c r="J619" s="51">
        <f t="shared" si="100"/>
        <v>32.471863101573</v>
      </c>
      <c r="K619" s="75">
        <f ca="1">H619*K604</f>
        <v>9.53560403999995</v>
      </c>
      <c r="L619" s="69"/>
      <c r="M619" s="70"/>
      <c r="N619" s="83"/>
      <c r="O619" s="83"/>
      <c r="P619" s="83"/>
      <c r="Q619" s="83"/>
      <c r="R619" s="87"/>
      <c r="S619" s="47"/>
      <c r="T619" s="47"/>
    </row>
    <row r="620" s="27" customFormat="1" ht="18" customHeight="1" spans="1:21">
      <c r="A620" s="34"/>
      <c r="B620" s="48">
        <v>3</v>
      </c>
      <c r="C620" s="48"/>
      <c r="D620" s="88" t="s">
        <v>433</v>
      </c>
      <c r="E620" s="72" t="str">
        <f>+VLOOKUP(D620,'材料表 '!C:F,2,0)</f>
        <v>kg</v>
      </c>
      <c r="F620" s="77">
        <f t="shared" si="102"/>
        <v>1.08121197409715</v>
      </c>
      <c r="G620" s="89">
        <f>+VLOOKUP(D620,'材料表 '!C:F,4,0)</f>
        <v>0.03</v>
      </c>
      <c r="H620" s="74">
        <f t="shared" si="101"/>
        <v>1.11364833332006</v>
      </c>
      <c r="I620" s="74">
        <f>+VLOOKUP(D620,'材料表 '!C:F,3,0)</f>
        <v>26.1150442477876</v>
      </c>
      <c r="J620" s="51">
        <f t="shared" si="100"/>
        <v>29.0829755011284</v>
      </c>
      <c r="K620" s="75">
        <f ca="1">H620*K604</f>
        <v>8.39572796599993</v>
      </c>
      <c r="L620" s="69"/>
      <c r="N620" s="83"/>
      <c r="O620" s="83"/>
      <c r="P620" s="83"/>
      <c r="Q620" s="83"/>
      <c r="R620" s="87"/>
      <c r="S620" s="47"/>
      <c r="T620" s="47"/>
    </row>
    <row r="621" s="27" customFormat="1" ht="18" customHeight="1" spans="1:21">
      <c r="A621" s="34"/>
      <c r="B621" s="48">
        <v>4</v>
      </c>
      <c r="C621" s="48"/>
      <c r="D621" s="88" t="s">
        <v>429</v>
      </c>
      <c r="E621" s="72" t="str">
        <f>+VLOOKUP(D621,'材料表 '!C:F,2,0)</f>
        <v>kg</v>
      </c>
      <c r="F621" s="77">
        <f t="shared" si="102"/>
        <v>0.917659597591527</v>
      </c>
      <c r="G621" s="89">
        <f>+VLOOKUP(D621,'材料表 '!C:F,4,0)</f>
        <v>0.03</v>
      </c>
      <c r="H621" s="74">
        <f t="shared" si="101"/>
        <v>0.945189385519273</v>
      </c>
      <c r="I621" s="74">
        <f>+VLOOKUP(D621,'材料表 '!C:F,3,0)</f>
        <v>26.1150442477876</v>
      </c>
      <c r="J621" s="51">
        <f t="shared" si="100"/>
        <v>24.683662625375</v>
      </c>
      <c r="K621" s="75">
        <f ca="1">H621*K604</f>
        <v>7.12572606606667</v>
      </c>
      <c r="L621" s="90" t="s">
        <v>707</v>
      </c>
      <c r="M621" s="44"/>
      <c r="N621" s="82"/>
      <c r="O621" s="44">
        <f>O611*P611+O614*P614</f>
        <v>2.484</v>
      </c>
      <c r="P621" s="44">
        <v>1</v>
      </c>
      <c r="Q621" s="44">
        <f>+P621*O621</f>
        <v>2.484</v>
      </c>
      <c r="R621" s="84">
        <f>+Q621/R605</f>
        <v>0.658978583196046</v>
      </c>
      <c r="S621" s="47"/>
      <c r="T621" s="47"/>
    </row>
    <row r="622" s="27" customFormat="1" ht="18" customHeight="1" spans="1:21">
      <c r="A622" s="34"/>
      <c r="B622" s="48">
        <v>5</v>
      </c>
      <c r="C622" s="48"/>
      <c r="D622" s="88" t="s">
        <v>447</v>
      </c>
      <c r="E622" s="72" t="str">
        <f>+VLOOKUP(D622,'材料表 '!C:F,2,0)</f>
        <v>kg</v>
      </c>
      <c r="F622" s="77">
        <f t="shared" si="102"/>
        <v>0.830411861614497</v>
      </c>
      <c r="G622" s="89">
        <f>+VLOOKUP(D622,'材料表 '!C:F,4,0)</f>
        <v>0.03</v>
      </c>
      <c r="H622" s="74">
        <f t="shared" si="101"/>
        <v>0.855324217462932</v>
      </c>
      <c r="I622" s="74">
        <f>+VLOOKUP(D622,'材料表 '!C:F,3,0)</f>
        <v>24.4336283185841</v>
      </c>
      <c r="J622" s="51">
        <f t="shared" si="100"/>
        <v>20.8986740213731</v>
      </c>
      <c r="K622" s="43">
        <f ca="1">H622*K604</f>
        <v>6.448237956</v>
      </c>
      <c r="L622" s="90" t="s">
        <v>435</v>
      </c>
      <c r="M622" s="44"/>
      <c r="N622" s="82">
        <f>0.073*1.2</f>
        <v>0.0876</v>
      </c>
      <c r="O622" s="44">
        <f>O605*2*3+P605*7</f>
        <v>28.697</v>
      </c>
      <c r="P622" s="44">
        <v>1</v>
      </c>
      <c r="Q622" s="44">
        <f>+P622*O622</f>
        <v>28.697</v>
      </c>
      <c r="R622" s="84">
        <f>+Q622/R605</f>
        <v>7.6130066030503</v>
      </c>
      <c r="S622" s="47"/>
      <c r="T622" s="47"/>
    </row>
    <row r="623" s="27" customFormat="1" ht="18" customHeight="1" spans="1:21">
      <c r="A623" s="34"/>
      <c r="B623" s="48">
        <v>6</v>
      </c>
      <c r="C623" s="48"/>
      <c r="D623" s="88" t="s">
        <v>434</v>
      </c>
      <c r="E623" s="72" t="str">
        <f>+VLOOKUP(D623,'材料表 '!C:F,2,0)</f>
        <v>m2</v>
      </c>
      <c r="F623" s="77">
        <f>U613+U616+U617</f>
        <v>0.148929159802306</v>
      </c>
      <c r="G623" s="89">
        <f>+VLOOKUP(D623,'材料表 '!C:F,4,0)</f>
        <v>0</v>
      </c>
      <c r="H623" s="74">
        <f t="shared" si="101"/>
        <v>0.148929159802306</v>
      </c>
      <c r="I623" s="74">
        <f>+VLOOKUP(D623,'材料表 '!C:F,3,0)</f>
        <v>49.5575221238938</v>
      </c>
      <c r="J623" s="51">
        <f t="shared" si="100"/>
        <v>7.38056013179569</v>
      </c>
      <c r="K623" s="43">
        <f ca="1">H623*K604</f>
        <v>1.122768</v>
      </c>
      <c r="L623" s="90" t="s">
        <v>463</v>
      </c>
      <c r="M623" s="91" t="s">
        <v>1032</v>
      </c>
      <c r="N623" s="82">
        <f>0.2*0.3*10*7.85</f>
        <v>4.71</v>
      </c>
      <c r="O623" s="44">
        <v>2</v>
      </c>
      <c r="P623" s="44">
        <f>P630</f>
        <v>1</v>
      </c>
      <c r="Q623" s="44">
        <f t="shared" ref="Q623:Q628" si="103">+P623*O623*N623</f>
        <v>9.42</v>
      </c>
      <c r="R623" s="84">
        <f>+Q623/R605</f>
        <v>2.49902506187873</v>
      </c>
      <c r="S623" s="47"/>
      <c r="T623" s="47"/>
    </row>
    <row r="624" s="27" customFormat="1" ht="18" customHeight="1" spans="1:21">
      <c r="A624" s="34"/>
      <c r="B624" s="48">
        <v>7</v>
      </c>
      <c r="C624" s="48"/>
      <c r="D624" s="88" t="s">
        <v>707</v>
      </c>
      <c r="E624" s="72" t="str">
        <f>+VLOOKUP(D624,'材料表 '!C:F,2,0)</f>
        <v>m2</v>
      </c>
      <c r="F624" s="77">
        <f t="shared" si="102"/>
        <v>0.658978583196046</v>
      </c>
      <c r="G624" s="89">
        <f>+VLOOKUP(D624,'材料表 '!C:F,4,0)</f>
        <v>0</v>
      </c>
      <c r="H624" s="74">
        <f t="shared" si="101"/>
        <v>0.658978583196046</v>
      </c>
      <c r="I624" s="74">
        <f>+VLOOKUP(D624,'材料表 '!C:F,3,0)</f>
        <v>8.8495575221239</v>
      </c>
      <c r="J624" s="51">
        <f t="shared" si="100"/>
        <v>5.83166887784112</v>
      </c>
      <c r="K624" s="43">
        <f ca="1">H624*K604</f>
        <v>4.968</v>
      </c>
      <c r="L624" s="90"/>
      <c r="M624" s="91"/>
      <c r="N624" s="82"/>
      <c r="O624" s="44"/>
      <c r="P624" s="44"/>
      <c r="Q624" s="44"/>
      <c r="R624" s="84"/>
      <c r="S624" s="47"/>
      <c r="T624" s="47"/>
    </row>
    <row r="625" s="27" customFormat="1" ht="18" customHeight="1" spans="1:20">
      <c r="A625" s="34"/>
      <c r="B625" s="48">
        <v>8</v>
      </c>
      <c r="C625" s="48"/>
      <c r="D625" s="88" t="s">
        <v>710</v>
      </c>
      <c r="E625" s="72" t="str">
        <f>+VLOOKUP(D625,'材料表 '!C:F,2,0)</f>
        <v>kg</v>
      </c>
      <c r="F625" s="77">
        <f t="shared" si="102"/>
        <v>68.8832829946915</v>
      </c>
      <c r="G625" s="89">
        <f>+VLOOKUP(D625,'材料表 '!C:F,4,0)</f>
        <v>0.03</v>
      </c>
      <c r="H625" s="74">
        <f t="shared" si="101"/>
        <v>70.9497814845322</v>
      </c>
      <c r="I625" s="74">
        <f>+VLOOKUP(D625,'材料表 '!C:F,3,0)</f>
        <v>8.8495575221239</v>
      </c>
      <c r="J625" s="51">
        <f t="shared" si="100"/>
        <v>627.874172429489</v>
      </c>
      <c r="K625" s="43">
        <f ca="1">H625*K604</f>
        <v>534.886145624999</v>
      </c>
      <c r="L625" s="69" t="s">
        <v>465</v>
      </c>
      <c r="M625" s="81" t="s">
        <v>1013</v>
      </c>
      <c r="N625" s="34">
        <v>9.88</v>
      </c>
      <c r="O625" s="34">
        <f>0.13</f>
        <v>0.13</v>
      </c>
      <c r="P625" s="34">
        <f>2*P623</f>
        <v>2</v>
      </c>
      <c r="Q625" s="44">
        <f t="shared" si="103"/>
        <v>2.5688</v>
      </c>
      <c r="R625" s="84">
        <f>Q625/R605</f>
        <v>0.681475114538649</v>
      </c>
      <c r="S625" s="47"/>
      <c r="T625" s="47"/>
    </row>
    <row r="626" s="27" customFormat="1" ht="18" customHeight="1" spans="1:20">
      <c r="A626" s="34"/>
      <c r="B626" s="48">
        <v>9</v>
      </c>
      <c r="C626" s="48"/>
      <c r="D626" s="88" t="s">
        <v>431</v>
      </c>
      <c r="E626" s="72" t="str">
        <f>+VLOOKUP(D626,'材料表 '!C:F,2,0)</f>
        <v>kg</v>
      </c>
      <c r="F626" s="77">
        <f t="shared" si="102"/>
        <v>0</v>
      </c>
      <c r="G626" s="89">
        <f>+VLOOKUP(D626,'材料表 '!C:F,4,0)</f>
        <v>0.03</v>
      </c>
      <c r="H626" s="74">
        <f t="shared" si="101"/>
        <v>0</v>
      </c>
      <c r="I626" s="74">
        <f>+VLOOKUP(D626,'材料表 '!C:F,3,0)</f>
        <v>3.80530973451327</v>
      </c>
      <c r="J626" s="51">
        <f t="shared" si="100"/>
        <v>0</v>
      </c>
      <c r="K626" s="43">
        <f ca="1">H626*K604</f>
        <v>0</v>
      </c>
      <c r="L626" s="90" t="s">
        <v>474</v>
      </c>
      <c r="M626" s="44"/>
      <c r="N626" s="82"/>
      <c r="O626" s="44">
        <v>4</v>
      </c>
      <c r="P626" s="44">
        <f>O623*P623</f>
        <v>2</v>
      </c>
      <c r="Q626" s="44">
        <f>O626*P626</f>
        <v>8</v>
      </c>
      <c r="R626" s="84">
        <f>Q626/R605</f>
        <v>2.12231427760401</v>
      </c>
      <c r="S626" s="47"/>
      <c r="T626" s="47"/>
    </row>
    <row r="627" s="27" customFormat="1" ht="18" customHeight="1" spans="1:20">
      <c r="A627" s="34"/>
      <c r="B627" s="48">
        <v>10</v>
      </c>
      <c r="C627" s="48"/>
      <c r="D627" s="88" t="s">
        <v>461</v>
      </c>
      <c r="E627" s="72" t="str">
        <f>+VLOOKUP(D627,'材料表 '!C:F,2,0)</f>
        <v>kg</v>
      </c>
      <c r="F627" s="77">
        <f t="shared" si="102"/>
        <v>0</v>
      </c>
      <c r="G627" s="89">
        <f>+VLOOKUP(D627,'材料表 '!C:F,4,0)</f>
        <v>0.03</v>
      </c>
      <c r="H627" s="74">
        <f t="shared" si="101"/>
        <v>0</v>
      </c>
      <c r="I627" s="74">
        <f>+VLOOKUP(D627,'材料表 '!C:F,3,0)</f>
        <v>3.53982300884956</v>
      </c>
      <c r="J627" s="51">
        <f t="shared" si="100"/>
        <v>0</v>
      </c>
      <c r="K627" s="43">
        <f ca="1">H627*K604</f>
        <v>0</v>
      </c>
      <c r="L627" s="90" t="s">
        <v>472</v>
      </c>
      <c r="M627" s="91"/>
      <c r="N627" s="82"/>
      <c r="O627" s="44">
        <v>2</v>
      </c>
      <c r="P627" s="44">
        <f>P623</f>
        <v>1</v>
      </c>
      <c r="Q627" s="44">
        <f>O627*P627</f>
        <v>2</v>
      </c>
      <c r="R627" s="84">
        <f>Q627/R605</f>
        <v>0.530578569401003</v>
      </c>
      <c r="S627" s="47"/>
      <c r="T627" s="47"/>
    </row>
    <row r="628" s="27" customFormat="1" ht="18" customHeight="1" spans="1:20">
      <c r="A628" s="34"/>
      <c r="B628" s="48">
        <v>11</v>
      </c>
      <c r="C628" s="48"/>
      <c r="D628" s="88" t="s">
        <v>435</v>
      </c>
      <c r="E628" s="72" t="str">
        <f>+VLOOKUP(D628,'材料表 '!C:F,2,0)</f>
        <v>kg</v>
      </c>
      <c r="F628" s="77">
        <f t="shared" si="102"/>
        <v>7.6130066030503</v>
      </c>
      <c r="G628" s="89">
        <f>+VLOOKUP(D628,'材料表 '!C:F,4,0)</f>
        <v>0.03</v>
      </c>
      <c r="H628" s="74">
        <f t="shared" si="101"/>
        <v>7.84139680114181</v>
      </c>
      <c r="I628" s="74">
        <f>+VLOOKUP(D628,'材料表 '!C:F,3,0)</f>
        <v>19.4690265486726</v>
      </c>
      <c r="J628" s="51">
        <f t="shared" si="100"/>
        <v>152.664362500106</v>
      </c>
      <c r="K628" s="43">
        <f ca="1">H628*K604</f>
        <v>59.11582</v>
      </c>
      <c r="L628" s="69" t="s">
        <v>465</v>
      </c>
      <c r="M628" s="91"/>
      <c r="N628" s="82">
        <f>(0.058+0.04*2)*5*7.85</f>
        <v>5.4165</v>
      </c>
      <c r="O628" s="44">
        <f>O605</f>
        <v>1.242</v>
      </c>
      <c r="P628" s="44">
        <v>0</v>
      </c>
      <c r="Q628" s="44">
        <f t="shared" si="103"/>
        <v>0</v>
      </c>
      <c r="R628" s="84">
        <f>+Q628/R605</f>
        <v>0</v>
      </c>
      <c r="S628" s="47"/>
      <c r="T628" s="47"/>
    </row>
    <row r="629" s="27" customFormat="1" ht="18" customHeight="1" spans="1:20">
      <c r="A629" s="34"/>
      <c r="B629" s="48">
        <v>12</v>
      </c>
      <c r="C629" s="48"/>
      <c r="D629" s="88" t="s">
        <v>463</v>
      </c>
      <c r="E629" s="72" t="str">
        <f>+VLOOKUP(D629,'材料表 '!C:F,2,0)</f>
        <v>kg</v>
      </c>
      <c r="F629" s="77">
        <f t="shared" si="102"/>
        <v>2.49902506187873</v>
      </c>
      <c r="G629" s="89">
        <f>+VLOOKUP(D629,'材料表 '!C:F,4,0)</f>
        <v>0.03</v>
      </c>
      <c r="H629" s="74">
        <f t="shared" si="101"/>
        <v>2.57399581373509</v>
      </c>
      <c r="I629" s="74">
        <f>+VLOOKUP(D629,'材料表 '!C:F,3,0)</f>
        <v>6.01769911504425</v>
      </c>
      <c r="J629" s="51">
        <f t="shared" si="100"/>
        <v>15.4895323304413</v>
      </c>
      <c r="K629" s="43">
        <f ca="1">H629*K604</f>
        <v>19.4052</v>
      </c>
      <c r="L629" s="69" t="s">
        <v>461</v>
      </c>
      <c r="N629" s="83"/>
      <c r="O629" s="83"/>
      <c r="P629" s="83"/>
      <c r="Q629" s="83"/>
      <c r="R629" s="84"/>
      <c r="S629" s="47"/>
      <c r="T629" s="47"/>
    </row>
    <row r="630" s="27" customFormat="1" ht="18" customHeight="1" spans="1:20">
      <c r="A630" s="34"/>
      <c r="B630" s="48">
        <v>13</v>
      </c>
      <c r="C630" s="48"/>
      <c r="D630" s="88" t="s">
        <v>465</v>
      </c>
      <c r="E630" s="72" t="str">
        <f>+VLOOKUP(D630,'材料表 '!C:F,2,0)</f>
        <v>kg</v>
      </c>
      <c r="F630" s="77">
        <f t="shared" si="102"/>
        <v>0.681475114538649</v>
      </c>
      <c r="G630" s="89">
        <f>+VLOOKUP(D630,'材料表 '!C:F,4,0)</f>
        <v>0.03</v>
      </c>
      <c r="H630" s="74">
        <f t="shared" si="101"/>
        <v>0.701919367974808</v>
      </c>
      <c r="I630" s="74">
        <f>+VLOOKUP(D630,'材料表 '!C:F,3,0)</f>
        <v>6.01769911504425</v>
      </c>
      <c r="J630" s="51">
        <f t="shared" si="100"/>
        <v>4.22393955949442</v>
      </c>
      <c r="K630" s="43">
        <f ca="1">H630*K604</f>
        <v>5.291728</v>
      </c>
      <c r="L630" s="90" t="s">
        <v>1033</v>
      </c>
      <c r="M630" s="44"/>
      <c r="N630" s="82">
        <f>(0.225+0.07)*1*25*7.85</f>
        <v>57.89375</v>
      </c>
      <c r="O630" s="44">
        <f>3.243</f>
        <v>3.243</v>
      </c>
      <c r="P630" s="44">
        <v>1</v>
      </c>
      <c r="Q630" s="44">
        <f>+P630*O630*N630</f>
        <v>187.74943125</v>
      </c>
      <c r="R630" s="84">
        <f>+Q630/R605</f>
        <v>49.8079123192385</v>
      </c>
      <c r="S630" s="47"/>
      <c r="T630" s="47"/>
    </row>
    <row r="631" s="27" customFormat="1" ht="18" customHeight="1" spans="1:20">
      <c r="A631" s="34"/>
      <c r="B631" s="48">
        <v>14</v>
      </c>
      <c r="C631" s="48"/>
      <c r="D631" s="88" t="s">
        <v>474</v>
      </c>
      <c r="E631" s="72" t="str">
        <f>+VLOOKUP(D631,'材料表 '!C:F,2,0)</f>
        <v>套</v>
      </c>
      <c r="F631" s="77">
        <f t="shared" si="102"/>
        <v>2.12231427760401</v>
      </c>
      <c r="G631" s="89">
        <f>+VLOOKUP(D631,'材料表 '!C:F,4,0)</f>
        <v>0</v>
      </c>
      <c r="H631" s="74">
        <f t="shared" si="101"/>
        <v>2.12231427760401</v>
      </c>
      <c r="I631" s="74">
        <f>+VLOOKUP(D631,'材料表 '!C:F,3,0)</f>
        <v>2.21238938053097</v>
      </c>
      <c r="J631" s="51">
        <f t="shared" si="100"/>
        <v>4.69538556992037</v>
      </c>
      <c r="K631" s="43">
        <f ca="1">H631*K604</f>
        <v>16</v>
      </c>
      <c r="L631" s="90" t="s">
        <v>1033</v>
      </c>
      <c r="M631" s="44"/>
      <c r="N631" s="82">
        <f>(0.225+0.07)*1*25*7.85</f>
        <v>57.89375</v>
      </c>
      <c r="O631" s="44">
        <f>O605</f>
        <v>1.242</v>
      </c>
      <c r="P631" s="44">
        <v>1</v>
      </c>
      <c r="Q631" s="44">
        <f>+P631*O631*N631</f>
        <v>71.9040375</v>
      </c>
      <c r="R631" s="84">
        <f>+Q631/R605</f>
        <v>19.075370675453</v>
      </c>
      <c r="S631" s="47"/>
      <c r="T631" s="47"/>
    </row>
    <row r="632" s="27" customFormat="1" ht="18" customHeight="1" spans="1:20">
      <c r="A632" s="34"/>
      <c r="B632" s="48">
        <v>15</v>
      </c>
      <c r="C632" s="48"/>
      <c r="D632" s="88" t="s">
        <v>472</v>
      </c>
      <c r="E632" s="72" t="str">
        <f>+VLOOKUP(D632,'材料表 '!C:F,2,0)</f>
        <v>套</v>
      </c>
      <c r="F632" s="77">
        <f t="shared" si="102"/>
        <v>0.530578569401003</v>
      </c>
      <c r="G632" s="89">
        <f>+VLOOKUP(D632,'材料表 '!C:F,4,0)</f>
        <v>0</v>
      </c>
      <c r="H632" s="74">
        <f t="shared" si="101"/>
        <v>0.530578569401003</v>
      </c>
      <c r="I632" s="74">
        <f>+VLOOKUP(D632,'材料表 '!C:F,3,0)</f>
        <v>2.47787610619469</v>
      </c>
      <c r="J632" s="51">
        <f t="shared" si="100"/>
        <v>1.31470795957771</v>
      </c>
      <c r="K632" s="43">
        <f ca="1">H632*K604</f>
        <v>4</v>
      </c>
      <c r="L632" s="90"/>
      <c r="M632" s="44"/>
      <c r="N632" s="82"/>
      <c r="O632" s="44"/>
      <c r="P632" s="44"/>
      <c r="Q632" s="44"/>
      <c r="R632" s="84"/>
      <c r="S632" s="47"/>
      <c r="T632" s="47"/>
    </row>
    <row r="633" s="27" customFormat="1" ht="18" customHeight="1" spans="1:20">
      <c r="A633" s="34"/>
      <c r="B633" s="48">
        <v>16</v>
      </c>
      <c r="C633" s="48"/>
      <c r="D633" s="88" t="s">
        <v>476</v>
      </c>
      <c r="E633" s="72" t="str">
        <f>+VLOOKUP(D633,'材料表 '!C:F,2,0)</f>
        <v>支</v>
      </c>
      <c r="F633" s="77">
        <f>8*8*(O605*4)*2/500/R605+16*8*(O609*P630)/500/R605</f>
        <v>0.543516197237277</v>
      </c>
      <c r="G633" s="89">
        <f>+VLOOKUP(D633,'材料表 '!C:F,4,0)</f>
        <v>0.15</v>
      </c>
      <c r="H633" s="74">
        <f t="shared" si="101"/>
        <v>0.625043626822868</v>
      </c>
      <c r="I633" s="74">
        <f>+VLOOKUP(D633,'材料表 '!C:F,3,0)</f>
        <v>11.5044247787611</v>
      </c>
      <c r="J633" s="51">
        <f t="shared" si="100"/>
        <v>7.19076738822771</v>
      </c>
      <c r="K633" s="43">
        <f ca="1">H633*K604</f>
        <v>4.71216639999999</v>
      </c>
      <c r="L633" s="92"/>
      <c r="M633" s="44"/>
      <c r="N633" s="82"/>
      <c r="O633" s="44"/>
      <c r="P633" s="44"/>
      <c r="Q633" s="44"/>
      <c r="R633" s="84"/>
      <c r="S633" s="47"/>
      <c r="T633" s="47"/>
    </row>
    <row r="634" s="27" customFormat="1" ht="18" customHeight="1" spans="1:20">
      <c r="A634" s="34"/>
      <c r="B634" s="48">
        <v>17</v>
      </c>
      <c r="C634" s="48"/>
      <c r="D634" s="88" t="s">
        <v>576</v>
      </c>
      <c r="E634" s="72" t="str">
        <f>+VLOOKUP(D634,'材料表 '!C:F,2,0)</f>
        <v>支</v>
      </c>
      <c r="F634" s="77">
        <f>18*10*(O609*P609)/500/R605</f>
        <v>0.579710144927536</v>
      </c>
      <c r="G634" s="89">
        <f>+VLOOKUP(D634,'材料表 '!C:F,4,0)</f>
        <v>0.15</v>
      </c>
      <c r="H634" s="74">
        <f t="shared" si="101"/>
        <v>0.666666666666666</v>
      </c>
      <c r="I634" s="74">
        <f>+VLOOKUP(D634,'材料表 '!C:F,3,0)</f>
        <v>14.1592920353982</v>
      </c>
      <c r="J634" s="51">
        <f t="shared" si="100"/>
        <v>9.4395280235988</v>
      </c>
      <c r="K634" s="43">
        <f ca="1">H634*K604</f>
        <v>5.02596</v>
      </c>
      <c r="L634" s="92"/>
      <c r="M634" s="44"/>
      <c r="N634" s="82"/>
      <c r="O634" s="44"/>
      <c r="P634" s="44"/>
      <c r="Q634" s="44"/>
      <c r="R634" s="84"/>
      <c r="S634" s="47"/>
      <c r="T634" s="47"/>
    </row>
    <row r="635" s="27" customFormat="1" ht="18" customHeight="1" spans="1:20">
      <c r="A635" s="34"/>
      <c r="B635" s="48">
        <v>18</v>
      </c>
      <c r="C635" s="48"/>
      <c r="D635" s="88" t="s">
        <v>479</v>
      </c>
      <c r="E635" s="72" t="str">
        <f>+VLOOKUP(D635,'材料表 '!C:F,2,0)</f>
        <v>kg</v>
      </c>
      <c r="F635" s="77">
        <f>R631</f>
        <v>19.075370675453</v>
      </c>
      <c r="G635" s="89">
        <f>+VLOOKUP(D635,'材料表 '!C:F,4,0)</f>
        <v>0.03</v>
      </c>
      <c r="H635" s="74">
        <f t="shared" si="101"/>
        <v>19.6476317957166</v>
      </c>
      <c r="I635" s="74">
        <f>+VLOOKUP(D635,'材料表 '!C:F,3,0)</f>
        <v>14.1592920353982</v>
      </c>
      <c r="J635" s="51">
        <f t="shared" si="100"/>
        <v>278.196556399526</v>
      </c>
      <c r="K635" s="43">
        <f ca="1">H635*K604</f>
        <v>148.12231725</v>
      </c>
      <c r="L635" s="92"/>
      <c r="M635" s="44"/>
      <c r="N635" s="82"/>
      <c r="O635" s="44"/>
      <c r="P635" s="44"/>
      <c r="Q635" s="44"/>
      <c r="R635" s="84"/>
      <c r="S635" s="47"/>
      <c r="T635" s="47"/>
    </row>
    <row r="636" s="27" customFormat="1" ht="21" customHeight="1" spans="1:20">
      <c r="A636" s="34"/>
      <c r="B636" s="48">
        <v>19</v>
      </c>
      <c r="C636" s="48"/>
      <c r="D636" s="88" t="s">
        <v>500</v>
      </c>
      <c r="E636" s="72" t="str">
        <f>+VLOOKUP(D636,'材料表 '!C:F,2,0)</f>
        <v>kg</v>
      </c>
      <c r="F636" s="77">
        <f>R611+R612+R613+R614+R615+R616+R617+R618</f>
        <v>3.07176935749588</v>
      </c>
      <c r="G636" s="89">
        <f>+VLOOKUP(D636,'材料表 '!C:F,4,0)</f>
        <v>0.03</v>
      </c>
      <c r="H636" s="74">
        <f t="shared" si="101"/>
        <v>3.16392243822076</v>
      </c>
      <c r="I636" s="74">
        <f>+VLOOKUP(D636,'材料表 '!C:F,3,0)</f>
        <v>14.1592920353982</v>
      </c>
      <c r="J636" s="51">
        <f t="shared" si="100"/>
        <v>44.7989017801168</v>
      </c>
      <c r="K636" s="43">
        <f ca="1">H636*K604</f>
        <v>23.8526214264</v>
      </c>
      <c r="L636" s="92"/>
      <c r="M636" s="44"/>
      <c r="N636" s="82"/>
      <c r="O636" s="44"/>
      <c r="P636" s="44"/>
      <c r="Q636" s="44"/>
      <c r="R636" s="84"/>
      <c r="S636" s="47"/>
      <c r="T636" s="47"/>
    </row>
    <row r="637" s="27" customFormat="1" ht="52" customHeight="1" spans="1:20">
      <c r="A637" s="34"/>
      <c r="B637" s="48">
        <v>20</v>
      </c>
      <c r="C637" s="48"/>
      <c r="D637" s="88" t="s">
        <v>687</v>
      </c>
      <c r="E637" s="72" t="str">
        <f>+VLOOKUP(D637,'材料表 '!C:F,2,0)</f>
        <v>m2</v>
      </c>
      <c r="F637" s="77">
        <v>1</v>
      </c>
      <c r="G637" s="89">
        <f>+VLOOKUP(D637,'材料表 '!C:F,4,0)</f>
        <v>0.01</v>
      </c>
      <c r="H637" s="74">
        <f t="shared" si="101"/>
        <v>1.01</v>
      </c>
      <c r="I637" s="74">
        <f>+VLOOKUP(D637,'材料表 '!C:F,3,0)</f>
        <v>613.274336283186</v>
      </c>
      <c r="J637" s="51">
        <f t="shared" si="100"/>
        <v>619.407079646018</v>
      </c>
      <c r="K637" s="43">
        <f ca="1">H637*K604</f>
        <v>7.6143294</v>
      </c>
      <c r="L637" s="90"/>
      <c r="M637" s="44"/>
      <c r="N637" s="82"/>
      <c r="O637" s="44"/>
      <c r="P637" s="44"/>
      <c r="Q637" s="44"/>
      <c r="R637" s="84"/>
      <c r="S637" s="47"/>
      <c r="T637" s="47"/>
    </row>
    <row r="638" s="27" customFormat="1" ht="19" customHeight="1" spans="1:20">
      <c r="A638" s="34"/>
      <c r="B638" s="48">
        <v>21</v>
      </c>
      <c r="C638" s="48"/>
      <c r="D638" s="88" t="s">
        <v>713</v>
      </c>
      <c r="E638" s="72" t="str">
        <f>+VLOOKUP(D638,'材料表 '!C:F,2,0)</f>
        <v>m2</v>
      </c>
      <c r="F638" s="77">
        <f>0.647*(O630*P630+O631*P631)/R605</f>
        <v>0.769815119897492</v>
      </c>
      <c r="G638" s="89">
        <f>+VLOOKUP(D638,'材料表 '!C:F,4,0)</f>
        <v>0.01</v>
      </c>
      <c r="H638" s="74">
        <f t="shared" si="101"/>
        <v>0.777513271096467</v>
      </c>
      <c r="I638" s="74">
        <f>+VLOOKUP(D638,'材料表 '!C:F,3,0)</f>
        <v>265.486725663717</v>
      </c>
      <c r="J638" s="51">
        <f t="shared" si="100"/>
        <v>206.419452503487</v>
      </c>
      <c r="K638" s="43">
        <f ca="1">H638*K604</f>
        <v>5.8616259</v>
      </c>
      <c r="L638" s="90"/>
      <c r="M638" s="44"/>
      <c r="N638" s="82"/>
      <c r="O638" s="44"/>
      <c r="P638" s="44"/>
      <c r="Q638" s="44"/>
      <c r="R638" s="84"/>
      <c r="S638" s="47"/>
      <c r="T638" s="47"/>
    </row>
    <row r="639" s="27" customFormat="1" ht="18" customHeight="1" spans="1:20">
      <c r="A639" s="34"/>
      <c r="B639" s="48">
        <v>22</v>
      </c>
      <c r="C639" s="48"/>
      <c r="D639" s="88"/>
      <c r="E639" s="72"/>
      <c r="F639" s="77"/>
      <c r="G639" s="89"/>
      <c r="H639" s="74"/>
      <c r="I639" s="74"/>
      <c r="J639" s="51"/>
      <c r="K639" s="43">
        <f ca="1">H639*K604</f>
        <v>0</v>
      </c>
      <c r="L639" s="92"/>
      <c r="M639" s="44"/>
      <c r="N639" s="82"/>
      <c r="O639" s="44"/>
      <c r="P639" s="44"/>
      <c r="Q639" s="44"/>
      <c r="R639" s="84"/>
      <c r="S639" s="47"/>
      <c r="T639" s="47"/>
    </row>
    <row r="640" s="27" customFormat="1" ht="18" customHeight="1" spans="1:20">
      <c r="A640" s="34"/>
      <c r="B640" s="48">
        <v>23</v>
      </c>
      <c r="C640" s="48"/>
      <c r="D640" s="88"/>
      <c r="E640" s="72"/>
      <c r="F640" s="77"/>
      <c r="G640" s="89"/>
      <c r="H640" s="74"/>
      <c r="I640" s="74"/>
      <c r="J640" s="51"/>
      <c r="K640" s="43">
        <f ca="1">H640*K604</f>
        <v>0</v>
      </c>
      <c r="L640" s="92"/>
      <c r="M640" s="44"/>
      <c r="N640" s="44"/>
      <c r="O640" s="44"/>
      <c r="P640" s="44"/>
      <c r="Q640" s="44"/>
      <c r="R640" s="84"/>
      <c r="S640" s="47"/>
      <c r="T640" s="47"/>
    </row>
    <row r="641" s="27" customFormat="1" ht="18" customHeight="1" spans="1:21">
      <c r="A641" s="34"/>
      <c r="B641" s="48">
        <v>24</v>
      </c>
      <c r="C641" s="48"/>
      <c r="D641" s="88"/>
      <c r="E641" s="72"/>
      <c r="F641" s="77"/>
      <c r="G641" s="89"/>
      <c r="H641" s="74"/>
      <c r="I641" s="74"/>
      <c r="J641" s="51"/>
      <c r="K641" s="75">
        <f ca="1">H641*K604</f>
        <v>0</v>
      </c>
      <c r="L641" s="92"/>
      <c r="M641" s="44"/>
      <c r="N641" s="44"/>
      <c r="O641" s="44"/>
      <c r="P641" s="44"/>
      <c r="Q641" s="44"/>
      <c r="R641" s="84"/>
      <c r="S641" s="47"/>
      <c r="T641" s="47"/>
    </row>
    <row r="642" s="27" customFormat="1" ht="18" customHeight="1" spans="1:21">
      <c r="A642" s="34"/>
      <c r="B642" s="48">
        <v>25</v>
      </c>
      <c r="C642" s="48"/>
      <c r="D642" s="88"/>
      <c r="E642" s="72"/>
      <c r="F642" s="77"/>
      <c r="G642" s="89"/>
      <c r="H642" s="74"/>
      <c r="I642" s="74"/>
      <c r="J642" s="51"/>
      <c r="K642" s="75">
        <f ca="1">H642*K604</f>
        <v>0</v>
      </c>
      <c r="L642" s="92"/>
      <c r="M642" s="44"/>
      <c r="N642" s="44"/>
      <c r="O642" s="44"/>
      <c r="P642" s="44"/>
      <c r="Q642" s="44"/>
      <c r="R642" s="84"/>
      <c r="S642" s="47"/>
      <c r="T642" s="47"/>
    </row>
    <row r="643" s="27" customFormat="1" ht="18" customHeight="1" spans="1:21">
      <c r="A643" s="34"/>
      <c r="B643" s="48">
        <v>26</v>
      </c>
      <c r="C643" s="48"/>
      <c r="D643" s="88" t="s">
        <v>441</v>
      </c>
      <c r="E643" s="72" t="s">
        <v>43</v>
      </c>
      <c r="F643" s="77"/>
      <c r="G643" s="72">
        <v>1</v>
      </c>
      <c r="H643" s="74">
        <v>1</v>
      </c>
      <c r="I643" s="74">
        <f>+辅材及安装费!$E$18</f>
        <v>10</v>
      </c>
      <c r="J643" s="51">
        <f>H643*I643</f>
        <v>10</v>
      </c>
      <c r="K643" s="75"/>
      <c r="L643" s="92"/>
      <c r="M643" s="44"/>
      <c r="N643" s="44"/>
      <c r="O643" s="44"/>
      <c r="P643" s="44"/>
      <c r="Q643" s="44"/>
      <c r="R643" s="62"/>
      <c r="S643" s="47"/>
      <c r="T643" s="47"/>
    </row>
    <row r="644" s="27" customFormat="1" ht="18" customHeight="1" spans="1:21">
      <c r="A644" s="34"/>
      <c r="B644" s="48">
        <v>27</v>
      </c>
      <c r="C644" s="48"/>
      <c r="D644" s="93" t="s">
        <v>442</v>
      </c>
      <c r="E644" s="72"/>
      <c r="F644" s="77"/>
      <c r="G644" s="72"/>
      <c r="H644" s="74"/>
      <c r="I644" s="74"/>
      <c r="J644" s="51">
        <f>SUM(J618:J643)</f>
        <v>2102.06379034909</v>
      </c>
      <c r="K644" s="75"/>
      <c r="L644" s="94"/>
      <c r="N644" s="83"/>
      <c r="O644" s="83"/>
      <c r="P644" s="83"/>
      <c r="Q644" s="83"/>
      <c r="R644" s="87"/>
      <c r="S644" s="47"/>
      <c r="T644" s="47"/>
    </row>
    <row r="645" s="27" customFormat="1" ht="18" customHeight="1" spans="1:21">
      <c r="A645" s="34"/>
      <c r="B645" s="48">
        <v>1</v>
      </c>
      <c r="C645" s="48" t="s">
        <v>443</v>
      </c>
      <c r="D645" s="48" t="s">
        <v>444</v>
      </c>
      <c r="E645" s="72" t="s">
        <v>43</v>
      </c>
      <c r="F645" s="50"/>
      <c r="G645" s="48"/>
      <c r="H645" s="51">
        <v>1</v>
      </c>
      <c r="I645" s="74">
        <f>+辅材及安装费!$F$18</f>
        <v>5</v>
      </c>
      <c r="J645" s="95">
        <f>H645*I645</f>
        <v>5</v>
      </c>
      <c r="K645" s="60"/>
      <c r="L645" s="96"/>
      <c r="M645" s="97"/>
      <c r="N645" s="98"/>
      <c r="O645" s="98"/>
      <c r="P645" s="98"/>
      <c r="Q645" s="98"/>
      <c r="R645" s="99"/>
      <c r="S645" s="47"/>
      <c r="T645" s="47"/>
    </row>
    <row r="646" s="26" customFormat="1" ht="30" customHeight="1" spans="1:21">
      <c r="A646" s="28"/>
      <c r="B646" s="29" t="s">
        <v>386</v>
      </c>
      <c r="C646" s="29"/>
      <c r="D646" s="29"/>
      <c r="E646" s="29"/>
      <c r="F646" s="29"/>
      <c r="G646" s="29"/>
      <c r="H646" s="29"/>
      <c r="I646" s="29"/>
      <c r="J646" s="29"/>
      <c r="K646" s="29"/>
      <c r="L646" s="30"/>
      <c r="M646" s="31"/>
      <c r="N646" s="31"/>
      <c r="O646" s="31"/>
      <c r="P646" s="31"/>
      <c r="Q646" s="31"/>
      <c r="R646" s="32"/>
      <c r="S646" s="33"/>
      <c r="T646" s="33"/>
    </row>
    <row r="647" s="27" customFormat="1" ht="33.75" customHeight="1" spans="1:21">
      <c r="A647" s="34">
        <v>16</v>
      </c>
      <c r="B647" s="35" t="s">
        <v>1</v>
      </c>
      <c r="C647" s="35" t="s">
        <v>387</v>
      </c>
      <c r="D647" s="36" t="str">
        <f>+A655</f>
        <v>二层T型钢龙骨玻璃幕墙（8+1.52PVB+8㎜全超白钢化夹层玻璃）（弯弧）（弧长1414㎜，圆弧半径900㎜，高3035㎜）</v>
      </c>
      <c r="E647" s="37"/>
      <c r="F647" s="38" t="s">
        <v>225</v>
      </c>
      <c r="G647" s="39"/>
      <c r="H647" s="35" t="s">
        <v>388</v>
      </c>
      <c r="I647" s="40" t="s">
        <v>389</v>
      </c>
      <c r="J647" s="41" t="s">
        <v>37</v>
      </c>
      <c r="K647" s="42">
        <f ca="1">VLOOKUP(A647,'商业工程量清单 '!$A$4:$D$44,4,FALSE)</f>
        <v>42.323075</v>
      </c>
      <c r="L647" s="43"/>
      <c r="M647" s="44"/>
      <c r="N647" s="44"/>
      <c r="O647" s="44"/>
      <c r="P647" s="45"/>
      <c r="Q647" s="44"/>
      <c r="R647" s="46"/>
      <c r="S647" s="47"/>
      <c r="T647" s="47"/>
    </row>
    <row r="648" s="27" customFormat="1" ht="25" customHeight="1" spans="1:21">
      <c r="A648" s="34"/>
      <c r="B648" s="48">
        <v>1</v>
      </c>
      <c r="C648" s="49" t="s">
        <v>390</v>
      </c>
      <c r="D648" s="48" t="s">
        <v>391</v>
      </c>
      <c r="E648" s="48"/>
      <c r="F648" s="50"/>
      <c r="G648" s="48"/>
      <c r="H648" s="51"/>
      <c r="I648" s="52">
        <f>J660</f>
        <v>274.784250924504</v>
      </c>
      <c r="J648" s="53" t="s">
        <v>392</v>
      </c>
      <c r="K648" s="54"/>
      <c r="L648" s="55" t="s">
        <v>1005</v>
      </c>
      <c r="M648" s="56"/>
      <c r="N648" s="57"/>
      <c r="O648" s="57">
        <v>1.414</v>
      </c>
      <c r="P648" s="57">
        <v>3.035</v>
      </c>
      <c r="Q648" s="57">
        <v>1</v>
      </c>
      <c r="R648" s="58">
        <f>+Q648*P648*O648</f>
        <v>4.29149</v>
      </c>
      <c r="S648" s="47"/>
      <c r="T648" s="47"/>
    </row>
    <row r="649" s="27" customFormat="1" ht="18" customHeight="1" spans="1:21">
      <c r="A649" s="34"/>
      <c r="B649" s="48">
        <v>2</v>
      </c>
      <c r="C649" s="59"/>
      <c r="D649" s="48" t="s">
        <v>394</v>
      </c>
      <c r="E649" s="48"/>
      <c r="F649" s="50"/>
      <c r="G649" s="48"/>
      <c r="H649" s="51"/>
      <c r="I649" s="52">
        <f>J687</f>
        <v>1682.65018807409</v>
      </c>
      <c r="J649" s="53" t="s">
        <v>392</v>
      </c>
      <c r="K649" s="60"/>
      <c r="L649" s="61"/>
      <c r="M649" s="44"/>
      <c r="N649" s="44"/>
      <c r="O649" s="44"/>
      <c r="P649" s="44"/>
      <c r="Q649" s="44"/>
      <c r="R649" s="62"/>
      <c r="S649" s="47"/>
      <c r="T649" s="47"/>
    </row>
    <row r="650" s="27" customFormat="1" ht="18" customHeight="1" spans="1:21">
      <c r="A650" s="34"/>
      <c r="B650" s="48">
        <v>3</v>
      </c>
      <c r="C650" s="63"/>
      <c r="D650" s="48" t="s">
        <v>395</v>
      </c>
      <c r="E650" s="48"/>
      <c r="F650" s="50"/>
      <c r="G650" s="48"/>
      <c r="H650" s="51"/>
      <c r="I650" s="52">
        <f>J688</f>
        <v>5</v>
      </c>
      <c r="J650" s="53" t="s">
        <v>392</v>
      </c>
      <c r="K650" s="60"/>
      <c r="L650" s="60"/>
      <c r="M650" s="64" t="s">
        <v>396</v>
      </c>
      <c r="N650" s="65" t="s">
        <v>397</v>
      </c>
      <c r="O650" s="65" t="s">
        <v>398</v>
      </c>
      <c r="P650" s="65" t="s">
        <v>399</v>
      </c>
      <c r="Q650" s="65" t="s">
        <v>400</v>
      </c>
      <c r="R650" s="66" t="s">
        <v>401</v>
      </c>
      <c r="S650" s="47"/>
      <c r="T650" s="47"/>
    </row>
    <row r="651" s="27" customFormat="1" ht="18" customHeight="1" spans="1:21">
      <c r="A651" s="34"/>
      <c r="B651" s="48">
        <v>4</v>
      </c>
      <c r="C651" s="48" t="s">
        <v>402</v>
      </c>
      <c r="D651" s="67" t="s">
        <v>403</v>
      </c>
      <c r="E651" s="67"/>
      <c r="F651" s="50"/>
      <c r="G651" s="67"/>
      <c r="H651" s="68"/>
      <c r="I651" s="52">
        <f>SUM(I648:I650)</f>
        <v>1962.4344389986</v>
      </c>
      <c r="J651" s="53" t="s">
        <v>392</v>
      </c>
      <c r="K651" s="60"/>
      <c r="L651" s="69" t="s">
        <v>427</v>
      </c>
      <c r="M651" s="70" t="s">
        <v>1007</v>
      </c>
      <c r="N651" s="34"/>
      <c r="O651" s="34">
        <v>0</v>
      </c>
      <c r="P651" s="34">
        <v>1</v>
      </c>
      <c r="Q651" s="44">
        <f t="shared" ref="Q651:Q661" si="104">+P651*O651*N651</f>
        <v>0</v>
      </c>
      <c r="R651" s="71">
        <f>+Q651/R648</f>
        <v>0</v>
      </c>
      <c r="S651" s="47"/>
      <c r="T651" s="47"/>
    </row>
    <row r="652" s="27" customFormat="1" ht="28" customHeight="1" spans="1:21">
      <c r="A652" s="34"/>
      <c r="B652" s="48">
        <v>5</v>
      </c>
      <c r="C652" s="72" t="s">
        <v>406</v>
      </c>
      <c r="D652" s="48" t="s">
        <v>407</v>
      </c>
      <c r="E652" s="48"/>
      <c r="F652" s="50"/>
      <c r="G652" s="48"/>
      <c r="H652" s="73">
        <f>+'材料表 '!$E$178</f>
        <v>0</v>
      </c>
      <c r="I652" s="52">
        <f>H652*I651</f>
        <v>0</v>
      </c>
      <c r="J652" s="53" t="s">
        <v>392</v>
      </c>
      <c r="K652" s="60"/>
      <c r="L652" s="69" t="s">
        <v>433</v>
      </c>
      <c r="M652" s="70" t="s">
        <v>1008</v>
      </c>
      <c r="N652" s="100">
        <f>0.214*2.71</f>
        <v>0.57994</v>
      </c>
      <c r="O652" s="34">
        <f>P648</f>
        <v>3.035</v>
      </c>
      <c r="P652" s="34">
        <f>1*2</f>
        <v>2</v>
      </c>
      <c r="Q652" s="44">
        <f t="shared" si="104"/>
        <v>3.5202358</v>
      </c>
      <c r="R652" s="71">
        <f>+Q652/R648</f>
        <v>0.8202828854314</v>
      </c>
      <c r="S652" s="47"/>
      <c r="T652" s="47"/>
    </row>
    <row r="653" s="27" customFormat="1" ht="18" customHeight="1" spans="1:21">
      <c r="A653" s="34"/>
      <c r="B653" s="48">
        <v>6</v>
      </c>
      <c r="C653" s="48" t="s">
        <v>409</v>
      </c>
      <c r="D653" s="48" t="s">
        <v>410</v>
      </c>
      <c r="E653" s="48"/>
      <c r="F653" s="50"/>
      <c r="G653" s="48"/>
      <c r="H653" s="73">
        <f>+'材料表 '!$E$179</f>
        <v>0</v>
      </c>
      <c r="I653" s="52">
        <f>H653*I651</f>
        <v>0</v>
      </c>
      <c r="J653" s="74" t="s">
        <v>392</v>
      </c>
      <c r="K653" s="75"/>
      <c r="L653" s="69" t="s">
        <v>429</v>
      </c>
      <c r="M653" s="70" t="s">
        <v>1009</v>
      </c>
      <c r="N653" s="100">
        <f>0.142*2.71</f>
        <v>0.38482</v>
      </c>
      <c r="O653" s="100">
        <f>P648/0.3*0.05</f>
        <v>0.505833333333333</v>
      </c>
      <c r="P653" s="34">
        <v>1</v>
      </c>
      <c r="Q653" s="44">
        <f t="shared" si="104"/>
        <v>0.194654783333333</v>
      </c>
      <c r="R653" s="71">
        <f>+Q653/R648</f>
        <v>0.0453583215464404</v>
      </c>
      <c r="S653" s="47"/>
      <c r="T653" s="47"/>
      <c r="U653" s="76"/>
    </row>
    <row r="654" s="27" customFormat="1" ht="18" customHeight="1" spans="1:21">
      <c r="A654" s="34"/>
      <c r="B654" s="48">
        <v>7</v>
      </c>
      <c r="C654" s="48" t="s">
        <v>412</v>
      </c>
      <c r="D654" s="72" t="s">
        <v>413</v>
      </c>
      <c r="E654" s="72"/>
      <c r="F654" s="77"/>
      <c r="G654" s="72"/>
      <c r="H654" s="73">
        <f>+'材料表 '!$E$180</f>
        <v>0.09</v>
      </c>
      <c r="I654" s="52">
        <f>(I651+I652+I653)*H654</f>
        <v>176.619099509874</v>
      </c>
      <c r="J654" s="74" t="s">
        <v>392</v>
      </c>
      <c r="K654" s="75"/>
      <c r="L654" s="69" t="s">
        <v>429</v>
      </c>
      <c r="M654" s="70" t="s">
        <v>1026</v>
      </c>
      <c r="N654" s="34">
        <f>0.5*2.71</f>
        <v>1.355</v>
      </c>
      <c r="O654" s="34">
        <f>O648</f>
        <v>1.414</v>
      </c>
      <c r="P654" s="34">
        <v>1</v>
      </c>
      <c r="Q654" s="44">
        <f t="shared" si="104"/>
        <v>1.91597</v>
      </c>
      <c r="R654" s="71">
        <f>+Q654/R648</f>
        <v>0.446457990115321</v>
      </c>
      <c r="S654" s="47"/>
      <c r="T654" s="47"/>
    </row>
    <row r="655" s="27" customFormat="1" ht="18" customHeight="1" spans="1:21">
      <c r="A655" s="78" t="s">
        <v>248</v>
      </c>
      <c r="B655" s="48">
        <v>8</v>
      </c>
      <c r="C655" s="48" t="s">
        <v>363</v>
      </c>
      <c r="D655" s="72" t="s">
        <v>415</v>
      </c>
      <c r="E655" s="72"/>
      <c r="F655" s="77"/>
      <c r="G655" s="72"/>
      <c r="H655" s="51"/>
      <c r="I655" s="74">
        <f>SUM(I651:I654)</f>
        <v>2139.05353850847</v>
      </c>
      <c r="J655" s="74" t="s">
        <v>416</v>
      </c>
      <c r="K655" s="75"/>
      <c r="L655" s="69" t="s">
        <v>429</v>
      </c>
      <c r="M655" s="70" t="s">
        <v>1027</v>
      </c>
      <c r="N655" s="101">
        <f>0.247*2.71</f>
        <v>0.66937</v>
      </c>
      <c r="O655" s="34">
        <f>O654</f>
        <v>1.414</v>
      </c>
      <c r="P655" s="34">
        <v>1</v>
      </c>
      <c r="Q655" s="44">
        <f t="shared" si="104"/>
        <v>0.94648918</v>
      </c>
      <c r="R655" s="71">
        <f>+Q655/R648</f>
        <v>0.220550247116969</v>
      </c>
      <c r="S655" s="79"/>
      <c r="T655" s="47"/>
    </row>
    <row r="656" s="27" customFormat="1" ht="18" customHeight="1" spans="1:21">
      <c r="A656" s="34"/>
      <c r="B656" s="48" t="s">
        <v>418</v>
      </c>
      <c r="C656" s="48"/>
      <c r="D656" s="48"/>
      <c r="E656" s="48"/>
      <c r="F656" s="48"/>
      <c r="G656" s="48"/>
      <c r="H656" s="48"/>
      <c r="I656" s="48"/>
      <c r="J656" s="48"/>
      <c r="K656" s="80"/>
      <c r="L656" s="69" t="s">
        <v>447</v>
      </c>
      <c r="M656" s="70" t="s">
        <v>1028</v>
      </c>
      <c r="N656" s="101">
        <f>0.166*2.71</f>
        <v>0.44986</v>
      </c>
      <c r="O656" s="34">
        <f>O654</f>
        <v>1.414</v>
      </c>
      <c r="P656" s="34">
        <v>1</v>
      </c>
      <c r="Q656" s="44">
        <f t="shared" si="104"/>
        <v>0.63610204</v>
      </c>
      <c r="R656" s="71">
        <f>+Q656/R648</f>
        <v>0.148224052718287</v>
      </c>
      <c r="S656" s="47">
        <f>0.094</f>
        <v>0.094</v>
      </c>
      <c r="T656" s="47">
        <f t="shared" ref="T656:T660" si="105">O656*P656*S656</f>
        <v>0.132916</v>
      </c>
      <c r="U656" s="76">
        <f>T656/R648</f>
        <v>0.0309719934102142</v>
      </c>
    </row>
    <row r="657" s="27" customFormat="1" ht="18" customHeight="1" spans="1:21">
      <c r="A657" s="34"/>
      <c r="B657" s="48">
        <v>1</v>
      </c>
      <c r="C657" s="48" t="s">
        <v>391</v>
      </c>
      <c r="D657" s="48" t="s">
        <v>396</v>
      </c>
      <c r="E657" s="48" t="s">
        <v>37</v>
      </c>
      <c r="F657" s="50"/>
      <c r="G657" s="48"/>
      <c r="H657" s="51" t="s">
        <v>399</v>
      </c>
      <c r="I657" s="51" t="s">
        <v>420</v>
      </c>
      <c r="J657" s="51" t="s">
        <v>421</v>
      </c>
      <c r="K657" s="43"/>
      <c r="L657" s="69" t="s">
        <v>404</v>
      </c>
      <c r="M657" s="81" t="s">
        <v>1029</v>
      </c>
      <c r="N657" s="82">
        <v>3.727</v>
      </c>
      <c r="O657" s="34">
        <f>O648</f>
        <v>1.414</v>
      </c>
      <c r="P657" s="34">
        <v>1</v>
      </c>
      <c r="Q657" s="44">
        <f t="shared" si="104"/>
        <v>5.269978</v>
      </c>
      <c r="R657" s="71">
        <f>+Q657/R648</f>
        <v>1.22800658978583</v>
      </c>
      <c r="S657" s="47"/>
      <c r="T657" s="47"/>
    </row>
    <row r="658" s="27" customFormat="1" ht="18" customHeight="1" spans="1:21">
      <c r="A658" s="34"/>
      <c r="B658" s="48">
        <v>2</v>
      </c>
      <c r="C658" s="48"/>
      <c r="D658" s="48" t="s">
        <v>966</v>
      </c>
      <c r="E658" s="72" t="s">
        <v>423</v>
      </c>
      <c r="F658" s="50"/>
      <c r="G658" s="48"/>
      <c r="H658" s="51">
        <v>1</v>
      </c>
      <c r="I658" s="51">
        <f>+辅材及安装费!$G$18+F681*135</f>
        <v>274.784250924504</v>
      </c>
      <c r="J658" s="51">
        <f t="shared" ref="J658:J681" si="106">H658*I658</f>
        <v>274.784250924504</v>
      </c>
      <c r="K658" s="43"/>
      <c r="L658" s="69" t="s">
        <v>429</v>
      </c>
      <c r="M658" s="70" t="s">
        <v>1030</v>
      </c>
      <c r="N658" s="34">
        <v>0.604</v>
      </c>
      <c r="O658" s="34">
        <f>O648</f>
        <v>1.414</v>
      </c>
      <c r="P658" s="34">
        <v>1</v>
      </c>
      <c r="Q658" s="44">
        <f t="shared" si="104"/>
        <v>0.854056</v>
      </c>
      <c r="R658" s="84">
        <f>+Q658/R648</f>
        <v>0.199011532125206</v>
      </c>
      <c r="S658" s="47"/>
      <c r="T658" s="47"/>
    </row>
    <row r="659" s="27" customFormat="1" ht="18" customHeight="1" spans="1:21">
      <c r="A659" s="34"/>
      <c r="B659" s="48">
        <v>3</v>
      </c>
      <c r="C659" s="48"/>
      <c r="D659" s="48"/>
      <c r="E659" s="72"/>
      <c r="F659" s="50"/>
      <c r="G659" s="48"/>
      <c r="H659" s="51"/>
      <c r="I659" s="51"/>
      <c r="J659" s="51"/>
      <c r="K659" s="43"/>
      <c r="L659" s="69" t="s">
        <v>447</v>
      </c>
      <c r="M659" s="70" t="s">
        <v>1028</v>
      </c>
      <c r="N659" s="82">
        <f>0.668*2.71+0.022*2.71</f>
        <v>1.8699</v>
      </c>
      <c r="O659" s="82">
        <f>O657</f>
        <v>1.414</v>
      </c>
      <c r="P659" s="34">
        <v>1</v>
      </c>
      <c r="Q659" s="44">
        <f t="shared" si="104"/>
        <v>2.6440386</v>
      </c>
      <c r="R659" s="84">
        <f>+Q659/R648</f>
        <v>0.616112026359143</v>
      </c>
      <c r="S659" s="47">
        <v>0.31</v>
      </c>
      <c r="T659" s="47">
        <f t="shared" si="105"/>
        <v>0.43834</v>
      </c>
      <c r="U659" s="76">
        <f>T659/R648</f>
        <v>0.102141680395387</v>
      </c>
    </row>
    <row r="660" s="27" customFormat="1" ht="18" customHeight="1" spans="1:21">
      <c r="A660" s="34"/>
      <c r="B660" s="48">
        <v>4</v>
      </c>
      <c r="C660" s="48"/>
      <c r="D660" s="85" t="s">
        <v>426</v>
      </c>
      <c r="E660" s="48" t="s">
        <v>392</v>
      </c>
      <c r="F660" s="50"/>
      <c r="G660" s="48"/>
      <c r="H660" s="86"/>
      <c r="I660" s="86"/>
      <c r="J660" s="51">
        <f>SUM(J658:J658)</f>
        <v>274.784250924504</v>
      </c>
      <c r="K660" s="75"/>
      <c r="L660" s="69" t="s">
        <v>447</v>
      </c>
      <c r="M660" s="70" t="s">
        <v>1031</v>
      </c>
      <c r="N660" s="101">
        <f>0.074*2.71</f>
        <v>0.20054</v>
      </c>
      <c r="O660" s="34">
        <f>O656</f>
        <v>1.414</v>
      </c>
      <c r="P660" s="34">
        <v>1</v>
      </c>
      <c r="Q660" s="44">
        <f t="shared" si="104"/>
        <v>0.28356356</v>
      </c>
      <c r="R660" s="84">
        <f>+Q660/R648</f>
        <v>0.0660757825370676</v>
      </c>
      <c r="S660" s="47">
        <f>0.048</f>
        <v>0.048</v>
      </c>
      <c r="T660" s="47">
        <f t="shared" si="105"/>
        <v>0.067872</v>
      </c>
      <c r="U660" s="76">
        <f>T660/R648</f>
        <v>0.0158154859967051</v>
      </c>
    </row>
    <row r="661" s="27" customFormat="1" ht="23" customHeight="1" spans="1:21">
      <c r="A661" s="34"/>
      <c r="B661" s="48">
        <v>1</v>
      </c>
      <c r="C661" s="48" t="s">
        <v>394</v>
      </c>
      <c r="D661" s="88" t="s">
        <v>427</v>
      </c>
      <c r="E661" s="72" t="str">
        <f>+VLOOKUP(D661,'材料表 '!C:F,2,0)</f>
        <v>kg</v>
      </c>
      <c r="F661" s="77">
        <f>+SUMIF($L$648:$L$688,D661,$R$648:$R$688)</f>
        <v>0</v>
      </c>
      <c r="G661" s="89">
        <f>+VLOOKUP(D661,'材料表 '!C:F,4,0)</f>
        <v>0.03</v>
      </c>
      <c r="H661" s="74">
        <f t="shared" ref="H661:H681" si="107">F661*(G661+1)</f>
        <v>0</v>
      </c>
      <c r="I661" s="74">
        <f>+VLOOKUP(D661,'材料表 '!C:F,3,0)</f>
        <v>25.8495575221239</v>
      </c>
      <c r="J661" s="51">
        <f t="shared" si="106"/>
        <v>0</v>
      </c>
      <c r="K661" s="75">
        <f ca="1">H661*K647</f>
        <v>0</v>
      </c>
      <c r="L661" s="69" t="s">
        <v>433</v>
      </c>
      <c r="M661" s="70" t="s">
        <v>1031</v>
      </c>
      <c r="N661" s="101">
        <f>0.055*2.71</f>
        <v>0.14905</v>
      </c>
      <c r="O661" s="34">
        <f>O657</f>
        <v>1.414</v>
      </c>
      <c r="P661" s="34">
        <v>3</v>
      </c>
      <c r="Q661" s="44">
        <f t="shared" si="104"/>
        <v>0.6322701</v>
      </c>
      <c r="R661" s="84">
        <f>+Q661/R648</f>
        <v>0.147331136738056</v>
      </c>
      <c r="S661" s="47"/>
      <c r="T661" s="47"/>
    </row>
    <row r="662" s="27" customFormat="1" ht="18" customHeight="1" spans="1:21">
      <c r="A662" s="34"/>
      <c r="B662" s="48">
        <v>2</v>
      </c>
      <c r="C662" s="48"/>
      <c r="D662" s="88" t="s">
        <v>404</v>
      </c>
      <c r="E662" s="72" t="str">
        <f>+VLOOKUP(D662,'材料表 '!C:F,2,0)</f>
        <v>kg</v>
      </c>
      <c r="F662" s="77">
        <f>+SUMIF($L$648:$L$688,D662,$R$648:$R$688)</f>
        <v>1.22800658978583</v>
      </c>
      <c r="G662" s="89">
        <f>+VLOOKUP(D662,'材料表 '!C:F,4,0)</f>
        <v>0.03</v>
      </c>
      <c r="H662" s="74">
        <f t="shared" si="107"/>
        <v>1.2648467874794</v>
      </c>
      <c r="I662" s="74">
        <f>+VLOOKUP(D662,'材料表 '!C:F,3,0)</f>
        <v>25.6725663716814</v>
      </c>
      <c r="J662" s="51">
        <f t="shared" si="106"/>
        <v>32.471863101573</v>
      </c>
      <c r="K662" s="75">
        <f ca="1">H662*K647</f>
        <v>53.5322054499997</v>
      </c>
      <c r="L662" s="69"/>
      <c r="M662" s="70"/>
      <c r="N662" s="83"/>
      <c r="O662" s="83"/>
      <c r="P662" s="83"/>
      <c r="Q662" s="83"/>
      <c r="R662" s="87"/>
      <c r="S662" s="47"/>
      <c r="T662" s="47"/>
    </row>
    <row r="663" s="27" customFormat="1" ht="18" customHeight="1" spans="1:21">
      <c r="A663" s="34"/>
      <c r="B663" s="48">
        <v>3</v>
      </c>
      <c r="C663" s="48"/>
      <c r="D663" s="88" t="s">
        <v>433</v>
      </c>
      <c r="E663" s="72" t="str">
        <f>+VLOOKUP(D663,'材料表 '!C:F,2,0)</f>
        <v>kg</v>
      </c>
      <c r="F663" s="77">
        <f t="shared" ref="F662:F675" si="108">+SUMIF($L$648:$L$688,D663,$R$648:$R$688)</f>
        <v>0.967614022169456</v>
      </c>
      <c r="G663" s="89">
        <f>+VLOOKUP(D663,'材料表 '!C:F,4,0)</f>
        <v>0.03</v>
      </c>
      <c r="H663" s="74">
        <f t="shared" si="107"/>
        <v>0.99664244283454</v>
      </c>
      <c r="I663" s="74">
        <f>+VLOOKUP(D663,'材料表 '!C:F,3,0)</f>
        <v>26.1150442477876</v>
      </c>
      <c r="J663" s="51">
        <f t="shared" si="106"/>
        <v>26.0273614938471</v>
      </c>
      <c r="K663" s="75">
        <f ca="1">H663*K647</f>
        <v>42.1809728562694</v>
      </c>
      <c r="L663" s="69"/>
      <c r="N663" s="83"/>
      <c r="O663" s="83"/>
      <c r="P663" s="83"/>
      <c r="Q663" s="83"/>
      <c r="R663" s="87"/>
      <c r="S663" s="47"/>
      <c r="T663" s="47"/>
    </row>
    <row r="664" s="27" customFormat="1" ht="18" customHeight="1" spans="1:21">
      <c r="A664" s="34"/>
      <c r="B664" s="48">
        <v>4</v>
      </c>
      <c r="C664" s="48"/>
      <c r="D664" s="88" t="s">
        <v>429</v>
      </c>
      <c r="E664" s="72" t="str">
        <f>+VLOOKUP(D664,'材料表 '!C:F,2,0)</f>
        <v>kg</v>
      </c>
      <c r="F664" s="77">
        <f t="shared" si="108"/>
        <v>0.911378090903936</v>
      </c>
      <c r="G664" s="89">
        <f>+VLOOKUP(D664,'材料表 '!C:F,4,0)</f>
        <v>0.03</v>
      </c>
      <c r="H664" s="74">
        <f t="shared" si="107"/>
        <v>0.938719433631054</v>
      </c>
      <c r="I664" s="74">
        <f>+VLOOKUP(D664,'材料表 '!C:F,3,0)</f>
        <v>26.1150442477876</v>
      </c>
      <c r="J664" s="51">
        <f t="shared" si="106"/>
        <v>24.5146995455331</v>
      </c>
      <c r="K664" s="75">
        <f ca="1">H664*K647</f>
        <v>39.7294929935246</v>
      </c>
      <c r="L664" s="90" t="s">
        <v>707</v>
      </c>
      <c r="M664" s="44"/>
      <c r="N664" s="82"/>
      <c r="O664" s="44">
        <f>O654*P654+O657*P657</f>
        <v>2.828</v>
      </c>
      <c r="P664" s="44">
        <v>1</v>
      </c>
      <c r="Q664" s="44">
        <f>+P664*O664</f>
        <v>2.828</v>
      </c>
      <c r="R664" s="84">
        <f>+Q664/R648</f>
        <v>0.658978583196046</v>
      </c>
      <c r="S664" s="47"/>
      <c r="T664" s="47"/>
    </row>
    <row r="665" s="27" customFormat="1" ht="18" customHeight="1" spans="1:21">
      <c r="A665" s="34"/>
      <c r="B665" s="48">
        <v>5</v>
      </c>
      <c r="C665" s="48"/>
      <c r="D665" s="88" t="s">
        <v>447</v>
      </c>
      <c r="E665" s="72" t="str">
        <f>+VLOOKUP(D665,'材料表 '!C:F,2,0)</f>
        <v>kg</v>
      </c>
      <c r="F665" s="77">
        <f t="shared" si="108"/>
        <v>0.830411861614498</v>
      </c>
      <c r="G665" s="89">
        <f>+VLOOKUP(D665,'材料表 '!C:F,4,0)</f>
        <v>0.03</v>
      </c>
      <c r="H665" s="74">
        <f t="shared" si="107"/>
        <v>0.855324217462933</v>
      </c>
      <c r="I665" s="74">
        <f>+VLOOKUP(D665,'材料表 '!C:F,3,0)</f>
        <v>24.4336283185841</v>
      </c>
      <c r="J665" s="51">
        <f t="shared" si="106"/>
        <v>20.8986740213731</v>
      </c>
      <c r="K665" s="43">
        <f ca="1">H665*K647</f>
        <v>36.199951005</v>
      </c>
      <c r="L665" s="90" t="s">
        <v>435</v>
      </c>
      <c r="M665" s="44"/>
      <c r="N665" s="82">
        <f>0.073*1.2</f>
        <v>0.0876</v>
      </c>
      <c r="O665" s="44">
        <f>O648*2*3+P648*7</f>
        <v>29.729</v>
      </c>
      <c r="P665" s="44">
        <v>1</v>
      </c>
      <c r="Q665" s="44">
        <f>+P665*O665</f>
        <v>29.729</v>
      </c>
      <c r="R665" s="84">
        <f>+Q665/R648</f>
        <v>6.92743079909309</v>
      </c>
      <c r="S665" s="47"/>
      <c r="T665" s="47"/>
    </row>
    <row r="666" s="27" customFormat="1" ht="18" customHeight="1" spans="1:21">
      <c r="A666" s="34"/>
      <c r="B666" s="48">
        <v>6</v>
      </c>
      <c r="C666" s="48"/>
      <c r="D666" s="88" t="s">
        <v>434</v>
      </c>
      <c r="E666" s="72" t="str">
        <f>+VLOOKUP(D666,'材料表 '!C:F,2,0)</f>
        <v>m2</v>
      </c>
      <c r="F666" s="77">
        <f>U656+U659+U660</f>
        <v>0.148929159802306</v>
      </c>
      <c r="G666" s="89">
        <f>+VLOOKUP(D666,'材料表 '!C:F,4,0)</f>
        <v>0</v>
      </c>
      <c r="H666" s="74">
        <f t="shared" si="107"/>
        <v>0.148929159802306</v>
      </c>
      <c r="I666" s="74">
        <f>+VLOOKUP(D666,'材料表 '!C:F,3,0)</f>
        <v>49.5575221238938</v>
      </c>
      <c r="J666" s="51">
        <f t="shared" si="106"/>
        <v>7.38056013179569</v>
      </c>
      <c r="K666" s="43">
        <f ca="1">H666*K647</f>
        <v>6.30313999999998</v>
      </c>
      <c r="L666" s="90" t="s">
        <v>463</v>
      </c>
      <c r="M666" s="91" t="s">
        <v>1032</v>
      </c>
      <c r="N666" s="82">
        <f>0.2*0.3*10*7.85</f>
        <v>4.71</v>
      </c>
      <c r="O666" s="44">
        <v>2</v>
      </c>
      <c r="P666" s="44">
        <f>P673</f>
        <v>1</v>
      </c>
      <c r="Q666" s="44">
        <f t="shared" ref="Q666:Q671" si="109">+P666*O666*N666</f>
        <v>9.42</v>
      </c>
      <c r="R666" s="84">
        <f>+Q666/R648</f>
        <v>2.19504181531356</v>
      </c>
      <c r="S666" s="47"/>
      <c r="T666" s="47"/>
    </row>
    <row r="667" s="27" customFormat="1" ht="18" customHeight="1" spans="1:21">
      <c r="A667" s="34"/>
      <c r="B667" s="48">
        <v>7</v>
      </c>
      <c r="C667" s="48"/>
      <c r="D667" s="88" t="s">
        <v>707</v>
      </c>
      <c r="E667" s="72" t="str">
        <f>+VLOOKUP(D667,'材料表 '!C:F,2,0)</f>
        <v>m2</v>
      </c>
      <c r="F667" s="77">
        <f t="shared" si="108"/>
        <v>0.658978583196046</v>
      </c>
      <c r="G667" s="89">
        <f>+VLOOKUP(D667,'材料表 '!C:F,4,0)</f>
        <v>0</v>
      </c>
      <c r="H667" s="74">
        <f t="shared" si="107"/>
        <v>0.658978583196046</v>
      </c>
      <c r="I667" s="74">
        <f>+VLOOKUP(D667,'材料表 '!C:F,3,0)</f>
        <v>8.8495575221239</v>
      </c>
      <c r="J667" s="51">
        <f t="shared" si="106"/>
        <v>5.83166887784112</v>
      </c>
      <c r="K667" s="43">
        <f ca="1">H667*K647</f>
        <v>27.89</v>
      </c>
      <c r="L667" s="90"/>
      <c r="M667" s="91"/>
      <c r="N667" s="82"/>
      <c r="O667" s="44"/>
      <c r="P667" s="44"/>
      <c r="Q667" s="44"/>
      <c r="R667" s="84"/>
      <c r="S667" s="47"/>
      <c r="T667" s="47"/>
    </row>
    <row r="668" s="27" customFormat="1" ht="18" customHeight="1" spans="1:21">
      <c r="A668" s="34"/>
      <c r="B668" s="48">
        <v>8</v>
      </c>
      <c r="C668" s="48"/>
      <c r="D668" s="88" t="s">
        <v>710</v>
      </c>
      <c r="E668" s="72" t="str">
        <f>+VLOOKUP(D668,'材料表 '!C:F,2,0)</f>
        <v>kg</v>
      </c>
      <c r="F668" s="77">
        <f t="shared" si="108"/>
        <v>62.8246119063542</v>
      </c>
      <c r="G668" s="89">
        <f>+VLOOKUP(D668,'材料表 '!C:F,4,0)</f>
        <v>0.03</v>
      </c>
      <c r="H668" s="74">
        <f t="shared" si="107"/>
        <v>64.7093502635448</v>
      </c>
      <c r="I668" s="74">
        <f>+VLOOKUP(D668,'材料表 '!C:F,3,0)</f>
        <v>8.8495575221239</v>
      </c>
      <c r="J668" s="51">
        <f t="shared" si="106"/>
        <v>572.649117376503</v>
      </c>
      <c r="K668" s="43">
        <f ca="1">H668*K647</f>
        <v>2738.69868440528</v>
      </c>
      <c r="L668" s="69" t="s">
        <v>465</v>
      </c>
      <c r="M668" s="81" t="s">
        <v>1013</v>
      </c>
      <c r="N668" s="34">
        <v>9.88</v>
      </c>
      <c r="O668" s="34">
        <f>0.13</f>
        <v>0.13</v>
      </c>
      <c r="P668" s="34">
        <f>2*P666</f>
        <v>2</v>
      </c>
      <c r="Q668" s="44">
        <f t="shared" si="109"/>
        <v>2.5688</v>
      </c>
      <c r="R668" s="84">
        <f>Q668/R648</f>
        <v>0.598579980379775</v>
      </c>
      <c r="S668" s="47"/>
      <c r="T668" s="47"/>
    </row>
    <row r="669" s="27" customFormat="1" ht="18" customHeight="1" spans="1:21">
      <c r="A669" s="34"/>
      <c r="B669" s="48">
        <v>9</v>
      </c>
      <c r="C669" s="48"/>
      <c r="D669" s="88" t="s">
        <v>431</v>
      </c>
      <c r="E669" s="72" t="str">
        <f>+VLOOKUP(D669,'材料表 '!C:F,2,0)</f>
        <v>kg</v>
      </c>
      <c r="F669" s="77">
        <f t="shared" si="108"/>
        <v>0</v>
      </c>
      <c r="G669" s="89">
        <f>+VLOOKUP(D669,'材料表 '!C:F,4,0)</f>
        <v>0.03</v>
      </c>
      <c r="H669" s="74">
        <f t="shared" si="107"/>
        <v>0</v>
      </c>
      <c r="I669" s="74">
        <f>+VLOOKUP(D669,'材料表 '!C:F,3,0)</f>
        <v>3.80530973451327</v>
      </c>
      <c r="J669" s="51">
        <f t="shared" si="106"/>
        <v>0</v>
      </c>
      <c r="K669" s="43">
        <f ca="1">H669*K647</f>
        <v>0</v>
      </c>
      <c r="L669" s="90" t="s">
        <v>474</v>
      </c>
      <c r="M669" s="44"/>
      <c r="N669" s="82"/>
      <c r="O669" s="44">
        <v>4</v>
      </c>
      <c r="P669" s="44">
        <f>O666*P666</f>
        <v>2</v>
      </c>
      <c r="Q669" s="44">
        <f>O669*P669</f>
        <v>8</v>
      </c>
      <c r="R669" s="84">
        <f>Q669/R648</f>
        <v>1.86415440790961</v>
      </c>
      <c r="S669" s="47"/>
      <c r="T669" s="47"/>
    </row>
    <row r="670" s="27" customFormat="1" ht="18" customHeight="1" spans="1:21">
      <c r="A670" s="34"/>
      <c r="B670" s="48">
        <v>10</v>
      </c>
      <c r="C670" s="48"/>
      <c r="D670" s="88" t="s">
        <v>461</v>
      </c>
      <c r="E670" s="72" t="str">
        <f>+VLOOKUP(D670,'材料表 '!C:F,2,0)</f>
        <v>kg</v>
      </c>
      <c r="F670" s="77">
        <f t="shared" si="108"/>
        <v>0</v>
      </c>
      <c r="G670" s="89">
        <f>+VLOOKUP(D670,'材料表 '!C:F,4,0)</f>
        <v>0.03</v>
      </c>
      <c r="H670" s="74">
        <f t="shared" si="107"/>
        <v>0</v>
      </c>
      <c r="I670" s="74">
        <f>+VLOOKUP(D670,'材料表 '!C:F,3,0)</f>
        <v>3.53982300884956</v>
      </c>
      <c r="J670" s="51">
        <f t="shared" si="106"/>
        <v>0</v>
      </c>
      <c r="K670" s="43">
        <f ca="1">H670*K647</f>
        <v>0</v>
      </c>
      <c r="L670" s="90" t="s">
        <v>472</v>
      </c>
      <c r="M670" s="91"/>
      <c r="N670" s="82"/>
      <c r="O670" s="44">
        <v>2</v>
      </c>
      <c r="P670" s="44">
        <f>P666</f>
        <v>1</v>
      </c>
      <c r="Q670" s="44">
        <f>O670*P670</f>
        <v>2</v>
      </c>
      <c r="R670" s="84">
        <f>Q670/R648</f>
        <v>0.466038601977402</v>
      </c>
      <c r="S670" s="47"/>
      <c r="T670" s="47"/>
    </row>
    <row r="671" s="27" customFormat="1" ht="18" customHeight="1" spans="1:21">
      <c r="A671" s="34"/>
      <c r="B671" s="48">
        <v>11</v>
      </c>
      <c r="C671" s="48"/>
      <c r="D671" s="88" t="s">
        <v>435</v>
      </c>
      <c r="E671" s="72" t="str">
        <f>+VLOOKUP(D671,'材料表 '!C:F,2,0)</f>
        <v>kg</v>
      </c>
      <c r="F671" s="77">
        <f t="shared" si="108"/>
        <v>6.92743079909309</v>
      </c>
      <c r="G671" s="89">
        <f>+VLOOKUP(D671,'材料表 '!C:F,4,0)</f>
        <v>0.03</v>
      </c>
      <c r="H671" s="74">
        <f t="shared" si="107"/>
        <v>7.13525372306588</v>
      </c>
      <c r="I671" s="74">
        <f>+VLOOKUP(D671,'材料表 '!C:F,3,0)</f>
        <v>19.4690265486726</v>
      </c>
      <c r="J671" s="51">
        <f t="shared" si="106"/>
        <v>138.916444165885</v>
      </c>
      <c r="K671" s="43">
        <f ca="1">H671*K647</f>
        <v>301.985878465346</v>
      </c>
      <c r="L671" s="69" t="s">
        <v>465</v>
      </c>
      <c r="M671" s="91"/>
      <c r="N671" s="82">
        <f>(0.058+0.04*2)*5*7.85</f>
        <v>5.4165</v>
      </c>
      <c r="O671" s="44">
        <f>O648</f>
        <v>1.414</v>
      </c>
      <c r="P671" s="44">
        <v>0</v>
      </c>
      <c r="Q671" s="44">
        <f t="shared" si="109"/>
        <v>0</v>
      </c>
      <c r="R671" s="84">
        <f>+Q671/R648</f>
        <v>0</v>
      </c>
      <c r="S671" s="47"/>
      <c r="T671" s="47"/>
    </row>
    <row r="672" s="27" customFormat="1" ht="18" customHeight="1" spans="1:21">
      <c r="A672" s="34"/>
      <c r="B672" s="48">
        <v>12</v>
      </c>
      <c r="C672" s="48"/>
      <c r="D672" s="88" t="s">
        <v>463</v>
      </c>
      <c r="E672" s="72" t="str">
        <f>+VLOOKUP(D672,'材料表 '!C:F,2,0)</f>
        <v>kg</v>
      </c>
      <c r="F672" s="77">
        <f t="shared" si="108"/>
        <v>2.19504181531356</v>
      </c>
      <c r="G672" s="89">
        <f>+VLOOKUP(D672,'材料表 '!C:F,4,0)</f>
        <v>0.03</v>
      </c>
      <c r="H672" s="74">
        <f t="shared" si="107"/>
        <v>2.26089306977297</v>
      </c>
      <c r="I672" s="74">
        <f>+VLOOKUP(D672,'材料表 '!C:F,3,0)</f>
        <v>6.01769911504425</v>
      </c>
      <c r="J672" s="51">
        <f t="shared" si="106"/>
        <v>13.6053742251825</v>
      </c>
      <c r="K672" s="43">
        <f ca="1">H672*K647</f>
        <v>95.6879469589816</v>
      </c>
      <c r="L672" s="69" t="s">
        <v>461</v>
      </c>
      <c r="N672" s="83"/>
      <c r="O672" s="83"/>
      <c r="P672" s="83"/>
      <c r="Q672" s="83"/>
      <c r="R672" s="84"/>
      <c r="S672" s="47"/>
      <c r="T672" s="47"/>
    </row>
    <row r="673" s="27" customFormat="1" ht="18" customHeight="1" spans="1:20">
      <c r="A673" s="34"/>
      <c r="B673" s="48">
        <v>13</v>
      </c>
      <c r="C673" s="48"/>
      <c r="D673" s="88" t="s">
        <v>465</v>
      </c>
      <c r="E673" s="72" t="str">
        <f>+VLOOKUP(D673,'材料表 '!C:F,2,0)</f>
        <v>kg</v>
      </c>
      <c r="F673" s="77">
        <f t="shared" si="108"/>
        <v>0.598579980379775</v>
      </c>
      <c r="G673" s="89">
        <f>+VLOOKUP(D673,'材料表 '!C:F,4,0)</f>
        <v>0.03</v>
      </c>
      <c r="H673" s="74">
        <f t="shared" si="107"/>
        <v>0.616537379791168</v>
      </c>
      <c r="I673" s="74">
        <f>+VLOOKUP(D673,'材料表 '!C:F,3,0)</f>
        <v>6.01769911504425</v>
      </c>
      <c r="J673" s="51">
        <f t="shared" si="106"/>
        <v>3.71013644476101</v>
      </c>
      <c r="K673" s="43">
        <f ca="1">H673*K647</f>
        <v>26.0937577652051</v>
      </c>
      <c r="L673" s="90" t="s">
        <v>1033</v>
      </c>
      <c r="M673" s="44"/>
      <c r="N673" s="82">
        <f>(0.225+0.07)*1*25*7.85</f>
        <v>57.89375</v>
      </c>
      <c r="O673" s="44">
        <f>3.243</f>
        <v>3.243</v>
      </c>
      <c r="P673" s="44">
        <v>1</v>
      </c>
      <c r="Q673" s="44">
        <f>+P673*O673*N673</f>
        <v>187.74943125</v>
      </c>
      <c r="R673" s="84">
        <f>+Q673/R648</f>
        <v>43.7492412309012</v>
      </c>
      <c r="S673" s="47"/>
      <c r="T673" s="47"/>
    </row>
    <row r="674" s="27" customFormat="1" ht="18" customHeight="1" spans="1:20">
      <c r="A674" s="34"/>
      <c r="B674" s="48">
        <v>14</v>
      </c>
      <c r="C674" s="48"/>
      <c r="D674" s="88" t="s">
        <v>474</v>
      </c>
      <c r="E674" s="72" t="str">
        <f>+VLOOKUP(D674,'材料表 '!C:F,2,0)</f>
        <v>套</v>
      </c>
      <c r="F674" s="77">
        <f t="shared" si="108"/>
        <v>1.86415440790961</v>
      </c>
      <c r="G674" s="89">
        <f>+VLOOKUP(D674,'材料表 '!C:F,4,0)</f>
        <v>0</v>
      </c>
      <c r="H674" s="74">
        <f t="shared" si="107"/>
        <v>1.86415440790961</v>
      </c>
      <c r="I674" s="74">
        <f>+VLOOKUP(D674,'材料表 '!C:F,3,0)</f>
        <v>2.21238938053097</v>
      </c>
      <c r="J674" s="51">
        <f t="shared" si="106"/>
        <v>4.12423541572922</v>
      </c>
      <c r="K674" s="43">
        <f ca="1">H674*K647</f>
        <v>78.896746817539</v>
      </c>
      <c r="L674" s="90" t="s">
        <v>1033</v>
      </c>
      <c r="M674" s="44"/>
      <c r="N674" s="82">
        <f>(0.225+0.07)*1*25*7.85</f>
        <v>57.89375</v>
      </c>
      <c r="O674" s="44">
        <f>O648</f>
        <v>1.414</v>
      </c>
      <c r="P674" s="44">
        <v>1</v>
      </c>
      <c r="Q674" s="44">
        <f>+P674*O674*N674</f>
        <v>81.8617625</v>
      </c>
      <c r="R674" s="84">
        <f>+Q674/R648</f>
        <v>19.075370675453</v>
      </c>
      <c r="S674" s="47"/>
      <c r="T674" s="47"/>
    </row>
    <row r="675" s="27" customFormat="1" ht="18" customHeight="1" spans="1:20">
      <c r="A675" s="34"/>
      <c r="B675" s="48">
        <v>15</v>
      </c>
      <c r="C675" s="48"/>
      <c r="D675" s="88" t="s">
        <v>472</v>
      </c>
      <c r="E675" s="72" t="str">
        <f>+VLOOKUP(D675,'材料表 '!C:F,2,0)</f>
        <v>套</v>
      </c>
      <c r="F675" s="77">
        <f t="shared" si="108"/>
        <v>0.466038601977402</v>
      </c>
      <c r="G675" s="89">
        <f>+VLOOKUP(D675,'材料表 '!C:F,4,0)</f>
        <v>0</v>
      </c>
      <c r="H675" s="74">
        <f t="shared" si="107"/>
        <v>0.466038601977402</v>
      </c>
      <c r="I675" s="74">
        <f>+VLOOKUP(D675,'材料表 '!C:F,3,0)</f>
        <v>2.47787610619469</v>
      </c>
      <c r="J675" s="51">
        <f t="shared" si="106"/>
        <v>1.15478591640418</v>
      </c>
      <c r="K675" s="43">
        <f ca="1">H675*K647</f>
        <v>19.7241867043847</v>
      </c>
      <c r="L675" s="90"/>
      <c r="M675" s="44"/>
      <c r="N675" s="82"/>
      <c r="O675" s="44"/>
      <c r="P675" s="44"/>
      <c r="Q675" s="44"/>
      <c r="R675" s="84"/>
      <c r="S675" s="47"/>
      <c r="T675" s="47"/>
    </row>
    <row r="676" s="27" customFormat="1" ht="18" customHeight="1" spans="1:20">
      <c r="A676" s="34"/>
      <c r="B676" s="48">
        <v>16</v>
      </c>
      <c r="C676" s="48"/>
      <c r="D676" s="88" t="s">
        <v>476</v>
      </c>
      <c r="E676" s="72" t="str">
        <f>+VLOOKUP(D676,'材料表 '!C:F,2,0)</f>
        <v>支</v>
      </c>
      <c r="F676" s="77">
        <f>8*8*(O648*4)*2/500/R648+16*8*(O652*P673)/500/R648</f>
        <v>0.518443710692557</v>
      </c>
      <c r="G676" s="89">
        <f>+VLOOKUP(D676,'材料表 '!C:F,4,0)</f>
        <v>0.15</v>
      </c>
      <c r="H676" s="74">
        <f t="shared" si="107"/>
        <v>0.596210267296441</v>
      </c>
      <c r="I676" s="74">
        <f>+VLOOKUP(D676,'材料表 '!C:F,3,0)</f>
        <v>11.5044247787611</v>
      </c>
      <c r="J676" s="51">
        <f t="shared" si="106"/>
        <v>6.85905617243695</v>
      </c>
      <c r="K676" s="43">
        <f ca="1">H676*K647</f>
        <v>25.2334518585573</v>
      </c>
      <c r="L676" s="92"/>
      <c r="M676" s="44"/>
      <c r="N676" s="82"/>
      <c r="O676" s="44"/>
      <c r="P676" s="44"/>
      <c r="Q676" s="44"/>
      <c r="R676" s="84"/>
      <c r="S676" s="47"/>
      <c r="T676" s="47"/>
    </row>
    <row r="677" s="27" customFormat="1" ht="18" customHeight="1" spans="1:20">
      <c r="A677" s="34"/>
      <c r="B677" s="48">
        <v>17</v>
      </c>
      <c r="C677" s="48"/>
      <c r="D677" s="88" t="s">
        <v>576</v>
      </c>
      <c r="E677" s="72" t="str">
        <f>+VLOOKUP(D677,'材料表 '!C:F,2,0)</f>
        <v>支</v>
      </c>
      <c r="F677" s="77">
        <f>18*10*(O652*P652)/500/R648</f>
        <v>0.509193776520509</v>
      </c>
      <c r="G677" s="89">
        <f>+VLOOKUP(D677,'材料表 '!C:F,4,0)</f>
        <v>0.15</v>
      </c>
      <c r="H677" s="74">
        <f t="shared" si="107"/>
        <v>0.585572842998585</v>
      </c>
      <c r="I677" s="74">
        <f>+VLOOKUP(D677,'材料表 '!C:F,3,0)</f>
        <v>14.1592920353982</v>
      </c>
      <c r="J677" s="51">
        <f t="shared" si="106"/>
        <v>8.29129689201535</v>
      </c>
      <c r="K677" s="43">
        <f ca="1">H677*K647</f>
        <v>24.7832433521923</v>
      </c>
      <c r="L677" s="92"/>
      <c r="M677" s="44"/>
      <c r="N677" s="82"/>
      <c r="O677" s="44"/>
      <c r="P677" s="44"/>
      <c r="Q677" s="44"/>
      <c r="R677" s="84"/>
      <c r="S677" s="47"/>
      <c r="T677" s="47"/>
    </row>
    <row r="678" s="27" customFormat="1" ht="18" customHeight="1" spans="1:20">
      <c r="A678" s="34"/>
      <c r="B678" s="48">
        <v>18</v>
      </c>
      <c r="C678" s="48"/>
      <c r="D678" s="88" t="s">
        <v>479</v>
      </c>
      <c r="E678" s="72" t="str">
        <f>+VLOOKUP(D678,'材料表 '!C:F,2,0)</f>
        <v>kg</v>
      </c>
      <c r="F678" s="77">
        <f>R674</f>
        <v>19.075370675453</v>
      </c>
      <c r="G678" s="89">
        <f>+VLOOKUP(D678,'材料表 '!C:F,4,0)</f>
        <v>0.03</v>
      </c>
      <c r="H678" s="74">
        <f t="shared" si="107"/>
        <v>19.6476317957166</v>
      </c>
      <c r="I678" s="74">
        <f>+VLOOKUP(D678,'材料表 '!C:F,3,0)</f>
        <v>14.1592920353982</v>
      </c>
      <c r="J678" s="51">
        <f t="shared" si="106"/>
        <v>278.196556399526</v>
      </c>
      <c r="K678" s="43">
        <f ca="1">H678*K647</f>
        <v>831.548194062498</v>
      </c>
      <c r="L678" s="92"/>
      <c r="M678" s="44"/>
      <c r="N678" s="82"/>
      <c r="O678" s="44"/>
      <c r="P678" s="44"/>
      <c r="Q678" s="44"/>
      <c r="R678" s="84"/>
      <c r="S678" s="47"/>
      <c r="T678" s="47"/>
    </row>
    <row r="679" s="27" customFormat="1" ht="21" customHeight="1" spans="1:20">
      <c r="A679" s="34"/>
      <c r="B679" s="48">
        <v>19</v>
      </c>
      <c r="C679" s="48"/>
      <c r="D679" s="88" t="s">
        <v>500</v>
      </c>
      <c r="E679" s="72" t="str">
        <f>+VLOOKUP(D679,'材料表 '!C:F,2,0)</f>
        <v>kg</v>
      </c>
      <c r="F679" s="77">
        <f>R654+R655+R656+R657+R658+R659+R660+R661</f>
        <v>3.07176935749588</v>
      </c>
      <c r="G679" s="89">
        <f>+VLOOKUP(D679,'材料表 '!C:F,4,0)</f>
        <v>0.03</v>
      </c>
      <c r="H679" s="74">
        <f t="shared" si="107"/>
        <v>3.16392243822076</v>
      </c>
      <c r="I679" s="74">
        <f>+VLOOKUP(D679,'材料表 '!C:F,3,0)</f>
        <v>14.1592920353982</v>
      </c>
      <c r="J679" s="51">
        <f t="shared" si="106"/>
        <v>44.7989017801168</v>
      </c>
      <c r="K679" s="43">
        <f ca="1">H679*K647</f>
        <v>133.906926647</v>
      </c>
      <c r="L679" s="92"/>
      <c r="M679" s="44"/>
      <c r="N679" s="82"/>
      <c r="O679" s="44"/>
      <c r="P679" s="44"/>
      <c r="Q679" s="44"/>
      <c r="R679" s="84"/>
      <c r="S679" s="47"/>
      <c r="T679" s="47"/>
    </row>
    <row r="680" s="27" customFormat="1" ht="48" customHeight="1" spans="1:20">
      <c r="A680" s="34"/>
      <c r="B680" s="48">
        <v>20</v>
      </c>
      <c r="C680" s="48"/>
      <c r="D680" s="88" t="s">
        <v>1034</v>
      </c>
      <c r="E680" s="72" t="str">
        <f>+VLOOKUP(D680,'材料表 '!C:F,2,0)</f>
        <v>m2</v>
      </c>
      <c r="F680" s="77">
        <v>1</v>
      </c>
      <c r="G680" s="89">
        <f>+VLOOKUP(D680,'材料表 '!C:F,4,0)</f>
        <v>0.01</v>
      </c>
      <c r="H680" s="74">
        <f t="shared" si="107"/>
        <v>1.01</v>
      </c>
      <c r="I680" s="74">
        <f>+VLOOKUP(D680,'材料表 '!C:F,3,0)</f>
        <v>292.035398230089</v>
      </c>
      <c r="J680" s="51">
        <f t="shared" si="106"/>
        <v>294.955752212389</v>
      </c>
      <c r="K680" s="43">
        <f ca="1">H680*K647</f>
        <v>42.74630575</v>
      </c>
      <c r="L680" s="90"/>
      <c r="M680" s="44"/>
      <c r="N680" s="82"/>
      <c r="O680" s="44"/>
      <c r="P680" s="44"/>
      <c r="Q680" s="44"/>
      <c r="R680" s="84"/>
      <c r="S680" s="47"/>
      <c r="T680" s="47"/>
    </row>
    <row r="681" s="27" customFormat="1" ht="19" customHeight="1" spans="1:20">
      <c r="A681" s="34"/>
      <c r="B681" s="48">
        <v>21</v>
      </c>
      <c r="C681" s="48"/>
      <c r="D681" s="88" t="s">
        <v>713</v>
      </c>
      <c r="E681" s="72" t="str">
        <f>+VLOOKUP(D681,'材料表 '!C:F,2,0)</f>
        <v>m2</v>
      </c>
      <c r="F681" s="77">
        <f>0.647*(O673*P673+O674*P674)/R648</f>
        <v>0.702105562403734</v>
      </c>
      <c r="G681" s="89">
        <f>+VLOOKUP(D681,'材料表 '!C:F,4,0)</f>
        <v>0.01</v>
      </c>
      <c r="H681" s="74">
        <f t="shared" si="107"/>
        <v>0.709126618027771</v>
      </c>
      <c r="I681" s="74">
        <f>+VLOOKUP(D681,'材料表 '!C:F,3,0)</f>
        <v>265.486725663717</v>
      </c>
      <c r="J681" s="51">
        <f t="shared" si="106"/>
        <v>188.263703901178</v>
      </c>
      <c r="K681" s="43">
        <f ca="1">H681*K647</f>
        <v>30.0124190392857</v>
      </c>
      <c r="L681" s="90"/>
      <c r="M681" s="44"/>
      <c r="N681" s="82"/>
      <c r="O681" s="44"/>
      <c r="P681" s="44"/>
      <c r="Q681" s="44"/>
      <c r="R681" s="84"/>
      <c r="S681" s="47"/>
      <c r="T681" s="47"/>
    </row>
    <row r="682" s="27" customFormat="1" ht="18" customHeight="1" spans="1:20">
      <c r="A682" s="34"/>
      <c r="B682" s="48">
        <v>22</v>
      </c>
      <c r="C682" s="48"/>
      <c r="D682" s="88"/>
      <c r="E682" s="72"/>
      <c r="F682" s="77"/>
      <c r="G682" s="89"/>
      <c r="H682" s="74"/>
      <c r="I682" s="74"/>
      <c r="J682" s="51"/>
      <c r="K682" s="43">
        <f ca="1">H682*K647</f>
        <v>0</v>
      </c>
      <c r="L682" s="92"/>
      <c r="M682" s="44"/>
      <c r="N682" s="82"/>
      <c r="O682" s="44"/>
      <c r="P682" s="44"/>
      <c r="Q682" s="44"/>
      <c r="R682" s="84"/>
      <c r="S682" s="47"/>
      <c r="T682" s="47"/>
    </row>
    <row r="683" s="27" customFormat="1" ht="18" customHeight="1" spans="1:20">
      <c r="A683" s="34"/>
      <c r="B683" s="48">
        <v>23</v>
      </c>
      <c r="C683" s="48"/>
      <c r="D683" s="88"/>
      <c r="E683" s="72"/>
      <c r="F683" s="77"/>
      <c r="G683" s="89"/>
      <c r="H683" s="74"/>
      <c r="I683" s="74"/>
      <c r="J683" s="51"/>
      <c r="K683" s="43">
        <f ca="1">H683*K647</f>
        <v>0</v>
      </c>
      <c r="L683" s="92"/>
      <c r="M683" s="44"/>
      <c r="N683" s="44"/>
      <c r="O683" s="44"/>
      <c r="P683" s="44"/>
      <c r="Q683" s="44"/>
      <c r="R683" s="84"/>
      <c r="S683" s="47"/>
      <c r="T683" s="47"/>
    </row>
    <row r="684" s="27" customFormat="1" ht="18" customHeight="1" spans="1:20">
      <c r="A684" s="34"/>
      <c r="B684" s="48">
        <v>24</v>
      </c>
      <c r="C684" s="48"/>
      <c r="D684" s="88"/>
      <c r="E684" s="72"/>
      <c r="F684" s="77"/>
      <c r="G684" s="89"/>
      <c r="H684" s="74"/>
      <c r="I684" s="74"/>
      <c r="J684" s="51"/>
      <c r="K684" s="75">
        <f ca="1">H684*K647</f>
        <v>0</v>
      </c>
      <c r="L684" s="92"/>
      <c r="M684" s="44"/>
      <c r="N684" s="44"/>
      <c r="O684" s="44"/>
      <c r="P684" s="44"/>
      <c r="Q684" s="44"/>
      <c r="R684" s="84"/>
      <c r="S684" s="47"/>
      <c r="T684" s="47"/>
    </row>
    <row r="685" s="27" customFormat="1" ht="18" customHeight="1" spans="1:20">
      <c r="A685" s="34"/>
      <c r="B685" s="48">
        <v>25</v>
      </c>
      <c r="C685" s="48"/>
      <c r="D685" s="88"/>
      <c r="E685" s="72"/>
      <c r="F685" s="77"/>
      <c r="G685" s="89"/>
      <c r="H685" s="74"/>
      <c r="I685" s="74"/>
      <c r="J685" s="51"/>
      <c r="K685" s="75">
        <f ca="1">H685*K647</f>
        <v>0</v>
      </c>
      <c r="L685" s="92"/>
      <c r="M685" s="44"/>
      <c r="N685" s="44"/>
      <c r="O685" s="44"/>
      <c r="P685" s="44"/>
      <c r="Q685" s="44"/>
      <c r="R685" s="84"/>
      <c r="S685" s="47"/>
      <c r="T685" s="47"/>
    </row>
    <row r="686" s="27" customFormat="1" ht="18" customHeight="1" spans="1:20">
      <c r="A686" s="34"/>
      <c r="B686" s="48">
        <v>26</v>
      </c>
      <c r="C686" s="48"/>
      <c r="D686" s="88" t="s">
        <v>441</v>
      </c>
      <c r="E686" s="72" t="s">
        <v>43</v>
      </c>
      <c r="F686" s="77"/>
      <c r="G686" s="72">
        <v>1</v>
      </c>
      <c r="H686" s="74">
        <v>1</v>
      </c>
      <c r="I686" s="74">
        <f>+辅材及安装费!$E$18</f>
        <v>10</v>
      </c>
      <c r="J686" s="51">
        <f>H686*I686</f>
        <v>10</v>
      </c>
      <c r="K686" s="75"/>
      <c r="L686" s="92"/>
      <c r="M686" s="44"/>
      <c r="N686" s="44"/>
      <c r="O686" s="44"/>
      <c r="P686" s="44"/>
      <c r="Q686" s="44"/>
      <c r="R686" s="62"/>
      <c r="S686" s="47"/>
      <c r="T686" s="47"/>
    </row>
    <row r="687" s="27" customFormat="1" ht="18" customHeight="1" spans="1:20">
      <c r="A687" s="34"/>
      <c r="B687" s="48">
        <v>27</v>
      </c>
      <c r="C687" s="48"/>
      <c r="D687" s="93" t="s">
        <v>442</v>
      </c>
      <c r="E687" s="72"/>
      <c r="F687" s="77"/>
      <c r="G687" s="72"/>
      <c r="H687" s="74"/>
      <c r="I687" s="74"/>
      <c r="J687" s="51">
        <f>SUM(J661:J686)</f>
        <v>1682.65018807409</v>
      </c>
      <c r="K687" s="75"/>
      <c r="L687" s="94"/>
      <c r="N687" s="83"/>
      <c r="O687" s="83"/>
      <c r="P687" s="83"/>
      <c r="Q687" s="83"/>
      <c r="R687" s="87"/>
      <c r="S687" s="47"/>
      <c r="T687" s="47"/>
    </row>
    <row r="688" s="27" customFormat="1" ht="18" customHeight="1" spans="1:20">
      <c r="A688" s="34"/>
      <c r="B688" s="48">
        <v>1</v>
      </c>
      <c r="C688" s="48" t="s">
        <v>443</v>
      </c>
      <c r="D688" s="48" t="s">
        <v>444</v>
      </c>
      <c r="E688" s="72" t="s">
        <v>43</v>
      </c>
      <c r="F688" s="50"/>
      <c r="G688" s="48"/>
      <c r="H688" s="51">
        <v>1</v>
      </c>
      <c r="I688" s="74">
        <f>+辅材及安装费!$F$18</f>
        <v>5</v>
      </c>
      <c r="J688" s="95">
        <f>H688*I688</f>
        <v>5</v>
      </c>
      <c r="K688" s="60"/>
      <c r="L688" s="96"/>
      <c r="M688" s="97"/>
      <c r="N688" s="98"/>
      <c r="O688" s="98"/>
      <c r="P688" s="98"/>
      <c r="Q688" s="98"/>
      <c r="R688" s="99"/>
      <c r="S688" s="47"/>
      <c r="T688" s="47"/>
    </row>
    <row r="689" s="26" customFormat="1" ht="30" customHeight="1" spans="1:21">
      <c r="A689" s="28"/>
      <c r="B689" s="29" t="s">
        <v>386</v>
      </c>
      <c r="C689" s="29"/>
      <c r="D689" s="29"/>
      <c r="E689" s="29"/>
      <c r="F689" s="29"/>
      <c r="G689" s="29"/>
      <c r="H689" s="29"/>
      <c r="I689" s="29"/>
      <c r="J689" s="29"/>
      <c r="K689" s="29"/>
      <c r="L689" s="30"/>
      <c r="M689" s="31"/>
      <c r="N689" s="31"/>
      <c r="O689" s="31"/>
      <c r="P689" s="31"/>
      <c r="Q689" s="31"/>
      <c r="R689" s="32"/>
      <c r="S689" s="33"/>
      <c r="T689" s="33"/>
    </row>
    <row r="690" s="27" customFormat="1" ht="33.75" customHeight="1" spans="1:21">
      <c r="A690" s="34">
        <v>17</v>
      </c>
      <c r="B690" s="35" t="s">
        <v>1</v>
      </c>
      <c r="C690" s="35" t="s">
        <v>387</v>
      </c>
      <c r="D690" s="36" t="str">
        <f>+A698</f>
        <v>二层T型钢龙骨玻璃幕墙（6+1.52PVB+6Low-E(双银)+12A+10㎜全超白钢化夹层玻璃）</v>
      </c>
      <c r="E690" s="37"/>
      <c r="F690" s="38" t="s">
        <v>225</v>
      </c>
      <c r="G690" s="39"/>
      <c r="H690" s="35" t="s">
        <v>388</v>
      </c>
      <c r="I690" s="40" t="s">
        <v>389</v>
      </c>
      <c r="J690" s="41" t="s">
        <v>37</v>
      </c>
      <c r="K690" s="42">
        <f ca="1">VLOOKUP(A690,'商业工程量清单 '!$A$4:$D$44,4,FALSE)</f>
        <v>106.37675</v>
      </c>
      <c r="L690" s="43"/>
      <c r="M690" s="44"/>
      <c r="N690" s="44"/>
      <c r="O690" s="44"/>
      <c r="P690" s="45"/>
      <c r="Q690" s="44"/>
      <c r="R690" s="46"/>
      <c r="S690" s="47"/>
      <c r="T690" s="47"/>
    </row>
    <row r="691" s="27" customFormat="1" ht="25" customHeight="1" spans="1:21">
      <c r="A691" s="34"/>
      <c r="B691" s="48">
        <v>1</v>
      </c>
      <c r="C691" s="49" t="s">
        <v>390</v>
      </c>
      <c r="D691" s="48" t="s">
        <v>391</v>
      </c>
      <c r="E691" s="48"/>
      <c r="F691" s="50"/>
      <c r="G691" s="48"/>
      <c r="H691" s="51"/>
      <c r="I691" s="52">
        <f>J703</f>
        <v>262.111289244528</v>
      </c>
      <c r="J691" s="53" t="s">
        <v>392</v>
      </c>
      <c r="K691" s="54"/>
      <c r="L691" s="55" t="s">
        <v>1019</v>
      </c>
      <c r="M691" s="56"/>
      <c r="N691" s="57"/>
      <c r="O691" s="57">
        <f>6.05*2+5.4</f>
        <v>17.5</v>
      </c>
      <c r="P691" s="57">
        <v>3.035</v>
      </c>
      <c r="Q691" s="57">
        <v>1</v>
      </c>
      <c r="R691" s="58">
        <f>+Q691*P691*O691</f>
        <v>53.1125</v>
      </c>
      <c r="S691" s="47"/>
      <c r="T691" s="47"/>
    </row>
    <row r="692" s="27" customFormat="1" ht="18" customHeight="1" spans="1:21">
      <c r="A692" s="34"/>
      <c r="B692" s="48">
        <v>2</v>
      </c>
      <c r="C692" s="59"/>
      <c r="D692" s="48" t="s">
        <v>394</v>
      </c>
      <c r="E692" s="48"/>
      <c r="F692" s="50"/>
      <c r="G692" s="48"/>
      <c r="H692" s="51"/>
      <c r="I692" s="52">
        <f>J730</f>
        <v>1094.75251376297</v>
      </c>
      <c r="J692" s="53" t="s">
        <v>392</v>
      </c>
      <c r="K692" s="60"/>
      <c r="L692" s="61"/>
      <c r="M692" s="44"/>
      <c r="N692" s="44"/>
      <c r="O692" s="44"/>
      <c r="P692" s="44"/>
      <c r="Q692" s="44"/>
      <c r="R692" s="62"/>
      <c r="S692" s="47"/>
      <c r="T692" s="47"/>
    </row>
    <row r="693" s="27" customFormat="1" ht="18" customHeight="1" spans="1:21">
      <c r="A693" s="34"/>
      <c r="B693" s="48">
        <v>3</v>
      </c>
      <c r="C693" s="63"/>
      <c r="D693" s="48" t="s">
        <v>395</v>
      </c>
      <c r="E693" s="48"/>
      <c r="F693" s="50"/>
      <c r="G693" s="48"/>
      <c r="H693" s="51"/>
      <c r="I693" s="52">
        <f>J731</f>
        <v>5</v>
      </c>
      <c r="J693" s="53" t="s">
        <v>392</v>
      </c>
      <c r="K693" s="60"/>
      <c r="L693" s="60"/>
      <c r="M693" s="64" t="s">
        <v>396</v>
      </c>
      <c r="N693" s="65" t="s">
        <v>397</v>
      </c>
      <c r="O693" s="65" t="s">
        <v>398</v>
      </c>
      <c r="P693" s="65" t="s">
        <v>399</v>
      </c>
      <c r="Q693" s="65" t="s">
        <v>400</v>
      </c>
      <c r="R693" s="66" t="s">
        <v>401</v>
      </c>
      <c r="S693" s="47"/>
      <c r="T693" s="47"/>
    </row>
    <row r="694" s="27" customFormat="1" ht="18" customHeight="1" spans="1:21">
      <c r="A694" s="34"/>
      <c r="B694" s="48">
        <v>4</v>
      </c>
      <c r="C694" s="48" t="s">
        <v>402</v>
      </c>
      <c r="D694" s="67" t="s">
        <v>403</v>
      </c>
      <c r="E694" s="67"/>
      <c r="F694" s="50"/>
      <c r="G694" s="67"/>
      <c r="H694" s="68"/>
      <c r="I694" s="52">
        <f>SUM(I691:I693)</f>
        <v>1361.8638030075</v>
      </c>
      <c r="J694" s="53" t="s">
        <v>392</v>
      </c>
      <c r="K694" s="60"/>
      <c r="L694" s="69" t="s">
        <v>427</v>
      </c>
      <c r="M694" s="70" t="s">
        <v>1007</v>
      </c>
      <c r="N694" s="34"/>
      <c r="O694" s="34">
        <v>0</v>
      </c>
      <c r="P694" s="34">
        <v>1</v>
      </c>
      <c r="Q694" s="44">
        <f t="shared" ref="Q694:Q704" si="110">+P694*O694*N694</f>
        <v>0</v>
      </c>
      <c r="R694" s="71">
        <f>+Q694/R691</f>
        <v>0</v>
      </c>
      <c r="S694" s="47"/>
      <c r="T694" s="47"/>
    </row>
    <row r="695" s="27" customFormat="1" ht="28" customHeight="1" spans="1:21">
      <c r="A695" s="34"/>
      <c r="B695" s="48">
        <v>5</v>
      </c>
      <c r="C695" s="72" t="s">
        <v>406</v>
      </c>
      <c r="D695" s="48" t="s">
        <v>407</v>
      </c>
      <c r="E695" s="48"/>
      <c r="F695" s="50"/>
      <c r="G695" s="48"/>
      <c r="H695" s="73">
        <f>+'材料表 '!$E$178</f>
        <v>0</v>
      </c>
      <c r="I695" s="52">
        <f>H695*I694</f>
        <v>0</v>
      </c>
      <c r="J695" s="53" t="s">
        <v>392</v>
      </c>
      <c r="K695" s="60"/>
      <c r="L695" s="69" t="s">
        <v>433</v>
      </c>
      <c r="M695" s="70" t="s">
        <v>1008</v>
      </c>
      <c r="N695" s="100">
        <f>0.214*2.71</f>
        <v>0.57994</v>
      </c>
      <c r="O695" s="34">
        <f>P691</f>
        <v>3.035</v>
      </c>
      <c r="P695" s="34">
        <f>6*2</f>
        <v>12</v>
      </c>
      <c r="Q695" s="44">
        <f t="shared" si="110"/>
        <v>21.1214148</v>
      </c>
      <c r="R695" s="71">
        <f>+Q695/R691</f>
        <v>0.397673142857143</v>
      </c>
      <c r="S695" s="47"/>
      <c r="T695" s="47"/>
    </row>
    <row r="696" s="27" customFormat="1" ht="18" customHeight="1" spans="1:21">
      <c r="A696" s="34"/>
      <c r="B696" s="48">
        <v>6</v>
      </c>
      <c r="C696" s="48" t="s">
        <v>409</v>
      </c>
      <c r="D696" s="48" t="s">
        <v>410</v>
      </c>
      <c r="E696" s="48"/>
      <c r="F696" s="50"/>
      <c r="G696" s="48"/>
      <c r="H696" s="73">
        <f>+'材料表 '!$E$179</f>
        <v>0</v>
      </c>
      <c r="I696" s="52">
        <f>H696*I694</f>
        <v>0</v>
      </c>
      <c r="J696" s="74" t="s">
        <v>392</v>
      </c>
      <c r="K696" s="75"/>
      <c r="L696" s="69" t="s">
        <v>429</v>
      </c>
      <c r="M696" s="70" t="s">
        <v>1009</v>
      </c>
      <c r="N696" s="100">
        <f>0.142*2.71</f>
        <v>0.38482</v>
      </c>
      <c r="O696" s="100">
        <f>P691/0.3*0.05</f>
        <v>0.505833333333333</v>
      </c>
      <c r="P696" s="34">
        <v>7</v>
      </c>
      <c r="Q696" s="44">
        <f t="shared" si="110"/>
        <v>1.36258348333333</v>
      </c>
      <c r="R696" s="71">
        <f>+Q696/R691</f>
        <v>0.0256546666666667</v>
      </c>
      <c r="S696" s="47"/>
      <c r="T696" s="47"/>
      <c r="U696" s="76"/>
    </row>
    <row r="697" s="27" customFormat="1" ht="18" customHeight="1" spans="1:21">
      <c r="A697" s="34"/>
      <c r="B697" s="48">
        <v>7</v>
      </c>
      <c r="C697" s="48" t="s">
        <v>412</v>
      </c>
      <c r="D697" s="72" t="s">
        <v>413</v>
      </c>
      <c r="E697" s="72"/>
      <c r="F697" s="77"/>
      <c r="G697" s="72"/>
      <c r="H697" s="73">
        <f>+'材料表 '!$E$180</f>
        <v>0.09</v>
      </c>
      <c r="I697" s="52">
        <f>(I694+I695+I696)*H697</f>
        <v>122.567742270675</v>
      </c>
      <c r="J697" s="74" t="s">
        <v>392</v>
      </c>
      <c r="K697" s="75"/>
      <c r="L697" s="69" t="s">
        <v>429</v>
      </c>
      <c r="M697" s="70" t="s">
        <v>1026</v>
      </c>
      <c r="N697" s="34">
        <f>0.5*2.71</f>
        <v>1.355</v>
      </c>
      <c r="O697" s="34">
        <f>O691</f>
        <v>17.5</v>
      </c>
      <c r="P697" s="34">
        <v>1</v>
      </c>
      <c r="Q697" s="44">
        <f t="shared" si="110"/>
        <v>23.7125</v>
      </c>
      <c r="R697" s="71">
        <f>+Q697/R691</f>
        <v>0.446457990115321</v>
      </c>
      <c r="S697" s="47"/>
      <c r="T697" s="47"/>
    </row>
    <row r="698" s="27" customFormat="1" ht="18" customHeight="1" spans="1:21">
      <c r="A698" s="78" t="s">
        <v>249</v>
      </c>
      <c r="B698" s="48">
        <v>8</v>
      </c>
      <c r="C698" s="48" t="s">
        <v>363</v>
      </c>
      <c r="D698" s="72" t="s">
        <v>415</v>
      </c>
      <c r="E698" s="72"/>
      <c r="F698" s="77"/>
      <c r="G698" s="72"/>
      <c r="H698" s="51"/>
      <c r="I698" s="74">
        <f>SUM(I694:I697)</f>
        <v>1484.43154527817</v>
      </c>
      <c r="J698" s="74" t="s">
        <v>416</v>
      </c>
      <c r="K698" s="75"/>
      <c r="L698" s="69" t="s">
        <v>429</v>
      </c>
      <c r="M698" s="70" t="s">
        <v>1027</v>
      </c>
      <c r="N698" s="101">
        <f>0.247*2.71</f>
        <v>0.66937</v>
      </c>
      <c r="O698" s="34">
        <f>O697</f>
        <v>17.5</v>
      </c>
      <c r="P698" s="34">
        <v>1</v>
      </c>
      <c r="Q698" s="44">
        <f t="shared" si="110"/>
        <v>11.713975</v>
      </c>
      <c r="R698" s="71">
        <f>+Q698/R691</f>
        <v>0.220550247116969</v>
      </c>
      <c r="S698" s="79"/>
      <c r="T698" s="47"/>
    </row>
    <row r="699" s="27" customFormat="1" ht="18" customHeight="1" spans="1:21">
      <c r="A699" s="34"/>
      <c r="B699" s="48" t="s">
        <v>418</v>
      </c>
      <c r="C699" s="48"/>
      <c r="D699" s="48"/>
      <c r="E699" s="48"/>
      <c r="F699" s="48"/>
      <c r="G699" s="48"/>
      <c r="H699" s="48"/>
      <c r="I699" s="48"/>
      <c r="J699" s="48"/>
      <c r="K699" s="80"/>
      <c r="L699" s="69" t="s">
        <v>447</v>
      </c>
      <c r="M699" s="70" t="s">
        <v>1028</v>
      </c>
      <c r="N699" s="34">
        <f>0.166*2.71</f>
        <v>0.44986</v>
      </c>
      <c r="O699" s="34">
        <f>O697</f>
        <v>17.5</v>
      </c>
      <c r="P699" s="34">
        <v>1</v>
      </c>
      <c r="Q699" s="44">
        <f t="shared" si="110"/>
        <v>7.87255</v>
      </c>
      <c r="R699" s="71">
        <f>+Q699/R691</f>
        <v>0.148224052718287</v>
      </c>
      <c r="S699" s="47">
        <f>0.094</f>
        <v>0.094</v>
      </c>
      <c r="T699" s="47">
        <f t="shared" ref="T699:T703" si="111">O699*P699*S699</f>
        <v>1.645</v>
      </c>
      <c r="U699" s="76">
        <f>T699/R691</f>
        <v>0.0309719934102142</v>
      </c>
    </row>
    <row r="700" s="27" customFormat="1" ht="18" customHeight="1" spans="1:21">
      <c r="A700" s="34"/>
      <c r="B700" s="48">
        <v>1</v>
      </c>
      <c r="C700" s="48" t="s">
        <v>391</v>
      </c>
      <c r="D700" s="48" t="s">
        <v>396</v>
      </c>
      <c r="E700" s="48" t="s">
        <v>37</v>
      </c>
      <c r="F700" s="50"/>
      <c r="G700" s="48"/>
      <c r="H700" s="51" t="s">
        <v>399</v>
      </c>
      <c r="I700" s="51" t="s">
        <v>420</v>
      </c>
      <c r="J700" s="51" t="s">
        <v>421</v>
      </c>
      <c r="K700" s="43"/>
      <c r="L700" s="69" t="s">
        <v>404</v>
      </c>
      <c r="M700" s="81" t="s">
        <v>1029</v>
      </c>
      <c r="N700" s="82">
        <v>3.727</v>
      </c>
      <c r="O700" s="34">
        <f>O691</f>
        <v>17.5</v>
      </c>
      <c r="P700" s="34">
        <v>1</v>
      </c>
      <c r="Q700" s="44">
        <f t="shared" si="110"/>
        <v>65.2225</v>
      </c>
      <c r="R700" s="71">
        <f>+Q700/R691</f>
        <v>1.22800658978583</v>
      </c>
      <c r="S700" s="47"/>
      <c r="T700" s="47"/>
    </row>
    <row r="701" s="27" customFormat="1" ht="18" customHeight="1" spans="1:21">
      <c r="A701" s="34"/>
      <c r="B701" s="48">
        <v>2</v>
      </c>
      <c r="C701" s="48"/>
      <c r="D701" s="48" t="s">
        <v>966</v>
      </c>
      <c r="E701" s="72" t="s">
        <v>423</v>
      </c>
      <c r="F701" s="50"/>
      <c r="G701" s="48"/>
      <c r="H701" s="51">
        <v>1</v>
      </c>
      <c r="I701" s="51">
        <f>+辅材及安装费!$G$18+F724*135</f>
        <v>262.111289244528</v>
      </c>
      <c r="J701" s="51">
        <f t="shared" ref="J701:J721" si="112">H701*I701</f>
        <v>262.111289244528</v>
      </c>
      <c r="K701" s="43"/>
      <c r="L701" s="69" t="s">
        <v>429</v>
      </c>
      <c r="M701" s="70" t="s">
        <v>1030</v>
      </c>
      <c r="N701" s="34">
        <v>0.604</v>
      </c>
      <c r="O701" s="34">
        <f>O691</f>
        <v>17.5</v>
      </c>
      <c r="P701" s="34">
        <v>1</v>
      </c>
      <c r="Q701" s="44">
        <f t="shared" si="110"/>
        <v>10.57</v>
      </c>
      <c r="R701" s="84">
        <f>+Q701/R691</f>
        <v>0.199011532125206</v>
      </c>
      <c r="S701" s="47"/>
      <c r="T701" s="47"/>
    </row>
    <row r="702" s="27" customFormat="1" ht="18" customHeight="1" spans="1:21">
      <c r="A702" s="34"/>
      <c r="B702" s="48">
        <v>3</v>
      </c>
      <c r="C702" s="48"/>
      <c r="D702" s="48"/>
      <c r="E702" s="72"/>
      <c r="F702" s="50"/>
      <c r="G702" s="48"/>
      <c r="H702" s="51"/>
      <c r="I702" s="51"/>
      <c r="J702" s="51"/>
      <c r="K702" s="43"/>
      <c r="L702" s="69" t="s">
        <v>447</v>
      </c>
      <c r="M702" s="70" t="s">
        <v>1028</v>
      </c>
      <c r="N702" s="82">
        <f>0.668*2.71+0.022*2.71</f>
        <v>1.8699</v>
      </c>
      <c r="O702" s="82">
        <f>O700</f>
        <v>17.5</v>
      </c>
      <c r="P702" s="34">
        <v>1</v>
      </c>
      <c r="Q702" s="44">
        <f t="shared" si="110"/>
        <v>32.72325</v>
      </c>
      <c r="R702" s="84">
        <f>+Q702/R691</f>
        <v>0.616112026359143</v>
      </c>
      <c r="S702" s="47">
        <v>0.31</v>
      </c>
      <c r="T702" s="47">
        <f t="shared" si="111"/>
        <v>5.425</v>
      </c>
      <c r="U702" s="76">
        <f>T702/R691</f>
        <v>0.102141680395387</v>
      </c>
    </row>
    <row r="703" s="27" customFormat="1" ht="18" customHeight="1" spans="1:21">
      <c r="A703" s="34"/>
      <c r="B703" s="48">
        <v>4</v>
      </c>
      <c r="C703" s="48"/>
      <c r="D703" s="85" t="s">
        <v>426</v>
      </c>
      <c r="E703" s="48" t="s">
        <v>392</v>
      </c>
      <c r="F703" s="50"/>
      <c r="G703" s="48"/>
      <c r="H703" s="86"/>
      <c r="I703" s="86"/>
      <c r="J703" s="51">
        <f>SUM(J701:J701)</f>
        <v>262.111289244528</v>
      </c>
      <c r="K703" s="75"/>
      <c r="L703" s="69" t="s">
        <v>447</v>
      </c>
      <c r="M703" s="70" t="s">
        <v>1031</v>
      </c>
      <c r="N703" s="34">
        <f>0.074*2.71</f>
        <v>0.20054</v>
      </c>
      <c r="O703" s="34">
        <f>O699</f>
        <v>17.5</v>
      </c>
      <c r="P703" s="34">
        <v>1</v>
      </c>
      <c r="Q703" s="44">
        <f t="shared" si="110"/>
        <v>3.50945</v>
      </c>
      <c r="R703" s="84">
        <f>+Q703/R691</f>
        <v>0.0660757825370675</v>
      </c>
      <c r="S703" s="47">
        <f>0.048</f>
        <v>0.048</v>
      </c>
      <c r="T703" s="47">
        <f t="shared" si="111"/>
        <v>0.84</v>
      </c>
      <c r="U703" s="76">
        <f>T703/R691</f>
        <v>0.0158154859967051</v>
      </c>
    </row>
    <row r="704" s="27" customFormat="1" ht="23" customHeight="1" spans="1:21">
      <c r="A704" s="34"/>
      <c r="B704" s="48">
        <v>1</v>
      </c>
      <c r="C704" s="48" t="s">
        <v>394</v>
      </c>
      <c r="D704" s="88" t="s">
        <v>427</v>
      </c>
      <c r="E704" s="72" t="str">
        <f>+VLOOKUP(D704,'材料表 '!C:F,2,0)</f>
        <v>kg</v>
      </c>
      <c r="F704" s="77">
        <f>+SUMIF($L$691:$L$731,D704,$R$691:$R$731)</f>
        <v>0</v>
      </c>
      <c r="G704" s="89">
        <f>+VLOOKUP(D704,'材料表 '!C:F,4,0)</f>
        <v>0.03</v>
      </c>
      <c r="H704" s="74">
        <f t="shared" ref="H704:H721" si="113">F704*(G704+1)</f>
        <v>0</v>
      </c>
      <c r="I704" s="74">
        <f>+VLOOKUP(D704,'材料表 '!C:F,3,0)</f>
        <v>25.8495575221239</v>
      </c>
      <c r="J704" s="51">
        <f t="shared" si="112"/>
        <v>0</v>
      </c>
      <c r="K704" s="75">
        <f ca="1">H704*K690</f>
        <v>0</v>
      </c>
      <c r="L704" s="69" t="s">
        <v>433</v>
      </c>
      <c r="M704" s="70" t="s">
        <v>1031</v>
      </c>
      <c r="N704" s="34">
        <f>0.055*2.71</f>
        <v>0.14905</v>
      </c>
      <c r="O704" s="34">
        <f>O700</f>
        <v>17.5</v>
      </c>
      <c r="P704" s="34">
        <v>3</v>
      </c>
      <c r="Q704" s="44">
        <f t="shared" si="110"/>
        <v>7.825125</v>
      </c>
      <c r="R704" s="84">
        <f>+Q704/R691</f>
        <v>0.147331136738056</v>
      </c>
      <c r="S704" s="47"/>
      <c r="T704" s="47"/>
    </row>
    <row r="705" s="27" customFormat="1" ht="18" customHeight="1" spans="1:20">
      <c r="A705" s="34"/>
      <c r="B705" s="48">
        <v>2</v>
      </c>
      <c r="C705" s="48"/>
      <c r="D705" s="88" t="s">
        <v>404</v>
      </c>
      <c r="E705" s="72" t="str">
        <f>+VLOOKUP(D705,'材料表 '!C:F,2,0)</f>
        <v>kg</v>
      </c>
      <c r="F705" s="77">
        <f t="shared" ref="F705:F718" si="114">+SUMIF($L$691:$L$731,D705,$R$691:$R$731)</f>
        <v>1.22800658978583</v>
      </c>
      <c r="G705" s="89">
        <f>+VLOOKUP(D705,'材料表 '!C:F,4,0)</f>
        <v>0.03</v>
      </c>
      <c r="H705" s="74">
        <f t="shared" si="113"/>
        <v>1.2648467874794</v>
      </c>
      <c r="I705" s="74">
        <f>+VLOOKUP(D705,'材料表 '!C:F,3,0)</f>
        <v>25.6725663716814</v>
      </c>
      <c r="J705" s="51">
        <f t="shared" si="112"/>
        <v>32.471863101573</v>
      </c>
      <c r="K705" s="75">
        <f ca="1">H705*K690</f>
        <v>134.550290499999</v>
      </c>
      <c r="L705" s="69"/>
      <c r="M705" s="70"/>
      <c r="N705" s="83"/>
      <c r="O705" s="83"/>
      <c r="P705" s="83"/>
      <c r="Q705" s="83"/>
      <c r="R705" s="87"/>
      <c r="S705" s="47"/>
      <c r="T705" s="47"/>
    </row>
    <row r="706" s="27" customFormat="1" ht="18" customHeight="1" spans="1:20">
      <c r="A706" s="34"/>
      <c r="B706" s="48">
        <v>3</v>
      </c>
      <c r="C706" s="48"/>
      <c r="D706" s="88" t="s">
        <v>433</v>
      </c>
      <c r="E706" s="72" t="str">
        <f>+VLOOKUP(D706,'材料表 '!C:F,2,0)</f>
        <v>kg</v>
      </c>
      <c r="F706" s="77">
        <f t="shared" si="114"/>
        <v>0.545004279595199</v>
      </c>
      <c r="G706" s="89">
        <f>+VLOOKUP(D706,'材料表 '!C:F,4,0)</f>
        <v>0.03</v>
      </c>
      <c r="H706" s="74">
        <f t="shared" si="113"/>
        <v>0.561354407983055</v>
      </c>
      <c r="I706" s="74">
        <f>+VLOOKUP(D706,'材料表 '!C:F,3,0)</f>
        <v>26.1150442477876</v>
      </c>
      <c r="J706" s="51">
        <f t="shared" si="112"/>
        <v>14.6597952031681</v>
      </c>
      <c r="K706" s="75">
        <f ca="1">H706*K690</f>
        <v>59.7150575194115</v>
      </c>
      <c r="L706" s="69"/>
      <c r="N706" s="83"/>
      <c r="O706" s="83"/>
      <c r="P706" s="83"/>
      <c r="Q706" s="83"/>
      <c r="R706" s="87"/>
      <c r="S706" s="47"/>
      <c r="T706" s="47"/>
    </row>
    <row r="707" s="27" customFormat="1" ht="18" customHeight="1" spans="1:20">
      <c r="A707" s="34"/>
      <c r="B707" s="48">
        <v>4</v>
      </c>
      <c r="C707" s="48"/>
      <c r="D707" s="88" t="s">
        <v>429</v>
      </c>
      <c r="E707" s="72" t="str">
        <f>+VLOOKUP(D707,'材料表 '!C:F,2,0)</f>
        <v>kg</v>
      </c>
      <c r="F707" s="77">
        <f t="shared" si="114"/>
        <v>0.891674436024162</v>
      </c>
      <c r="G707" s="89">
        <f>+VLOOKUP(D707,'材料表 '!C:F,4,0)</f>
        <v>0.03</v>
      </c>
      <c r="H707" s="74">
        <f t="shared" si="113"/>
        <v>0.918424669104887</v>
      </c>
      <c r="I707" s="74">
        <f>+VLOOKUP(D707,'材料表 '!C:F,3,0)</f>
        <v>26.1150442477876</v>
      </c>
      <c r="J707" s="51">
        <f t="shared" si="112"/>
        <v>23.9847008719338</v>
      </c>
      <c r="K707" s="75">
        <f ca="1">H707*K690</f>
        <v>97.6990314192033</v>
      </c>
      <c r="L707" s="90" t="s">
        <v>707</v>
      </c>
      <c r="M707" s="44"/>
      <c r="N707" s="82"/>
      <c r="O707" s="44">
        <f>O697*P697+O700*P700</f>
        <v>35</v>
      </c>
      <c r="P707" s="44">
        <v>1</v>
      </c>
      <c r="Q707" s="44">
        <f>+P707*O707</f>
        <v>35</v>
      </c>
      <c r="R707" s="84">
        <f>+Q707/R691</f>
        <v>0.658978583196046</v>
      </c>
      <c r="S707" s="47"/>
      <c r="T707" s="47"/>
    </row>
    <row r="708" s="27" customFormat="1" ht="18" customHeight="1" spans="1:20">
      <c r="A708" s="34"/>
      <c r="B708" s="48">
        <v>5</v>
      </c>
      <c r="C708" s="48"/>
      <c r="D708" s="88" t="s">
        <v>447</v>
      </c>
      <c r="E708" s="72" t="str">
        <f>+VLOOKUP(D708,'材料表 '!C:F,2,0)</f>
        <v>kg</v>
      </c>
      <c r="F708" s="77">
        <f t="shared" si="114"/>
        <v>0.830411861614498</v>
      </c>
      <c r="G708" s="89">
        <f>+VLOOKUP(D708,'材料表 '!C:F,4,0)</f>
        <v>0.03</v>
      </c>
      <c r="H708" s="74">
        <f t="shared" si="113"/>
        <v>0.855324217462933</v>
      </c>
      <c r="I708" s="74">
        <f>+VLOOKUP(D708,'材料表 '!C:F,3,0)</f>
        <v>24.4336283185841</v>
      </c>
      <c r="J708" s="51">
        <f t="shared" si="112"/>
        <v>20.8986740213731</v>
      </c>
      <c r="K708" s="43">
        <f ca="1">H708*K690</f>
        <v>90.9866104500001</v>
      </c>
      <c r="L708" s="90" t="s">
        <v>435</v>
      </c>
      <c r="M708" s="44"/>
      <c r="N708" s="82">
        <f>0.073*1.2</f>
        <v>0.0876</v>
      </c>
      <c r="O708" s="44">
        <f>O691*2*3+P691*7</f>
        <v>126.245</v>
      </c>
      <c r="P708" s="44">
        <v>1</v>
      </c>
      <c r="Q708" s="44">
        <f>+P708*O708</f>
        <v>126.245</v>
      </c>
      <c r="R708" s="84">
        <f>+Q708/R691</f>
        <v>2.37693574958814</v>
      </c>
      <c r="S708" s="47"/>
      <c r="T708" s="47"/>
    </row>
    <row r="709" s="27" customFormat="1" ht="18" customHeight="1" spans="1:20">
      <c r="A709" s="34"/>
      <c r="B709" s="48">
        <v>6</v>
      </c>
      <c r="C709" s="48"/>
      <c r="D709" s="88" t="s">
        <v>434</v>
      </c>
      <c r="E709" s="72" t="str">
        <f>+VLOOKUP(D709,'材料表 '!C:F,2,0)</f>
        <v>m2</v>
      </c>
      <c r="F709" s="77">
        <f>U699+U702+U703</f>
        <v>0.148929159802306</v>
      </c>
      <c r="G709" s="89">
        <f>+VLOOKUP(D709,'材料表 '!C:F,4,0)</f>
        <v>0</v>
      </c>
      <c r="H709" s="74">
        <f t="shared" si="113"/>
        <v>0.148929159802306</v>
      </c>
      <c r="I709" s="74">
        <f>+VLOOKUP(D709,'材料表 '!C:F,3,0)</f>
        <v>49.5575221238938</v>
      </c>
      <c r="J709" s="51">
        <f t="shared" si="112"/>
        <v>7.38056013179569</v>
      </c>
      <c r="K709" s="43">
        <f ca="1">H709*K690</f>
        <v>15.8426</v>
      </c>
      <c r="L709" s="90" t="s">
        <v>463</v>
      </c>
      <c r="M709" s="91" t="s">
        <v>1032</v>
      </c>
      <c r="N709" s="82">
        <f>0.2*0.3*10*7.85</f>
        <v>4.71</v>
      </c>
      <c r="O709" s="44">
        <v>2</v>
      </c>
      <c r="P709" s="44">
        <f>P716</f>
        <v>10</v>
      </c>
      <c r="Q709" s="44">
        <f t="shared" ref="Q709:Q714" si="115">+P709*O709*N709</f>
        <v>94.2</v>
      </c>
      <c r="R709" s="84">
        <f>+Q709/R691</f>
        <v>1.77359378677336</v>
      </c>
      <c r="S709" s="47"/>
      <c r="T709" s="47"/>
    </row>
    <row r="710" s="27" customFormat="1" ht="18" customHeight="1" spans="1:20">
      <c r="A710" s="34"/>
      <c r="B710" s="48">
        <v>7</v>
      </c>
      <c r="C710" s="48"/>
      <c r="D710" s="88" t="s">
        <v>707</v>
      </c>
      <c r="E710" s="72" t="str">
        <f>+VLOOKUP(D710,'材料表 '!C:F,2,0)</f>
        <v>m2</v>
      </c>
      <c r="F710" s="77">
        <f t="shared" si="114"/>
        <v>0.658978583196046</v>
      </c>
      <c r="G710" s="89">
        <f>+VLOOKUP(D710,'材料表 '!C:F,4,0)</f>
        <v>0</v>
      </c>
      <c r="H710" s="74">
        <f t="shared" si="113"/>
        <v>0.658978583196046</v>
      </c>
      <c r="I710" s="74">
        <f>+VLOOKUP(D710,'材料表 '!C:F,3,0)</f>
        <v>8.8495575221239</v>
      </c>
      <c r="J710" s="51">
        <f t="shared" si="112"/>
        <v>5.83166887784112</v>
      </c>
      <c r="K710" s="43">
        <f ca="1">H710*K690</f>
        <v>70.1</v>
      </c>
      <c r="L710" s="90"/>
      <c r="M710" s="91"/>
      <c r="N710" s="82"/>
      <c r="O710" s="44"/>
      <c r="P710" s="44"/>
      <c r="Q710" s="44"/>
      <c r="R710" s="84"/>
      <c r="S710" s="47"/>
      <c r="T710" s="47"/>
    </row>
    <row r="711" s="27" customFormat="1" ht="18" customHeight="1" spans="1:20">
      <c r="A711" s="34"/>
      <c r="B711" s="48">
        <v>8</v>
      </c>
      <c r="C711" s="48"/>
      <c r="D711" s="88" t="s">
        <v>710</v>
      </c>
      <c r="E711" s="72" t="str">
        <f>+VLOOKUP(D711,'材料表 '!C:F,2,0)</f>
        <v>kg</v>
      </c>
      <c r="F711" s="77">
        <f t="shared" si="114"/>
        <v>54.4247575900212</v>
      </c>
      <c r="G711" s="89">
        <f>+VLOOKUP(D711,'材料表 '!C:F,4,0)</f>
        <v>0.03</v>
      </c>
      <c r="H711" s="74">
        <f t="shared" si="113"/>
        <v>56.0575003177218</v>
      </c>
      <c r="I711" s="74">
        <f>+VLOOKUP(D711,'材料表 '!C:F,3,0)</f>
        <v>8.8495575221239</v>
      </c>
      <c r="J711" s="51">
        <f t="shared" si="112"/>
        <v>496.084073608158</v>
      </c>
      <c r="K711" s="43">
        <f ca="1">H711*K690</f>
        <v>5963.21469692321</v>
      </c>
      <c r="L711" s="69" t="s">
        <v>465</v>
      </c>
      <c r="M711" s="81" t="s">
        <v>1013</v>
      </c>
      <c r="N711" s="34">
        <v>9.88</v>
      </c>
      <c r="O711" s="34">
        <f>0.13</f>
        <v>0.13</v>
      </c>
      <c r="P711" s="34">
        <f>2*P709</f>
        <v>20</v>
      </c>
      <c r="Q711" s="44">
        <f t="shared" si="115"/>
        <v>25.688</v>
      </c>
      <c r="R711" s="84">
        <f>Q711/R691</f>
        <v>0.483652624146858</v>
      </c>
      <c r="S711" s="47"/>
      <c r="T711" s="47"/>
    </row>
    <row r="712" s="27" customFormat="1" ht="18" customHeight="1" spans="1:20">
      <c r="A712" s="34"/>
      <c r="B712" s="48">
        <v>9</v>
      </c>
      <c r="C712" s="48"/>
      <c r="D712" s="88" t="s">
        <v>431</v>
      </c>
      <c r="E712" s="72" t="str">
        <f>+VLOOKUP(D712,'材料表 '!C:F,2,0)</f>
        <v>kg</v>
      </c>
      <c r="F712" s="77">
        <f t="shared" si="114"/>
        <v>0</v>
      </c>
      <c r="G712" s="89">
        <f>+VLOOKUP(D712,'材料表 '!C:F,4,0)</f>
        <v>0.03</v>
      </c>
      <c r="H712" s="74">
        <f t="shared" si="113"/>
        <v>0</v>
      </c>
      <c r="I712" s="74">
        <f>+VLOOKUP(D712,'材料表 '!C:F,3,0)</f>
        <v>3.80530973451327</v>
      </c>
      <c r="J712" s="51">
        <f t="shared" si="112"/>
        <v>0</v>
      </c>
      <c r="K712" s="43">
        <f ca="1">H712*K690</f>
        <v>0</v>
      </c>
      <c r="L712" s="90" t="s">
        <v>474</v>
      </c>
      <c r="M712" s="44"/>
      <c r="N712" s="82"/>
      <c r="O712" s="44">
        <v>4</v>
      </c>
      <c r="P712" s="44">
        <f>O709*P709</f>
        <v>20</v>
      </c>
      <c r="Q712" s="44">
        <f>O712*P712</f>
        <v>80</v>
      </c>
      <c r="R712" s="84">
        <f>Q712/R691</f>
        <v>1.50623676159096</v>
      </c>
      <c r="S712" s="47"/>
      <c r="T712" s="47"/>
    </row>
    <row r="713" s="27" customFormat="1" ht="18" customHeight="1" spans="1:20">
      <c r="A713" s="34"/>
      <c r="B713" s="48">
        <v>10</v>
      </c>
      <c r="C713" s="48"/>
      <c r="D713" s="88" t="s">
        <v>461</v>
      </c>
      <c r="E713" s="72" t="str">
        <f>+VLOOKUP(D713,'材料表 '!C:F,2,0)</f>
        <v>kg</v>
      </c>
      <c r="F713" s="77">
        <f t="shared" si="114"/>
        <v>0</v>
      </c>
      <c r="G713" s="89">
        <f>+VLOOKUP(D713,'材料表 '!C:F,4,0)</f>
        <v>0.03</v>
      </c>
      <c r="H713" s="74">
        <f t="shared" si="113"/>
        <v>0</v>
      </c>
      <c r="I713" s="74">
        <f>+VLOOKUP(D713,'材料表 '!C:F,3,0)</f>
        <v>3.53982300884956</v>
      </c>
      <c r="J713" s="51">
        <f t="shared" si="112"/>
        <v>0</v>
      </c>
      <c r="K713" s="43">
        <f ca="1">H713*K690</f>
        <v>0</v>
      </c>
      <c r="L713" s="90" t="s">
        <v>472</v>
      </c>
      <c r="M713" s="91"/>
      <c r="N713" s="82"/>
      <c r="O713" s="44">
        <v>2</v>
      </c>
      <c r="P713" s="44">
        <f>P709</f>
        <v>10</v>
      </c>
      <c r="Q713" s="44">
        <f>O713*P713</f>
        <v>20</v>
      </c>
      <c r="R713" s="84">
        <f>Q713/R691</f>
        <v>0.376559190397741</v>
      </c>
      <c r="S713" s="47"/>
      <c r="T713" s="47"/>
    </row>
    <row r="714" s="27" customFormat="1" ht="18" customHeight="1" spans="1:20">
      <c r="A714" s="34"/>
      <c r="B714" s="48">
        <v>11</v>
      </c>
      <c r="C714" s="48"/>
      <c r="D714" s="88" t="s">
        <v>435</v>
      </c>
      <c r="E714" s="72" t="str">
        <f>+VLOOKUP(D714,'材料表 '!C:F,2,0)</f>
        <v>kg</v>
      </c>
      <c r="F714" s="77">
        <f t="shared" si="114"/>
        <v>2.37693574958814</v>
      </c>
      <c r="G714" s="89">
        <f>+VLOOKUP(D714,'材料表 '!C:F,4,0)</f>
        <v>0.03</v>
      </c>
      <c r="H714" s="74">
        <f t="shared" si="113"/>
        <v>2.44824382207578</v>
      </c>
      <c r="I714" s="74">
        <f>+VLOOKUP(D714,'材料表 '!C:F,3,0)</f>
        <v>19.4690265486726</v>
      </c>
      <c r="J714" s="51">
        <f t="shared" si="112"/>
        <v>47.6649239696171</v>
      </c>
      <c r="K714" s="43">
        <f ca="1">H714*K690</f>
        <v>260.436221</v>
      </c>
      <c r="L714" s="69" t="s">
        <v>465</v>
      </c>
      <c r="M714" s="91"/>
      <c r="N714" s="82">
        <f>(0.058+0.04*2)*5*7.85</f>
        <v>5.4165</v>
      </c>
      <c r="O714" s="44">
        <f>O691</f>
        <v>17.5</v>
      </c>
      <c r="P714" s="44">
        <v>0</v>
      </c>
      <c r="Q714" s="44">
        <f t="shared" si="115"/>
        <v>0</v>
      </c>
      <c r="R714" s="84">
        <f>+Q714/R691</f>
        <v>0</v>
      </c>
      <c r="S714" s="47"/>
      <c r="T714" s="47"/>
    </row>
    <row r="715" s="27" customFormat="1" ht="18" customHeight="1" spans="1:20">
      <c r="A715" s="34"/>
      <c r="B715" s="48">
        <v>12</v>
      </c>
      <c r="C715" s="48"/>
      <c r="D715" s="88" t="s">
        <v>463</v>
      </c>
      <c r="E715" s="72" t="str">
        <f>+VLOOKUP(D715,'材料表 '!C:F,2,0)</f>
        <v>kg</v>
      </c>
      <c r="F715" s="77">
        <f t="shared" si="114"/>
        <v>1.77359378677336</v>
      </c>
      <c r="G715" s="89">
        <f>+VLOOKUP(D715,'材料表 '!C:F,4,0)</f>
        <v>0.03</v>
      </c>
      <c r="H715" s="74">
        <f t="shared" si="113"/>
        <v>1.82680160037656</v>
      </c>
      <c r="I715" s="74">
        <f>+VLOOKUP(D715,'材料表 '!C:F,3,0)</f>
        <v>6.01769911504425</v>
      </c>
      <c r="J715" s="51">
        <f t="shared" si="112"/>
        <v>10.9931423739474</v>
      </c>
      <c r="K715" s="43">
        <f ca="1">H715*K690</f>
        <v>194.329217142857</v>
      </c>
      <c r="L715" s="69" t="s">
        <v>461</v>
      </c>
      <c r="N715" s="83"/>
      <c r="O715" s="83"/>
      <c r="P715" s="83"/>
      <c r="Q715" s="83"/>
      <c r="R715" s="84"/>
      <c r="S715" s="47"/>
      <c r="T715" s="47"/>
    </row>
    <row r="716" s="27" customFormat="1" ht="18" customHeight="1" spans="1:20">
      <c r="A716" s="34"/>
      <c r="B716" s="48">
        <v>13</v>
      </c>
      <c r="C716" s="48"/>
      <c r="D716" s="88" t="s">
        <v>465</v>
      </c>
      <c r="E716" s="72" t="str">
        <f>+VLOOKUP(D716,'材料表 '!C:F,2,0)</f>
        <v>kg</v>
      </c>
      <c r="F716" s="77">
        <f t="shared" si="114"/>
        <v>0.483652624146858</v>
      </c>
      <c r="G716" s="89">
        <f>+VLOOKUP(D716,'材料表 '!C:F,4,0)</f>
        <v>0.03</v>
      </c>
      <c r="H716" s="74">
        <f t="shared" si="113"/>
        <v>0.498162202871264</v>
      </c>
      <c r="I716" s="74">
        <f>+VLOOKUP(D716,'材料表 '!C:F,3,0)</f>
        <v>6.01769911504425</v>
      </c>
      <c r="J716" s="51">
        <f t="shared" si="112"/>
        <v>2.9977902473669</v>
      </c>
      <c r="K716" s="43">
        <f ca="1">H716*K690</f>
        <v>52.9928761142857</v>
      </c>
      <c r="L716" s="90" t="s">
        <v>1033</v>
      </c>
      <c r="M716" s="44"/>
      <c r="N716" s="82">
        <f>(0.225+0.07)*1*25*7.85</f>
        <v>57.89375</v>
      </c>
      <c r="O716" s="44">
        <f>3.243</f>
        <v>3.243</v>
      </c>
      <c r="P716" s="44">
        <f>12-2</f>
        <v>10</v>
      </c>
      <c r="Q716" s="44">
        <f>+P716*O716*N716</f>
        <v>1877.4943125</v>
      </c>
      <c r="R716" s="84">
        <f>+Q716/R691</f>
        <v>35.3493869145681</v>
      </c>
      <c r="S716" s="47"/>
      <c r="T716" s="47"/>
    </row>
    <row r="717" s="27" customFormat="1" ht="18" customHeight="1" spans="1:20">
      <c r="A717" s="34"/>
      <c r="B717" s="48">
        <v>14</v>
      </c>
      <c r="C717" s="48"/>
      <c r="D717" s="88" t="s">
        <v>474</v>
      </c>
      <c r="E717" s="72" t="str">
        <f>+VLOOKUP(D717,'材料表 '!C:F,2,0)</f>
        <v>套</v>
      </c>
      <c r="F717" s="77">
        <f t="shared" si="114"/>
        <v>1.50623676159096</v>
      </c>
      <c r="G717" s="89">
        <f>+VLOOKUP(D717,'材料表 '!C:F,4,0)</f>
        <v>0</v>
      </c>
      <c r="H717" s="74">
        <f t="shared" si="113"/>
        <v>1.50623676159096</v>
      </c>
      <c r="I717" s="74">
        <f>+VLOOKUP(D717,'材料表 '!C:F,3,0)</f>
        <v>2.21238938053097</v>
      </c>
      <c r="J717" s="51">
        <f t="shared" si="112"/>
        <v>3.3323822159092</v>
      </c>
      <c r="K717" s="43">
        <f ca="1">H717*K690</f>
        <v>160.228571428571</v>
      </c>
      <c r="L717" s="90" t="s">
        <v>1033</v>
      </c>
      <c r="M717" s="44"/>
      <c r="N717" s="82">
        <f>(0.225+0.07)*1*25*7.85</f>
        <v>57.89375</v>
      </c>
      <c r="O717" s="44">
        <f>O691</f>
        <v>17.5</v>
      </c>
      <c r="P717" s="44">
        <v>1</v>
      </c>
      <c r="Q717" s="44">
        <f>+P717*O717*N717</f>
        <v>1013.140625</v>
      </c>
      <c r="R717" s="84">
        <f>+Q717/R691</f>
        <v>19.075370675453</v>
      </c>
      <c r="S717" s="47"/>
      <c r="T717" s="47"/>
    </row>
    <row r="718" s="27" customFormat="1" ht="18" customHeight="1" spans="1:20">
      <c r="A718" s="34"/>
      <c r="B718" s="48">
        <v>15</v>
      </c>
      <c r="C718" s="48"/>
      <c r="D718" s="88" t="s">
        <v>472</v>
      </c>
      <c r="E718" s="72" t="str">
        <f>+VLOOKUP(D718,'材料表 '!C:F,2,0)</f>
        <v>套</v>
      </c>
      <c r="F718" s="77">
        <f t="shared" si="114"/>
        <v>0.376559190397741</v>
      </c>
      <c r="G718" s="89">
        <f>+VLOOKUP(D718,'材料表 '!C:F,4,0)</f>
        <v>0</v>
      </c>
      <c r="H718" s="74">
        <f t="shared" si="113"/>
        <v>0.376559190397741</v>
      </c>
      <c r="I718" s="74">
        <f>+VLOOKUP(D718,'材料表 '!C:F,3,0)</f>
        <v>2.47787610619469</v>
      </c>
      <c r="J718" s="51">
        <f t="shared" si="112"/>
        <v>0.933067020454579</v>
      </c>
      <c r="K718" s="43">
        <f ca="1">H718*K690</f>
        <v>40.0571428571429</v>
      </c>
      <c r="L718" s="90"/>
      <c r="M718" s="44"/>
      <c r="N718" s="82"/>
      <c r="O718" s="44"/>
      <c r="P718" s="44"/>
      <c r="Q718" s="44"/>
      <c r="R718" s="84"/>
      <c r="S718" s="47"/>
      <c r="T718" s="47"/>
    </row>
    <row r="719" s="27" customFormat="1" ht="18" customHeight="1" spans="1:20">
      <c r="A719" s="34"/>
      <c r="B719" s="48">
        <v>16</v>
      </c>
      <c r="C719" s="48"/>
      <c r="D719" s="88" t="s">
        <v>476</v>
      </c>
      <c r="E719" s="72" t="str">
        <f>+VLOOKUP(D719,'材料表 '!C:F,2,0)</f>
        <v>支</v>
      </c>
      <c r="F719" s="77">
        <f>8*8*(O691*4)*2/500/R691+16*8*(O695*P716)/500/R691</f>
        <v>0.48368274888209</v>
      </c>
      <c r="G719" s="89">
        <f>+VLOOKUP(D719,'材料表 '!C:F,4,0)</f>
        <v>0.15</v>
      </c>
      <c r="H719" s="74">
        <f t="shared" si="113"/>
        <v>0.556235161214403</v>
      </c>
      <c r="I719" s="74">
        <f>+VLOOKUP(D719,'材料表 '!C:F,3,0)</f>
        <v>11.5044247787611</v>
      </c>
      <c r="J719" s="51">
        <f t="shared" si="112"/>
        <v>6.39916557149316</v>
      </c>
      <c r="K719" s="43">
        <f ca="1">H719*K690</f>
        <v>59.1704886857142</v>
      </c>
      <c r="L719" s="92"/>
      <c r="M719" s="44"/>
      <c r="N719" s="82"/>
      <c r="O719" s="44"/>
      <c r="P719" s="44"/>
      <c r="Q719" s="44"/>
      <c r="R719" s="84"/>
      <c r="S719" s="47"/>
      <c r="T719" s="47"/>
    </row>
    <row r="720" s="27" customFormat="1" ht="18" customHeight="1" spans="1:20">
      <c r="A720" s="34"/>
      <c r="B720" s="48">
        <v>17</v>
      </c>
      <c r="C720" s="48"/>
      <c r="D720" s="88" t="s">
        <v>576</v>
      </c>
      <c r="E720" s="72" t="str">
        <f>+VLOOKUP(D720,'材料表 '!C:F,2,0)</f>
        <v>支</v>
      </c>
      <c r="F720" s="77">
        <f>18*10*(O695*P695)/500/R691</f>
        <v>0.246857142857143</v>
      </c>
      <c r="G720" s="89">
        <f>+VLOOKUP(D720,'材料表 '!C:F,4,0)</f>
        <v>0.15</v>
      </c>
      <c r="H720" s="74">
        <f t="shared" si="113"/>
        <v>0.283885714285714</v>
      </c>
      <c r="I720" s="74">
        <f>+VLOOKUP(D720,'材料表 '!C:F,3,0)</f>
        <v>14.1592920353982</v>
      </c>
      <c r="J720" s="51">
        <f t="shared" si="112"/>
        <v>4.01962073324905</v>
      </c>
      <c r="K720" s="43">
        <f ca="1">H720*K690</f>
        <v>30.1988396571428</v>
      </c>
      <c r="L720" s="92"/>
      <c r="M720" s="44"/>
      <c r="N720" s="82"/>
      <c r="O720" s="44"/>
      <c r="P720" s="44"/>
      <c r="Q720" s="44"/>
      <c r="R720" s="84"/>
      <c r="S720" s="47"/>
      <c r="T720" s="47"/>
    </row>
    <row r="721" s="27" customFormat="1" ht="18" customHeight="1" spans="1:20">
      <c r="A721" s="34"/>
      <c r="B721" s="48">
        <v>18</v>
      </c>
      <c r="C721" s="48"/>
      <c r="D721" s="88" t="s">
        <v>479</v>
      </c>
      <c r="E721" s="72" t="str">
        <f>+VLOOKUP(D721,'材料表 '!C:F,2,0)</f>
        <v>kg</v>
      </c>
      <c r="F721" s="77">
        <v>0</v>
      </c>
      <c r="G721" s="89">
        <f>+VLOOKUP(D721,'材料表 '!C:F,4,0)</f>
        <v>0.03</v>
      </c>
      <c r="H721" s="74">
        <f t="shared" si="113"/>
        <v>0</v>
      </c>
      <c r="I721" s="74">
        <f>+VLOOKUP(D721,'材料表 '!C:F,3,0)</f>
        <v>14.1592920353982</v>
      </c>
      <c r="J721" s="51">
        <f t="shared" si="112"/>
        <v>0</v>
      </c>
      <c r="K721" s="43">
        <f ca="1">H721*K690</f>
        <v>0</v>
      </c>
      <c r="L721" s="92"/>
      <c r="M721" s="44"/>
      <c r="N721" s="82"/>
      <c r="O721" s="44"/>
      <c r="P721" s="44"/>
      <c r="Q721" s="44"/>
      <c r="R721" s="84"/>
      <c r="S721" s="47"/>
      <c r="T721" s="47"/>
    </row>
    <row r="722" s="27" customFormat="1" ht="21" customHeight="1" spans="1:20">
      <c r="A722" s="34"/>
      <c r="B722" s="48">
        <v>19</v>
      </c>
      <c r="C722" s="48"/>
      <c r="D722" s="88" t="s">
        <v>500</v>
      </c>
      <c r="E722" s="72" t="str">
        <f>+VLOOKUP(D722,'材料表 '!C:F,2,0)</f>
        <v>kg</v>
      </c>
      <c r="F722" s="77"/>
      <c r="G722" s="89"/>
      <c r="H722" s="74"/>
      <c r="I722" s="74"/>
      <c r="J722" s="51"/>
      <c r="K722" s="43">
        <f ca="1">H722*K690</f>
        <v>0</v>
      </c>
      <c r="L722" s="92"/>
      <c r="M722" s="44"/>
      <c r="N722" s="82"/>
      <c r="O722" s="44"/>
      <c r="P722" s="44"/>
      <c r="Q722" s="44"/>
      <c r="R722" s="84"/>
      <c r="S722" s="47"/>
      <c r="T722" s="47"/>
    </row>
    <row r="723" s="27" customFormat="1" ht="27" customHeight="1" spans="1:20">
      <c r="A723" s="34"/>
      <c r="B723" s="48">
        <v>20</v>
      </c>
      <c r="C723" s="48"/>
      <c r="D723" s="88" t="s">
        <v>1035</v>
      </c>
      <c r="E723" s="72" t="str">
        <f>+VLOOKUP(D723,'材料表 '!C:F,2,0)</f>
        <v>m2</v>
      </c>
      <c r="F723" s="77">
        <v>1</v>
      </c>
      <c r="G723" s="89">
        <f>+VLOOKUP(D723,'材料表 '!C:F,4,0)</f>
        <v>0.01</v>
      </c>
      <c r="H723" s="74">
        <f>F723*(G723+1)</f>
        <v>1.01</v>
      </c>
      <c r="I723" s="74">
        <f>+VLOOKUP(D723,'材料表 '!C:F,3,0)</f>
        <v>241.592920353982</v>
      </c>
      <c r="J723" s="51">
        <f>H723*I723</f>
        <v>244.008849557522</v>
      </c>
      <c r="K723" s="43">
        <f ca="1">H723*K690</f>
        <v>107.4405175</v>
      </c>
      <c r="L723" s="90"/>
      <c r="M723" s="44"/>
      <c r="N723" s="82"/>
      <c r="O723" s="44"/>
      <c r="P723" s="44"/>
      <c r="Q723" s="44"/>
      <c r="R723" s="84"/>
      <c r="S723" s="47"/>
      <c r="T723" s="47"/>
    </row>
    <row r="724" s="27" customFormat="1" ht="19" customHeight="1" spans="1:20">
      <c r="A724" s="34"/>
      <c r="B724" s="48">
        <v>21</v>
      </c>
      <c r="C724" s="48"/>
      <c r="D724" s="88" t="s">
        <v>713</v>
      </c>
      <c r="E724" s="72" t="str">
        <f>+VLOOKUP(D724,'材料表 '!C:F,2,0)</f>
        <v>m2</v>
      </c>
      <c r="F724" s="77">
        <f>0.647*(O716*P716+O717*P717)/R691</f>
        <v>0.60823177218169</v>
      </c>
      <c r="G724" s="89">
        <f>+VLOOKUP(D724,'材料表 '!C:F,4,0)</f>
        <v>0.01</v>
      </c>
      <c r="H724" s="74">
        <f>F724*(G724+1)</f>
        <v>0.614314089903507</v>
      </c>
      <c r="I724" s="74">
        <f>+VLOOKUP(D724,'材料表 '!C:F,3,0)</f>
        <v>265.486725663717</v>
      </c>
      <c r="J724" s="51">
        <f>H724*I724</f>
        <v>163.092236257568</v>
      </c>
      <c r="K724" s="43">
        <f ca="1">H724*K690</f>
        <v>65.3487363631429</v>
      </c>
      <c r="L724" s="90"/>
      <c r="M724" s="44"/>
      <c r="N724" s="82"/>
      <c r="O724" s="44"/>
      <c r="P724" s="44"/>
      <c r="Q724" s="44"/>
      <c r="R724" s="84"/>
      <c r="S724" s="47"/>
      <c r="T724" s="47"/>
    </row>
    <row r="725" s="27" customFormat="1" ht="18" customHeight="1" spans="1:20">
      <c r="A725" s="34"/>
      <c r="B725" s="48">
        <v>22</v>
      </c>
      <c r="C725" s="48"/>
      <c r="D725" s="88"/>
      <c r="E725" s="72"/>
      <c r="F725" s="77"/>
      <c r="G725" s="89"/>
      <c r="H725" s="74"/>
      <c r="I725" s="74"/>
      <c r="J725" s="51"/>
      <c r="K725" s="43">
        <f ca="1">H725*K690</f>
        <v>0</v>
      </c>
      <c r="L725" s="92"/>
      <c r="M725" s="44"/>
      <c r="N725" s="82"/>
      <c r="O725" s="44"/>
      <c r="P725" s="44"/>
      <c r="Q725" s="44"/>
      <c r="R725" s="84"/>
      <c r="S725" s="47"/>
      <c r="T725" s="47"/>
    </row>
    <row r="726" s="27" customFormat="1" ht="18" customHeight="1" spans="1:20">
      <c r="A726" s="34"/>
      <c r="B726" s="48">
        <v>23</v>
      </c>
      <c r="C726" s="48"/>
      <c r="D726" s="88"/>
      <c r="E726" s="72"/>
      <c r="F726" s="77"/>
      <c r="G726" s="89"/>
      <c r="H726" s="74"/>
      <c r="I726" s="74"/>
      <c r="J726" s="51"/>
      <c r="K726" s="43">
        <f ca="1">H726*K690</f>
        <v>0</v>
      </c>
      <c r="L726" s="92"/>
      <c r="M726" s="44"/>
      <c r="N726" s="44"/>
      <c r="O726" s="44"/>
      <c r="P726" s="44"/>
      <c r="Q726" s="44"/>
      <c r="R726" s="84"/>
      <c r="S726" s="47"/>
      <c r="T726" s="47"/>
    </row>
    <row r="727" s="27" customFormat="1" ht="18" customHeight="1" spans="1:20">
      <c r="A727" s="34"/>
      <c r="B727" s="48">
        <v>24</v>
      </c>
      <c r="C727" s="48"/>
      <c r="D727" s="88"/>
      <c r="E727" s="72"/>
      <c r="F727" s="77"/>
      <c r="G727" s="89"/>
      <c r="H727" s="74"/>
      <c r="I727" s="74"/>
      <c r="J727" s="51"/>
      <c r="K727" s="75">
        <f ca="1">H727*K690</f>
        <v>0</v>
      </c>
      <c r="L727" s="92"/>
      <c r="M727" s="44"/>
      <c r="N727" s="44"/>
      <c r="O727" s="44"/>
      <c r="P727" s="44"/>
      <c r="Q727" s="44"/>
      <c r="R727" s="84"/>
      <c r="S727" s="47"/>
      <c r="T727" s="47"/>
    </row>
    <row r="728" s="27" customFormat="1" ht="18" customHeight="1" spans="1:20">
      <c r="A728" s="34"/>
      <c r="B728" s="48">
        <v>25</v>
      </c>
      <c r="C728" s="48"/>
      <c r="D728" s="88"/>
      <c r="E728" s="72"/>
      <c r="F728" s="77"/>
      <c r="G728" s="89"/>
      <c r="H728" s="74"/>
      <c r="I728" s="74"/>
      <c r="J728" s="51"/>
      <c r="K728" s="75">
        <f ca="1">H728*K690</f>
        <v>0</v>
      </c>
      <c r="L728" s="92"/>
      <c r="M728" s="44"/>
      <c r="N728" s="44"/>
      <c r="O728" s="44"/>
      <c r="P728" s="44"/>
      <c r="Q728" s="44"/>
      <c r="R728" s="84"/>
      <c r="S728" s="47"/>
      <c r="T728" s="47"/>
    </row>
    <row r="729" s="27" customFormat="1" ht="18" customHeight="1" spans="1:20">
      <c r="A729" s="34"/>
      <c r="B729" s="48">
        <v>26</v>
      </c>
      <c r="C729" s="48"/>
      <c r="D729" s="88" t="s">
        <v>441</v>
      </c>
      <c r="E729" s="72" t="s">
        <v>43</v>
      </c>
      <c r="F729" s="77"/>
      <c r="G729" s="72">
        <v>1</v>
      </c>
      <c r="H729" s="74">
        <v>1</v>
      </c>
      <c r="I729" s="74">
        <f>+辅材及安装费!$E$18</f>
        <v>10</v>
      </c>
      <c r="J729" s="51">
        <f>H729*I729</f>
        <v>10</v>
      </c>
      <c r="K729" s="75"/>
      <c r="L729" s="92"/>
      <c r="M729" s="44"/>
      <c r="N729" s="44"/>
      <c r="O729" s="44"/>
      <c r="P729" s="44"/>
      <c r="Q729" s="44"/>
      <c r="R729" s="62"/>
      <c r="S729" s="47"/>
      <c r="T729" s="47"/>
    </row>
    <row r="730" s="27" customFormat="1" ht="18" customHeight="1" spans="1:20">
      <c r="A730" s="34"/>
      <c r="B730" s="48">
        <v>27</v>
      </c>
      <c r="C730" s="48"/>
      <c r="D730" s="93" t="s">
        <v>442</v>
      </c>
      <c r="E730" s="72"/>
      <c r="F730" s="77"/>
      <c r="G730" s="72"/>
      <c r="H730" s="74"/>
      <c r="I730" s="74"/>
      <c r="J730" s="51">
        <f>SUM(J704:J729)</f>
        <v>1094.75251376297</v>
      </c>
      <c r="K730" s="75"/>
      <c r="L730" s="94"/>
      <c r="N730" s="83"/>
      <c r="O730" s="83"/>
      <c r="P730" s="83"/>
      <c r="Q730" s="83"/>
      <c r="R730" s="87"/>
      <c r="S730" s="47"/>
      <c r="T730" s="47"/>
    </row>
    <row r="731" s="27" customFormat="1" ht="18" customHeight="1" spans="1:20">
      <c r="A731" s="34"/>
      <c r="B731" s="48">
        <v>1</v>
      </c>
      <c r="C731" s="48" t="s">
        <v>443</v>
      </c>
      <c r="D731" s="48" t="s">
        <v>444</v>
      </c>
      <c r="E731" s="72" t="s">
        <v>43</v>
      </c>
      <c r="F731" s="50"/>
      <c r="G731" s="48"/>
      <c r="H731" s="51">
        <v>1</v>
      </c>
      <c r="I731" s="74">
        <f>+辅材及安装费!$F$18</f>
        <v>5</v>
      </c>
      <c r="J731" s="95">
        <f>H731*I731</f>
        <v>5</v>
      </c>
      <c r="K731" s="60"/>
      <c r="L731" s="96"/>
      <c r="M731" s="97"/>
      <c r="N731" s="98"/>
      <c r="O731" s="98"/>
      <c r="P731" s="98"/>
      <c r="Q731" s="98"/>
      <c r="R731" s="99"/>
      <c r="S731" s="47"/>
      <c r="T731" s="47"/>
    </row>
    <row r="732" s="26" customFormat="1" ht="30" customHeight="1" spans="1:20">
      <c r="A732" s="28"/>
      <c r="B732" s="29" t="s">
        <v>386</v>
      </c>
      <c r="C732" s="29"/>
      <c r="D732" s="29"/>
      <c r="E732" s="29"/>
      <c r="F732" s="29"/>
      <c r="G732" s="29"/>
      <c r="H732" s="29"/>
      <c r="I732" s="29"/>
      <c r="J732" s="29"/>
      <c r="K732" s="29"/>
      <c r="L732" s="30"/>
      <c r="M732" s="31"/>
      <c r="N732" s="31"/>
      <c r="O732" s="31"/>
      <c r="P732" s="31"/>
      <c r="Q732" s="31"/>
      <c r="R732" s="32"/>
      <c r="S732" s="33"/>
      <c r="T732" s="33"/>
    </row>
    <row r="733" s="27" customFormat="1" ht="33.75" customHeight="1" spans="1:20">
      <c r="A733" s="34">
        <v>18</v>
      </c>
      <c r="B733" s="35" t="s">
        <v>1</v>
      </c>
      <c r="C733" s="35" t="s">
        <v>387</v>
      </c>
      <c r="D733" s="36" t="str">
        <f>+A741</f>
        <v>二层T型钢龙骨玻璃幕墙（6+1.52PVB+6Low-E(双银)+12A+10㎜全超白钢化夹层玻璃）（弯弧）（弧长1414㎜，圆弧半径900㎜，高3035㎜）</v>
      </c>
      <c r="E733" s="37"/>
      <c r="F733" s="38" t="s">
        <v>225</v>
      </c>
      <c r="G733" s="39"/>
      <c r="H733" s="35" t="s">
        <v>388</v>
      </c>
      <c r="I733" s="40" t="s">
        <v>389</v>
      </c>
      <c r="J733" s="41" t="s">
        <v>37</v>
      </c>
      <c r="K733" s="42">
        <f ca="1">VLOOKUP(A733,'商业工程量清单 '!$A$4:$D$44,4,FALSE)</f>
        <v>23.84296</v>
      </c>
      <c r="L733" s="43"/>
      <c r="M733" s="44"/>
      <c r="N733" s="44"/>
      <c r="O733" s="44"/>
      <c r="P733" s="45"/>
      <c r="Q733" s="44"/>
      <c r="R733" s="46"/>
      <c r="S733" s="47"/>
      <c r="T733" s="47"/>
    </row>
    <row r="734" s="27" customFormat="1" ht="25" customHeight="1" spans="1:20">
      <c r="A734" s="34"/>
      <c r="B734" s="48">
        <v>1</v>
      </c>
      <c r="C734" s="49" t="s">
        <v>390</v>
      </c>
      <c r="D734" s="48" t="s">
        <v>391</v>
      </c>
      <c r="E734" s="48"/>
      <c r="F734" s="50"/>
      <c r="G734" s="48"/>
      <c r="H734" s="51"/>
      <c r="I734" s="52">
        <f>J746</f>
        <v>274.784250924504</v>
      </c>
      <c r="J734" s="53" t="s">
        <v>392</v>
      </c>
      <c r="K734" s="54"/>
      <c r="L734" s="55" t="s">
        <v>1019</v>
      </c>
      <c r="M734" s="56"/>
      <c r="N734" s="57"/>
      <c r="O734" s="57">
        <v>1.414</v>
      </c>
      <c r="P734" s="57">
        <v>3.035</v>
      </c>
      <c r="Q734" s="57">
        <v>1</v>
      </c>
      <c r="R734" s="58">
        <f>+Q734*P734*O734</f>
        <v>4.29149</v>
      </c>
      <c r="S734" s="47"/>
      <c r="T734" s="47"/>
    </row>
    <row r="735" s="27" customFormat="1" ht="18" customHeight="1" spans="1:20">
      <c r="A735" s="34"/>
      <c r="B735" s="48">
        <v>2</v>
      </c>
      <c r="C735" s="59"/>
      <c r="D735" s="48" t="s">
        <v>394</v>
      </c>
      <c r="E735" s="48"/>
      <c r="F735" s="50"/>
      <c r="G735" s="48"/>
      <c r="H735" s="51"/>
      <c r="I735" s="52">
        <f>J773</f>
        <v>2175.13691373781</v>
      </c>
      <c r="J735" s="53" t="s">
        <v>392</v>
      </c>
      <c r="K735" s="60"/>
      <c r="L735" s="61"/>
      <c r="M735" s="44"/>
      <c r="N735" s="44"/>
      <c r="O735" s="44"/>
      <c r="P735" s="44"/>
      <c r="Q735" s="44"/>
      <c r="R735" s="62"/>
      <c r="S735" s="47"/>
      <c r="T735" s="47"/>
    </row>
    <row r="736" s="27" customFormat="1" ht="18" customHeight="1" spans="1:20">
      <c r="A736" s="34"/>
      <c r="B736" s="48">
        <v>3</v>
      </c>
      <c r="C736" s="63"/>
      <c r="D736" s="48" t="s">
        <v>395</v>
      </c>
      <c r="E736" s="48"/>
      <c r="F736" s="50"/>
      <c r="G736" s="48"/>
      <c r="H736" s="51"/>
      <c r="I736" s="52">
        <f>J774</f>
        <v>5</v>
      </c>
      <c r="J736" s="53" t="s">
        <v>392</v>
      </c>
      <c r="K736" s="60"/>
      <c r="L736" s="60"/>
      <c r="M736" s="64" t="s">
        <v>396</v>
      </c>
      <c r="N736" s="65" t="s">
        <v>397</v>
      </c>
      <c r="O736" s="65" t="s">
        <v>398</v>
      </c>
      <c r="P736" s="65" t="s">
        <v>399</v>
      </c>
      <c r="Q736" s="65" t="s">
        <v>400</v>
      </c>
      <c r="R736" s="66" t="s">
        <v>401</v>
      </c>
      <c r="S736" s="47"/>
      <c r="T736" s="47"/>
    </row>
    <row r="737" s="27" customFormat="1" ht="18" customHeight="1" spans="1:21">
      <c r="A737" s="34"/>
      <c r="B737" s="48">
        <v>4</v>
      </c>
      <c r="C737" s="48" t="s">
        <v>402</v>
      </c>
      <c r="D737" s="67" t="s">
        <v>403</v>
      </c>
      <c r="E737" s="67"/>
      <c r="F737" s="50"/>
      <c r="G737" s="67"/>
      <c r="H737" s="68"/>
      <c r="I737" s="52">
        <f>SUM(I734:I736)</f>
        <v>2454.92116466231</v>
      </c>
      <c r="J737" s="53" t="s">
        <v>392</v>
      </c>
      <c r="K737" s="60"/>
      <c r="L737" s="69" t="s">
        <v>427</v>
      </c>
      <c r="M737" s="70" t="s">
        <v>1007</v>
      </c>
      <c r="N737" s="34"/>
      <c r="O737" s="34">
        <v>0</v>
      </c>
      <c r="P737" s="34">
        <v>1</v>
      </c>
      <c r="Q737" s="44">
        <f t="shared" ref="Q737:Q747" si="116">+P737*O737*N737</f>
        <v>0</v>
      </c>
      <c r="R737" s="71">
        <f>+Q737/R734</f>
        <v>0</v>
      </c>
      <c r="S737" s="47"/>
      <c r="T737" s="47"/>
    </row>
    <row r="738" s="27" customFormat="1" ht="28" customHeight="1" spans="1:21">
      <c r="A738" s="34"/>
      <c r="B738" s="48">
        <v>5</v>
      </c>
      <c r="C738" s="72" t="s">
        <v>406</v>
      </c>
      <c r="D738" s="48" t="s">
        <v>407</v>
      </c>
      <c r="E738" s="48"/>
      <c r="F738" s="50"/>
      <c r="G738" s="48"/>
      <c r="H738" s="73">
        <f>+'材料表 '!$E$178</f>
        <v>0</v>
      </c>
      <c r="I738" s="52">
        <f>H738*I737</f>
        <v>0</v>
      </c>
      <c r="J738" s="53" t="s">
        <v>392</v>
      </c>
      <c r="K738" s="60"/>
      <c r="L738" s="69" t="s">
        <v>433</v>
      </c>
      <c r="M738" s="70" t="s">
        <v>1008</v>
      </c>
      <c r="N738" s="100">
        <f>0.214*2.71</f>
        <v>0.57994</v>
      </c>
      <c r="O738" s="34">
        <f>P734</f>
        <v>3.035</v>
      </c>
      <c r="P738" s="34">
        <f>1*2</f>
        <v>2</v>
      </c>
      <c r="Q738" s="44">
        <f t="shared" si="116"/>
        <v>3.5202358</v>
      </c>
      <c r="R738" s="71">
        <f>+Q738/R734</f>
        <v>0.8202828854314</v>
      </c>
      <c r="S738" s="47"/>
      <c r="T738" s="47"/>
    </row>
    <row r="739" s="27" customFormat="1" ht="18" customHeight="1" spans="1:21">
      <c r="A739" s="34"/>
      <c r="B739" s="48">
        <v>6</v>
      </c>
      <c r="C739" s="48" t="s">
        <v>409</v>
      </c>
      <c r="D739" s="48" t="s">
        <v>410</v>
      </c>
      <c r="E739" s="48"/>
      <c r="F739" s="50"/>
      <c r="G739" s="48"/>
      <c r="H739" s="73">
        <f>+'材料表 '!$E$179</f>
        <v>0</v>
      </c>
      <c r="I739" s="52">
        <f>H739*I737</f>
        <v>0</v>
      </c>
      <c r="J739" s="74" t="s">
        <v>392</v>
      </c>
      <c r="K739" s="75"/>
      <c r="L739" s="69" t="s">
        <v>429</v>
      </c>
      <c r="M739" s="70" t="s">
        <v>1009</v>
      </c>
      <c r="N739" s="100">
        <f>0.142*2.71</f>
        <v>0.38482</v>
      </c>
      <c r="O739" s="100">
        <f>P734/0.3*0.05</f>
        <v>0.505833333333333</v>
      </c>
      <c r="P739" s="34">
        <v>1</v>
      </c>
      <c r="Q739" s="44">
        <f t="shared" si="116"/>
        <v>0.194654783333333</v>
      </c>
      <c r="R739" s="71">
        <f>+Q739/R734</f>
        <v>0.0453583215464404</v>
      </c>
      <c r="S739" s="47"/>
      <c r="T739" s="47"/>
      <c r="U739" s="76"/>
    </row>
    <row r="740" s="27" customFormat="1" ht="18" customHeight="1" spans="1:21">
      <c r="A740" s="34"/>
      <c r="B740" s="48">
        <v>7</v>
      </c>
      <c r="C740" s="48" t="s">
        <v>412</v>
      </c>
      <c r="D740" s="72" t="s">
        <v>413</v>
      </c>
      <c r="E740" s="72"/>
      <c r="F740" s="77"/>
      <c r="G740" s="72"/>
      <c r="H740" s="73">
        <f>+'材料表 '!$E$180</f>
        <v>0.09</v>
      </c>
      <c r="I740" s="52">
        <f>(I737+I738+I739)*H740</f>
        <v>220.942904819608</v>
      </c>
      <c r="J740" s="74" t="s">
        <v>392</v>
      </c>
      <c r="K740" s="75"/>
      <c r="L740" s="69" t="s">
        <v>429</v>
      </c>
      <c r="M740" s="70" t="s">
        <v>1026</v>
      </c>
      <c r="N740" s="34">
        <f>0.5*2.71</f>
        <v>1.355</v>
      </c>
      <c r="O740" s="34">
        <f>O734</f>
        <v>1.414</v>
      </c>
      <c r="P740" s="34">
        <v>1</v>
      </c>
      <c r="Q740" s="44">
        <f t="shared" si="116"/>
        <v>1.91597</v>
      </c>
      <c r="R740" s="71">
        <f>+Q740/R734</f>
        <v>0.446457990115321</v>
      </c>
      <c r="S740" s="47"/>
      <c r="T740" s="47"/>
    </row>
    <row r="741" s="27" customFormat="1" ht="18" customHeight="1" spans="1:21">
      <c r="A741" s="78" t="s">
        <v>251</v>
      </c>
      <c r="B741" s="48">
        <v>8</v>
      </c>
      <c r="C741" s="48" t="s">
        <v>363</v>
      </c>
      <c r="D741" s="72" t="s">
        <v>415</v>
      </c>
      <c r="E741" s="72"/>
      <c r="F741" s="77"/>
      <c r="G741" s="72"/>
      <c r="H741" s="51"/>
      <c r="I741" s="74">
        <f>SUM(I737:I740)</f>
        <v>2675.86406948192</v>
      </c>
      <c r="J741" s="74" t="s">
        <v>416</v>
      </c>
      <c r="K741" s="75"/>
      <c r="L741" s="69" t="s">
        <v>429</v>
      </c>
      <c r="M741" s="70" t="s">
        <v>1027</v>
      </c>
      <c r="N741" s="101">
        <f>0.247*2.71</f>
        <v>0.66937</v>
      </c>
      <c r="O741" s="34">
        <f>O740</f>
        <v>1.414</v>
      </c>
      <c r="P741" s="34">
        <v>1</v>
      </c>
      <c r="Q741" s="44">
        <f t="shared" si="116"/>
        <v>0.94648918</v>
      </c>
      <c r="R741" s="71">
        <f>+Q741/R734</f>
        <v>0.220550247116969</v>
      </c>
      <c r="S741" s="79"/>
      <c r="T741" s="47"/>
    </row>
    <row r="742" s="27" customFormat="1" ht="18" customHeight="1" spans="1:21">
      <c r="A742" s="34"/>
      <c r="B742" s="48" t="s">
        <v>418</v>
      </c>
      <c r="C742" s="48"/>
      <c r="D742" s="48"/>
      <c r="E742" s="48"/>
      <c r="F742" s="48"/>
      <c r="G742" s="48"/>
      <c r="H742" s="48"/>
      <c r="I742" s="48"/>
      <c r="J742" s="48"/>
      <c r="K742" s="80"/>
      <c r="L742" s="69" t="s">
        <v>447</v>
      </c>
      <c r="M742" s="70" t="s">
        <v>1028</v>
      </c>
      <c r="N742" s="101">
        <f>0.166*2.71</f>
        <v>0.44986</v>
      </c>
      <c r="O742" s="34">
        <f>O740</f>
        <v>1.414</v>
      </c>
      <c r="P742" s="34">
        <v>1</v>
      </c>
      <c r="Q742" s="44">
        <f t="shared" si="116"/>
        <v>0.63610204</v>
      </c>
      <c r="R742" s="71">
        <f>+Q742/R734</f>
        <v>0.148224052718287</v>
      </c>
      <c r="S742" s="47">
        <f>0.094</f>
        <v>0.094</v>
      </c>
      <c r="T742" s="47">
        <f t="shared" ref="T742:T746" si="117">O742*P742*S742</f>
        <v>0.132916</v>
      </c>
      <c r="U742" s="76">
        <f>T742/R734</f>
        <v>0.0309719934102142</v>
      </c>
    </row>
    <row r="743" s="27" customFormat="1" ht="18" customHeight="1" spans="1:21">
      <c r="A743" s="34"/>
      <c r="B743" s="48">
        <v>1</v>
      </c>
      <c r="C743" s="48" t="s">
        <v>391</v>
      </c>
      <c r="D743" s="48" t="s">
        <v>396</v>
      </c>
      <c r="E743" s="48" t="s">
        <v>37</v>
      </c>
      <c r="F743" s="50"/>
      <c r="G743" s="48"/>
      <c r="H743" s="51" t="s">
        <v>399</v>
      </c>
      <c r="I743" s="51" t="s">
        <v>420</v>
      </c>
      <c r="J743" s="51" t="s">
        <v>421</v>
      </c>
      <c r="K743" s="43"/>
      <c r="L743" s="69" t="s">
        <v>404</v>
      </c>
      <c r="M743" s="81" t="s">
        <v>1029</v>
      </c>
      <c r="N743" s="82">
        <v>3.727</v>
      </c>
      <c r="O743" s="34">
        <f>O734</f>
        <v>1.414</v>
      </c>
      <c r="P743" s="34">
        <v>1</v>
      </c>
      <c r="Q743" s="44">
        <f t="shared" si="116"/>
        <v>5.269978</v>
      </c>
      <c r="R743" s="71">
        <f>+Q743/R734</f>
        <v>1.22800658978583</v>
      </c>
      <c r="S743" s="47"/>
      <c r="T743" s="47"/>
    </row>
    <row r="744" s="27" customFormat="1" ht="18" customHeight="1" spans="1:21">
      <c r="A744" s="34"/>
      <c r="B744" s="48">
        <v>2</v>
      </c>
      <c r="C744" s="48"/>
      <c r="D744" s="48" t="s">
        <v>966</v>
      </c>
      <c r="E744" s="72" t="s">
        <v>423</v>
      </c>
      <c r="F744" s="50"/>
      <c r="G744" s="48"/>
      <c r="H744" s="51">
        <v>1</v>
      </c>
      <c r="I744" s="51">
        <f>+辅材及安装费!$G$18+F767*135</f>
        <v>274.784250924504</v>
      </c>
      <c r="J744" s="51">
        <f t="shared" ref="J744:J767" si="118">H744*I744</f>
        <v>274.784250924504</v>
      </c>
      <c r="K744" s="43"/>
      <c r="L744" s="69" t="s">
        <v>429</v>
      </c>
      <c r="M744" s="70" t="s">
        <v>1030</v>
      </c>
      <c r="N744" s="34">
        <v>0.604</v>
      </c>
      <c r="O744" s="34">
        <f>O734</f>
        <v>1.414</v>
      </c>
      <c r="P744" s="34">
        <v>1</v>
      </c>
      <c r="Q744" s="44">
        <f t="shared" si="116"/>
        <v>0.854056</v>
      </c>
      <c r="R744" s="84">
        <f>+Q744/R734</f>
        <v>0.199011532125206</v>
      </c>
      <c r="S744" s="47"/>
      <c r="T744" s="47"/>
    </row>
    <row r="745" s="27" customFormat="1" ht="18" customHeight="1" spans="1:21">
      <c r="A745" s="34"/>
      <c r="B745" s="48">
        <v>3</v>
      </c>
      <c r="C745" s="48"/>
      <c r="D745" s="48"/>
      <c r="E745" s="72"/>
      <c r="F745" s="50"/>
      <c r="G745" s="48"/>
      <c r="H745" s="51"/>
      <c r="I745" s="51"/>
      <c r="J745" s="51"/>
      <c r="K745" s="43"/>
      <c r="L745" s="69" t="s">
        <v>447</v>
      </c>
      <c r="M745" s="70" t="s">
        <v>1028</v>
      </c>
      <c r="N745" s="82">
        <f>0.668*2.71+0.022*2.71</f>
        <v>1.8699</v>
      </c>
      <c r="O745" s="82">
        <f>O743</f>
        <v>1.414</v>
      </c>
      <c r="P745" s="34">
        <v>1</v>
      </c>
      <c r="Q745" s="44">
        <f t="shared" si="116"/>
        <v>2.6440386</v>
      </c>
      <c r="R745" s="84">
        <f>+Q745/R734</f>
        <v>0.616112026359143</v>
      </c>
      <c r="S745" s="47">
        <v>0.31</v>
      </c>
      <c r="T745" s="47">
        <f t="shared" si="117"/>
        <v>0.43834</v>
      </c>
      <c r="U745" s="76">
        <f>T745/R734</f>
        <v>0.102141680395387</v>
      </c>
    </row>
    <row r="746" s="27" customFormat="1" ht="18" customHeight="1" spans="1:21">
      <c r="A746" s="34"/>
      <c r="B746" s="48">
        <v>4</v>
      </c>
      <c r="C746" s="48"/>
      <c r="D746" s="85" t="s">
        <v>426</v>
      </c>
      <c r="E746" s="48" t="s">
        <v>392</v>
      </c>
      <c r="F746" s="50"/>
      <c r="G746" s="48"/>
      <c r="H746" s="86"/>
      <c r="I746" s="86"/>
      <c r="J746" s="51">
        <f>SUM(J744:J744)</f>
        <v>274.784250924504</v>
      </c>
      <c r="K746" s="75"/>
      <c r="L746" s="69" t="s">
        <v>447</v>
      </c>
      <c r="M746" s="70" t="s">
        <v>1031</v>
      </c>
      <c r="N746" s="101">
        <f>0.074*2.71</f>
        <v>0.20054</v>
      </c>
      <c r="O746" s="34">
        <f>O742</f>
        <v>1.414</v>
      </c>
      <c r="P746" s="34">
        <v>1</v>
      </c>
      <c r="Q746" s="44">
        <f t="shared" si="116"/>
        <v>0.28356356</v>
      </c>
      <c r="R746" s="84">
        <f>+Q746/R734</f>
        <v>0.0660757825370676</v>
      </c>
      <c r="S746" s="47">
        <f>0.048</f>
        <v>0.048</v>
      </c>
      <c r="T746" s="47">
        <f t="shared" si="117"/>
        <v>0.067872</v>
      </c>
      <c r="U746" s="76">
        <f>T746/R734</f>
        <v>0.0158154859967051</v>
      </c>
    </row>
    <row r="747" s="27" customFormat="1" ht="23" customHeight="1" spans="1:21">
      <c r="A747" s="34"/>
      <c r="B747" s="48">
        <v>1</v>
      </c>
      <c r="C747" s="48" t="s">
        <v>394</v>
      </c>
      <c r="D747" s="88" t="s">
        <v>427</v>
      </c>
      <c r="E747" s="72" t="str">
        <f>+VLOOKUP(D747,'材料表 '!C:F,2,0)</f>
        <v>kg</v>
      </c>
      <c r="F747" s="77">
        <f>+SUMIF($L$734:$L$774,D747,$R$734:$R$774)</f>
        <v>0</v>
      </c>
      <c r="G747" s="89">
        <f>+VLOOKUP(D747,'材料表 '!C:F,4,0)</f>
        <v>0.03</v>
      </c>
      <c r="H747" s="74">
        <f t="shared" ref="H747:H767" si="119">F747*(G747+1)</f>
        <v>0</v>
      </c>
      <c r="I747" s="74">
        <f>+VLOOKUP(D747,'材料表 '!C:F,3,0)</f>
        <v>25.8495575221239</v>
      </c>
      <c r="J747" s="51">
        <f t="shared" si="118"/>
        <v>0</v>
      </c>
      <c r="K747" s="75">
        <f ca="1">H747*K733</f>
        <v>0</v>
      </c>
      <c r="L747" s="69" t="s">
        <v>433</v>
      </c>
      <c r="M747" s="70" t="s">
        <v>1031</v>
      </c>
      <c r="N747" s="101">
        <f>0.055*2.71</f>
        <v>0.14905</v>
      </c>
      <c r="O747" s="34">
        <f>O743</f>
        <v>1.414</v>
      </c>
      <c r="P747" s="34">
        <v>3</v>
      </c>
      <c r="Q747" s="44">
        <f t="shared" si="116"/>
        <v>0.6322701</v>
      </c>
      <c r="R747" s="84">
        <f>+Q747/R734</f>
        <v>0.147331136738056</v>
      </c>
      <c r="S747" s="47"/>
      <c r="T747" s="47"/>
    </row>
    <row r="748" s="27" customFormat="1" ht="18" customHeight="1" spans="1:21">
      <c r="A748" s="34"/>
      <c r="B748" s="48">
        <v>2</v>
      </c>
      <c r="C748" s="48"/>
      <c r="D748" s="88" t="s">
        <v>404</v>
      </c>
      <c r="E748" s="72" t="str">
        <f>+VLOOKUP(D748,'材料表 '!C:F,2,0)</f>
        <v>kg</v>
      </c>
      <c r="F748" s="77">
        <f>+SUMIF($L$734:$L$774,D748,$R$734:$R$774)</f>
        <v>1.22800658978583</v>
      </c>
      <c r="G748" s="89">
        <f>+VLOOKUP(D748,'材料表 '!C:F,4,0)</f>
        <v>0.03</v>
      </c>
      <c r="H748" s="74">
        <f t="shared" si="119"/>
        <v>1.2648467874794</v>
      </c>
      <c r="I748" s="74">
        <f>+VLOOKUP(D748,'材料表 '!C:F,3,0)</f>
        <v>25.6725663716814</v>
      </c>
      <c r="J748" s="51">
        <f t="shared" si="118"/>
        <v>32.471863101573</v>
      </c>
      <c r="K748" s="75">
        <f ca="1">H748*K733</f>
        <v>30.1576913599998</v>
      </c>
      <c r="L748" s="69"/>
      <c r="M748" s="70"/>
      <c r="N748" s="83"/>
      <c r="O748" s="83"/>
      <c r="P748" s="83"/>
      <c r="Q748" s="83"/>
      <c r="R748" s="87"/>
      <c r="S748" s="47"/>
      <c r="T748" s="47"/>
    </row>
    <row r="749" s="27" customFormat="1" ht="18" customHeight="1" spans="1:21">
      <c r="A749" s="34"/>
      <c r="B749" s="48">
        <v>3</v>
      </c>
      <c r="C749" s="48"/>
      <c r="D749" s="88" t="s">
        <v>433</v>
      </c>
      <c r="E749" s="72" t="str">
        <f>+VLOOKUP(D749,'材料表 '!C:F,2,0)</f>
        <v>kg</v>
      </c>
      <c r="F749" s="77">
        <f t="shared" ref="F748:F761" si="120">+SUMIF($L$734:$L$774,D749,$R$734:$R$774)</f>
        <v>0.967614022169456</v>
      </c>
      <c r="G749" s="89">
        <f>+VLOOKUP(D749,'材料表 '!C:F,4,0)</f>
        <v>0.03</v>
      </c>
      <c r="H749" s="74">
        <f t="shared" si="119"/>
        <v>0.99664244283454</v>
      </c>
      <c r="I749" s="74">
        <f>+VLOOKUP(D749,'材料表 '!C:F,3,0)</f>
        <v>26.1150442477876</v>
      </c>
      <c r="J749" s="51">
        <f t="shared" si="118"/>
        <v>26.0273614938471</v>
      </c>
      <c r="K749" s="75">
        <f ca="1">H749*K733</f>
        <v>23.7629058988062</v>
      </c>
      <c r="L749" s="69"/>
      <c r="N749" s="83"/>
      <c r="O749" s="83"/>
      <c r="P749" s="83"/>
      <c r="Q749" s="83"/>
      <c r="R749" s="87"/>
      <c r="S749" s="47"/>
      <c r="T749" s="47"/>
    </row>
    <row r="750" s="27" customFormat="1" ht="18" customHeight="1" spans="1:21">
      <c r="A750" s="34"/>
      <c r="B750" s="48">
        <v>4</v>
      </c>
      <c r="C750" s="48"/>
      <c r="D750" s="88" t="s">
        <v>429</v>
      </c>
      <c r="E750" s="72" t="str">
        <f>+VLOOKUP(D750,'材料表 '!C:F,2,0)</f>
        <v>kg</v>
      </c>
      <c r="F750" s="77">
        <f t="shared" si="120"/>
        <v>0.911378090903936</v>
      </c>
      <c r="G750" s="89">
        <f>+VLOOKUP(D750,'材料表 '!C:F,4,0)</f>
        <v>0.03</v>
      </c>
      <c r="H750" s="74">
        <f t="shared" si="119"/>
        <v>0.938719433631054</v>
      </c>
      <c r="I750" s="74">
        <f>+VLOOKUP(D750,'材料表 '!C:F,3,0)</f>
        <v>26.1150442477876</v>
      </c>
      <c r="J750" s="51">
        <f t="shared" si="118"/>
        <v>24.5146995455331</v>
      </c>
      <c r="K750" s="75">
        <f ca="1">H750*K733</f>
        <v>22.3818499072879</v>
      </c>
      <c r="L750" s="90" t="s">
        <v>707</v>
      </c>
      <c r="M750" s="44"/>
      <c r="N750" s="82"/>
      <c r="O750" s="44">
        <f>O740*P740+O743*P743</f>
        <v>2.828</v>
      </c>
      <c r="P750" s="44">
        <v>1</v>
      </c>
      <c r="Q750" s="44">
        <f>+P750*O750</f>
        <v>2.828</v>
      </c>
      <c r="R750" s="84">
        <f>+Q750/R734</f>
        <v>0.658978583196046</v>
      </c>
      <c r="S750" s="47"/>
      <c r="T750" s="47"/>
    </row>
    <row r="751" s="27" customFormat="1" ht="18" customHeight="1" spans="1:21">
      <c r="A751" s="34"/>
      <c r="B751" s="48">
        <v>5</v>
      </c>
      <c r="C751" s="48"/>
      <c r="D751" s="88" t="s">
        <v>447</v>
      </c>
      <c r="E751" s="72" t="str">
        <f>+VLOOKUP(D751,'材料表 '!C:F,2,0)</f>
        <v>kg</v>
      </c>
      <c r="F751" s="77">
        <f t="shared" si="120"/>
        <v>0.830411861614498</v>
      </c>
      <c r="G751" s="89">
        <f>+VLOOKUP(D751,'材料表 '!C:F,4,0)</f>
        <v>0.03</v>
      </c>
      <c r="H751" s="74">
        <f t="shared" si="119"/>
        <v>0.855324217462933</v>
      </c>
      <c r="I751" s="74">
        <f>+VLOOKUP(D751,'材料表 '!C:F,3,0)</f>
        <v>24.4336283185841</v>
      </c>
      <c r="J751" s="51">
        <f t="shared" si="118"/>
        <v>20.8986740213731</v>
      </c>
      <c r="K751" s="43">
        <f ca="1">H751*K733</f>
        <v>20.393461104</v>
      </c>
      <c r="L751" s="90" t="s">
        <v>435</v>
      </c>
      <c r="M751" s="44"/>
      <c r="N751" s="82">
        <f>0.073*1.2</f>
        <v>0.0876</v>
      </c>
      <c r="O751" s="44">
        <f>O734*2*3+P734*7</f>
        <v>29.729</v>
      </c>
      <c r="P751" s="44">
        <v>1</v>
      </c>
      <c r="Q751" s="44">
        <f>+P751*O751</f>
        <v>29.729</v>
      </c>
      <c r="R751" s="84">
        <f>+Q751/R734</f>
        <v>6.92743079909309</v>
      </c>
      <c r="S751" s="47"/>
      <c r="T751" s="47"/>
    </row>
    <row r="752" s="27" customFormat="1" ht="18" customHeight="1" spans="1:21">
      <c r="A752" s="34"/>
      <c r="B752" s="48">
        <v>6</v>
      </c>
      <c r="C752" s="48"/>
      <c r="D752" s="88" t="s">
        <v>434</v>
      </c>
      <c r="E752" s="72" t="str">
        <f>+VLOOKUP(D752,'材料表 '!C:F,2,0)</f>
        <v>m2</v>
      </c>
      <c r="F752" s="77">
        <f>U742+U745+U746</f>
        <v>0.148929159802306</v>
      </c>
      <c r="G752" s="89">
        <f>+VLOOKUP(D752,'材料表 '!C:F,4,0)</f>
        <v>0</v>
      </c>
      <c r="H752" s="74">
        <f t="shared" si="119"/>
        <v>0.148929159802306</v>
      </c>
      <c r="I752" s="74">
        <f>+VLOOKUP(D752,'材料表 '!C:F,3,0)</f>
        <v>49.5575221238938</v>
      </c>
      <c r="J752" s="51">
        <f t="shared" si="118"/>
        <v>7.38056013179569</v>
      </c>
      <c r="K752" s="43">
        <f ca="1">H752*K733</f>
        <v>3.55091199999999</v>
      </c>
      <c r="L752" s="90" t="s">
        <v>463</v>
      </c>
      <c r="M752" s="91" t="s">
        <v>1032</v>
      </c>
      <c r="N752" s="82">
        <f>0.2*0.3*10*7.85</f>
        <v>4.71</v>
      </c>
      <c r="O752" s="44">
        <v>2</v>
      </c>
      <c r="P752" s="44">
        <f>P759</f>
        <v>1</v>
      </c>
      <c r="Q752" s="44">
        <f t="shared" ref="Q752:Q757" si="121">+P752*O752*N752</f>
        <v>9.42</v>
      </c>
      <c r="R752" s="84">
        <f>+Q752/R734</f>
        <v>2.19504181531356</v>
      </c>
      <c r="S752" s="47"/>
      <c r="T752" s="47"/>
    </row>
    <row r="753" s="27" customFormat="1" ht="18" customHeight="1" spans="1:20">
      <c r="A753" s="34"/>
      <c r="B753" s="48">
        <v>7</v>
      </c>
      <c r="C753" s="48"/>
      <c r="D753" s="88" t="s">
        <v>707</v>
      </c>
      <c r="E753" s="72" t="str">
        <f>+VLOOKUP(D753,'材料表 '!C:F,2,0)</f>
        <v>m2</v>
      </c>
      <c r="F753" s="77">
        <f t="shared" si="120"/>
        <v>0.658978583196046</v>
      </c>
      <c r="G753" s="89">
        <f>+VLOOKUP(D753,'材料表 '!C:F,4,0)</f>
        <v>0</v>
      </c>
      <c r="H753" s="74">
        <f t="shared" si="119"/>
        <v>0.658978583196046</v>
      </c>
      <c r="I753" s="74">
        <f>+VLOOKUP(D753,'材料表 '!C:F,3,0)</f>
        <v>8.8495575221239</v>
      </c>
      <c r="J753" s="51">
        <f t="shared" si="118"/>
        <v>5.83166887784112</v>
      </c>
      <c r="K753" s="43">
        <f ca="1">H753*K733</f>
        <v>15.712</v>
      </c>
      <c r="L753" s="90"/>
      <c r="M753" s="91"/>
      <c r="N753" s="82"/>
      <c r="O753" s="44"/>
      <c r="P753" s="44"/>
      <c r="Q753" s="44"/>
      <c r="R753" s="84"/>
      <c r="S753" s="47"/>
      <c r="T753" s="47"/>
    </row>
    <row r="754" s="27" customFormat="1" ht="18" customHeight="1" spans="1:20">
      <c r="A754" s="34"/>
      <c r="B754" s="48">
        <v>8</v>
      </c>
      <c r="C754" s="48"/>
      <c r="D754" s="88" t="s">
        <v>710</v>
      </c>
      <c r="E754" s="72" t="str">
        <f>+VLOOKUP(D754,'材料表 '!C:F,2,0)</f>
        <v>kg</v>
      </c>
      <c r="F754" s="77">
        <f t="shared" si="120"/>
        <v>62.8246119063542</v>
      </c>
      <c r="G754" s="89">
        <f>+VLOOKUP(D754,'材料表 '!C:F,4,0)</f>
        <v>0.03</v>
      </c>
      <c r="H754" s="74">
        <f t="shared" si="119"/>
        <v>64.7093502635448</v>
      </c>
      <c r="I754" s="74">
        <f>+VLOOKUP(D754,'材料表 '!C:F,3,0)</f>
        <v>8.8495575221239</v>
      </c>
      <c r="J754" s="51">
        <f t="shared" si="118"/>
        <v>572.649117376503</v>
      </c>
      <c r="K754" s="43">
        <f ca="1">H754*K733</f>
        <v>1542.86244995969</v>
      </c>
      <c r="L754" s="69" t="s">
        <v>465</v>
      </c>
      <c r="M754" s="81" t="s">
        <v>1013</v>
      </c>
      <c r="N754" s="34">
        <v>9.88</v>
      </c>
      <c r="O754" s="34">
        <f>0.13</f>
        <v>0.13</v>
      </c>
      <c r="P754" s="34">
        <f>2*P752</f>
        <v>2</v>
      </c>
      <c r="Q754" s="44">
        <f t="shared" si="121"/>
        <v>2.5688</v>
      </c>
      <c r="R754" s="84">
        <f>Q754/R734</f>
        <v>0.598579980379775</v>
      </c>
      <c r="S754" s="47"/>
      <c r="T754" s="47"/>
    </row>
    <row r="755" s="27" customFormat="1" ht="18" customHeight="1" spans="1:20">
      <c r="A755" s="34"/>
      <c r="B755" s="48">
        <v>9</v>
      </c>
      <c r="C755" s="48"/>
      <c r="D755" s="88" t="s">
        <v>431</v>
      </c>
      <c r="E755" s="72" t="str">
        <f>+VLOOKUP(D755,'材料表 '!C:F,2,0)</f>
        <v>kg</v>
      </c>
      <c r="F755" s="77">
        <f t="shared" si="120"/>
        <v>0</v>
      </c>
      <c r="G755" s="89">
        <f>+VLOOKUP(D755,'材料表 '!C:F,4,0)</f>
        <v>0.03</v>
      </c>
      <c r="H755" s="74">
        <f t="shared" si="119"/>
        <v>0</v>
      </c>
      <c r="I755" s="74">
        <f>+VLOOKUP(D755,'材料表 '!C:F,3,0)</f>
        <v>3.80530973451327</v>
      </c>
      <c r="J755" s="51">
        <f t="shared" si="118"/>
        <v>0</v>
      </c>
      <c r="K755" s="43">
        <f ca="1">H755*K733</f>
        <v>0</v>
      </c>
      <c r="L755" s="90" t="s">
        <v>474</v>
      </c>
      <c r="M755" s="44"/>
      <c r="N755" s="82"/>
      <c r="O755" s="44">
        <v>4</v>
      </c>
      <c r="P755" s="44">
        <f>O752*P752</f>
        <v>2</v>
      </c>
      <c r="Q755" s="44">
        <f>O755*P755</f>
        <v>8</v>
      </c>
      <c r="R755" s="84">
        <f>Q755/R734</f>
        <v>1.86415440790961</v>
      </c>
      <c r="S755" s="47"/>
      <c r="T755" s="47"/>
    </row>
    <row r="756" s="27" customFormat="1" ht="18" customHeight="1" spans="1:20">
      <c r="A756" s="34"/>
      <c r="B756" s="48">
        <v>10</v>
      </c>
      <c r="C756" s="48"/>
      <c r="D756" s="88" t="s">
        <v>461</v>
      </c>
      <c r="E756" s="72" t="str">
        <f>+VLOOKUP(D756,'材料表 '!C:F,2,0)</f>
        <v>kg</v>
      </c>
      <c r="F756" s="77">
        <f t="shared" si="120"/>
        <v>0</v>
      </c>
      <c r="G756" s="89">
        <f>+VLOOKUP(D756,'材料表 '!C:F,4,0)</f>
        <v>0.03</v>
      </c>
      <c r="H756" s="74">
        <f t="shared" si="119"/>
        <v>0</v>
      </c>
      <c r="I756" s="74">
        <f>+VLOOKUP(D756,'材料表 '!C:F,3,0)</f>
        <v>3.53982300884956</v>
      </c>
      <c r="J756" s="51">
        <f t="shared" si="118"/>
        <v>0</v>
      </c>
      <c r="K756" s="43">
        <f ca="1">H756*K733</f>
        <v>0</v>
      </c>
      <c r="L756" s="90" t="s">
        <v>472</v>
      </c>
      <c r="M756" s="91"/>
      <c r="N756" s="82"/>
      <c r="O756" s="44">
        <v>2</v>
      </c>
      <c r="P756" s="44">
        <f>P752</f>
        <v>1</v>
      </c>
      <c r="Q756" s="44">
        <f>O756*P756</f>
        <v>2</v>
      </c>
      <c r="R756" s="84">
        <f>Q756/R734</f>
        <v>0.466038601977402</v>
      </c>
      <c r="S756" s="47"/>
      <c r="T756" s="47"/>
    </row>
    <row r="757" s="27" customFormat="1" ht="18" customHeight="1" spans="1:20">
      <c r="A757" s="34"/>
      <c r="B757" s="48">
        <v>11</v>
      </c>
      <c r="C757" s="48"/>
      <c r="D757" s="88" t="s">
        <v>435</v>
      </c>
      <c r="E757" s="72" t="str">
        <f>+VLOOKUP(D757,'材料表 '!C:F,2,0)</f>
        <v>kg</v>
      </c>
      <c r="F757" s="77">
        <f t="shared" si="120"/>
        <v>6.92743079909309</v>
      </c>
      <c r="G757" s="89">
        <f>+VLOOKUP(D757,'材料表 '!C:F,4,0)</f>
        <v>0.03</v>
      </c>
      <c r="H757" s="74">
        <f t="shared" si="119"/>
        <v>7.13525372306588</v>
      </c>
      <c r="I757" s="74">
        <f>+VLOOKUP(D757,'材料表 '!C:F,3,0)</f>
        <v>19.4690265486726</v>
      </c>
      <c r="J757" s="51">
        <f t="shared" si="118"/>
        <v>138.916444165885</v>
      </c>
      <c r="K757" s="43">
        <f ca="1">H757*K733</f>
        <v>170.125569108911</v>
      </c>
      <c r="L757" s="69" t="s">
        <v>465</v>
      </c>
      <c r="M757" s="91"/>
      <c r="N757" s="82">
        <f>(0.058+0.04*2)*5*7.85</f>
        <v>5.4165</v>
      </c>
      <c r="O757" s="44">
        <f>O734</f>
        <v>1.414</v>
      </c>
      <c r="P757" s="44">
        <v>0</v>
      </c>
      <c r="Q757" s="44">
        <f t="shared" si="121"/>
        <v>0</v>
      </c>
      <c r="R757" s="84">
        <f>+Q757/R734</f>
        <v>0</v>
      </c>
      <c r="S757" s="47"/>
      <c r="T757" s="47"/>
    </row>
    <row r="758" s="27" customFormat="1" ht="18" customHeight="1" spans="1:20">
      <c r="A758" s="34"/>
      <c r="B758" s="48">
        <v>12</v>
      </c>
      <c r="C758" s="48"/>
      <c r="D758" s="88" t="s">
        <v>463</v>
      </c>
      <c r="E758" s="72" t="str">
        <f>+VLOOKUP(D758,'材料表 '!C:F,2,0)</f>
        <v>kg</v>
      </c>
      <c r="F758" s="77">
        <f t="shared" si="120"/>
        <v>2.19504181531356</v>
      </c>
      <c r="G758" s="89">
        <f>+VLOOKUP(D758,'材料表 '!C:F,4,0)</f>
        <v>0.03</v>
      </c>
      <c r="H758" s="74">
        <f t="shared" si="119"/>
        <v>2.26089306977297</v>
      </c>
      <c r="I758" s="74">
        <f>+VLOOKUP(D758,'材料表 '!C:F,3,0)</f>
        <v>6.01769911504425</v>
      </c>
      <c r="J758" s="51">
        <f t="shared" si="118"/>
        <v>13.6053742251825</v>
      </c>
      <c r="K758" s="43">
        <f ca="1">H758*K733</f>
        <v>53.9063830268741</v>
      </c>
      <c r="L758" s="69" t="s">
        <v>461</v>
      </c>
      <c r="N758" s="83"/>
      <c r="O758" s="83"/>
      <c r="P758" s="83"/>
      <c r="Q758" s="83"/>
      <c r="R758" s="84"/>
      <c r="S758" s="47"/>
      <c r="T758" s="47"/>
    </row>
    <row r="759" s="27" customFormat="1" ht="18" customHeight="1" spans="1:20">
      <c r="A759" s="34"/>
      <c r="B759" s="48">
        <v>13</v>
      </c>
      <c r="C759" s="48"/>
      <c r="D759" s="88" t="s">
        <v>465</v>
      </c>
      <c r="E759" s="72" t="str">
        <f>+VLOOKUP(D759,'材料表 '!C:F,2,0)</f>
        <v>kg</v>
      </c>
      <c r="F759" s="77">
        <f t="shared" si="120"/>
        <v>0.598579980379775</v>
      </c>
      <c r="G759" s="89">
        <f>+VLOOKUP(D759,'材料表 '!C:F,4,0)</f>
        <v>0.03</v>
      </c>
      <c r="H759" s="74">
        <f t="shared" si="119"/>
        <v>0.616537379791168</v>
      </c>
      <c r="I759" s="74">
        <f>+VLOOKUP(D759,'材料表 '!C:F,3,0)</f>
        <v>6.01769911504425</v>
      </c>
      <c r="J759" s="51">
        <f t="shared" si="118"/>
        <v>3.71013644476101</v>
      </c>
      <c r="K759" s="43">
        <f ca="1">H759*K733</f>
        <v>14.7000760848656</v>
      </c>
      <c r="L759" s="90" t="s">
        <v>1033</v>
      </c>
      <c r="M759" s="44"/>
      <c r="N759" s="82">
        <f>(0.225+0.07)*1*25*7.85</f>
        <v>57.89375</v>
      </c>
      <c r="O759" s="44">
        <f>3.243</f>
        <v>3.243</v>
      </c>
      <c r="P759" s="44">
        <v>1</v>
      </c>
      <c r="Q759" s="44">
        <f>+P759*O759*N759</f>
        <v>187.74943125</v>
      </c>
      <c r="R759" s="84">
        <f>+Q759/R734</f>
        <v>43.7492412309012</v>
      </c>
      <c r="S759" s="47"/>
      <c r="T759" s="47"/>
    </row>
    <row r="760" s="27" customFormat="1" ht="18" customHeight="1" spans="1:20">
      <c r="A760" s="34"/>
      <c r="B760" s="48">
        <v>14</v>
      </c>
      <c r="C760" s="48"/>
      <c r="D760" s="88" t="s">
        <v>474</v>
      </c>
      <c r="E760" s="72" t="str">
        <f>+VLOOKUP(D760,'材料表 '!C:F,2,0)</f>
        <v>套</v>
      </c>
      <c r="F760" s="77">
        <f t="shared" si="120"/>
        <v>1.86415440790961</v>
      </c>
      <c r="G760" s="89">
        <f>+VLOOKUP(D760,'材料表 '!C:F,4,0)</f>
        <v>0</v>
      </c>
      <c r="H760" s="74">
        <f t="shared" si="119"/>
        <v>1.86415440790961</v>
      </c>
      <c r="I760" s="74">
        <f>+VLOOKUP(D760,'材料表 '!C:F,3,0)</f>
        <v>2.21238938053097</v>
      </c>
      <c r="J760" s="51">
        <f t="shared" si="118"/>
        <v>4.12423541572922</v>
      </c>
      <c r="K760" s="43">
        <f ca="1">H760*K733</f>
        <v>44.4469589816125</v>
      </c>
      <c r="L760" s="90" t="s">
        <v>1033</v>
      </c>
      <c r="M760" s="44"/>
      <c r="N760" s="82">
        <f>(0.225+0.07)*1*25*7.85</f>
        <v>57.89375</v>
      </c>
      <c r="O760" s="44">
        <f>O734</f>
        <v>1.414</v>
      </c>
      <c r="P760" s="44">
        <v>1</v>
      </c>
      <c r="Q760" s="44">
        <f>+P760*O760*N760</f>
        <v>81.8617625</v>
      </c>
      <c r="R760" s="84">
        <f>+Q760/R734</f>
        <v>19.075370675453</v>
      </c>
      <c r="S760" s="47"/>
      <c r="T760" s="47"/>
    </row>
    <row r="761" s="27" customFormat="1" ht="18" customHeight="1" spans="1:20">
      <c r="A761" s="34"/>
      <c r="B761" s="48">
        <v>15</v>
      </c>
      <c r="C761" s="48"/>
      <c r="D761" s="88" t="s">
        <v>472</v>
      </c>
      <c r="E761" s="72" t="str">
        <f>+VLOOKUP(D761,'材料表 '!C:F,2,0)</f>
        <v>套</v>
      </c>
      <c r="F761" s="77">
        <f t="shared" si="120"/>
        <v>0.466038601977402</v>
      </c>
      <c r="G761" s="89">
        <f>+VLOOKUP(D761,'材料表 '!C:F,4,0)</f>
        <v>0</v>
      </c>
      <c r="H761" s="74">
        <f t="shared" si="119"/>
        <v>0.466038601977402</v>
      </c>
      <c r="I761" s="74">
        <f>+VLOOKUP(D761,'材料表 '!C:F,3,0)</f>
        <v>2.47787610619469</v>
      </c>
      <c r="J761" s="51">
        <f t="shared" si="118"/>
        <v>1.15478591640418</v>
      </c>
      <c r="K761" s="43">
        <f ca="1">H761*K733</f>
        <v>11.1117397454031</v>
      </c>
      <c r="L761" s="90"/>
      <c r="M761" s="44"/>
      <c r="N761" s="82"/>
      <c r="O761" s="44"/>
      <c r="P761" s="44"/>
      <c r="Q761" s="44"/>
      <c r="R761" s="84"/>
      <c r="S761" s="47"/>
      <c r="T761" s="47"/>
    </row>
    <row r="762" s="27" customFormat="1" ht="18" customHeight="1" spans="1:20">
      <c r="A762" s="34"/>
      <c r="B762" s="48">
        <v>16</v>
      </c>
      <c r="C762" s="48"/>
      <c r="D762" s="88" t="s">
        <v>476</v>
      </c>
      <c r="E762" s="72" t="str">
        <f>+VLOOKUP(D762,'材料表 '!C:F,2,0)</f>
        <v>支</v>
      </c>
      <c r="F762" s="77">
        <f>8*8*(O734*4)*2/500/R734+16*8*(O738*P759)/500/R734</f>
        <v>0.518443710692557</v>
      </c>
      <c r="G762" s="89">
        <f>+VLOOKUP(D762,'材料表 '!C:F,4,0)</f>
        <v>0.15</v>
      </c>
      <c r="H762" s="74">
        <f t="shared" si="119"/>
        <v>0.596210267296441</v>
      </c>
      <c r="I762" s="74">
        <f>+VLOOKUP(D762,'材料表 '!C:F,3,0)</f>
        <v>11.5044247787611</v>
      </c>
      <c r="J762" s="51">
        <f t="shared" si="118"/>
        <v>6.85905617243695</v>
      </c>
      <c r="K762" s="43">
        <f ca="1">H762*K733</f>
        <v>14.2154175547383</v>
      </c>
      <c r="L762" s="92"/>
      <c r="M762" s="44"/>
      <c r="N762" s="82"/>
      <c r="O762" s="44"/>
      <c r="P762" s="44"/>
      <c r="Q762" s="44"/>
      <c r="R762" s="84"/>
      <c r="S762" s="47"/>
      <c r="T762" s="47"/>
    </row>
    <row r="763" s="27" customFormat="1" ht="18" customHeight="1" spans="1:20">
      <c r="A763" s="34"/>
      <c r="B763" s="48">
        <v>17</v>
      </c>
      <c r="C763" s="48"/>
      <c r="D763" s="88" t="s">
        <v>576</v>
      </c>
      <c r="E763" s="72" t="str">
        <f>+VLOOKUP(D763,'材料表 '!C:F,2,0)</f>
        <v>支</v>
      </c>
      <c r="F763" s="77">
        <f>18*10*(O738*P738)/500/R734</f>
        <v>0.509193776520509</v>
      </c>
      <c r="G763" s="89">
        <f>+VLOOKUP(D763,'材料表 '!C:F,4,0)</f>
        <v>0.15</v>
      </c>
      <c r="H763" s="74">
        <f t="shared" si="119"/>
        <v>0.585572842998585</v>
      </c>
      <c r="I763" s="74">
        <f>+VLOOKUP(D763,'材料表 '!C:F,3,0)</f>
        <v>14.1592920353982</v>
      </c>
      <c r="J763" s="51">
        <f t="shared" si="118"/>
        <v>8.29129689201535</v>
      </c>
      <c r="K763" s="43">
        <f ca="1">H763*K733</f>
        <v>13.9617898727015</v>
      </c>
      <c r="L763" s="92"/>
      <c r="M763" s="44"/>
      <c r="N763" s="82"/>
      <c r="O763" s="44"/>
      <c r="P763" s="44"/>
      <c r="Q763" s="44"/>
      <c r="R763" s="84"/>
      <c r="S763" s="47"/>
      <c r="T763" s="47"/>
    </row>
    <row r="764" s="27" customFormat="1" ht="18" customHeight="1" spans="1:20">
      <c r="A764" s="34"/>
      <c r="B764" s="48">
        <v>18</v>
      </c>
      <c r="C764" s="48"/>
      <c r="D764" s="88" t="s">
        <v>479</v>
      </c>
      <c r="E764" s="72" t="str">
        <f>+VLOOKUP(D764,'材料表 '!C:F,2,0)</f>
        <v>kg</v>
      </c>
      <c r="F764" s="77">
        <f>R760</f>
        <v>19.075370675453</v>
      </c>
      <c r="G764" s="89">
        <f>+VLOOKUP(D764,'材料表 '!C:F,4,0)</f>
        <v>0.03</v>
      </c>
      <c r="H764" s="74">
        <f t="shared" si="119"/>
        <v>19.6476317957166</v>
      </c>
      <c r="I764" s="74">
        <f>+VLOOKUP(D764,'材料表 '!C:F,3,0)</f>
        <v>14.1592920353982</v>
      </c>
      <c r="J764" s="51">
        <f t="shared" si="118"/>
        <v>278.196556399526</v>
      </c>
      <c r="K764" s="43">
        <f ca="1">H764*K733</f>
        <v>468.457698999999</v>
      </c>
      <c r="L764" s="92"/>
      <c r="M764" s="44"/>
      <c r="N764" s="82"/>
      <c r="O764" s="44"/>
      <c r="P764" s="44"/>
      <c r="Q764" s="44"/>
      <c r="R764" s="84"/>
      <c r="S764" s="47"/>
      <c r="T764" s="47"/>
    </row>
    <row r="765" s="27" customFormat="1" ht="21" customHeight="1" spans="1:20">
      <c r="A765" s="34"/>
      <c r="B765" s="48">
        <v>19</v>
      </c>
      <c r="C765" s="48"/>
      <c r="D765" s="88" t="s">
        <v>500</v>
      </c>
      <c r="E765" s="72" t="str">
        <f>+VLOOKUP(D765,'材料表 '!C:F,2,0)</f>
        <v>kg</v>
      </c>
      <c r="F765" s="77">
        <f>R740+R741+R742+R743+R744+R745+R746+R747</f>
        <v>3.07176935749588</v>
      </c>
      <c r="G765" s="89">
        <f>+VLOOKUP(D765,'材料表 '!C:F,4,0)</f>
        <v>0.03</v>
      </c>
      <c r="H765" s="74">
        <f t="shared" si="119"/>
        <v>3.16392243822076</v>
      </c>
      <c r="I765" s="74">
        <f>+VLOOKUP(D765,'材料表 '!C:F,3,0)</f>
        <v>14.1592920353982</v>
      </c>
      <c r="J765" s="51">
        <f t="shared" si="118"/>
        <v>44.7989017801168</v>
      </c>
      <c r="K765" s="43">
        <f ca="1">H765*K733</f>
        <v>75.4372761376001</v>
      </c>
      <c r="L765" s="92"/>
      <c r="M765" s="44"/>
      <c r="N765" s="82"/>
      <c r="O765" s="44"/>
      <c r="P765" s="44"/>
      <c r="Q765" s="44"/>
      <c r="R765" s="84"/>
      <c r="S765" s="47"/>
      <c r="T765" s="47"/>
    </row>
    <row r="766" s="27" customFormat="1" ht="48" customHeight="1" spans="1:20">
      <c r="A766" s="34"/>
      <c r="B766" s="48">
        <v>20</v>
      </c>
      <c r="C766" s="48"/>
      <c r="D766" s="88" t="s">
        <v>677</v>
      </c>
      <c r="E766" s="72" t="str">
        <f>+VLOOKUP(D766,'材料表 '!C:F,2,0)</f>
        <v>m2</v>
      </c>
      <c r="F766" s="77">
        <v>1</v>
      </c>
      <c r="G766" s="89">
        <f>+VLOOKUP(D766,'材料表 '!C:F,4,0)</f>
        <v>0.01</v>
      </c>
      <c r="H766" s="74">
        <f t="shared" si="119"/>
        <v>1.01</v>
      </c>
      <c r="I766" s="74">
        <f>+VLOOKUP(D766,'材料表 '!C:F,3,0)</f>
        <v>779.646017699115</v>
      </c>
      <c r="J766" s="51">
        <f t="shared" si="118"/>
        <v>787.442477876106</v>
      </c>
      <c r="K766" s="43">
        <f ca="1">H766*K733</f>
        <v>24.0813896</v>
      </c>
      <c r="L766" s="90"/>
      <c r="M766" s="44"/>
      <c r="N766" s="82"/>
      <c r="O766" s="44"/>
      <c r="P766" s="44"/>
      <c r="Q766" s="44"/>
      <c r="R766" s="84"/>
      <c r="S766" s="47"/>
      <c r="T766" s="47"/>
    </row>
    <row r="767" s="27" customFormat="1" ht="19" customHeight="1" spans="1:20">
      <c r="A767" s="34"/>
      <c r="B767" s="48">
        <v>21</v>
      </c>
      <c r="C767" s="48"/>
      <c r="D767" s="88" t="s">
        <v>713</v>
      </c>
      <c r="E767" s="72" t="str">
        <f>+VLOOKUP(D767,'材料表 '!C:F,2,0)</f>
        <v>m2</v>
      </c>
      <c r="F767" s="77">
        <f>0.647*(O759*P759+O760*P760)/R734</f>
        <v>0.702105562403734</v>
      </c>
      <c r="G767" s="89">
        <f>+VLOOKUP(D767,'材料表 '!C:F,4,0)</f>
        <v>0.01</v>
      </c>
      <c r="H767" s="74">
        <f t="shared" si="119"/>
        <v>0.709126618027771</v>
      </c>
      <c r="I767" s="74">
        <f>+VLOOKUP(D767,'材料表 '!C:F,3,0)</f>
        <v>265.486725663717</v>
      </c>
      <c r="J767" s="51">
        <f t="shared" si="118"/>
        <v>188.263703901178</v>
      </c>
      <c r="K767" s="43">
        <f ca="1">H767*K733</f>
        <v>16.9076775885714</v>
      </c>
      <c r="L767" s="90"/>
      <c r="M767" s="44"/>
      <c r="N767" s="82"/>
      <c r="O767" s="44"/>
      <c r="P767" s="44"/>
      <c r="Q767" s="44"/>
      <c r="R767" s="84"/>
      <c r="S767" s="47"/>
      <c r="T767" s="47"/>
    </row>
    <row r="768" s="27" customFormat="1" ht="18" customHeight="1" spans="1:20">
      <c r="A768" s="34"/>
      <c r="B768" s="48">
        <v>22</v>
      </c>
      <c r="C768" s="48"/>
      <c r="D768" s="88"/>
      <c r="E768" s="72"/>
      <c r="F768" s="77"/>
      <c r="G768" s="89"/>
      <c r="H768" s="74"/>
      <c r="I768" s="74"/>
      <c r="J768" s="51"/>
      <c r="K768" s="43">
        <f ca="1">H768*K733</f>
        <v>0</v>
      </c>
      <c r="L768" s="92"/>
      <c r="M768" s="44"/>
      <c r="N768" s="82"/>
      <c r="O768" s="44"/>
      <c r="P768" s="44"/>
      <c r="Q768" s="44"/>
      <c r="R768" s="84"/>
      <c r="S768" s="47"/>
      <c r="T768" s="47"/>
    </row>
    <row r="769" s="27" customFormat="1" ht="18" customHeight="1" spans="1:21">
      <c r="A769" s="34"/>
      <c r="B769" s="48">
        <v>23</v>
      </c>
      <c r="C769" s="48"/>
      <c r="D769" s="88"/>
      <c r="E769" s="72"/>
      <c r="F769" s="77"/>
      <c r="G769" s="89"/>
      <c r="H769" s="74"/>
      <c r="I769" s="74"/>
      <c r="J769" s="51"/>
      <c r="K769" s="43">
        <f ca="1">H769*K733</f>
        <v>0</v>
      </c>
      <c r="L769" s="92"/>
      <c r="M769" s="44"/>
      <c r="N769" s="44"/>
      <c r="O769" s="44"/>
      <c r="P769" s="44"/>
      <c r="Q769" s="44"/>
      <c r="R769" s="84"/>
      <c r="S769" s="47"/>
      <c r="T769" s="47"/>
    </row>
    <row r="770" s="27" customFormat="1" ht="18" customHeight="1" spans="1:21">
      <c r="A770" s="34"/>
      <c r="B770" s="48">
        <v>24</v>
      </c>
      <c r="C770" s="48"/>
      <c r="D770" s="88"/>
      <c r="E770" s="72"/>
      <c r="F770" s="77"/>
      <c r="G770" s="89"/>
      <c r="H770" s="74"/>
      <c r="I770" s="74"/>
      <c r="J770" s="51"/>
      <c r="K770" s="75">
        <f ca="1">H770*K733</f>
        <v>0</v>
      </c>
      <c r="L770" s="92"/>
      <c r="M770" s="44"/>
      <c r="N770" s="44"/>
      <c r="O770" s="44"/>
      <c r="P770" s="44"/>
      <c r="Q770" s="44"/>
      <c r="R770" s="84"/>
      <c r="S770" s="47"/>
      <c r="T770" s="47"/>
    </row>
    <row r="771" s="27" customFormat="1" ht="18" customHeight="1" spans="1:21">
      <c r="A771" s="34"/>
      <c r="B771" s="48">
        <v>25</v>
      </c>
      <c r="C771" s="48"/>
      <c r="D771" s="88"/>
      <c r="E771" s="72"/>
      <c r="F771" s="77"/>
      <c r="G771" s="89"/>
      <c r="H771" s="74"/>
      <c r="I771" s="74"/>
      <c r="J771" s="51"/>
      <c r="K771" s="75">
        <f ca="1">H771*K733</f>
        <v>0</v>
      </c>
      <c r="L771" s="92"/>
      <c r="M771" s="44"/>
      <c r="N771" s="44"/>
      <c r="O771" s="44"/>
      <c r="P771" s="44"/>
      <c r="Q771" s="44"/>
      <c r="R771" s="84"/>
      <c r="S771" s="47"/>
      <c r="T771" s="47"/>
    </row>
    <row r="772" s="27" customFormat="1" ht="18" customHeight="1" spans="1:21">
      <c r="A772" s="34"/>
      <c r="B772" s="48">
        <v>26</v>
      </c>
      <c r="C772" s="48"/>
      <c r="D772" s="88" t="s">
        <v>441</v>
      </c>
      <c r="E772" s="72" t="s">
        <v>43</v>
      </c>
      <c r="F772" s="77"/>
      <c r="G772" s="72">
        <v>1</v>
      </c>
      <c r="H772" s="74">
        <v>1</v>
      </c>
      <c r="I772" s="74">
        <f>+辅材及安装费!$E$18</f>
        <v>10</v>
      </c>
      <c r="J772" s="51">
        <f>H772*I772</f>
        <v>10</v>
      </c>
      <c r="K772" s="75"/>
      <c r="L772" s="92"/>
      <c r="M772" s="44"/>
      <c r="N772" s="44"/>
      <c r="O772" s="44"/>
      <c r="P772" s="44"/>
      <c r="Q772" s="44"/>
      <c r="R772" s="62"/>
      <c r="S772" s="47"/>
      <c r="T772" s="47"/>
    </row>
    <row r="773" s="27" customFormat="1" ht="18" customHeight="1" spans="1:21">
      <c r="A773" s="34"/>
      <c r="B773" s="48">
        <v>27</v>
      </c>
      <c r="C773" s="48"/>
      <c r="D773" s="93" t="s">
        <v>442</v>
      </c>
      <c r="E773" s="72"/>
      <c r="F773" s="77"/>
      <c r="G773" s="72"/>
      <c r="H773" s="74"/>
      <c r="I773" s="74"/>
      <c r="J773" s="51">
        <f>SUM(J747:J772)</f>
        <v>2175.13691373781</v>
      </c>
      <c r="K773" s="75"/>
      <c r="L773" s="94"/>
      <c r="N773" s="83"/>
      <c r="O773" s="83"/>
      <c r="P773" s="83"/>
      <c r="Q773" s="83"/>
      <c r="R773" s="87"/>
      <c r="S773" s="47"/>
      <c r="T773" s="47"/>
    </row>
    <row r="774" s="27" customFormat="1" ht="18" customHeight="1" spans="1:21">
      <c r="A774" s="34"/>
      <c r="B774" s="48">
        <v>1</v>
      </c>
      <c r="C774" s="48" t="s">
        <v>443</v>
      </c>
      <c r="D774" s="48" t="s">
        <v>444</v>
      </c>
      <c r="E774" s="72" t="s">
        <v>43</v>
      </c>
      <c r="F774" s="50"/>
      <c r="G774" s="48"/>
      <c r="H774" s="51">
        <v>1</v>
      </c>
      <c r="I774" s="74">
        <f>+辅材及安装费!$F$18</f>
        <v>5</v>
      </c>
      <c r="J774" s="95">
        <f>H774*I774</f>
        <v>5</v>
      </c>
      <c r="K774" s="60"/>
      <c r="L774" s="96"/>
      <c r="M774" s="97"/>
      <c r="N774" s="98"/>
      <c r="O774" s="98"/>
      <c r="P774" s="98"/>
      <c r="Q774" s="98"/>
      <c r="R774" s="99"/>
      <c r="S774" s="47"/>
      <c r="T774" s="47"/>
    </row>
    <row r="775" s="26" customFormat="1" ht="30" customHeight="1" spans="1:21">
      <c r="A775" s="28"/>
      <c r="B775" s="29" t="s">
        <v>386</v>
      </c>
      <c r="C775" s="29"/>
      <c r="D775" s="29"/>
      <c r="E775" s="29"/>
      <c r="F775" s="29"/>
      <c r="G775" s="29"/>
      <c r="H775" s="29"/>
      <c r="I775" s="29"/>
      <c r="J775" s="29"/>
      <c r="K775" s="29"/>
      <c r="L775" s="30"/>
      <c r="M775" s="31"/>
      <c r="N775" s="31"/>
      <c r="O775" s="31"/>
      <c r="P775" s="31"/>
      <c r="Q775" s="31"/>
      <c r="R775" s="32"/>
      <c r="S775" s="33"/>
      <c r="T775" s="33"/>
    </row>
    <row r="776" s="27" customFormat="1" ht="33.75" customHeight="1" spans="1:21">
      <c r="A776" s="34">
        <v>19</v>
      </c>
      <c r="B776" s="35" t="s">
        <v>1</v>
      </c>
      <c r="C776" s="35" t="s">
        <v>387</v>
      </c>
      <c r="D776" s="36" t="str">
        <f>+A784</f>
        <v>二层T型钢龙骨玻璃幕墙（8+1.52PVB+8㎜全超白钢化夹层玻璃）（直+弯弧）（直段宽度840㎜+弧长1135㎜，圆弧半径900㎜，高3035㎜）</v>
      </c>
      <c r="E776" s="37"/>
      <c r="F776" s="38" t="s">
        <v>225</v>
      </c>
      <c r="G776" s="39"/>
      <c r="H776" s="35" t="s">
        <v>388</v>
      </c>
      <c r="I776" s="40" t="s">
        <v>389</v>
      </c>
      <c r="J776" s="41" t="s">
        <v>37</v>
      </c>
      <c r="K776" s="42">
        <f ca="1">VLOOKUP(A776,'商业工程量清单 '!$A$4:$D$44,4,FALSE)</f>
        <v>5.994125</v>
      </c>
      <c r="L776" s="43"/>
      <c r="M776" s="44"/>
      <c r="N776" s="44"/>
      <c r="O776" s="44"/>
      <c r="P776" s="45"/>
      <c r="Q776" s="44"/>
      <c r="R776" s="46"/>
      <c r="S776" s="47"/>
      <c r="T776" s="47"/>
    </row>
    <row r="777" s="27" customFormat="1" ht="25" customHeight="1" spans="1:21">
      <c r="A777" s="34"/>
      <c r="B777" s="48">
        <v>1</v>
      </c>
      <c r="C777" s="49" t="s">
        <v>390</v>
      </c>
      <c r="D777" s="48" t="s">
        <v>391</v>
      </c>
      <c r="E777" s="48"/>
      <c r="F777" s="50"/>
      <c r="G777" s="48"/>
      <c r="H777" s="51"/>
      <c r="I777" s="52">
        <f>J789</f>
        <v>256.03548641378</v>
      </c>
      <c r="J777" s="53" t="s">
        <v>392</v>
      </c>
      <c r="K777" s="54"/>
      <c r="L777" s="55" t="s">
        <v>1019</v>
      </c>
      <c r="M777" s="56"/>
      <c r="N777" s="57"/>
      <c r="O777" s="57">
        <f>0.84+1.135</f>
        <v>1.975</v>
      </c>
      <c r="P777" s="57">
        <v>3.035</v>
      </c>
      <c r="Q777" s="57">
        <v>1</v>
      </c>
      <c r="R777" s="58">
        <f>+Q777*P777*O777</f>
        <v>5.994125</v>
      </c>
      <c r="S777" s="47"/>
      <c r="T777" s="47"/>
    </row>
    <row r="778" s="27" customFormat="1" ht="18" customHeight="1" spans="1:21">
      <c r="A778" s="34"/>
      <c r="B778" s="48">
        <v>2</v>
      </c>
      <c r="C778" s="59"/>
      <c r="D778" s="48" t="s">
        <v>394</v>
      </c>
      <c r="E778" s="48"/>
      <c r="F778" s="50"/>
      <c r="G778" s="48"/>
      <c r="H778" s="51"/>
      <c r="I778" s="52">
        <f>J816</f>
        <v>2169.84558658132</v>
      </c>
      <c r="J778" s="53" t="s">
        <v>392</v>
      </c>
      <c r="K778" s="60"/>
      <c r="L778" s="61"/>
      <c r="M778" s="44"/>
      <c r="N778" s="44"/>
      <c r="O778" s="44"/>
      <c r="P778" s="44"/>
      <c r="Q778" s="44"/>
      <c r="R778" s="62"/>
      <c r="S778" s="47"/>
      <c r="T778" s="47"/>
    </row>
    <row r="779" s="27" customFormat="1" ht="18" customHeight="1" spans="1:21">
      <c r="A779" s="34"/>
      <c r="B779" s="48">
        <v>3</v>
      </c>
      <c r="C779" s="63"/>
      <c r="D779" s="48" t="s">
        <v>395</v>
      </c>
      <c r="E779" s="48"/>
      <c r="F779" s="50"/>
      <c r="G779" s="48"/>
      <c r="H779" s="51"/>
      <c r="I779" s="52">
        <f>J817</f>
        <v>5</v>
      </c>
      <c r="J779" s="53" t="s">
        <v>392</v>
      </c>
      <c r="K779" s="60"/>
      <c r="L779" s="60"/>
      <c r="M779" s="64" t="s">
        <v>396</v>
      </c>
      <c r="N779" s="65" t="s">
        <v>397</v>
      </c>
      <c r="O779" s="65" t="s">
        <v>398</v>
      </c>
      <c r="P779" s="65" t="s">
        <v>399</v>
      </c>
      <c r="Q779" s="65" t="s">
        <v>400</v>
      </c>
      <c r="R779" s="66" t="s">
        <v>401</v>
      </c>
      <c r="S779" s="47"/>
      <c r="T779" s="47"/>
    </row>
    <row r="780" s="27" customFormat="1" ht="18" customHeight="1" spans="1:21">
      <c r="A780" s="34"/>
      <c r="B780" s="48">
        <v>4</v>
      </c>
      <c r="C780" s="48" t="s">
        <v>402</v>
      </c>
      <c r="D780" s="67" t="s">
        <v>403</v>
      </c>
      <c r="E780" s="67"/>
      <c r="F780" s="50"/>
      <c r="G780" s="67"/>
      <c r="H780" s="68"/>
      <c r="I780" s="52">
        <f>SUM(I777:I779)</f>
        <v>2430.8810729951</v>
      </c>
      <c r="J780" s="53" t="s">
        <v>392</v>
      </c>
      <c r="K780" s="60"/>
      <c r="L780" s="69" t="s">
        <v>427</v>
      </c>
      <c r="M780" s="70" t="s">
        <v>1007</v>
      </c>
      <c r="N780" s="34"/>
      <c r="O780" s="34">
        <v>0</v>
      </c>
      <c r="P780" s="34">
        <v>1</v>
      </c>
      <c r="Q780" s="44">
        <f t="shared" ref="Q780:Q790" si="122">+P780*O780*N780</f>
        <v>0</v>
      </c>
      <c r="R780" s="71">
        <f>+Q780/R777</f>
        <v>0</v>
      </c>
      <c r="S780" s="47"/>
      <c r="T780" s="47"/>
    </row>
    <row r="781" s="27" customFormat="1" ht="28" customHeight="1" spans="1:21">
      <c r="A781" s="34"/>
      <c r="B781" s="48">
        <v>5</v>
      </c>
      <c r="C781" s="72" t="s">
        <v>406</v>
      </c>
      <c r="D781" s="48" t="s">
        <v>407</v>
      </c>
      <c r="E781" s="48"/>
      <c r="F781" s="50"/>
      <c r="G781" s="48"/>
      <c r="H781" s="73">
        <f>+'材料表 '!$E$178</f>
        <v>0</v>
      </c>
      <c r="I781" s="52">
        <f>H781*I780</f>
        <v>0</v>
      </c>
      <c r="J781" s="53" t="s">
        <v>392</v>
      </c>
      <c r="K781" s="60"/>
      <c r="L781" s="69" t="s">
        <v>433</v>
      </c>
      <c r="M781" s="70" t="s">
        <v>1008</v>
      </c>
      <c r="N781" s="100">
        <f>0.214*2.71</f>
        <v>0.57994</v>
      </c>
      <c r="O781" s="34">
        <f>P777</f>
        <v>3.035</v>
      </c>
      <c r="P781" s="34">
        <f>1*2</f>
        <v>2</v>
      </c>
      <c r="Q781" s="44">
        <f t="shared" si="122"/>
        <v>3.5202358</v>
      </c>
      <c r="R781" s="71">
        <f>+Q781/R777</f>
        <v>0.587281012658228</v>
      </c>
      <c r="S781" s="47"/>
      <c r="T781" s="47"/>
    </row>
    <row r="782" s="27" customFormat="1" ht="18" customHeight="1" spans="1:21">
      <c r="A782" s="34"/>
      <c r="B782" s="48">
        <v>6</v>
      </c>
      <c r="C782" s="48" t="s">
        <v>409</v>
      </c>
      <c r="D782" s="48" t="s">
        <v>410</v>
      </c>
      <c r="E782" s="48"/>
      <c r="F782" s="50"/>
      <c r="G782" s="48"/>
      <c r="H782" s="73">
        <f>+'材料表 '!$E$179</f>
        <v>0</v>
      </c>
      <c r="I782" s="52">
        <f>H782*I780</f>
        <v>0</v>
      </c>
      <c r="J782" s="74" t="s">
        <v>392</v>
      </c>
      <c r="K782" s="75"/>
      <c r="L782" s="69" t="s">
        <v>429</v>
      </c>
      <c r="M782" s="70" t="s">
        <v>1009</v>
      </c>
      <c r="N782" s="100">
        <f>0.142*2.71</f>
        <v>0.38482</v>
      </c>
      <c r="O782" s="100">
        <f>P777/0.3*0.05</f>
        <v>0.505833333333333</v>
      </c>
      <c r="P782" s="34">
        <v>1</v>
      </c>
      <c r="Q782" s="44">
        <f t="shared" si="122"/>
        <v>0.194654783333333</v>
      </c>
      <c r="R782" s="71">
        <f>+Q782/R777</f>
        <v>0.0324742616033755</v>
      </c>
      <c r="S782" s="47"/>
      <c r="T782" s="47"/>
      <c r="U782" s="76"/>
    </row>
    <row r="783" s="27" customFormat="1" ht="18" customHeight="1" spans="1:21">
      <c r="A783" s="34"/>
      <c r="B783" s="48">
        <v>7</v>
      </c>
      <c r="C783" s="48" t="s">
        <v>412</v>
      </c>
      <c r="D783" s="72" t="s">
        <v>413</v>
      </c>
      <c r="E783" s="72"/>
      <c r="F783" s="77"/>
      <c r="G783" s="72"/>
      <c r="H783" s="73">
        <f>+'材料表 '!$E$180</f>
        <v>0.09</v>
      </c>
      <c r="I783" s="52">
        <f>(I780+I781+I782)*H783</f>
        <v>218.779296569559</v>
      </c>
      <c r="J783" s="74" t="s">
        <v>392</v>
      </c>
      <c r="K783" s="75"/>
      <c r="L783" s="69" t="s">
        <v>429</v>
      </c>
      <c r="M783" s="70" t="s">
        <v>1026</v>
      </c>
      <c r="N783" s="34">
        <f>0.5*2.71</f>
        <v>1.355</v>
      </c>
      <c r="O783" s="34">
        <f>O777</f>
        <v>1.975</v>
      </c>
      <c r="P783" s="34">
        <v>1</v>
      </c>
      <c r="Q783" s="44">
        <f t="shared" si="122"/>
        <v>2.676125</v>
      </c>
      <c r="R783" s="71">
        <f>+Q783/R777</f>
        <v>0.446457990115321</v>
      </c>
      <c r="S783" s="47"/>
      <c r="T783" s="47"/>
    </row>
    <row r="784" s="27" customFormat="1" ht="18" customHeight="1" spans="1:21">
      <c r="A784" s="78" t="s">
        <v>252</v>
      </c>
      <c r="B784" s="48">
        <v>8</v>
      </c>
      <c r="C784" s="48" t="s">
        <v>363</v>
      </c>
      <c r="D784" s="72" t="s">
        <v>415</v>
      </c>
      <c r="E784" s="72"/>
      <c r="F784" s="77"/>
      <c r="G784" s="72"/>
      <c r="H784" s="51"/>
      <c r="I784" s="74">
        <f>SUM(I780:I783)</f>
        <v>2649.66036956466</v>
      </c>
      <c r="J784" s="74" t="s">
        <v>416</v>
      </c>
      <c r="K784" s="75"/>
      <c r="L784" s="69" t="s">
        <v>429</v>
      </c>
      <c r="M784" s="70" t="s">
        <v>1027</v>
      </c>
      <c r="N784" s="101">
        <f>0.247*2.71</f>
        <v>0.66937</v>
      </c>
      <c r="O784" s="34">
        <f>O783</f>
        <v>1.975</v>
      </c>
      <c r="P784" s="34">
        <v>1</v>
      </c>
      <c r="Q784" s="44">
        <f t="shared" si="122"/>
        <v>1.32200575</v>
      </c>
      <c r="R784" s="71">
        <f>+Q784/R777</f>
        <v>0.220550247116969</v>
      </c>
      <c r="S784" s="79"/>
      <c r="T784" s="47"/>
    </row>
    <row r="785" s="27" customFormat="1" ht="18" customHeight="1" spans="1:21">
      <c r="A785" s="34"/>
      <c r="B785" s="48" t="s">
        <v>418</v>
      </c>
      <c r="C785" s="48"/>
      <c r="D785" s="48"/>
      <c r="E785" s="48"/>
      <c r="F785" s="48"/>
      <c r="G785" s="48"/>
      <c r="H785" s="48"/>
      <c r="I785" s="48"/>
      <c r="J785" s="48"/>
      <c r="K785" s="80"/>
      <c r="L785" s="69" t="s">
        <v>447</v>
      </c>
      <c r="M785" s="70" t="s">
        <v>1028</v>
      </c>
      <c r="N785" s="101">
        <f>0.166*2.71</f>
        <v>0.44986</v>
      </c>
      <c r="O785" s="34">
        <f>O783</f>
        <v>1.975</v>
      </c>
      <c r="P785" s="34">
        <v>1</v>
      </c>
      <c r="Q785" s="44">
        <f t="shared" si="122"/>
        <v>0.8884735</v>
      </c>
      <c r="R785" s="71">
        <f>+Q785/R777</f>
        <v>0.148224052718287</v>
      </c>
      <c r="S785" s="47">
        <f>0.094</f>
        <v>0.094</v>
      </c>
      <c r="T785" s="47">
        <f t="shared" ref="T785:T789" si="123">O785*P785*S785</f>
        <v>0.18565</v>
      </c>
      <c r="U785" s="76">
        <f>T785/R777</f>
        <v>0.0309719934102142</v>
      </c>
    </row>
    <row r="786" s="27" customFormat="1" ht="18" customHeight="1" spans="1:21">
      <c r="A786" s="34"/>
      <c r="B786" s="48">
        <v>1</v>
      </c>
      <c r="C786" s="48" t="s">
        <v>391</v>
      </c>
      <c r="D786" s="48" t="s">
        <v>396</v>
      </c>
      <c r="E786" s="48" t="s">
        <v>37</v>
      </c>
      <c r="F786" s="50"/>
      <c r="G786" s="48"/>
      <c r="H786" s="51" t="s">
        <v>399</v>
      </c>
      <c r="I786" s="51" t="s">
        <v>420</v>
      </c>
      <c r="J786" s="51" t="s">
        <v>421</v>
      </c>
      <c r="K786" s="43"/>
      <c r="L786" s="69" t="s">
        <v>404</v>
      </c>
      <c r="M786" s="81" t="s">
        <v>1029</v>
      </c>
      <c r="N786" s="82">
        <v>3.727</v>
      </c>
      <c r="O786" s="34">
        <f>O777</f>
        <v>1.975</v>
      </c>
      <c r="P786" s="34">
        <v>1</v>
      </c>
      <c r="Q786" s="44">
        <f t="shared" si="122"/>
        <v>7.360825</v>
      </c>
      <c r="R786" s="71">
        <f>+Q786/R777</f>
        <v>1.22800658978583</v>
      </c>
      <c r="S786" s="47"/>
      <c r="T786" s="47"/>
    </row>
    <row r="787" s="27" customFormat="1" ht="18" customHeight="1" spans="1:21">
      <c r="A787" s="34"/>
      <c r="B787" s="48">
        <v>2</v>
      </c>
      <c r="C787" s="48"/>
      <c r="D787" s="48" t="s">
        <v>966</v>
      </c>
      <c r="E787" s="72" t="s">
        <v>423</v>
      </c>
      <c r="F787" s="50"/>
      <c r="G787" s="48"/>
      <c r="H787" s="51">
        <v>1</v>
      </c>
      <c r="I787" s="51">
        <f>+辅材及安装费!$G$18+F810*135</f>
        <v>256.03548641378</v>
      </c>
      <c r="J787" s="51">
        <f t="shared" ref="J787:J810" si="124">H787*I787</f>
        <v>256.03548641378</v>
      </c>
      <c r="K787" s="43"/>
      <c r="L787" s="69" t="s">
        <v>429</v>
      </c>
      <c r="M787" s="70" t="s">
        <v>1030</v>
      </c>
      <c r="N787" s="34">
        <v>0.604</v>
      </c>
      <c r="O787" s="34">
        <f>O777</f>
        <v>1.975</v>
      </c>
      <c r="P787" s="34">
        <v>1</v>
      </c>
      <c r="Q787" s="44">
        <f t="shared" si="122"/>
        <v>1.1929</v>
      </c>
      <c r="R787" s="84">
        <f>+Q787/R777</f>
        <v>0.199011532125206</v>
      </c>
      <c r="S787" s="47"/>
      <c r="T787" s="47"/>
    </row>
    <row r="788" s="27" customFormat="1" ht="18" customHeight="1" spans="1:21">
      <c r="A788" s="34"/>
      <c r="B788" s="48">
        <v>3</v>
      </c>
      <c r="C788" s="48"/>
      <c r="D788" s="48"/>
      <c r="E788" s="72"/>
      <c r="F788" s="50"/>
      <c r="G788" s="48"/>
      <c r="H788" s="51"/>
      <c r="I788" s="51"/>
      <c r="J788" s="51"/>
      <c r="K788" s="43"/>
      <c r="L788" s="69" t="s">
        <v>447</v>
      </c>
      <c r="M788" s="70" t="s">
        <v>1028</v>
      </c>
      <c r="N788" s="82">
        <f>0.668*2.71+0.022*2.71</f>
        <v>1.8699</v>
      </c>
      <c r="O788" s="82">
        <f>O786</f>
        <v>1.975</v>
      </c>
      <c r="P788" s="34">
        <v>1</v>
      </c>
      <c r="Q788" s="44">
        <f t="shared" si="122"/>
        <v>3.6930525</v>
      </c>
      <c r="R788" s="84">
        <f>+Q788/R777</f>
        <v>0.616112026359143</v>
      </c>
      <c r="S788" s="47">
        <v>0.31</v>
      </c>
      <c r="T788" s="47">
        <f t="shared" si="123"/>
        <v>0.61225</v>
      </c>
      <c r="U788" s="76">
        <f>T788/R777</f>
        <v>0.102141680395387</v>
      </c>
    </row>
    <row r="789" s="27" customFormat="1" ht="18" customHeight="1" spans="1:21">
      <c r="A789" s="34"/>
      <c r="B789" s="48">
        <v>4</v>
      </c>
      <c r="C789" s="48"/>
      <c r="D789" s="85" t="s">
        <v>426</v>
      </c>
      <c r="E789" s="48" t="s">
        <v>392</v>
      </c>
      <c r="F789" s="50"/>
      <c r="G789" s="48"/>
      <c r="H789" s="86"/>
      <c r="I789" s="86"/>
      <c r="J789" s="51">
        <f>SUM(J787:J787)</f>
        <v>256.03548641378</v>
      </c>
      <c r="K789" s="75"/>
      <c r="L789" s="69" t="s">
        <v>447</v>
      </c>
      <c r="M789" s="70" t="s">
        <v>1031</v>
      </c>
      <c r="N789" s="101">
        <f>0.074*2.71</f>
        <v>0.20054</v>
      </c>
      <c r="O789" s="34">
        <f>O785</f>
        <v>1.975</v>
      </c>
      <c r="P789" s="34">
        <v>1</v>
      </c>
      <c r="Q789" s="44">
        <f t="shared" si="122"/>
        <v>0.3960665</v>
      </c>
      <c r="R789" s="84">
        <f>+Q789/R777</f>
        <v>0.0660757825370675</v>
      </c>
      <c r="S789" s="47">
        <f>0.048</f>
        <v>0.048</v>
      </c>
      <c r="T789" s="47">
        <f t="shared" si="123"/>
        <v>0.0948</v>
      </c>
      <c r="U789" s="76">
        <f>T789/R777</f>
        <v>0.0158154859967051</v>
      </c>
    </row>
    <row r="790" s="27" customFormat="1" ht="23" customHeight="1" spans="1:21">
      <c r="A790" s="34"/>
      <c r="B790" s="48">
        <v>1</v>
      </c>
      <c r="C790" s="48" t="s">
        <v>394</v>
      </c>
      <c r="D790" s="88" t="s">
        <v>427</v>
      </c>
      <c r="E790" s="72" t="str">
        <f>+VLOOKUP(D790,'材料表 '!C:F,2,0)</f>
        <v>kg</v>
      </c>
      <c r="F790" s="77">
        <f>+SUMIF($L$777:$L$817,D790,$R$777:$R$817)</f>
        <v>0</v>
      </c>
      <c r="G790" s="89">
        <f>+VLOOKUP(D790,'材料表 '!C:F,4,0)</f>
        <v>0.03</v>
      </c>
      <c r="H790" s="74">
        <f t="shared" ref="H790:H810" si="125">F790*(G790+1)</f>
        <v>0</v>
      </c>
      <c r="I790" s="74">
        <f>+VLOOKUP(D790,'材料表 '!C:F,3,0)</f>
        <v>25.8495575221239</v>
      </c>
      <c r="J790" s="51">
        <f t="shared" si="124"/>
        <v>0</v>
      </c>
      <c r="K790" s="75">
        <f ca="1">H790*K776</f>
        <v>0</v>
      </c>
      <c r="L790" s="69" t="s">
        <v>433</v>
      </c>
      <c r="M790" s="70" t="s">
        <v>1031</v>
      </c>
      <c r="N790" s="101">
        <f>0.055*2.71</f>
        <v>0.14905</v>
      </c>
      <c r="O790" s="34">
        <f>O786</f>
        <v>1.975</v>
      </c>
      <c r="P790" s="34">
        <v>3</v>
      </c>
      <c r="Q790" s="44">
        <f t="shared" si="122"/>
        <v>0.88312125</v>
      </c>
      <c r="R790" s="84">
        <f>+Q790/R777</f>
        <v>0.147331136738056</v>
      </c>
      <c r="S790" s="47"/>
      <c r="T790" s="47"/>
    </row>
    <row r="791" s="27" customFormat="1" ht="18" customHeight="1" spans="1:21">
      <c r="A791" s="34"/>
      <c r="B791" s="48">
        <v>2</v>
      </c>
      <c r="C791" s="48"/>
      <c r="D791" s="88" t="s">
        <v>404</v>
      </c>
      <c r="E791" s="72" t="str">
        <f>+VLOOKUP(D791,'材料表 '!C:F,2,0)</f>
        <v>kg</v>
      </c>
      <c r="F791" s="77">
        <f t="shared" ref="F791:F804" si="126">+SUMIF($L$777:$L$817,D791,$R$777:$R$817)</f>
        <v>1.22800658978583</v>
      </c>
      <c r="G791" s="89">
        <f>+VLOOKUP(D791,'材料表 '!C:F,4,0)</f>
        <v>0.03</v>
      </c>
      <c r="H791" s="74">
        <f t="shared" si="125"/>
        <v>1.2648467874794</v>
      </c>
      <c r="I791" s="74">
        <f>+VLOOKUP(D791,'材料表 '!C:F,3,0)</f>
        <v>25.6725663716814</v>
      </c>
      <c r="J791" s="51">
        <f t="shared" si="124"/>
        <v>32.471863101573</v>
      </c>
      <c r="K791" s="75">
        <f ca="1">H791*K776</f>
        <v>7.58164974999996</v>
      </c>
      <c r="L791" s="69"/>
      <c r="M791" s="70"/>
      <c r="N791" s="83"/>
      <c r="O791" s="83"/>
      <c r="P791" s="83"/>
      <c r="Q791" s="83"/>
      <c r="R791" s="87"/>
      <c r="S791" s="47"/>
      <c r="T791" s="47"/>
    </row>
    <row r="792" s="27" customFormat="1" ht="18" customHeight="1" spans="1:21">
      <c r="A792" s="34"/>
      <c r="B792" s="48">
        <v>3</v>
      </c>
      <c r="C792" s="48"/>
      <c r="D792" s="88" t="s">
        <v>433</v>
      </c>
      <c r="E792" s="72" t="str">
        <f>+VLOOKUP(D792,'材料表 '!C:F,2,0)</f>
        <v>kg</v>
      </c>
      <c r="F792" s="77">
        <f t="shared" si="126"/>
        <v>0.734612149396284</v>
      </c>
      <c r="G792" s="89">
        <f>+VLOOKUP(D792,'材料表 '!C:F,4,0)</f>
        <v>0.03</v>
      </c>
      <c r="H792" s="74">
        <f t="shared" si="125"/>
        <v>0.756650513878173</v>
      </c>
      <c r="I792" s="74">
        <f>+VLOOKUP(D792,'材料表 '!C:F,3,0)</f>
        <v>26.1150442477876</v>
      </c>
      <c r="J792" s="51">
        <f t="shared" si="124"/>
        <v>19.7599616500397</v>
      </c>
      <c r="K792" s="75">
        <f ca="1">H792*K776</f>
        <v>4.5354577615</v>
      </c>
      <c r="L792" s="69"/>
      <c r="N792" s="83"/>
      <c r="O792" s="83"/>
      <c r="P792" s="83"/>
      <c r="Q792" s="83"/>
      <c r="R792" s="87"/>
      <c r="S792" s="47"/>
      <c r="T792" s="47"/>
    </row>
    <row r="793" s="27" customFormat="1" ht="18" customHeight="1" spans="1:21">
      <c r="A793" s="34"/>
      <c r="B793" s="48">
        <v>4</v>
      </c>
      <c r="C793" s="48"/>
      <c r="D793" s="88" t="s">
        <v>429</v>
      </c>
      <c r="E793" s="72" t="str">
        <f>+VLOOKUP(D793,'材料表 '!C:F,2,0)</f>
        <v>kg</v>
      </c>
      <c r="F793" s="77">
        <f t="shared" si="126"/>
        <v>0.898494030960871</v>
      </c>
      <c r="G793" s="89">
        <f>+VLOOKUP(D793,'材料表 '!C:F,4,0)</f>
        <v>0.03</v>
      </c>
      <c r="H793" s="74">
        <f t="shared" si="125"/>
        <v>0.925448851889697</v>
      </c>
      <c r="I793" s="74">
        <f>+VLOOKUP(D793,'材料表 '!C:F,3,0)</f>
        <v>26.1150442477876</v>
      </c>
      <c r="J793" s="51">
        <f t="shared" si="124"/>
        <v>24.1681377161637</v>
      </c>
      <c r="K793" s="75">
        <f ca="1">H793*K776</f>
        <v>5.54725609933333</v>
      </c>
      <c r="L793" s="90" t="s">
        <v>707</v>
      </c>
      <c r="M793" s="44"/>
      <c r="N793" s="82"/>
      <c r="O793" s="44">
        <f>O783*P783+O786*P786</f>
        <v>3.95</v>
      </c>
      <c r="P793" s="44">
        <v>1</v>
      </c>
      <c r="Q793" s="44">
        <f>+P793*O793</f>
        <v>3.95</v>
      </c>
      <c r="R793" s="84">
        <f>+Q793/R777</f>
        <v>0.658978583196046</v>
      </c>
      <c r="S793" s="47"/>
      <c r="T793" s="47"/>
    </row>
    <row r="794" s="27" customFormat="1" ht="18" customHeight="1" spans="1:21">
      <c r="A794" s="34"/>
      <c r="B794" s="48">
        <v>5</v>
      </c>
      <c r="C794" s="48"/>
      <c r="D794" s="88" t="s">
        <v>447</v>
      </c>
      <c r="E794" s="72" t="str">
        <f>+VLOOKUP(D794,'材料表 '!C:F,2,0)</f>
        <v>kg</v>
      </c>
      <c r="F794" s="77">
        <f t="shared" si="126"/>
        <v>0.830411861614498</v>
      </c>
      <c r="G794" s="89">
        <f>+VLOOKUP(D794,'材料表 '!C:F,4,0)</f>
        <v>0.03</v>
      </c>
      <c r="H794" s="74">
        <f t="shared" si="125"/>
        <v>0.855324217462933</v>
      </c>
      <c r="I794" s="74">
        <f>+VLOOKUP(D794,'材料表 '!C:F,3,0)</f>
        <v>24.4336283185841</v>
      </c>
      <c r="J794" s="51">
        <f t="shared" si="124"/>
        <v>20.8986740213731</v>
      </c>
      <c r="K794" s="43">
        <f ca="1">H794*K776</f>
        <v>5.126920275</v>
      </c>
      <c r="L794" s="90" t="s">
        <v>435</v>
      </c>
      <c r="M794" s="44"/>
      <c r="N794" s="82">
        <f>0.073*1.2</f>
        <v>0.0876</v>
      </c>
      <c r="O794" s="44">
        <f>O777*2*3+P777*7</f>
        <v>33.095</v>
      </c>
      <c r="P794" s="44">
        <v>1</v>
      </c>
      <c r="Q794" s="44">
        <f>+P794*O794</f>
        <v>33.095</v>
      </c>
      <c r="R794" s="84">
        <f>+Q794/R777</f>
        <v>5.52123954705649</v>
      </c>
      <c r="S794" s="47"/>
      <c r="T794" s="47"/>
    </row>
    <row r="795" s="27" customFormat="1" ht="18" customHeight="1" spans="1:21">
      <c r="A795" s="34"/>
      <c r="B795" s="48">
        <v>6</v>
      </c>
      <c r="C795" s="48"/>
      <c r="D795" s="88" t="s">
        <v>434</v>
      </c>
      <c r="E795" s="72" t="str">
        <f>+VLOOKUP(D795,'材料表 '!C:F,2,0)</f>
        <v>m2</v>
      </c>
      <c r="F795" s="77">
        <f>U785+U788+U789</f>
        <v>0.148929159802306</v>
      </c>
      <c r="G795" s="89">
        <f>+VLOOKUP(D795,'材料表 '!C:F,4,0)</f>
        <v>0</v>
      </c>
      <c r="H795" s="74">
        <f t="shared" si="125"/>
        <v>0.148929159802306</v>
      </c>
      <c r="I795" s="74">
        <f>+VLOOKUP(D795,'材料表 '!C:F,3,0)</f>
        <v>49.5575221238938</v>
      </c>
      <c r="J795" s="51">
        <f t="shared" si="124"/>
        <v>7.38056013179569</v>
      </c>
      <c r="K795" s="43">
        <f ca="1">H795*K776</f>
        <v>0.892699999999997</v>
      </c>
      <c r="L795" s="90" t="s">
        <v>463</v>
      </c>
      <c r="M795" s="91" t="s">
        <v>1032</v>
      </c>
      <c r="N795" s="82">
        <f>0.2*0.3*10*7.85</f>
        <v>4.71</v>
      </c>
      <c r="O795" s="44">
        <v>2</v>
      </c>
      <c r="P795" s="44">
        <f>P802</f>
        <v>1</v>
      </c>
      <c r="Q795" s="44">
        <f t="shared" ref="Q795:Q800" si="127">+P795*O795*N795</f>
        <v>9.42</v>
      </c>
      <c r="R795" s="84">
        <f>+Q795/R777</f>
        <v>1.57153879840677</v>
      </c>
      <c r="S795" s="47"/>
      <c r="T795" s="47"/>
    </row>
    <row r="796" s="27" customFormat="1" ht="18" customHeight="1" spans="1:21">
      <c r="A796" s="34"/>
      <c r="B796" s="48">
        <v>7</v>
      </c>
      <c r="C796" s="48"/>
      <c r="D796" s="88" t="s">
        <v>707</v>
      </c>
      <c r="E796" s="72" t="str">
        <f>+VLOOKUP(D796,'材料表 '!C:F,2,0)</f>
        <v>m2</v>
      </c>
      <c r="F796" s="77">
        <f t="shared" si="126"/>
        <v>0.658978583196046</v>
      </c>
      <c r="G796" s="89">
        <f>+VLOOKUP(D796,'材料表 '!C:F,4,0)</f>
        <v>0</v>
      </c>
      <c r="H796" s="74">
        <f t="shared" si="125"/>
        <v>0.658978583196046</v>
      </c>
      <c r="I796" s="74">
        <f>+VLOOKUP(D796,'材料表 '!C:F,3,0)</f>
        <v>8.8495575221239</v>
      </c>
      <c r="J796" s="51">
        <f t="shared" si="124"/>
        <v>5.83166887784112</v>
      </c>
      <c r="K796" s="43">
        <f ca="1">H796*K776</f>
        <v>3.95</v>
      </c>
      <c r="L796" s="90"/>
      <c r="M796" s="91"/>
      <c r="N796" s="82"/>
      <c r="O796" s="44"/>
      <c r="P796" s="44"/>
      <c r="Q796" s="44"/>
      <c r="R796" s="84"/>
      <c r="S796" s="47"/>
      <c r="T796" s="47"/>
    </row>
    <row r="797" s="27" customFormat="1" ht="18" customHeight="1" spans="1:21">
      <c r="A797" s="34"/>
      <c r="B797" s="48">
        <v>8</v>
      </c>
      <c r="C797" s="48"/>
      <c r="D797" s="88" t="s">
        <v>710</v>
      </c>
      <c r="E797" s="72" t="str">
        <f>+VLOOKUP(D797,'材料表 '!C:F,2,0)</f>
        <v>kg</v>
      </c>
      <c r="F797" s="77">
        <f t="shared" si="126"/>
        <v>50.3976122453235</v>
      </c>
      <c r="G797" s="89">
        <f>+VLOOKUP(D797,'材料表 '!C:F,4,0)</f>
        <v>0.03</v>
      </c>
      <c r="H797" s="74">
        <f t="shared" si="125"/>
        <v>51.9095406126832</v>
      </c>
      <c r="I797" s="74">
        <f>+VLOOKUP(D797,'材料表 '!C:F,3,0)</f>
        <v>8.8495575221239</v>
      </c>
      <c r="J797" s="51">
        <f t="shared" si="124"/>
        <v>459.376465598967</v>
      </c>
      <c r="K797" s="43">
        <f ca="1">H797*K776</f>
        <v>311.152275125</v>
      </c>
      <c r="L797" s="69" t="s">
        <v>465</v>
      </c>
      <c r="M797" s="81" t="s">
        <v>1013</v>
      </c>
      <c r="N797" s="34">
        <v>9.88</v>
      </c>
      <c r="O797" s="34">
        <f>0.13</f>
        <v>0.13</v>
      </c>
      <c r="P797" s="34">
        <f>2*P795</f>
        <v>2</v>
      </c>
      <c r="Q797" s="44">
        <f t="shared" si="127"/>
        <v>2.5688</v>
      </c>
      <c r="R797" s="84">
        <f>Q797/R777</f>
        <v>0.428552958104811</v>
      </c>
      <c r="S797" s="47"/>
      <c r="T797" s="47"/>
    </row>
    <row r="798" s="27" customFormat="1" ht="18" customHeight="1" spans="1:21">
      <c r="A798" s="34"/>
      <c r="B798" s="48">
        <v>9</v>
      </c>
      <c r="C798" s="48"/>
      <c r="D798" s="88" t="s">
        <v>431</v>
      </c>
      <c r="E798" s="72" t="str">
        <f>+VLOOKUP(D798,'材料表 '!C:F,2,0)</f>
        <v>kg</v>
      </c>
      <c r="F798" s="77">
        <f t="shared" si="126"/>
        <v>0</v>
      </c>
      <c r="G798" s="89">
        <f>+VLOOKUP(D798,'材料表 '!C:F,4,0)</f>
        <v>0.03</v>
      </c>
      <c r="H798" s="74">
        <f t="shared" si="125"/>
        <v>0</v>
      </c>
      <c r="I798" s="74">
        <f>+VLOOKUP(D798,'材料表 '!C:F,3,0)</f>
        <v>3.80530973451327</v>
      </c>
      <c r="J798" s="51">
        <f t="shared" si="124"/>
        <v>0</v>
      </c>
      <c r="K798" s="43">
        <f ca="1">H798*K776</f>
        <v>0</v>
      </c>
      <c r="L798" s="90" t="s">
        <v>474</v>
      </c>
      <c r="M798" s="44"/>
      <c r="N798" s="82"/>
      <c r="O798" s="44">
        <v>4</v>
      </c>
      <c r="P798" s="44">
        <f>O795*P795</f>
        <v>2</v>
      </c>
      <c r="Q798" s="44">
        <f>O798*P798</f>
        <v>8</v>
      </c>
      <c r="R798" s="84">
        <f>Q798/R777</f>
        <v>1.33464016849832</v>
      </c>
      <c r="S798" s="47"/>
      <c r="T798" s="47"/>
    </row>
    <row r="799" s="27" customFormat="1" ht="18" customHeight="1" spans="1:21">
      <c r="A799" s="34"/>
      <c r="B799" s="48">
        <v>10</v>
      </c>
      <c r="C799" s="48"/>
      <c r="D799" s="88" t="s">
        <v>461</v>
      </c>
      <c r="E799" s="72" t="str">
        <f>+VLOOKUP(D799,'材料表 '!C:F,2,0)</f>
        <v>kg</v>
      </c>
      <c r="F799" s="77">
        <f t="shared" si="126"/>
        <v>0</v>
      </c>
      <c r="G799" s="89">
        <f>+VLOOKUP(D799,'材料表 '!C:F,4,0)</f>
        <v>0.03</v>
      </c>
      <c r="H799" s="74">
        <f t="shared" si="125"/>
        <v>0</v>
      </c>
      <c r="I799" s="74">
        <f>+VLOOKUP(D799,'材料表 '!C:F,3,0)</f>
        <v>3.53982300884956</v>
      </c>
      <c r="J799" s="51">
        <f t="shared" si="124"/>
        <v>0</v>
      </c>
      <c r="K799" s="43">
        <f ca="1">H799*K776</f>
        <v>0</v>
      </c>
      <c r="L799" s="90" t="s">
        <v>472</v>
      </c>
      <c r="M799" s="91"/>
      <c r="N799" s="82"/>
      <c r="O799" s="44">
        <v>2</v>
      </c>
      <c r="P799" s="44">
        <f>P795</f>
        <v>1</v>
      </c>
      <c r="Q799" s="44">
        <f>O799*P799</f>
        <v>2</v>
      </c>
      <c r="R799" s="84">
        <f>Q799/R777</f>
        <v>0.33366004212458</v>
      </c>
      <c r="S799" s="47"/>
      <c r="T799" s="47"/>
    </row>
    <row r="800" s="27" customFormat="1" ht="18" customHeight="1" spans="1:21">
      <c r="A800" s="34"/>
      <c r="B800" s="48">
        <v>11</v>
      </c>
      <c r="C800" s="48"/>
      <c r="D800" s="88" t="s">
        <v>435</v>
      </c>
      <c r="E800" s="72" t="str">
        <f>+VLOOKUP(D800,'材料表 '!C:F,2,0)</f>
        <v>kg</v>
      </c>
      <c r="F800" s="77">
        <f t="shared" si="126"/>
        <v>5.52123954705649</v>
      </c>
      <c r="G800" s="89">
        <f>+VLOOKUP(D800,'材料表 '!C:F,4,0)</f>
        <v>0.03</v>
      </c>
      <c r="H800" s="74">
        <f t="shared" si="125"/>
        <v>5.68687673346819</v>
      </c>
      <c r="I800" s="74">
        <f>+VLOOKUP(D800,'材料表 '!C:F,3,0)</f>
        <v>19.4690265486726</v>
      </c>
      <c r="J800" s="51">
        <f t="shared" si="124"/>
        <v>110.717954102921</v>
      </c>
      <c r="K800" s="43">
        <f ca="1">H800*K776</f>
        <v>34.08785</v>
      </c>
      <c r="L800" s="69" t="s">
        <v>465</v>
      </c>
      <c r="M800" s="91"/>
      <c r="N800" s="82">
        <f>(0.058+0.04*2)*5*7.85</f>
        <v>5.4165</v>
      </c>
      <c r="O800" s="44">
        <f>O777</f>
        <v>1.975</v>
      </c>
      <c r="P800" s="44">
        <v>0</v>
      </c>
      <c r="Q800" s="44">
        <f t="shared" si="127"/>
        <v>0</v>
      </c>
      <c r="R800" s="84">
        <f>+Q800/R777</f>
        <v>0</v>
      </c>
      <c r="S800" s="47"/>
      <c r="T800" s="47"/>
    </row>
    <row r="801" s="27" customFormat="1" ht="18" customHeight="1" spans="1:20">
      <c r="A801" s="34"/>
      <c r="B801" s="48">
        <v>12</v>
      </c>
      <c r="C801" s="48"/>
      <c r="D801" s="88" t="s">
        <v>463</v>
      </c>
      <c r="E801" s="72" t="str">
        <f>+VLOOKUP(D801,'材料表 '!C:F,2,0)</f>
        <v>kg</v>
      </c>
      <c r="F801" s="77">
        <f t="shared" si="126"/>
        <v>1.57153879840677</v>
      </c>
      <c r="G801" s="89">
        <f>+VLOOKUP(D801,'材料表 '!C:F,4,0)</f>
        <v>0.03</v>
      </c>
      <c r="H801" s="74">
        <f t="shared" si="125"/>
        <v>1.61868496235897</v>
      </c>
      <c r="I801" s="74">
        <f>+VLOOKUP(D801,'材料表 '!C:F,3,0)</f>
        <v>6.01769911504425</v>
      </c>
      <c r="J801" s="51">
        <f t="shared" si="124"/>
        <v>9.74075906552303</v>
      </c>
      <c r="K801" s="43">
        <f ca="1">H801*K776</f>
        <v>9.70259999999996</v>
      </c>
      <c r="L801" s="69" t="s">
        <v>461</v>
      </c>
      <c r="N801" s="83"/>
      <c r="O801" s="83"/>
      <c r="P801" s="83"/>
      <c r="Q801" s="83"/>
      <c r="R801" s="84"/>
      <c r="S801" s="47"/>
      <c r="T801" s="47"/>
    </row>
    <row r="802" s="27" customFormat="1" ht="18" customHeight="1" spans="1:20">
      <c r="A802" s="34"/>
      <c r="B802" s="48">
        <v>13</v>
      </c>
      <c r="C802" s="48"/>
      <c r="D802" s="88" t="s">
        <v>465</v>
      </c>
      <c r="E802" s="72" t="str">
        <f>+VLOOKUP(D802,'材料表 '!C:F,2,0)</f>
        <v>kg</v>
      </c>
      <c r="F802" s="77">
        <f t="shared" si="126"/>
        <v>0.428552958104811</v>
      </c>
      <c r="G802" s="89">
        <f>+VLOOKUP(D802,'材料表 '!C:F,4,0)</f>
        <v>0.03</v>
      </c>
      <c r="H802" s="74">
        <f t="shared" si="125"/>
        <v>0.441409546847955</v>
      </c>
      <c r="I802" s="74">
        <f>+VLOOKUP(D802,'材料表 '!C:F,3,0)</f>
        <v>6.01769911504425</v>
      </c>
      <c r="J802" s="51">
        <f t="shared" si="124"/>
        <v>2.65626983943902</v>
      </c>
      <c r="K802" s="43">
        <f ca="1">H802*K776</f>
        <v>2.645864</v>
      </c>
      <c r="L802" s="90" t="s">
        <v>1033</v>
      </c>
      <c r="M802" s="44"/>
      <c r="N802" s="82">
        <f>(0.225+0.07)*1*25*7.85</f>
        <v>57.89375</v>
      </c>
      <c r="O802" s="44">
        <f>3.243</f>
        <v>3.243</v>
      </c>
      <c r="P802" s="44">
        <v>1</v>
      </c>
      <c r="Q802" s="44">
        <f>+P802*O802*N802</f>
        <v>187.74943125</v>
      </c>
      <c r="R802" s="84">
        <f>+Q802/R777</f>
        <v>31.3222415698705</v>
      </c>
      <c r="S802" s="47"/>
      <c r="T802" s="47"/>
    </row>
    <row r="803" s="27" customFormat="1" ht="18" customHeight="1" spans="1:20">
      <c r="A803" s="34"/>
      <c r="B803" s="48">
        <v>14</v>
      </c>
      <c r="C803" s="48"/>
      <c r="D803" s="88" t="s">
        <v>474</v>
      </c>
      <c r="E803" s="72" t="str">
        <f>+VLOOKUP(D803,'材料表 '!C:F,2,0)</f>
        <v>套</v>
      </c>
      <c r="F803" s="77">
        <f t="shared" si="126"/>
        <v>1.33464016849832</v>
      </c>
      <c r="G803" s="89">
        <f>+VLOOKUP(D803,'材料表 '!C:F,4,0)</f>
        <v>0</v>
      </c>
      <c r="H803" s="74">
        <f t="shared" si="125"/>
        <v>1.33464016849832</v>
      </c>
      <c r="I803" s="74">
        <f>+VLOOKUP(D803,'材料表 '!C:F,3,0)</f>
        <v>2.21238938053097</v>
      </c>
      <c r="J803" s="51">
        <f t="shared" si="124"/>
        <v>2.95274373561575</v>
      </c>
      <c r="K803" s="43">
        <f ca="1">H803*K776</f>
        <v>7.99999999999999</v>
      </c>
      <c r="L803" s="90" t="s">
        <v>1033</v>
      </c>
      <c r="M803" s="44"/>
      <c r="N803" s="82">
        <f>(0.225+0.07)*1*25*7.85</f>
        <v>57.89375</v>
      </c>
      <c r="O803" s="44">
        <f>O777</f>
        <v>1.975</v>
      </c>
      <c r="P803" s="44">
        <v>1</v>
      </c>
      <c r="Q803" s="44">
        <f>+P803*O803*N803</f>
        <v>114.34015625</v>
      </c>
      <c r="R803" s="84">
        <f>+Q803/R777</f>
        <v>19.075370675453</v>
      </c>
      <c r="S803" s="47"/>
      <c r="T803" s="47"/>
    </row>
    <row r="804" s="27" customFormat="1" ht="18" customHeight="1" spans="1:20">
      <c r="A804" s="34"/>
      <c r="B804" s="48">
        <v>15</v>
      </c>
      <c r="C804" s="48"/>
      <c r="D804" s="88" t="s">
        <v>472</v>
      </c>
      <c r="E804" s="72" t="str">
        <f>+VLOOKUP(D804,'材料表 '!C:F,2,0)</f>
        <v>套</v>
      </c>
      <c r="F804" s="77">
        <f t="shared" si="126"/>
        <v>0.33366004212458</v>
      </c>
      <c r="G804" s="89">
        <f>+VLOOKUP(D804,'材料表 '!C:F,4,0)</f>
        <v>0</v>
      </c>
      <c r="H804" s="74">
        <f t="shared" si="125"/>
        <v>0.33366004212458</v>
      </c>
      <c r="I804" s="74">
        <f>+VLOOKUP(D804,'材料表 '!C:F,3,0)</f>
        <v>2.47787610619469</v>
      </c>
      <c r="J804" s="51">
        <f t="shared" si="124"/>
        <v>0.826768245972411</v>
      </c>
      <c r="K804" s="43">
        <f ca="1">H804*K776</f>
        <v>2</v>
      </c>
      <c r="L804" s="90"/>
      <c r="M804" s="44"/>
      <c r="N804" s="82"/>
      <c r="O804" s="44"/>
      <c r="P804" s="44"/>
      <c r="Q804" s="44"/>
      <c r="R804" s="84"/>
      <c r="S804" s="47"/>
      <c r="T804" s="47"/>
    </row>
    <row r="805" s="27" customFormat="1" ht="18" customHeight="1" spans="1:20">
      <c r="A805" s="34"/>
      <c r="B805" s="48">
        <v>16</v>
      </c>
      <c r="C805" s="48"/>
      <c r="D805" s="88" t="s">
        <v>476</v>
      </c>
      <c r="E805" s="72" t="str">
        <f>+VLOOKUP(D805,'材料表 '!C:F,2,0)</f>
        <v>支</v>
      </c>
      <c r="F805" s="77">
        <f>8*8*(O777*4)*2/500/R777+16*8*(O781*P802)/500/R777</f>
        <v>0.467017287760933</v>
      </c>
      <c r="G805" s="89">
        <f>+VLOOKUP(D805,'材料表 '!C:F,4,0)</f>
        <v>0.15</v>
      </c>
      <c r="H805" s="74">
        <f t="shared" si="125"/>
        <v>0.537069880925073</v>
      </c>
      <c r="I805" s="74">
        <f>+VLOOKUP(D805,'材料表 '!C:F,3,0)</f>
        <v>11.5044247787611</v>
      </c>
      <c r="J805" s="51">
        <f t="shared" si="124"/>
        <v>6.17868004604068</v>
      </c>
      <c r="K805" s="43">
        <f ca="1">H805*K776</f>
        <v>3.219264</v>
      </c>
      <c r="L805" s="92"/>
      <c r="M805" s="44"/>
      <c r="N805" s="82"/>
      <c r="O805" s="44"/>
      <c r="P805" s="44"/>
      <c r="Q805" s="44"/>
      <c r="R805" s="84"/>
      <c r="S805" s="47"/>
      <c r="T805" s="47"/>
    </row>
    <row r="806" s="27" customFormat="1" ht="18" customHeight="1" spans="1:20">
      <c r="A806" s="34"/>
      <c r="B806" s="48">
        <v>17</v>
      </c>
      <c r="C806" s="48"/>
      <c r="D806" s="88" t="s">
        <v>576</v>
      </c>
      <c r="E806" s="72" t="str">
        <f>+VLOOKUP(D806,'材料表 '!C:F,2,0)</f>
        <v>支</v>
      </c>
      <c r="F806" s="77">
        <f>18*10*(O781*P781)/500/R777</f>
        <v>0.364556962025317</v>
      </c>
      <c r="G806" s="89">
        <f>+VLOOKUP(D806,'材料表 '!C:F,4,0)</f>
        <v>0.15</v>
      </c>
      <c r="H806" s="74">
        <f t="shared" si="125"/>
        <v>0.419240506329115</v>
      </c>
      <c r="I806" s="74">
        <f>+VLOOKUP(D806,'材料表 '!C:F,3,0)</f>
        <v>14.1592920353982</v>
      </c>
      <c r="J806" s="51">
        <f t="shared" si="124"/>
        <v>5.93614876218214</v>
      </c>
      <c r="K806" s="43">
        <f ca="1">H806*K776</f>
        <v>2.51298000000001</v>
      </c>
      <c r="L806" s="92"/>
      <c r="M806" s="44"/>
      <c r="N806" s="82"/>
      <c r="O806" s="44"/>
      <c r="P806" s="44"/>
      <c r="Q806" s="44"/>
      <c r="R806" s="84"/>
      <c r="S806" s="47"/>
      <c r="T806" s="47"/>
    </row>
    <row r="807" s="27" customFormat="1" ht="18" customHeight="1" spans="1:20">
      <c r="A807" s="34"/>
      <c r="B807" s="48">
        <v>18</v>
      </c>
      <c r="C807" s="48"/>
      <c r="D807" s="88" t="s">
        <v>479</v>
      </c>
      <c r="E807" s="72" t="str">
        <f>+VLOOKUP(D807,'材料表 '!C:F,2,0)</f>
        <v>kg</v>
      </c>
      <c r="F807" s="77">
        <f>R803</f>
        <v>19.075370675453</v>
      </c>
      <c r="G807" s="89">
        <f>+VLOOKUP(D807,'材料表 '!C:F,4,0)</f>
        <v>0.03</v>
      </c>
      <c r="H807" s="74">
        <f t="shared" si="125"/>
        <v>19.6476317957166</v>
      </c>
      <c r="I807" s="74">
        <f>+VLOOKUP(D807,'材料表 '!C:F,3,0)</f>
        <v>14.1592920353982</v>
      </c>
      <c r="J807" s="51">
        <f t="shared" si="124"/>
        <v>278.196556399526</v>
      </c>
      <c r="K807" s="43">
        <f ca="1">H807*K776</f>
        <v>117.7703609375</v>
      </c>
      <c r="L807" s="92"/>
      <c r="M807" s="44"/>
      <c r="N807" s="82"/>
      <c r="O807" s="44"/>
      <c r="P807" s="44"/>
      <c r="Q807" s="44"/>
      <c r="R807" s="84"/>
      <c r="S807" s="47"/>
      <c r="T807" s="47"/>
    </row>
    <row r="808" s="27" customFormat="1" ht="21" customHeight="1" spans="1:20">
      <c r="A808" s="34"/>
      <c r="B808" s="48">
        <v>19</v>
      </c>
      <c r="C808" s="48"/>
      <c r="D808" s="88" t="s">
        <v>500</v>
      </c>
      <c r="E808" s="72" t="str">
        <f>+VLOOKUP(D808,'材料表 '!C:F,2,0)</f>
        <v>kg</v>
      </c>
      <c r="F808" s="77">
        <f>R783+R784+R785+R786+R787+R788+R789+R790</f>
        <v>3.07176935749588</v>
      </c>
      <c r="G808" s="89">
        <f>+VLOOKUP(D808,'材料表 '!C:F,4,0)</f>
        <v>0.03</v>
      </c>
      <c r="H808" s="74">
        <f t="shared" si="125"/>
        <v>3.16392243822076</v>
      </c>
      <c r="I808" s="74">
        <f>+VLOOKUP(D808,'材料表 '!C:F,3,0)</f>
        <v>14.1592920353982</v>
      </c>
      <c r="J808" s="51">
        <f t="shared" si="124"/>
        <v>44.7989017801168</v>
      </c>
      <c r="K808" s="43">
        <f ca="1">H808*K776</f>
        <v>18.964946585</v>
      </c>
      <c r="L808" s="92"/>
      <c r="M808" s="44"/>
      <c r="N808" s="82"/>
      <c r="O808" s="44"/>
      <c r="P808" s="44"/>
      <c r="Q808" s="44"/>
      <c r="R808" s="84"/>
      <c r="S808" s="47"/>
      <c r="T808" s="47"/>
    </row>
    <row r="809" s="27" customFormat="1" ht="48" customHeight="1" spans="1:20">
      <c r="A809" s="34"/>
      <c r="B809" s="48">
        <v>20</v>
      </c>
      <c r="C809" s="48"/>
      <c r="D809" s="88" t="s">
        <v>688</v>
      </c>
      <c r="E809" s="72" t="str">
        <f>+VLOOKUP(D809,'材料表 '!C:F,2,0)</f>
        <v>m2</v>
      </c>
      <c r="F809" s="77">
        <v>1</v>
      </c>
      <c r="G809" s="89">
        <f>+VLOOKUP(D809,'材料表 '!C:F,4,0)</f>
        <v>0.01</v>
      </c>
      <c r="H809" s="74">
        <f t="shared" si="125"/>
        <v>1.01</v>
      </c>
      <c r="I809" s="74">
        <f>+VLOOKUP(D809,'材料表 '!C:F,3,0)</f>
        <v>967.256637168142</v>
      </c>
      <c r="J809" s="51">
        <f t="shared" si="124"/>
        <v>976.929203539823</v>
      </c>
      <c r="K809" s="43">
        <f ca="1">H809*K776</f>
        <v>6.05406625</v>
      </c>
      <c r="L809" s="90"/>
      <c r="M809" s="44"/>
      <c r="N809" s="82"/>
      <c r="O809" s="44"/>
      <c r="P809" s="44"/>
      <c r="Q809" s="44"/>
      <c r="R809" s="84"/>
      <c r="S809" s="47"/>
      <c r="T809" s="47"/>
    </row>
    <row r="810" s="27" customFormat="1" ht="19" customHeight="1" spans="1:20">
      <c r="A810" s="34"/>
      <c r="B810" s="48">
        <v>21</v>
      </c>
      <c r="C810" s="48"/>
      <c r="D810" s="88" t="s">
        <v>713</v>
      </c>
      <c r="E810" s="72" t="str">
        <f>+VLOOKUP(D810,'材料表 '!C:F,2,0)</f>
        <v>m2</v>
      </c>
      <c r="F810" s="77">
        <f>0.647*(O802*P802+O803*P803)/R777</f>
        <v>0.56322582528726</v>
      </c>
      <c r="G810" s="89">
        <f>+VLOOKUP(D810,'材料表 '!C:F,4,0)</f>
        <v>0.01</v>
      </c>
      <c r="H810" s="74">
        <f t="shared" si="125"/>
        <v>0.568858083540133</v>
      </c>
      <c r="I810" s="74">
        <f>+VLOOKUP(D810,'材料表 '!C:F,3,0)</f>
        <v>265.486725663717</v>
      </c>
      <c r="J810" s="51">
        <f t="shared" si="124"/>
        <v>151.024269966407</v>
      </c>
      <c r="K810" s="43">
        <f ca="1">H810*K776</f>
        <v>3.40980646</v>
      </c>
      <c r="L810" s="90"/>
      <c r="M810" s="44"/>
      <c r="N810" s="82"/>
      <c r="O810" s="44"/>
      <c r="P810" s="44"/>
      <c r="Q810" s="44"/>
      <c r="R810" s="84"/>
      <c r="S810" s="47"/>
      <c r="T810" s="47"/>
    </row>
    <row r="811" s="27" customFormat="1" ht="18" customHeight="1" spans="1:20">
      <c r="A811" s="34"/>
      <c r="B811" s="48">
        <v>22</v>
      </c>
      <c r="C811" s="48"/>
      <c r="D811" s="88"/>
      <c r="E811" s="72"/>
      <c r="F811" s="77"/>
      <c r="G811" s="89"/>
      <c r="H811" s="74"/>
      <c r="I811" s="74"/>
      <c r="J811" s="51"/>
      <c r="K811" s="43">
        <f ca="1">H811*K776</f>
        <v>0</v>
      </c>
      <c r="L811" s="92"/>
      <c r="M811" s="44"/>
      <c r="N811" s="82"/>
      <c r="O811" s="44"/>
      <c r="P811" s="44"/>
      <c r="Q811" s="44"/>
      <c r="R811" s="84"/>
      <c r="S811" s="47"/>
      <c r="T811" s="47"/>
    </row>
    <row r="812" s="27" customFormat="1" ht="18" customHeight="1" spans="1:20">
      <c r="A812" s="34"/>
      <c r="B812" s="48">
        <v>23</v>
      </c>
      <c r="C812" s="48"/>
      <c r="D812" s="88"/>
      <c r="E812" s="72"/>
      <c r="F812" s="77"/>
      <c r="G812" s="89"/>
      <c r="H812" s="74"/>
      <c r="I812" s="74"/>
      <c r="J812" s="51"/>
      <c r="K812" s="43">
        <f ca="1">H812*K776</f>
        <v>0</v>
      </c>
      <c r="L812" s="92"/>
      <c r="M812" s="44"/>
      <c r="N812" s="44"/>
      <c r="O812" s="44"/>
      <c r="P812" s="44"/>
      <c r="Q812" s="44"/>
      <c r="R812" s="84"/>
      <c r="S812" s="47"/>
      <c r="T812" s="47"/>
    </row>
    <row r="813" s="27" customFormat="1" ht="18" customHeight="1" spans="1:20">
      <c r="A813" s="34"/>
      <c r="B813" s="48">
        <v>24</v>
      </c>
      <c r="C813" s="48"/>
      <c r="D813" s="88"/>
      <c r="E813" s="72"/>
      <c r="F813" s="77"/>
      <c r="G813" s="89"/>
      <c r="H813" s="74"/>
      <c r="I813" s="74"/>
      <c r="J813" s="51"/>
      <c r="K813" s="75">
        <f ca="1">H813*K776</f>
        <v>0</v>
      </c>
      <c r="L813" s="92"/>
      <c r="M813" s="44"/>
      <c r="N813" s="44"/>
      <c r="O813" s="44"/>
      <c r="P813" s="44"/>
      <c r="Q813" s="44"/>
      <c r="R813" s="84"/>
      <c r="S813" s="47"/>
      <c r="T813" s="47"/>
    </row>
    <row r="814" s="27" customFormat="1" ht="18" customHeight="1" spans="1:20">
      <c r="A814" s="34"/>
      <c r="B814" s="48">
        <v>25</v>
      </c>
      <c r="C814" s="48"/>
      <c r="D814" s="88"/>
      <c r="E814" s="72"/>
      <c r="F814" s="77"/>
      <c r="G814" s="89"/>
      <c r="H814" s="74"/>
      <c r="I814" s="74"/>
      <c r="J814" s="51"/>
      <c r="K814" s="75">
        <f ca="1">H814*K776</f>
        <v>0</v>
      </c>
      <c r="L814" s="92"/>
      <c r="M814" s="44"/>
      <c r="N814" s="44"/>
      <c r="O814" s="44"/>
      <c r="P814" s="44"/>
      <c r="Q814" s="44"/>
      <c r="R814" s="84"/>
      <c r="S814" s="47"/>
      <c r="T814" s="47"/>
    </row>
    <row r="815" s="27" customFormat="1" ht="18" customHeight="1" spans="1:20">
      <c r="A815" s="34"/>
      <c r="B815" s="48">
        <v>26</v>
      </c>
      <c r="C815" s="48"/>
      <c r="D815" s="88" t="s">
        <v>441</v>
      </c>
      <c r="E815" s="72" t="s">
        <v>43</v>
      </c>
      <c r="F815" s="77"/>
      <c r="G815" s="72">
        <v>1</v>
      </c>
      <c r="H815" s="74">
        <v>1</v>
      </c>
      <c r="I815" s="74">
        <f>+辅材及安装费!$E$18</f>
        <v>10</v>
      </c>
      <c r="J815" s="51">
        <f>H815*I815</f>
        <v>10</v>
      </c>
      <c r="K815" s="75"/>
      <c r="L815" s="92"/>
      <c r="M815" s="44"/>
      <c r="N815" s="44"/>
      <c r="O815" s="44"/>
      <c r="P815" s="44"/>
      <c r="Q815" s="44"/>
      <c r="R815" s="62"/>
      <c r="S815" s="47"/>
      <c r="T815" s="47"/>
    </row>
    <row r="816" s="27" customFormat="1" ht="18" customHeight="1" spans="1:20">
      <c r="A816" s="34"/>
      <c r="B816" s="48">
        <v>27</v>
      </c>
      <c r="C816" s="48"/>
      <c r="D816" s="93" t="s">
        <v>442</v>
      </c>
      <c r="E816" s="72"/>
      <c r="F816" s="77"/>
      <c r="G816" s="72"/>
      <c r="H816" s="74"/>
      <c r="I816" s="74"/>
      <c r="J816" s="51">
        <f>SUM(J790:J815)</f>
        <v>2169.84558658132</v>
      </c>
      <c r="K816" s="75"/>
      <c r="L816" s="94"/>
      <c r="N816" s="83"/>
      <c r="O816" s="83"/>
      <c r="P816" s="83"/>
      <c r="Q816" s="83"/>
      <c r="R816" s="87"/>
      <c r="S816" s="47"/>
      <c r="T816" s="47"/>
    </row>
    <row r="817" s="27" customFormat="1" ht="18" customHeight="1" spans="1:21">
      <c r="A817" s="34"/>
      <c r="B817" s="48">
        <v>1</v>
      </c>
      <c r="C817" s="48" t="s">
        <v>443</v>
      </c>
      <c r="D817" s="48" t="s">
        <v>444</v>
      </c>
      <c r="E817" s="72" t="s">
        <v>43</v>
      </c>
      <c r="F817" s="50"/>
      <c r="G817" s="48"/>
      <c r="H817" s="51">
        <v>1</v>
      </c>
      <c r="I817" s="74">
        <f>+辅材及安装费!$F$18</f>
        <v>5</v>
      </c>
      <c r="J817" s="95">
        <f>H817*I817</f>
        <v>5</v>
      </c>
      <c r="K817" s="60"/>
      <c r="L817" s="96"/>
      <c r="M817" s="97"/>
      <c r="N817" s="98"/>
      <c r="O817" s="98"/>
      <c r="P817" s="98"/>
      <c r="Q817" s="98"/>
      <c r="R817" s="99"/>
      <c r="S817" s="47"/>
      <c r="T817" s="47"/>
    </row>
    <row r="818" s="26" customFormat="1" ht="30" customHeight="1" spans="1:21">
      <c r="A818" s="28"/>
      <c r="B818" s="29" t="s">
        <v>386</v>
      </c>
      <c r="C818" s="29"/>
      <c r="D818" s="29"/>
      <c r="E818" s="29"/>
      <c r="F818" s="29"/>
      <c r="G818" s="29"/>
      <c r="H818" s="29"/>
      <c r="I818" s="29"/>
      <c r="J818" s="29"/>
      <c r="K818" s="29"/>
      <c r="L818" s="30"/>
      <c r="M818" s="31"/>
      <c r="N818" s="31"/>
      <c r="O818" s="31"/>
      <c r="P818" s="31"/>
      <c r="Q818" s="31"/>
      <c r="R818" s="32"/>
      <c r="S818" s="33"/>
      <c r="T818" s="33"/>
    </row>
    <row r="819" s="27" customFormat="1" ht="37" customHeight="1" spans="1:21">
      <c r="A819" s="34">
        <v>20</v>
      </c>
      <c r="B819" s="35" t="s">
        <v>1</v>
      </c>
      <c r="C819" s="35" t="s">
        <v>387</v>
      </c>
      <c r="D819" s="36" t="str">
        <f>+A827</f>
        <v>二层T型钢龙骨玻璃幕墙（8+1.52PVB+8㎜全超白钢化夹层玻璃）（直+弯弧+直）（直段宽度840㎜+弧长1681㎜+直段宽度400㎜，圆弧半径900㎜，高3035㎜）</v>
      </c>
      <c r="E819" s="37"/>
      <c r="F819" s="38" t="s">
        <v>225</v>
      </c>
      <c r="G819" s="39"/>
      <c r="H819" s="35" t="s">
        <v>388</v>
      </c>
      <c r="I819" s="40" t="s">
        <v>389</v>
      </c>
      <c r="J819" s="41" t="s">
        <v>37</v>
      </c>
      <c r="K819" s="42">
        <f ca="1">VLOOKUP(A819,'商业工程量清单 '!$A$4:$D$44,4,FALSE)</f>
        <v>8.865235</v>
      </c>
      <c r="L819" s="43"/>
      <c r="M819" s="44"/>
      <c r="N819" s="44"/>
      <c r="O819" s="44"/>
      <c r="P819" s="45"/>
      <c r="Q819" s="44"/>
      <c r="R819" s="46"/>
      <c r="S819" s="47"/>
      <c r="T819" s="47"/>
    </row>
    <row r="820" s="27" customFormat="1" ht="25" customHeight="1" spans="1:21">
      <c r="A820" s="34"/>
      <c r="B820" s="48">
        <v>1</v>
      </c>
      <c r="C820" s="49" t="s">
        <v>390</v>
      </c>
      <c r="D820" s="48" t="s">
        <v>391</v>
      </c>
      <c r="E820" s="48"/>
      <c r="F820" s="50"/>
      <c r="G820" s="48"/>
      <c r="H820" s="51"/>
      <c r="I820" s="52">
        <f>J832</f>
        <v>240.730999234651</v>
      </c>
      <c r="J820" s="53" t="s">
        <v>392</v>
      </c>
      <c r="K820" s="54"/>
      <c r="L820" s="55" t="s">
        <v>1019</v>
      </c>
      <c r="M820" s="56"/>
      <c r="N820" s="57"/>
      <c r="O820" s="57">
        <f>0.84+1.681+0.4</f>
        <v>2.921</v>
      </c>
      <c r="P820" s="57">
        <v>3.035</v>
      </c>
      <c r="Q820" s="57">
        <v>1</v>
      </c>
      <c r="R820" s="58">
        <f>+Q820*P820*O820</f>
        <v>8.865235</v>
      </c>
      <c r="S820" s="47"/>
      <c r="T820" s="47"/>
    </row>
    <row r="821" s="27" customFormat="1" ht="18" customHeight="1" spans="1:21">
      <c r="A821" s="34"/>
      <c r="B821" s="48">
        <v>2</v>
      </c>
      <c r="C821" s="59"/>
      <c r="D821" s="48" t="s">
        <v>394</v>
      </c>
      <c r="E821" s="48"/>
      <c r="F821" s="50"/>
      <c r="G821" s="48"/>
      <c r="H821" s="51"/>
      <c r="I821" s="52">
        <f>J859</f>
        <v>1832.08854330149</v>
      </c>
      <c r="J821" s="53" t="s">
        <v>392</v>
      </c>
      <c r="K821" s="60"/>
      <c r="L821" s="61"/>
      <c r="M821" s="44"/>
      <c r="N821" s="44"/>
      <c r="O821" s="44"/>
      <c r="P821" s="44"/>
      <c r="Q821" s="44"/>
      <c r="R821" s="62"/>
      <c r="S821" s="47"/>
      <c r="T821" s="47"/>
    </row>
    <row r="822" s="27" customFormat="1" ht="18" customHeight="1" spans="1:21">
      <c r="A822" s="34"/>
      <c r="B822" s="48">
        <v>3</v>
      </c>
      <c r="C822" s="63"/>
      <c r="D822" s="48" t="s">
        <v>395</v>
      </c>
      <c r="E822" s="48"/>
      <c r="F822" s="50"/>
      <c r="G822" s="48"/>
      <c r="H822" s="51"/>
      <c r="I822" s="52">
        <f>J860</f>
        <v>5</v>
      </c>
      <c r="J822" s="53" t="s">
        <v>392</v>
      </c>
      <c r="K822" s="60"/>
      <c r="L822" s="60"/>
      <c r="M822" s="64" t="s">
        <v>396</v>
      </c>
      <c r="N822" s="65" t="s">
        <v>397</v>
      </c>
      <c r="O822" s="65" t="s">
        <v>398</v>
      </c>
      <c r="P822" s="65" t="s">
        <v>399</v>
      </c>
      <c r="Q822" s="65" t="s">
        <v>400</v>
      </c>
      <c r="R822" s="66" t="s">
        <v>401</v>
      </c>
      <c r="S822" s="47"/>
      <c r="T822" s="47"/>
    </row>
    <row r="823" s="27" customFormat="1" ht="18" customHeight="1" spans="1:21">
      <c r="A823" s="34"/>
      <c r="B823" s="48">
        <v>4</v>
      </c>
      <c r="C823" s="48" t="s">
        <v>402</v>
      </c>
      <c r="D823" s="67" t="s">
        <v>403</v>
      </c>
      <c r="E823" s="67"/>
      <c r="F823" s="50"/>
      <c r="G823" s="67"/>
      <c r="H823" s="68"/>
      <c r="I823" s="52">
        <f>SUM(I820:I822)</f>
        <v>2077.81954253614</v>
      </c>
      <c r="J823" s="53" t="s">
        <v>392</v>
      </c>
      <c r="K823" s="60"/>
      <c r="L823" s="69" t="s">
        <v>427</v>
      </c>
      <c r="M823" s="70" t="s">
        <v>1007</v>
      </c>
      <c r="N823" s="34"/>
      <c r="O823" s="34">
        <v>0</v>
      </c>
      <c r="P823" s="34">
        <v>1</v>
      </c>
      <c r="Q823" s="44">
        <f t="shared" ref="Q823:Q833" si="128">+P823*O823*N823</f>
        <v>0</v>
      </c>
      <c r="R823" s="71">
        <f>+Q823/R820</f>
        <v>0</v>
      </c>
      <c r="S823" s="47"/>
      <c r="T823" s="47"/>
    </row>
    <row r="824" s="27" customFormat="1" ht="28" customHeight="1" spans="1:21">
      <c r="A824" s="34"/>
      <c r="B824" s="48">
        <v>5</v>
      </c>
      <c r="C824" s="72" t="s">
        <v>406</v>
      </c>
      <c r="D824" s="48" t="s">
        <v>407</v>
      </c>
      <c r="E824" s="48"/>
      <c r="F824" s="50"/>
      <c r="G824" s="48"/>
      <c r="H824" s="73">
        <f>+'材料表 '!$E$178</f>
        <v>0</v>
      </c>
      <c r="I824" s="52">
        <f>H824*I823</f>
        <v>0</v>
      </c>
      <c r="J824" s="53" t="s">
        <v>392</v>
      </c>
      <c r="K824" s="60"/>
      <c r="L824" s="69" t="s">
        <v>433</v>
      </c>
      <c r="M824" s="70" t="s">
        <v>1008</v>
      </c>
      <c r="N824" s="100">
        <f>0.214*2.71</f>
        <v>0.57994</v>
      </c>
      <c r="O824" s="34">
        <f>P820</f>
        <v>3.035</v>
      </c>
      <c r="P824" s="34">
        <f>1*2</f>
        <v>2</v>
      </c>
      <c r="Q824" s="44">
        <f t="shared" si="128"/>
        <v>3.5202358</v>
      </c>
      <c r="R824" s="71">
        <f>+Q824/R820</f>
        <v>0.39708319068812</v>
      </c>
      <c r="S824" s="47"/>
      <c r="T824" s="47"/>
    </row>
    <row r="825" s="27" customFormat="1" ht="18" customHeight="1" spans="1:21">
      <c r="A825" s="34"/>
      <c r="B825" s="48">
        <v>6</v>
      </c>
      <c r="C825" s="48" t="s">
        <v>409</v>
      </c>
      <c r="D825" s="48" t="s">
        <v>410</v>
      </c>
      <c r="E825" s="48"/>
      <c r="F825" s="50"/>
      <c r="G825" s="48"/>
      <c r="H825" s="73">
        <f>+'材料表 '!$E$179</f>
        <v>0</v>
      </c>
      <c r="I825" s="52">
        <f>H825*I823</f>
        <v>0</v>
      </c>
      <c r="J825" s="74" t="s">
        <v>392</v>
      </c>
      <c r="K825" s="75"/>
      <c r="L825" s="69" t="s">
        <v>429</v>
      </c>
      <c r="M825" s="70" t="s">
        <v>1009</v>
      </c>
      <c r="N825" s="100">
        <f>0.142*2.71</f>
        <v>0.38482</v>
      </c>
      <c r="O825" s="100">
        <f>P820/0.3*0.05</f>
        <v>0.505833333333333</v>
      </c>
      <c r="P825" s="34">
        <v>1</v>
      </c>
      <c r="Q825" s="44">
        <f t="shared" si="128"/>
        <v>0.194654783333333</v>
      </c>
      <c r="R825" s="71">
        <f>+Q825/R820</f>
        <v>0.0219570923199817</v>
      </c>
      <c r="S825" s="47"/>
      <c r="T825" s="47"/>
      <c r="U825" s="76"/>
    </row>
    <row r="826" s="27" customFormat="1" ht="18" customHeight="1" spans="1:21">
      <c r="A826" s="34"/>
      <c r="B826" s="48">
        <v>7</v>
      </c>
      <c r="C826" s="48" t="s">
        <v>412</v>
      </c>
      <c r="D826" s="72" t="s">
        <v>413</v>
      </c>
      <c r="E826" s="72"/>
      <c r="F826" s="77"/>
      <c r="G826" s="72"/>
      <c r="H826" s="73">
        <f>+'材料表 '!$E$180</f>
        <v>0.09</v>
      </c>
      <c r="I826" s="52">
        <f>(I823+I824+I825)*H826</f>
        <v>187.003758828252</v>
      </c>
      <c r="J826" s="74" t="s">
        <v>392</v>
      </c>
      <c r="K826" s="75"/>
      <c r="L826" s="69" t="s">
        <v>429</v>
      </c>
      <c r="M826" s="70" t="s">
        <v>1026</v>
      </c>
      <c r="N826" s="34">
        <f>0.5*2.71</f>
        <v>1.355</v>
      </c>
      <c r="O826" s="34">
        <f>O820</f>
        <v>2.921</v>
      </c>
      <c r="P826" s="34">
        <v>1</v>
      </c>
      <c r="Q826" s="44">
        <f t="shared" si="128"/>
        <v>3.957955</v>
      </c>
      <c r="R826" s="71">
        <f>+Q826/R820</f>
        <v>0.446457990115321</v>
      </c>
      <c r="S826" s="47"/>
      <c r="T826" s="47"/>
    </row>
    <row r="827" s="27" customFormat="1" ht="18" customHeight="1" spans="1:21">
      <c r="A827" s="78" t="s">
        <v>253</v>
      </c>
      <c r="B827" s="48">
        <v>8</v>
      </c>
      <c r="C827" s="48" t="s">
        <v>363</v>
      </c>
      <c r="D827" s="72" t="s">
        <v>415</v>
      </c>
      <c r="E827" s="72"/>
      <c r="F827" s="77"/>
      <c r="G827" s="72"/>
      <c r="H827" s="51"/>
      <c r="I827" s="74">
        <f>SUM(I823:I826)</f>
        <v>2264.82330136439</v>
      </c>
      <c r="J827" s="74" t="s">
        <v>416</v>
      </c>
      <c r="K827" s="75"/>
      <c r="L827" s="69" t="s">
        <v>429</v>
      </c>
      <c r="M827" s="70" t="s">
        <v>1027</v>
      </c>
      <c r="N827" s="101">
        <f>0.247*2.71</f>
        <v>0.66937</v>
      </c>
      <c r="O827" s="34">
        <f>O826</f>
        <v>2.921</v>
      </c>
      <c r="P827" s="34">
        <v>1</v>
      </c>
      <c r="Q827" s="44">
        <f t="shared" si="128"/>
        <v>1.95522977</v>
      </c>
      <c r="R827" s="71">
        <f>+Q827/R820</f>
        <v>0.220550247116969</v>
      </c>
      <c r="S827" s="79"/>
      <c r="T827" s="47"/>
    </row>
    <row r="828" s="27" customFormat="1" ht="18" customHeight="1" spans="1:21">
      <c r="A828" s="34"/>
      <c r="B828" s="48" t="s">
        <v>418</v>
      </c>
      <c r="C828" s="48"/>
      <c r="D828" s="48"/>
      <c r="E828" s="48"/>
      <c r="F828" s="48"/>
      <c r="G828" s="48"/>
      <c r="H828" s="48"/>
      <c r="I828" s="48"/>
      <c r="J828" s="48"/>
      <c r="K828" s="80"/>
      <c r="L828" s="69" t="s">
        <v>447</v>
      </c>
      <c r="M828" s="70" t="s">
        <v>1028</v>
      </c>
      <c r="N828" s="101">
        <f>0.166*2.71</f>
        <v>0.44986</v>
      </c>
      <c r="O828" s="34">
        <f>O826</f>
        <v>2.921</v>
      </c>
      <c r="P828" s="34">
        <v>1</v>
      </c>
      <c r="Q828" s="44">
        <f t="shared" si="128"/>
        <v>1.31404106</v>
      </c>
      <c r="R828" s="71">
        <f>+Q828/R820</f>
        <v>0.148224052718287</v>
      </c>
      <c r="S828" s="47">
        <f>0.094</f>
        <v>0.094</v>
      </c>
      <c r="T828" s="47">
        <f t="shared" ref="T828:T832" si="129">O828*P828*S828</f>
        <v>0.274574</v>
      </c>
      <c r="U828" s="76">
        <f>T828/R820</f>
        <v>0.0309719934102142</v>
      </c>
    </row>
    <row r="829" s="27" customFormat="1" ht="18" customHeight="1" spans="1:21">
      <c r="A829" s="34"/>
      <c r="B829" s="48">
        <v>1</v>
      </c>
      <c r="C829" s="48" t="s">
        <v>391</v>
      </c>
      <c r="D829" s="48" t="s">
        <v>396</v>
      </c>
      <c r="E829" s="48" t="s">
        <v>37</v>
      </c>
      <c r="F829" s="50"/>
      <c r="G829" s="48"/>
      <c r="H829" s="51" t="s">
        <v>399</v>
      </c>
      <c r="I829" s="51" t="s">
        <v>420</v>
      </c>
      <c r="J829" s="51" t="s">
        <v>421</v>
      </c>
      <c r="K829" s="43"/>
      <c r="L829" s="69" t="s">
        <v>404</v>
      </c>
      <c r="M829" s="81" t="s">
        <v>1029</v>
      </c>
      <c r="N829" s="82">
        <v>3.727</v>
      </c>
      <c r="O829" s="34">
        <f>O820</f>
        <v>2.921</v>
      </c>
      <c r="P829" s="34">
        <v>1</v>
      </c>
      <c r="Q829" s="44">
        <f t="shared" si="128"/>
        <v>10.886567</v>
      </c>
      <c r="R829" s="71">
        <f>+Q829/R820</f>
        <v>1.22800658978583</v>
      </c>
      <c r="S829" s="47"/>
      <c r="T829" s="47"/>
    </row>
    <row r="830" s="27" customFormat="1" ht="18" customHeight="1" spans="1:21">
      <c r="A830" s="34"/>
      <c r="B830" s="48">
        <v>2</v>
      </c>
      <c r="C830" s="48"/>
      <c r="D830" s="48" t="s">
        <v>966</v>
      </c>
      <c r="E830" s="72" t="s">
        <v>423</v>
      </c>
      <c r="F830" s="50"/>
      <c r="G830" s="48"/>
      <c r="H830" s="51">
        <v>1</v>
      </c>
      <c r="I830" s="51">
        <f>+辅材及安装费!$G$18+F853*135</f>
        <v>240.730999234651</v>
      </c>
      <c r="J830" s="51">
        <f t="shared" ref="J830:J853" si="130">H830*I830</f>
        <v>240.730999234651</v>
      </c>
      <c r="K830" s="43"/>
      <c r="L830" s="69" t="s">
        <v>429</v>
      </c>
      <c r="M830" s="70" t="s">
        <v>1030</v>
      </c>
      <c r="N830" s="34">
        <v>0.604</v>
      </c>
      <c r="O830" s="34">
        <f>O820</f>
        <v>2.921</v>
      </c>
      <c r="P830" s="34">
        <v>1</v>
      </c>
      <c r="Q830" s="44">
        <f t="shared" si="128"/>
        <v>1.764284</v>
      </c>
      <c r="R830" s="84">
        <f>+Q830/R820</f>
        <v>0.199011532125206</v>
      </c>
      <c r="S830" s="47"/>
      <c r="T830" s="47"/>
    </row>
    <row r="831" s="27" customFormat="1" ht="18" customHeight="1" spans="1:21">
      <c r="A831" s="34"/>
      <c r="B831" s="48">
        <v>3</v>
      </c>
      <c r="C831" s="48"/>
      <c r="D831" s="48"/>
      <c r="E831" s="72"/>
      <c r="F831" s="50"/>
      <c r="G831" s="48"/>
      <c r="H831" s="51"/>
      <c r="I831" s="51"/>
      <c r="J831" s="51"/>
      <c r="K831" s="43"/>
      <c r="L831" s="69" t="s">
        <v>447</v>
      </c>
      <c r="M831" s="70" t="s">
        <v>1028</v>
      </c>
      <c r="N831" s="82">
        <f>0.668*2.71+0.022*2.71</f>
        <v>1.8699</v>
      </c>
      <c r="O831" s="82">
        <f>O829</f>
        <v>2.921</v>
      </c>
      <c r="P831" s="34">
        <v>1</v>
      </c>
      <c r="Q831" s="44">
        <f t="shared" si="128"/>
        <v>5.4619779</v>
      </c>
      <c r="R831" s="84">
        <f>+Q831/R820</f>
        <v>0.616112026359143</v>
      </c>
      <c r="S831" s="47">
        <v>0.31</v>
      </c>
      <c r="T831" s="47">
        <f t="shared" si="129"/>
        <v>0.90551</v>
      </c>
      <c r="U831" s="76">
        <f>T831/R820</f>
        <v>0.102141680395387</v>
      </c>
    </row>
    <row r="832" s="27" customFormat="1" ht="18" customHeight="1" spans="1:21">
      <c r="A832" s="34"/>
      <c r="B832" s="48">
        <v>4</v>
      </c>
      <c r="C832" s="48"/>
      <c r="D832" s="85" t="s">
        <v>426</v>
      </c>
      <c r="E832" s="48" t="s">
        <v>392</v>
      </c>
      <c r="F832" s="50"/>
      <c r="G832" s="48"/>
      <c r="H832" s="86"/>
      <c r="I832" s="86"/>
      <c r="J832" s="51">
        <f>SUM(J830:J830)</f>
        <v>240.730999234651</v>
      </c>
      <c r="K832" s="75"/>
      <c r="L832" s="69" t="s">
        <v>447</v>
      </c>
      <c r="M832" s="70" t="s">
        <v>1031</v>
      </c>
      <c r="N832" s="101">
        <f>0.074*2.71</f>
        <v>0.20054</v>
      </c>
      <c r="O832" s="34">
        <f>O828</f>
        <v>2.921</v>
      </c>
      <c r="P832" s="34">
        <v>1</v>
      </c>
      <c r="Q832" s="44">
        <f t="shared" si="128"/>
        <v>0.58577734</v>
      </c>
      <c r="R832" s="84">
        <f>+Q832/R820</f>
        <v>0.0660757825370675</v>
      </c>
      <c r="S832" s="47">
        <f>0.048</f>
        <v>0.048</v>
      </c>
      <c r="T832" s="47">
        <f t="shared" si="129"/>
        <v>0.140208</v>
      </c>
      <c r="U832" s="76">
        <f>T832/R820</f>
        <v>0.0158154859967051</v>
      </c>
    </row>
    <row r="833" s="27" customFormat="1" ht="23" customHeight="1" spans="1:20">
      <c r="A833" s="34"/>
      <c r="B833" s="48">
        <v>1</v>
      </c>
      <c r="C833" s="48" t="s">
        <v>394</v>
      </c>
      <c r="D833" s="88" t="s">
        <v>427</v>
      </c>
      <c r="E833" s="72" t="str">
        <f>+VLOOKUP(D833,'材料表 '!C:F,2,0)</f>
        <v>kg</v>
      </c>
      <c r="F833" s="77">
        <f>+SUMIF($L$820:$L$860,D833,$R$820:$R$860)</f>
        <v>0</v>
      </c>
      <c r="G833" s="89">
        <f>+VLOOKUP(D833,'材料表 '!C:F,4,0)</f>
        <v>0.03</v>
      </c>
      <c r="H833" s="74">
        <f t="shared" ref="H833:H853" si="131">F833*(G833+1)</f>
        <v>0</v>
      </c>
      <c r="I833" s="74">
        <f>+VLOOKUP(D833,'材料表 '!C:F,3,0)</f>
        <v>25.8495575221239</v>
      </c>
      <c r="J833" s="51">
        <f t="shared" si="130"/>
        <v>0</v>
      </c>
      <c r="K833" s="75">
        <f ca="1">H833*K819</f>
        <v>0</v>
      </c>
      <c r="L833" s="69" t="s">
        <v>433</v>
      </c>
      <c r="M833" s="70" t="s">
        <v>1031</v>
      </c>
      <c r="N833" s="101">
        <f>0.055*2.71</f>
        <v>0.14905</v>
      </c>
      <c r="O833" s="34">
        <f>O829</f>
        <v>2.921</v>
      </c>
      <c r="P833" s="34">
        <v>3</v>
      </c>
      <c r="Q833" s="44">
        <f t="shared" si="128"/>
        <v>1.30612515</v>
      </c>
      <c r="R833" s="84">
        <f>+Q833/R820</f>
        <v>0.147331136738056</v>
      </c>
      <c r="S833" s="47"/>
      <c r="T833" s="47"/>
    </row>
    <row r="834" s="27" customFormat="1" ht="18" customHeight="1" spans="1:20">
      <c r="A834" s="34"/>
      <c r="B834" s="48">
        <v>2</v>
      </c>
      <c r="C834" s="48"/>
      <c r="D834" s="88" t="s">
        <v>404</v>
      </c>
      <c r="E834" s="72" t="str">
        <f>+VLOOKUP(D834,'材料表 '!C:F,2,0)</f>
        <v>kg</v>
      </c>
      <c r="F834" s="77">
        <f t="shared" ref="F834:F847" si="132">+SUMIF($L$820:$L$860,D834,$R$820:$R$860)</f>
        <v>1.22800658978583</v>
      </c>
      <c r="G834" s="89">
        <f>+VLOOKUP(D834,'材料表 '!C:F,4,0)</f>
        <v>0.03</v>
      </c>
      <c r="H834" s="74">
        <f t="shared" si="131"/>
        <v>1.2648467874794</v>
      </c>
      <c r="I834" s="74">
        <f>+VLOOKUP(D834,'材料表 '!C:F,3,0)</f>
        <v>25.6725663716814</v>
      </c>
      <c r="J834" s="51">
        <f t="shared" si="130"/>
        <v>32.471863101573</v>
      </c>
      <c r="K834" s="75">
        <f ca="1">H834*K819</f>
        <v>11.2131640099999</v>
      </c>
      <c r="L834" s="69"/>
      <c r="M834" s="70"/>
      <c r="N834" s="83"/>
      <c r="O834" s="83"/>
      <c r="P834" s="83"/>
      <c r="Q834" s="83"/>
      <c r="R834" s="87"/>
      <c r="S834" s="47"/>
      <c r="T834" s="47"/>
    </row>
    <row r="835" s="27" customFormat="1" ht="18" customHeight="1" spans="1:20">
      <c r="A835" s="34"/>
      <c r="B835" s="48">
        <v>3</v>
      </c>
      <c r="C835" s="48"/>
      <c r="D835" s="88" t="s">
        <v>433</v>
      </c>
      <c r="E835" s="72" t="str">
        <f>+VLOOKUP(D835,'材料表 '!C:F,2,0)</f>
        <v>kg</v>
      </c>
      <c r="F835" s="77">
        <f t="shared" si="132"/>
        <v>0.544414327426176</v>
      </c>
      <c r="G835" s="89">
        <f>+VLOOKUP(D835,'材料表 '!C:F,4,0)</f>
        <v>0.03</v>
      </c>
      <c r="H835" s="74">
        <f t="shared" si="131"/>
        <v>0.560746757248961</v>
      </c>
      <c r="I835" s="74">
        <f>+VLOOKUP(D835,'材料表 '!C:F,3,0)</f>
        <v>26.1150442477876</v>
      </c>
      <c r="J835" s="51">
        <f t="shared" si="130"/>
        <v>14.64392637736</v>
      </c>
      <c r="K835" s="75">
        <f ca="1">H835*K819</f>
        <v>4.97115177849999</v>
      </c>
      <c r="L835" s="69"/>
      <c r="N835" s="83"/>
      <c r="O835" s="83"/>
      <c r="P835" s="83"/>
      <c r="Q835" s="83"/>
      <c r="R835" s="87"/>
      <c r="S835" s="47"/>
      <c r="T835" s="47"/>
    </row>
    <row r="836" s="27" customFormat="1" ht="18" customHeight="1" spans="1:20">
      <c r="A836" s="34"/>
      <c r="B836" s="48">
        <v>4</v>
      </c>
      <c r="C836" s="48"/>
      <c r="D836" s="88" t="s">
        <v>429</v>
      </c>
      <c r="E836" s="72" t="str">
        <f>+VLOOKUP(D836,'材料表 '!C:F,2,0)</f>
        <v>kg</v>
      </c>
      <c r="F836" s="77">
        <f t="shared" si="132"/>
        <v>0.887976861677477</v>
      </c>
      <c r="G836" s="89">
        <f>+VLOOKUP(D836,'材料表 '!C:F,4,0)</f>
        <v>0.03</v>
      </c>
      <c r="H836" s="74">
        <f t="shared" si="131"/>
        <v>0.914616167527801</v>
      </c>
      <c r="I836" s="74">
        <f>+VLOOKUP(D836,'材料表 '!C:F,3,0)</f>
        <v>26.1150442477876</v>
      </c>
      <c r="J836" s="51">
        <f t="shared" si="130"/>
        <v>23.8852416847305</v>
      </c>
      <c r="K836" s="75">
        <f ca="1">H836*K819</f>
        <v>8.10828725993333</v>
      </c>
      <c r="L836" s="90" t="s">
        <v>707</v>
      </c>
      <c r="M836" s="44"/>
      <c r="N836" s="82"/>
      <c r="O836" s="44">
        <f>O826*P826+O829*P829</f>
        <v>5.842</v>
      </c>
      <c r="P836" s="44">
        <v>1</v>
      </c>
      <c r="Q836" s="44">
        <f>+P836*O836</f>
        <v>5.842</v>
      </c>
      <c r="R836" s="84">
        <f>+Q836/R820</f>
        <v>0.658978583196046</v>
      </c>
      <c r="S836" s="47"/>
      <c r="T836" s="47"/>
    </row>
    <row r="837" s="27" customFormat="1" ht="18" customHeight="1" spans="1:20">
      <c r="A837" s="34"/>
      <c r="B837" s="48">
        <v>5</v>
      </c>
      <c r="C837" s="48"/>
      <c r="D837" s="88" t="s">
        <v>447</v>
      </c>
      <c r="E837" s="72" t="str">
        <f>+VLOOKUP(D837,'材料表 '!C:F,2,0)</f>
        <v>kg</v>
      </c>
      <c r="F837" s="77">
        <f t="shared" si="132"/>
        <v>0.830411861614498</v>
      </c>
      <c r="G837" s="89">
        <f>+VLOOKUP(D837,'材料表 '!C:F,4,0)</f>
        <v>0.03</v>
      </c>
      <c r="H837" s="74">
        <f t="shared" si="131"/>
        <v>0.855324217462933</v>
      </c>
      <c r="I837" s="74">
        <f>+VLOOKUP(D837,'材料表 '!C:F,3,0)</f>
        <v>24.4336283185841</v>
      </c>
      <c r="J837" s="51">
        <f t="shared" si="130"/>
        <v>20.8986740213731</v>
      </c>
      <c r="K837" s="43">
        <f ca="1">H837*K819</f>
        <v>7.58265018900001</v>
      </c>
      <c r="L837" s="90" t="s">
        <v>435</v>
      </c>
      <c r="M837" s="44"/>
      <c r="N837" s="82">
        <f>0.073*1.2</f>
        <v>0.0876</v>
      </c>
      <c r="O837" s="44">
        <f>O820*2*3+P820*7</f>
        <v>38.771</v>
      </c>
      <c r="P837" s="44">
        <v>1</v>
      </c>
      <c r="Q837" s="44">
        <f>+P837*O837</f>
        <v>38.771</v>
      </c>
      <c r="R837" s="84">
        <f>+Q837/R820</f>
        <v>4.37337532507599</v>
      </c>
      <c r="S837" s="47"/>
      <c r="T837" s="47"/>
    </row>
    <row r="838" s="27" customFormat="1" ht="18" customHeight="1" spans="1:20">
      <c r="A838" s="34"/>
      <c r="B838" s="48">
        <v>6</v>
      </c>
      <c r="C838" s="48"/>
      <c r="D838" s="88" t="s">
        <v>434</v>
      </c>
      <c r="E838" s="72" t="str">
        <f>+VLOOKUP(D838,'材料表 '!C:F,2,0)</f>
        <v>m2</v>
      </c>
      <c r="F838" s="77">
        <f>U828+U831+U832</f>
        <v>0.148929159802306</v>
      </c>
      <c r="G838" s="89">
        <f>+VLOOKUP(D838,'材料表 '!C:F,4,0)</f>
        <v>0</v>
      </c>
      <c r="H838" s="74">
        <f t="shared" si="131"/>
        <v>0.148929159802306</v>
      </c>
      <c r="I838" s="74">
        <f>+VLOOKUP(D838,'材料表 '!C:F,3,0)</f>
        <v>49.5575221238938</v>
      </c>
      <c r="J838" s="51">
        <f t="shared" si="130"/>
        <v>7.38056013179569</v>
      </c>
      <c r="K838" s="43">
        <f ca="1">H838*K819</f>
        <v>1.320292</v>
      </c>
      <c r="L838" s="90" t="s">
        <v>463</v>
      </c>
      <c r="M838" s="91" t="s">
        <v>1032</v>
      </c>
      <c r="N838" s="82">
        <f>0.2*0.3*10*7.85</f>
        <v>4.71</v>
      </c>
      <c r="O838" s="44">
        <v>2</v>
      </c>
      <c r="P838" s="44">
        <f>P845</f>
        <v>1</v>
      </c>
      <c r="Q838" s="44">
        <f t="shared" ref="Q838:Q843" si="133">+P838*O838*N838</f>
        <v>9.42</v>
      </c>
      <c r="R838" s="84">
        <f>+Q838/R820</f>
        <v>1.06257758536576</v>
      </c>
      <c r="S838" s="47"/>
      <c r="T838" s="47"/>
    </row>
    <row r="839" s="27" customFormat="1" ht="18" customHeight="1" spans="1:20">
      <c r="A839" s="34"/>
      <c r="B839" s="48">
        <v>7</v>
      </c>
      <c r="C839" s="48"/>
      <c r="D839" s="88" t="s">
        <v>707</v>
      </c>
      <c r="E839" s="72" t="str">
        <f>+VLOOKUP(D839,'材料表 '!C:F,2,0)</f>
        <v>m2</v>
      </c>
      <c r="F839" s="77">
        <f t="shared" si="132"/>
        <v>0.658978583196046</v>
      </c>
      <c r="G839" s="89">
        <f>+VLOOKUP(D839,'材料表 '!C:F,4,0)</f>
        <v>0</v>
      </c>
      <c r="H839" s="74">
        <f t="shared" si="131"/>
        <v>0.658978583196046</v>
      </c>
      <c r="I839" s="74">
        <f>+VLOOKUP(D839,'材料表 '!C:F,3,0)</f>
        <v>8.8495575221239</v>
      </c>
      <c r="J839" s="51">
        <f t="shared" si="130"/>
        <v>5.83166887784112</v>
      </c>
      <c r="K839" s="43">
        <f ca="1">H839*K819</f>
        <v>5.842</v>
      </c>
      <c r="L839" s="90"/>
      <c r="M839" s="91"/>
      <c r="N839" s="82"/>
      <c r="O839" s="44"/>
      <c r="P839" s="44"/>
      <c r="Q839" s="44"/>
      <c r="R839" s="84"/>
      <c r="S839" s="47"/>
      <c r="T839" s="47"/>
    </row>
    <row r="840" s="27" customFormat="1" ht="18" customHeight="1" spans="1:20">
      <c r="A840" s="34"/>
      <c r="B840" s="48">
        <v>8</v>
      </c>
      <c r="C840" s="48"/>
      <c r="D840" s="88" t="s">
        <v>710</v>
      </c>
      <c r="E840" s="72" t="str">
        <f>+VLOOKUP(D840,'材料表 '!C:F,2,0)</f>
        <v>kg</v>
      </c>
      <c r="F840" s="77">
        <f t="shared" si="132"/>
        <v>40.2535381182789</v>
      </c>
      <c r="G840" s="89">
        <f>+VLOOKUP(D840,'材料表 '!C:F,4,0)</f>
        <v>0.03</v>
      </c>
      <c r="H840" s="74">
        <f t="shared" si="131"/>
        <v>41.4611442618273</v>
      </c>
      <c r="I840" s="74">
        <f>+VLOOKUP(D840,'材料表 '!C:F,3,0)</f>
        <v>8.8495575221239</v>
      </c>
      <c r="J840" s="51">
        <f t="shared" si="130"/>
        <v>366.912781078118</v>
      </c>
      <c r="K840" s="43">
        <f ca="1">H840*K819</f>
        <v>367.562787250001</v>
      </c>
      <c r="L840" s="69" t="s">
        <v>465</v>
      </c>
      <c r="M840" s="81" t="s">
        <v>1013</v>
      </c>
      <c r="N840" s="34">
        <v>9.88</v>
      </c>
      <c r="O840" s="34">
        <f>0.13</f>
        <v>0.13</v>
      </c>
      <c r="P840" s="34">
        <f>2*P838</f>
        <v>2</v>
      </c>
      <c r="Q840" s="44">
        <f t="shared" si="133"/>
        <v>2.5688</v>
      </c>
      <c r="R840" s="84">
        <f>Q840/R820</f>
        <v>0.28976107232352</v>
      </c>
      <c r="S840" s="47"/>
      <c r="T840" s="47"/>
    </row>
    <row r="841" s="27" customFormat="1" ht="18" customHeight="1" spans="1:20">
      <c r="A841" s="34"/>
      <c r="B841" s="48">
        <v>9</v>
      </c>
      <c r="C841" s="48"/>
      <c r="D841" s="88" t="s">
        <v>431</v>
      </c>
      <c r="E841" s="72" t="str">
        <f>+VLOOKUP(D841,'材料表 '!C:F,2,0)</f>
        <v>kg</v>
      </c>
      <c r="F841" s="77">
        <f t="shared" si="132"/>
        <v>0</v>
      </c>
      <c r="G841" s="89">
        <f>+VLOOKUP(D841,'材料表 '!C:F,4,0)</f>
        <v>0.03</v>
      </c>
      <c r="H841" s="74">
        <f t="shared" si="131"/>
        <v>0</v>
      </c>
      <c r="I841" s="74">
        <f>+VLOOKUP(D841,'材料表 '!C:F,3,0)</f>
        <v>3.80530973451327</v>
      </c>
      <c r="J841" s="51">
        <f t="shared" si="130"/>
        <v>0</v>
      </c>
      <c r="K841" s="43">
        <f ca="1">H841*K819</f>
        <v>0</v>
      </c>
      <c r="L841" s="90" t="s">
        <v>474</v>
      </c>
      <c r="M841" s="44"/>
      <c r="N841" s="82"/>
      <c r="O841" s="44">
        <v>4</v>
      </c>
      <c r="P841" s="44">
        <f>O838*P838</f>
        <v>2</v>
      </c>
      <c r="Q841" s="44">
        <f>O841*P841</f>
        <v>8</v>
      </c>
      <c r="R841" s="84">
        <f>Q841/R820</f>
        <v>0.902401346382809</v>
      </c>
      <c r="S841" s="47"/>
      <c r="T841" s="47"/>
    </row>
    <row r="842" s="27" customFormat="1" ht="18" customHeight="1" spans="1:20">
      <c r="A842" s="34"/>
      <c r="B842" s="48">
        <v>10</v>
      </c>
      <c r="C842" s="48"/>
      <c r="D842" s="88" t="s">
        <v>461</v>
      </c>
      <c r="E842" s="72" t="str">
        <f>+VLOOKUP(D842,'材料表 '!C:F,2,0)</f>
        <v>kg</v>
      </c>
      <c r="F842" s="77">
        <f t="shared" si="132"/>
        <v>0</v>
      </c>
      <c r="G842" s="89">
        <f>+VLOOKUP(D842,'材料表 '!C:F,4,0)</f>
        <v>0.03</v>
      </c>
      <c r="H842" s="74">
        <f t="shared" si="131"/>
        <v>0</v>
      </c>
      <c r="I842" s="74">
        <f>+VLOOKUP(D842,'材料表 '!C:F,3,0)</f>
        <v>3.53982300884956</v>
      </c>
      <c r="J842" s="51">
        <f t="shared" si="130"/>
        <v>0</v>
      </c>
      <c r="K842" s="43">
        <f ca="1">H842*K819</f>
        <v>0</v>
      </c>
      <c r="L842" s="90" t="s">
        <v>472</v>
      </c>
      <c r="M842" s="91"/>
      <c r="N842" s="82"/>
      <c r="O842" s="44">
        <v>2</v>
      </c>
      <c r="P842" s="44">
        <f>P838</f>
        <v>1</v>
      </c>
      <c r="Q842" s="44">
        <f>O842*P842</f>
        <v>2</v>
      </c>
      <c r="R842" s="84">
        <f>Q842/R820</f>
        <v>0.225600336595702</v>
      </c>
      <c r="S842" s="47"/>
      <c r="T842" s="47"/>
    </row>
    <row r="843" s="27" customFormat="1" ht="18" customHeight="1" spans="1:20">
      <c r="A843" s="34"/>
      <c r="B843" s="48">
        <v>11</v>
      </c>
      <c r="C843" s="48"/>
      <c r="D843" s="88" t="s">
        <v>435</v>
      </c>
      <c r="E843" s="72" t="str">
        <f>+VLOOKUP(D843,'材料表 '!C:F,2,0)</f>
        <v>kg</v>
      </c>
      <c r="F843" s="77">
        <f t="shared" si="132"/>
        <v>4.37337532507599</v>
      </c>
      <c r="G843" s="89">
        <f>+VLOOKUP(D843,'材料表 '!C:F,4,0)</f>
        <v>0.03</v>
      </c>
      <c r="H843" s="74">
        <f t="shared" si="131"/>
        <v>4.50457658482827</v>
      </c>
      <c r="I843" s="74">
        <f>+VLOOKUP(D843,'材料表 '!C:F,3,0)</f>
        <v>19.4690265486726</v>
      </c>
      <c r="J843" s="51">
        <f t="shared" si="130"/>
        <v>87.6997211205505</v>
      </c>
      <c r="K843" s="43">
        <f ca="1">H843*K819</f>
        <v>39.9341300000001</v>
      </c>
      <c r="L843" s="69" t="s">
        <v>465</v>
      </c>
      <c r="M843" s="91"/>
      <c r="N843" s="82">
        <f>(0.058+0.04*2)*5*7.85</f>
        <v>5.4165</v>
      </c>
      <c r="O843" s="44">
        <f>O820</f>
        <v>2.921</v>
      </c>
      <c r="P843" s="44">
        <v>0</v>
      </c>
      <c r="Q843" s="44">
        <f t="shared" si="133"/>
        <v>0</v>
      </c>
      <c r="R843" s="84">
        <f>+Q843/R820</f>
        <v>0</v>
      </c>
      <c r="S843" s="47"/>
      <c r="T843" s="47"/>
    </row>
    <row r="844" s="27" customFormat="1" ht="18" customHeight="1" spans="1:20">
      <c r="A844" s="34"/>
      <c r="B844" s="48">
        <v>12</v>
      </c>
      <c r="C844" s="48"/>
      <c r="D844" s="88" t="s">
        <v>463</v>
      </c>
      <c r="E844" s="72" t="str">
        <f>+VLOOKUP(D844,'材料表 '!C:F,2,0)</f>
        <v>kg</v>
      </c>
      <c r="F844" s="77">
        <f t="shared" si="132"/>
        <v>1.06257758536576</v>
      </c>
      <c r="G844" s="89">
        <f>+VLOOKUP(D844,'材料表 '!C:F,4,0)</f>
        <v>0.03</v>
      </c>
      <c r="H844" s="74">
        <f t="shared" si="131"/>
        <v>1.09445491292673</v>
      </c>
      <c r="I844" s="74">
        <f>+VLOOKUP(D844,'材料表 '!C:F,3,0)</f>
        <v>6.01769911504425</v>
      </c>
      <c r="J844" s="51">
        <f t="shared" si="130"/>
        <v>6.58610036097503</v>
      </c>
      <c r="K844" s="43">
        <f ca="1">H844*K819</f>
        <v>9.7026</v>
      </c>
      <c r="L844" s="69" t="s">
        <v>461</v>
      </c>
      <c r="N844" s="83"/>
      <c r="O844" s="83"/>
      <c r="P844" s="83"/>
      <c r="Q844" s="83"/>
      <c r="R844" s="84"/>
      <c r="S844" s="47"/>
      <c r="T844" s="47"/>
    </row>
    <row r="845" s="27" customFormat="1" ht="18" customHeight="1" spans="1:20">
      <c r="A845" s="34"/>
      <c r="B845" s="48">
        <v>13</v>
      </c>
      <c r="C845" s="48"/>
      <c r="D845" s="88" t="s">
        <v>465</v>
      </c>
      <c r="E845" s="72" t="str">
        <f>+VLOOKUP(D845,'材料表 '!C:F,2,0)</f>
        <v>kg</v>
      </c>
      <c r="F845" s="77">
        <f t="shared" si="132"/>
        <v>0.28976107232352</v>
      </c>
      <c r="G845" s="89">
        <f>+VLOOKUP(D845,'材料表 '!C:F,4,0)</f>
        <v>0.03</v>
      </c>
      <c r="H845" s="74">
        <f t="shared" si="131"/>
        <v>0.298453904493226</v>
      </c>
      <c r="I845" s="74">
        <f>+VLOOKUP(D845,'材料表 '!C:F,3,0)</f>
        <v>6.01769911504425</v>
      </c>
      <c r="J845" s="51">
        <f t="shared" si="130"/>
        <v>1.79600579695038</v>
      </c>
      <c r="K845" s="43">
        <f ca="1">H845*K819</f>
        <v>2.645864</v>
      </c>
      <c r="L845" s="90" t="s">
        <v>1033</v>
      </c>
      <c r="M845" s="44"/>
      <c r="N845" s="82">
        <f>(0.225+0.07)*1*25*7.85</f>
        <v>57.89375</v>
      </c>
      <c r="O845" s="44">
        <f>3.243</f>
        <v>3.243</v>
      </c>
      <c r="P845" s="44">
        <v>1</v>
      </c>
      <c r="Q845" s="44">
        <f>+P845*O845*N845</f>
        <v>187.74943125</v>
      </c>
      <c r="R845" s="84">
        <f>+Q845/R820</f>
        <v>21.1781674428258</v>
      </c>
      <c r="S845" s="47"/>
      <c r="T845" s="47"/>
    </row>
    <row r="846" s="27" customFormat="1" ht="18" customHeight="1" spans="1:20">
      <c r="A846" s="34"/>
      <c r="B846" s="48">
        <v>14</v>
      </c>
      <c r="C846" s="48"/>
      <c r="D846" s="88" t="s">
        <v>474</v>
      </c>
      <c r="E846" s="72" t="str">
        <f>+VLOOKUP(D846,'材料表 '!C:F,2,0)</f>
        <v>套</v>
      </c>
      <c r="F846" s="77">
        <f t="shared" si="132"/>
        <v>0.902401346382809</v>
      </c>
      <c r="G846" s="89">
        <f>+VLOOKUP(D846,'材料表 '!C:F,4,0)</f>
        <v>0</v>
      </c>
      <c r="H846" s="74">
        <f t="shared" si="131"/>
        <v>0.902401346382809</v>
      </c>
      <c r="I846" s="74">
        <f>+VLOOKUP(D846,'材料表 '!C:F,3,0)</f>
        <v>2.21238938053097</v>
      </c>
      <c r="J846" s="51">
        <f t="shared" si="130"/>
        <v>1.99646315571418</v>
      </c>
      <c r="K846" s="43">
        <f ca="1">H846*K819</f>
        <v>8</v>
      </c>
      <c r="L846" s="90" t="s">
        <v>1033</v>
      </c>
      <c r="M846" s="44"/>
      <c r="N846" s="82">
        <f>(0.225+0.07)*1*25*7.85</f>
        <v>57.89375</v>
      </c>
      <c r="O846" s="44">
        <f>O820</f>
        <v>2.921</v>
      </c>
      <c r="P846" s="44">
        <v>1</v>
      </c>
      <c r="Q846" s="44">
        <f>+P846*O846*N846</f>
        <v>169.10764375</v>
      </c>
      <c r="R846" s="84">
        <f>+Q846/R820</f>
        <v>19.075370675453</v>
      </c>
      <c r="S846" s="47"/>
      <c r="T846" s="47"/>
    </row>
    <row r="847" s="27" customFormat="1" ht="18" customHeight="1" spans="1:20">
      <c r="A847" s="34"/>
      <c r="B847" s="48">
        <v>15</v>
      </c>
      <c r="C847" s="48"/>
      <c r="D847" s="88" t="s">
        <v>472</v>
      </c>
      <c r="E847" s="72" t="str">
        <f>+VLOOKUP(D847,'材料表 '!C:F,2,0)</f>
        <v>套</v>
      </c>
      <c r="F847" s="77">
        <f t="shared" si="132"/>
        <v>0.225600336595702</v>
      </c>
      <c r="G847" s="89">
        <f>+VLOOKUP(D847,'材料表 '!C:F,4,0)</f>
        <v>0</v>
      </c>
      <c r="H847" s="74">
        <f t="shared" si="131"/>
        <v>0.225600336595702</v>
      </c>
      <c r="I847" s="74">
        <f>+VLOOKUP(D847,'材料表 '!C:F,3,0)</f>
        <v>2.47787610619469</v>
      </c>
      <c r="J847" s="51">
        <f t="shared" si="130"/>
        <v>0.559009683599969</v>
      </c>
      <c r="K847" s="43">
        <f ca="1">H847*K819</f>
        <v>2</v>
      </c>
      <c r="L847" s="90"/>
      <c r="M847" s="44"/>
      <c r="N847" s="82"/>
      <c r="O847" s="44"/>
      <c r="P847" s="44"/>
      <c r="Q847" s="44"/>
      <c r="R847" s="84"/>
      <c r="S847" s="47"/>
      <c r="T847" s="47"/>
    </row>
    <row r="848" s="27" customFormat="1" ht="18" customHeight="1" spans="1:20">
      <c r="A848" s="34"/>
      <c r="B848" s="48">
        <v>16</v>
      </c>
      <c r="C848" s="48"/>
      <c r="D848" s="88" t="s">
        <v>476</v>
      </c>
      <c r="E848" s="72" t="str">
        <f>+VLOOKUP(D848,'材料表 '!C:F,2,0)</f>
        <v>支</v>
      </c>
      <c r="F848" s="77">
        <f>8*8*(O820*4)*2/500/R820+16*8*(O824*P845)/500/R820</f>
        <v>0.425038253357074</v>
      </c>
      <c r="G848" s="89">
        <f>+VLOOKUP(D848,'材料表 '!C:F,4,0)</f>
        <v>0.15</v>
      </c>
      <c r="H848" s="74">
        <f t="shared" si="131"/>
        <v>0.488793991360635</v>
      </c>
      <c r="I848" s="74">
        <f>+VLOOKUP(D848,'材料表 '!C:F,3,0)</f>
        <v>11.5044247787611</v>
      </c>
      <c r="J848" s="51">
        <f t="shared" si="130"/>
        <v>5.62329370591883</v>
      </c>
      <c r="K848" s="43">
        <f ca="1">H848*K819</f>
        <v>4.3332736</v>
      </c>
      <c r="L848" s="92"/>
      <c r="M848" s="44"/>
      <c r="N848" s="82"/>
      <c r="O848" s="44"/>
      <c r="P848" s="44"/>
      <c r="Q848" s="44"/>
      <c r="R848" s="84"/>
      <c r="S848" s="47"/>
      <c r="T848" s="47"/>
    </row>
    <row r="849" s="27" customFormat="1" ht="18" customHeight="1" spans="1:20">
      <c r="A849" s="34"/>
      <c r="B849" s="48">
        <v>17</v>
      </c>
      <c r="C849" s="48"/>
      <c r="D849" s="88" t="s">
        <v>576</v>
      </c>
      <c r="E849" s="72" t="str">
        <f>+VLOOKUP(D849,'材料表 '!C:F,2,0)</f>
        <v>支</v>
      </c>
      <c r="F849" s="77">
        <f>18*10*(O824*P824)/500/R820</f>
        <v>0.246490927764464</v>
      </c>
      <c r="G849" s="89">
        <f>+VLOOKUP(D849,'材料表 '!C:F,4,0)</f>
        <v>0.15</v>
      </c>
      <c r="H849" s="74">
        <f t="shared" si="131"/>
        <v>0.283464566929134</v>
      </c>
      <c r="I849" s="74">
        <f>+VLOOKUP(D849,'材料表 '!C:F,3,0)</f>
        <v>14.1592920353982</v>
      </c>
      <c r="J849" s="51">
        <f t="shared" si="130"/>
        <v>4.01365758483728</v>
      </c>
      <c r="K849" s="43">
        <f ca="1">H849*K819</f>
        <v>2.51298</v>
      </c>
      <c r="L849" s="92"/>
      <c r="M849" s="44"/>
      <c r="N849" s="82"/>
      <c r="O849" s="44"/>
      <c r="P849" s="44"/>
      <c r="Q849" s="44"/>
      <c r="R849" s="84"/>
      <c r="S849" s="47"/>
      <c r="T849" s="47"/>
    </row>
    <row r="850" s="27" customFormat="1" ht="18" customHeight="1" spans="1:20">
      <c r="A850" s="34"/>
      <c r="B850" s="48">
        <v>18</v>
      </c>
      <c r="C850" s="48"/>
      <c r="D850" s="88" t="s">
        <v>479</v>
      </c>
      <c r="E850" s="72" t="str">
        <f>+VLOOKUP(D850,'材料表 '!C:F,2,0)</f>
        <v>kg</v>
      </c>
      <c r="F850" s="77">
        <f>R846</f>
        <v>19.075370675453</v>
      </c>
      <c r="G850" s="89">
        <f>+VLOOKUP(D850,'材料表 '!C:F,4,0)</f>
        <v>0.03</v>
      </c>
      <c r="H850" s="74">
        <f t="shared" si="131"/>
        <v>19.6476317957166</v>
      </c>
      <c r="I850" s="74">
        <f>+VLOOKUP(D850,'材料表 '!C:F,3,0)</f>
        <v>14.1592920353982</v>
      </c>
      <c r="J850" s="51">
        <f t="shared" si="130"/>
        <v>278.196556399526</v>
      </c>
      <c r="K850" s="43">
        <f ca="1">H850*K819</f>
        <v>174.1808730625</v>
      </c>
      <c r="L850" s="92"/>
      <c r="M850" s="44"/>
      <c r="N850" s="82"/>
      <c r="O850" s="44"/>
      <c r="P850" s="44"/>
      <c r="Q850" s="44"/>
      <c r="R850" s="84"/>
      <c r="S850" s="47"/>
      <c r="T850" s="47"/>
    </row>
    <row r="851" s="27" customFormat="1" ht="21" customHeight="1" spans="1:20">
      <c r="A851" s="34"/>
      <c r="B851" s="48">
        <v>19</v>
      </c>
      <c r="C851" s="48"/>
      <c r="D851" s="88" t="s">
        <v>500</v>
      </c>
      <c r="E851" s="72" t="str">
        <f>+VLOOKUP(D851,'材料表 '!C:F,2,0)</f>
        <v>kg</v>
      </c>
      <c r="F851" s="77">
        <f>R826+R827+R828+R829+R830+R831+R832+R833</f>
        <v>3.07176935749588</v>
      </c>
      <c r="G851" s="89">
        <f>+VLOOKUP(D851,'材料表 '!C:F,4,0)</f>
        <v>0.03</v>
      </c>
      <c r="H851" s="74">
        <f t="shared" si="131"/>
        <v>3.16392243822076</v>
      </c>
      <c r="I851" s="74">
        <f>+VLOOKUP(D851,'材料表 '!C:F,3,0)</f>
        <v>14.1592920353982</v>
      </c>
      <c r="J851" s="51">
        <f t="shared" si="130"/>
        <v>44.7989017801168</v>
      </c>
      <c r="K851" s="43">
        <f ca="1">H851*K819</f>
        <v>28.0489159366</v>
      </c>
      <c r="L851" s="92"/>
      <c r="M851" s="44"/>
      <c r="N851" s="82"/>
      <c r="O851" s="44"/>
      <c r="P851" s="44"/>
      <c r="Q851" s="44"/>
      <c r="R851" s="84"/>
      <c r="S851" s="47"/>
      <c r="T851" s="47"/>
    </row>
    <row r="852" s="27" customFormat="1" ht="48" customHeight="1" spans="1:20">
      <c r="A852" s="34"/>
      <c r="B852" s="48">
        <v>20</v>
      </c>
      <c r="C852" s="48"/>
      <c r="D852" s="88" t="s">
        <v>689</v>
      </c>
      <c r="E852" s="72" t="str">
        <f>+VLOOKUP(D852,'材料表 '!C:F,2,0)</f>
        <v>m2</v>
      </c>
      <c r="F852" s="77">
        <v>1</v>
      </c>
      <c r="G852" s="89">
        <f>+VLOOKUP(D852,'材料表 '!C:F,4,0)</f>
        <v>0.01</v>
      </c>
      <c r="H852" s="74">
        <f t="shared" si="131"/>
        <v>1.01</v>
      </c>
      <c r="I852" s="74">
        <f>+VLOOKUP(D852,'材料表 '!C:F,3,0)</f>
        <v>790.265486725664</v>
      </c>
      <c r="J852" s="51">
        <f t="shared" si="130"/>
        <v>798.16814159292</v>
      </c>
      <c r="K852" s="43">
        <f ca="1">H852*K819</f>
        <v>8.95388735</v>
      </c>
      <c r="L852" s="90"/>
      <c r="M852" s="44"/>
      <c r="N852" s="82"/>
      <c r="O852" s="44"/>
      <c r="P852" s="44"/>
      <c r="Q852" s="44"/>
      <c r="R852" s="84"/>
      <c r="S852" s="47"/>
      <c r="T852" s="47"/>
    </row>
    <row r="853" s="27" customFormat="1" ht="19" customHeight="1" spans="1:20">
      <c r="A853" s="34"/>
      <c r="B853" s="48">
        <v>21</v>
      </c>
      <c r="C853" s="48"/>
      <c r="D853" s="88" t="s">
        <v>713</v>
      </c>
      <c r="E853" s="72" t="str">
        <f>+VLOOKUP(D853,'材料表 '!C:F,2,0)</f>
        <v>m2</v>
      </c>
      <c r="F853" s="77">
        <f>0.647*(O845*P845+O846*P846)/R820</f>
        <v>0.449859253590006</v>
      </c>
      <c r="G853" s="89">
        <f>+VLOOKUP(D853,'材料表 '!C:F,4,0)</f>
        <v>0.01</v>
      </c>
      <c r="H853" s="74">
        <f t="shared" si="131"/>
        <v>0.454357846125906</v>
      </c>
      <c r="I853" s="74">
        <f>+VLOOKUP(D853,'材料表 '!C:F,3,0)</f>
        <v>265.486725663717</v>
      </c>
      <c r="J853" s="51">
        <f t="shared" si="130"/>
        <v>120.625976847586</v>
      </c>
      <c r="K853" s="43">
        <f ca="1">H853*K819</f>
        <v>4.02798908</v>
      </c>
      <c r="L853" s="90"/>
      <c r="M853" s="44"/>
      <c r="N853" s="82"/>
      <c r="O853" s="44"/>
      <c r="P853" s="44"/>
      <c r="Q853" s="44"/>
      <c r="R853" s="84"/>
      <c r="S853" s="47"/>
      <c r="T853" s="47"/>
    </row>
    <row r="854" s="27" customFormat="1" ht="18" customHeight="1" spans="1:20">
      <c r="A854" s="34"/>
      <c r="B854" s="48">
        <v>22</v>
      </c>
      <c r="C854" s="48"/>
      <c r="D854" s="88"/>
      <c r="E854" s="72"/>
      <c r="F854" s="77"/>
      <c r="G854" s="89"/>
      <c r="H854" s="74"/>
      <c r="I854" s="74"/>
      <c r="J854" s="51"/>
      <c r="K854" s="43">
        <f ca="1">H854*K819</f>
        <v>0</v>
      </c>
      <c r="L854" s="92"/>
      <c r="M854" s="44"/>
      <c r="N854" s="82"/>
      <c r="O854" s="44"/>
      <c r="P854" s="44"/>
      <c r="Q854" s="44"/>
      <c r="R854" s="84"/>
      <c r="S854" s="47"/>
      <c r="T854" s="47"/>
    </row>
    <row r="855" s="27" customFormat="1" ht="18" customHeight="1" spans="1:20">
      <c r="A855" s="34"/>
      <c r="B855" s="48">
        <v>23</v>
      </c>
      <c r="C855" s="48"/>
      <c r="D855" s="88"/>
      <c r="E855" s="72"/>
      <c r="F855" s="77"/>
      <c r="G855" s="89"/>
      <c r="H855" s="74"/>
      <c r="I855" s="74"/>
      <c r="J855" s="51"/>
      <c r="K855" s="43">
        <f ca="1">H855*K819</f>
        <v>0</v>
      </c>
      <c r="L855" s="92"/>
      <c r="M855" s="44"/>
      <c r="N855" s="44"/>
      <c r="O855" s="44"/>
      <c r="P855" s="44"/>
      <c r="Q855" s="44"/>
      <c r="R855" s="84"/>
      <c r="S855" s="47"/>
      <c r="T855" s="47"/>
    </row>
    <row r="856" s="27" customFormat="1" ht="18" customHeight="1" spans="1:20">
      <c r="A856" s="34"/>
      <c r="B856" s="48">
        <v>24</v>
      </c>
      <c r="C856" s="48"/>
      <c r="D856" s="88"/>
      <c r="E856" s="72"/>
      <c r="F856" s="77"/>
      <c r="G856" s="89"/>
      <c r="H856" s="74"/>
      <c r="I856" s="74"/>
      <c r="J856" s="51"/>
      <c r="K856" s="75">
        <f ca="1">H856*K819</f>
        <v>0</v>
      </c>
      <c r="L856" s="92"/>
      <c r="M856" s="44"/>
      <c r="N856" s="44"/>
      <c r="O856" s="44"/>
      <c r="P856" s="44"/>
      <c r="Q856" s="44"/>
      <c r="R856" s="84"/>
      <c r="S856" s="47"/>
      <c r="T856" s="47"/>
    </row>
    <row r="857" s="27" customFormat="1" ht="18" customHeight="1" spans="1:20">
      <c r="A857" s="34"/>
      <c r="B857" s="48">
        <v>25</v>
      </c>
      <c r="C857" s="48"/>
      <c r="D857" s="88"/>
      <c r="E857" s="72"/>
      <c r="F857" s="77"/>
      <c r="G857" s="89"/>
      <c r="H857" s="74"/>
      <c r="I857" s="74"/>
      <c r="J857" s="51"/>
      <c r="K857" s="75">
        <f ca="1">H857*K819</f>
        <v>0</v>
      </c>
      <c r="L857" s="92"/>
      <c r="M857" s="44"/>
      <c r="N857" s="44"/>
      <c r="O857" s="44"/>
      <c r="P857" s="44"/>
      <c r="Q857" s="44"/>
      <c r="R857" s="84"/>
      <c r="S857" s="47"/>
      <c r="T857" s="47"/>
    </row>
    <row r="858" s="27" customFormat="1" ht="18" customHeight="1" spans="1:20">
      <c r="A858" s="34"/>
      <c r="B858" s="48">
        <v>26</v>
      </c>
      <c r="C858" s="48"/>
      <c r="D858" s="88" t="s">
        <v>441</v>
      </c>
      <c r="E858" s="72" t="s">
        <v>43</v>
      </c>
      <c r="F858" s="77"/>
      <c r="G858" s="72">
        <v>1</v>
      </c>
      <c r="H858" s="74">
        <v>1</v>
      </c>
      <c r="I858" s="74">
        <f>+辅材及安装费!$E$18</f>
        <v>10</v>
      </c>
      <c r="J858" s="51">
        <f>H858*I858</f>
        <v>10</v>
      </c>
      <c r="K858" s="75"/>
      <c r="L858" s="92"/>
      <c r="M858" s="44"/>
      <c r="N858" s="44"/>
      <c r="O858" s="44"/>
      <c r="P858" s="44"/>
      <c r="Q858" s="44"/>
      <c r="R858" s="62"/>
      <c r="S858" s="47"/>
      <c r="T858" s="47"/>
    </row>
    <row r="859" s="27" customFormat="1" ht="18" customHeight="1" spans="1:20">
      <c r="A859" s="34"/>
      <c r="B859" s="48">
        <v>27</v>
      </c>
      <c r="C859" s="48"/>
      <c r="D859" s="93" t="s">
        <v>442</v>
      </c>
      <c r="E859" s="72"/>
      <c r="F859" s="77"/>
      <c r="G859" s="72"/>
      <c r="H859" s="74"/>
      <c r="I859" s="74"/>
      <c r="J859" s="51">
        <f>SUM(J833:J858)</f>
        <v>1832.08854330149</v>
      </c>
      <c r="K859" s="75"/>
      <c r="L859" s="94"/>
      <c r="N859" s="83"/>
      <c r="O859" s="83"/>
      <c r="P859" s="83"/>
      <c r="Q859" s="83"/>
      <c r="R859" s="87"/>
      <c r="S859" s="47"/>
      <c r="T859" s="47"/>
    </row>
    <row r="860" s="27" customFormat="1" ht="18" customHeight="1" spans="1:20">
      <c r="A860" s="34"/>
      <c r="B860" s="48">
        <v>1</v>
      </c>
      <c r="C860" s="48" t="s">
        <v>443</v>
      </c>
      <c r="D860" s="48" t="s">
        <v>444</v>
      </c>
      <c r="E860" s="72" t="s">
        <v>43</v>
      </c>
      <c r="F860" s="50"/>
      <c r="G860" s="48"/>
      <c r="H860" s="51">
        <v>1</v>
      </c>
      <c r="I860" s="74">
        <f>+辅材及安装费!$F$18</f>
        <v>5</v>
      </c>
      <c r="J860" s="95">
        <f>H860*I860</f>
        <v>5</v>
      </c>
      <c r="K860" s="60"/>
      <c r="L860" s="96"/>
      <c r="M860" s="97"/>
      <c r="N860" s="98"/>
      <c r="O860" s="98"/>
      <c r="P860" s="98"/>
      <c r="Q860" s="98"/>
      <c r="R860" s="99"/>
      <c r="S860" s="47"/>
      <c r="T860" s="47"/>
    </row>
    <row r="861" s="26" customFormat="1" ht="30" customHeight="1" spans="1:20">
      <c r="A861" s="28"/>
      <c r="B861" s="29" t="s">
        <v>386</v>
      </c>
      <c r="C861" s="29"/>
      <c r="D861" s="29"/>
      <c r="E861" s="29"/>
      <c r="F861" s="29"/>
      <c r="G861" s="29"/>
      <c r="H861" s="29"/>
      <c r="I861" s="29"/>
      <c r="J861" s="29"/>
      <c r="K861" s="29"/>
      <c r="L861" s="30"/>
      <c r="M861" s="31"/>
      <c r="N861" s="31"/>
      <c r="O861" s="31"/>
      <c r="P861" s="31"/>
      <c r="Q861" s="31"/>
      <c r="R861" s="32"/>
      <c r="S861" s="33"/>
      <c r="T861" s="33"/>
    </row>
    <row r="862" s="27" customFormat="1" ht="33.75" customHeight="1" spans="1:20">
      <c r="A862" s="34">
        <v>21</v>
      </c>
      <c r="B862" s="35" t="s">
        <v>1</v>
      </c>
      <c r="C862" s="35" t="s">
        <v>387</v>
      </c>
      <c r="D862" s="36" t="str">
        <f>+A870</f>
        <v>首层明框玻璃幕墙（10Low-E(双银)+12A+10㎜全超白钢化中空玻璃）</v>
      </c>
      <c r="E862" s="37"/>
      <c r="F862" s="38" t="s">
        <v>225</v>
      </c>
      <c r="G862" s="39"/>
      <c r="H862" s="35" t="s">
        <v>388</v>
      </c>
      <c r="I862" s="40" t="s">
        <v>389</v>
      </c>
      <c r="J862" s="41" t="s">
        <v>37</v>
      </c>
      <c r="K862" s="42">
        <f ca="1">VLOOKUP(A862,'商业工程量清单 '!$A$4:$D$44,4,FALSE)</f>
        <v>102.2</v>
      </c>
      <c r="L862" s="43"/>
      <c r="M862" s="44"/>
      <c r="N862" s="44"/>
      <c r="O862" s="44"/>
      <c r="P862" s="45"/>
      <c r="Q862" s="44"/>
      <c r="R862" s="46"/>
      <c r="S862" s="47"/>
      <c r="T862" s="47"/>
    </row>
    <row r="863" s="27" customFormat="1" ht="25" customHeight="1" spans="1:20">
      <c r="A863" s="34"/>
      <c r="B863" s="48">
        <v>1</v>
      </c>
      <c r="C863" s="49" t="s">
        <v>390</v>
      </c>
      <c r="D863" s="48" t="s">
        <v>391</v>
      </c>
      <c r="E863" s="48"/>
      <c r="F863" s="50"/>
      <c r="G863" s="48"/>
      <c r="H863" s="51"/>
      <c r="I863" s="52">
        <f>J875</f>
        <v>170</v>
      </c>
      <c r="J863" s="53" t="s">
        <v>392</v>
      </c>
      <c r="K863" s="54"/>
      <c r="L863" s="55" t="s">
        <v>1036</v>
      </c>
      <c r="M863" s="56" t="s">
        <v>1006</v>
      </c>
      <c r="N863" s="57"/>
      <c r="O863" s="57">
        <f>18.5+1.9-1.8*4-2.48</f>
        <v>10.72</v>
      </c>
      <c r="P863" s="57">
        <v>2.5</v>
      </c>
      <c r="Q863" s="57">
        <v>1</v>
      </c>
      <c r="R863" s="58">
        <f>+Q863*P863*O863</f>
        <v>26.8</v>
      </c>
      <c r="S863" s="47"/>
      <c r="T863" s="47"/>
    </row>
    <row r="864" s="27" customFormat="1" ht="18" customHeight="1" spans="1:20">
      <c r="A864" s="34"/>
      <c r="B864" s="48">
        <v>2</v>
      </c>
      <c r="C864" s="59"/>
      <c r="D864" s="48" t="s">
        <v>394</v>
      </c>
      <c r="E864" s="48"/>
      <c r="F864" s="50"/>
      <c r="G864" s="48"/>
      <c r="H864" s="51"/>
      <c r="I864" s="52">
        <f>J902</f>
        <v>602.505546464822</v>
      </c>
      <c r="J864" s="53" t="s">
        <v>392</v>
      </c>
      <c r="K864" s="60"/>
      <c r="L864" s="61"/>
      <c r="M864" s="44"/>
      <c r="N864" s="44"/>
      <c r="O864" s="44"/>
      <c r="P864" s="44"/>
      <c r="Q864" s="44"/>
      <c r="R864" s="62"/>
      <c r="S864" s="47"/>
      <c r="T864" s="47"/>
    </row>
    <row r="865" s="27" customFormat="1" ht="18" customHeight="1" spans="1:21">
      <c r="A865" s="34"/>
      <c r="B865" s="48">
        <v>3</v>
      </c>
      <c r="C865" s="63"/>
      <c r="D865" s="48" t="s">
        <v>395</v>
      </c>
      <c r="E865" s="48"/>
      <c r="F865" s="50"/>
      <c r="G865" s="48"/>
      <c r="H865" s="51"/>
      <c r="I865" s="52">
        <f>J903</f>
        <v>5</v>
      </c>
      <c r="J865" s="53" t="s">
        <v>392</v>
      </c>
      <c r="K865" s="60"/>
      <c r="L865" s="60"/>
      <c r="M865" s="64" t="s">
        <v>396</v>
      </c>
      <c r="N865" s="65" t="s">
        <v>397</v>
      </c>
      <c r="O865" s="65" t="s">
        <v>398</v>
      </c>
      <c r="P865" s="65" t="s">
        <v>399</v>
      </c>
      <c r="Q865" s="65" t="s">
        <v>400</v>
      </c>
      <c r="R865" s="66" t="s">
        <v>401</v>
      </c>
      <c r="S865" s="47"/>
      <c r="T865" s="47"/>
    </row>
    <row r="866" s="27" customFormat="1" ht="18" customHeight="1" spans="1:21">
      <c r="A866" s="34"/>
      <c r="B866" s="48">
        <v>4</v>
      </c>
      <c r="C866" s="48" t="s">
        <v>402</v>
      </c>
      <c r="D866" s="67" t="s">
        <v>403</v>
      </c>
      <c r="E866" s="67"/>
      <c r="F866" s="50"/>
      <c r="G866" s="67"/>
      <c r="H866" s="68"/>
      <c r="I866" s="52">
        <f>SUM(I863:I865)</f>
        <v>777.505546464822</v>
      </c>
      <c r="J866" s="53" t="s">
        <v>392</v>
      </c>
      <c r="K866" s="60"/>
      <c r="L866" s="69" t="s">
        <v>427</v>
      </c>
      <c r="M866" s="70" t="s">
        <v>1007</v>
      </c>
      <c r="N866" s="34">
        <v>3.111</v>
      </c>
      <c r="O866" s="34">
        <f>P863</f>
        <v>2.5</v>
      </c>
      <c r="P866" s="34">
        <f>15-4</f>
        <v>11</v>
      </c>
      <c r="Q866" s="44">
        <f t="shared" ref="Q866:Q874" si="134">+P866*O866*N866</f>
        <v>85.5525</v>
      </c>
      <c r="R866" s="71">
        <f>+Q866/R863</f>
        <v>3.19225746268657</v>
      </c>
      <c r="S866" s="47"/>
      <c r="T866" s="47"/>
    </row>
    <row r="867" s="27" customFormat="1" ht="28" customHeight="1" spans="1:21">
      <c r="A867" s="34"/>
      <c r="B867" s="48">
        <v>5</v>
      </c>
      <c r="C867" s="72" t="s">
        <v>406</v>
      </c>
      <c r="D867" s="48" t="s">
        <v>407</v>
      </c>
      <c r="E867" s="48"/>
      <c r="F867" s="50"/>
      <c r="G867" s="48"/>
      <c r="H867" s="73">
        <f>+'材料表 '!$E$178</f>
        <v>0</v>
      </c>
      <c r="I867" s="52">
        <f>H867*I866</f>
        <v>0</v>
      </c>
      <c r="J867" s="53" t="s">
        <v>392</v>
      </c>
      <c r="K867" s="60"/>
      <c r="L867" s="69" t="s">
        <v>429</v>
      </c>
      <c r="M867" s="70" t="s">
        <v>1037</v>
      </c>
      <c r="N867" s="34">
        <v>3.063</v>
      </c>
      <c r="O867" s="100">
        <f>O866/0.3*0.1</f>
        <v>0.833333333333333</v>
      </c>
      <c r="P867" s="34">
        <f>P866</f>
        <v>11</v>
      </c>
      <c r="Q867" s="44">
        <f t="shared" si="134"/>
        <v>28.0775</v>
      </c>
      <c r="R867" s="71">
        <f>+Q867/R863</f>
        <v>1.04766791044776</v>
      </c>
      <c r="S867" s="47"/>
      <c r="T867" s="47"/>
    </row>
    <row r="868" s="27" customFormat="1" ht="18" customHeight="1" spans="1:21">
      <c r="A868" s="34"/>
      <c r="B868" s="48">
        <v>6</v>
      </c>
      <c r="C868" s="48" t="s">
        <v>409</v>
      </c>
      <c r="D868" s="48" t="s">
        <v>410</v>
      </c>
      <c r="E868" s="48"/>
      <c r="F868" s="50"/>
      <c r="G868" s="48"/>
      <c r="H868" s="73">
        <f>+'材料表 '!$E$179</f>
        <v>0</v>
      </c>
      <c r="I868" s="52">
        <f>H868*I866</f>
        <v>0</v>
      </c>
      <c r="J868" s="74" t="s">
        <v>392</v>
      </c>
      <c r="K868" s="75"/>
      <c r="L868" s="69" t="s">
        <v>447</v>
      </c>
      <c r="M868" s="70" t="s">
        <v>1038</v>
      </c>
      <c r="N868" s="34">
        <f>1.041+0.104</f>
        <v>1.145</v>
      </c>
      <c r="O868" s="34">
        <f>O866</f>
        <v>2.5</v>
      </c>
      <c r="P868" s="34">
        <f>P866</f>
        <v>11</v>
      </c>
      <c r="Q868" s="44">
        <f t="shared" si="134"/>
        <v>31.4875</v>
      </c>
      <c r="R868" s="71">
        <f>+Q868/R863</f>
        <v>1.17490671641791</v>
      </c>
      <c r="S868" s="47">
        <v>0.172</v>
      </c>
      <c r="T868" s="47">
        <f>O868*P868*S868</f>
        <v>4.73</v>
      </c>
      <c r="U868" s="76">
        <f>T868/R863</f>
        <v>0.176492537313433</v>
      </c>
    </row>
    <row r="869" s="27" customFormat="1" ht="18" customHeight="1" spans="1:21">
      <c r="A869" s="34"/>
      <c r="B869" s="48">
        <v>7</v>
      </c>
      <c r="C869" s="48" t="s">
        <v>412</v>
      </c>
      <c r="D869" s="72" t="s">
        <v>413</v>
      </c>
      <c r="E869" s="72"/>
      <c r="F869" s="77"/>
      <c r="G869" s="72"/>
      <c r="H869" s="73">
        <f>+'材料表 '!$E$180</f>
        <v>0.09</v>
      </c>
      <c r="I869" s="52">
        <f>(I866+I867+I868)*H869</f>
        <v>69.975499181834</v>
      </c>
      <c r="J869" s="74" t="s">
        <v>392</v>
      </c>
      <c r="K869" s="75"/>
      <c r="L869" s="69" t="s">
        <v>429</v>
      </c>
      <c r="M869" s="70" t="s">
        <v>1010</v>
      </c>
      <c r="N869" s="102">
        <f>2.9</f>
        <v>2.9</v>
      </c>
      <c r="O869" s="34">
        <v>0.2</v>
      </c>
      <c r="P869" s="34">
        <f>P866</f>
        <v>11</v>
      </c>
      <c r="Q869" s="44">
        <f t="shared" si="134"/>
        <v>6.38</v>
      </c>
      <c r="R869" s="71">
        <f>+Q869/R863</f>
        <v>0.238059701492537</v>
      </c>
      <c r="S869" s="47"/>
      <c r="T869" s="47"/>
    </row>
    <row r="870" s="27" customFormat="1" ht="18" customHeight="1" spans="1:21">
      <c r="A870" s="78" t="s">
        <v>1039</v>
      </c>
      <c r="B870" s="48">
        <v>8</v>
      </c>
      <c r="C870" s="48" t="s">
        <v>363</v>
      </c>
      <c r="D870" s="72" t="s">
        <v>415</v>
      </c>
      <c r="E870" s="72"/>
      <c r="F870" s="77"/>
      <c r="G870" s="72"/>
      <c r="H870" s="51"/>
      <c r="I870" s="74">
        <f>SUM(I866:I869)</f>
        <v>847.481045646656</v>
      </c>
      <c r="J870" s="74" t="s">
        <v>416</v>
      </c>
      <c r="K870" s="75"/>
      <c r="L870" s="69" t="s">
        <v>429</v>
      </c>
      <c r="M870" s="70" t="s">
        <v>1040</v>
      </c>
      <c r="N870" s="34">
        <v>0.733</v>
      </c>
      <c r="O870" s="100">
        <f>O867*2</f>
        <v>1.66666666666667</v>
      </c>
      <c r="P870" s="34">
        <f>P866</f>
        <v>11</v>
      </c>
      <c r="Q870" s="44">
        <f t="shared" si="134"/>
        <v>13.4383333333333</v>
      </c>
      <c r="R870" s="71">
        <f>+Q870/R863</f>
        <v>0.501430348258707</v>
      </c>
      <c r="S870" s="79"/>
      <c r="T870" s="47"/>
    </row>
    <row r="871" s="27" customFormat="1" ht="18" customHeight="1" spans="1:21">
      <c r="A871" s="34"/>
      <c r="B871" s="48" t="s">
        <v>418</v>
      </c>
      <c r="C871" s="48"/>
      <c r="D871" s="48"/>
      <c r="E871" s="48"/>
      <c r="F871" s="48"/>
      <c r="G871" s="48"/>
      <c r="H871" s="48"/>
      <c r="I871" s="48"/>
      <c r="J871" s="48"/>
      <c r="K871" s="80"/>
      <c r="L871" s="69" t="s">
        <v>404</v>
      </c>
      <c r="M871" s="70" t="s">
        <v>1041</v>
      </c>
      <c r="N871" s="34">
        <v>3.727</v>
      </c>
      <c r="O871" s="34">
        <f>O863</f>
        <v>10.72</v>
      </c>
      <c r="P871" s="34">
        <v>1</v>
      </c>
      <c r="Q871" s="44">
        <f t="shared" si="134"/>
        <v>39.95344</v>
      </c>
      <c r="R871" s="71">
        <f>+Q871/R863</f>
        <v>1.4908</v>
      </c>
      <c r="S871" s="47"/>
      <c r="T871" s="47"/>
      <c r="U871" s="76"/>
    </row>
    <row r="872" s="27" customFormat="1" ht="18" customHeight="1" spans="1:21">
      <c r="A872" s="34"/>
      <c r="B872" s="48">
        <v>1</v>
      </c>
      <c r="C872" s="48" t="s">
        <v>391</v>
      </c>
      <c r="D872" s="48" t="s">
        <v>396</v>
      </c>
      <c r="E872" s="48" t="s">
        <v>37</v>
      </c>
      <c r="F872" s="50"/>
      <c r="G872" s="48"/>
      <c r="H872" s="51" t="s">
        <v>399</v>
      </c>
      <c r="I872" s="51" t="s">
        <v>420</v>
      </c>
      <c r="J872" s="51" t="s">
        <v>421</v>
      </c>
      <c r="K872" s="43"/>
      <c r="L872" s="69" t="s">
        <v>429</v>
      </c>
      <c r="M872" s="81" t="s">
        <v>1027</v>
      </c>
      <c r="N872" s="82">
        <v>0.735</v>
      </c>
      <c r="O872" s="34">
        <f>O871</f>
        <v>10.72</v>
      </c>
      <c r="P872" s="34">
        <v>1</v>
      </c>
      <c r="Q872" s="44">
        <f t="shared" si="134"/>
        <v>7.8792</v>
      </c>
      <c r="R872" s="71">
        <f>+Q872/R863</f>
        <v>0.294</v>
      </c>
      <c r="S872" s="47"/>
      <c r="T872" s="47"/>
    </row>
    <row r="873" s="27" customFormat="1" ht="18" customHeight="1" spans="1:21">
      <c r="A873" s="34"/>
      <c r="B873" s="48">
        <v>2</v>
      </c>
      <c r="C873" s="48"/>
      <c r="D873" s="48" t="s">
        <v>967</v>
      </c>
      <c r="E873" s="72" t="s">
        <v>423</v>
      </c>
      <c r="F873" s="50"/>
      <c r="G873" s="48"/>
      <c r="H873" s="51">
        <v>1</v>
      </c>
      <c r="I873" s="51">
        <f>+辅材及安装费!$G$19</f>
        <v>170</v>
      </c>
      <c r="J873" s="51">
        <f t="shared" ref="J873:J881" si="135">H873*I873</f>
        <v>170</v>
      </c>
      <c r="K873" s="43"/>
      <c r="L873" s="69" t="s">
        <v>447</v>
      </c>
      <c r="M873" s="70" t="s">
        <v>1038</v>
      </c>
      <c r="N873" s="83">
        <v>0.977</v>
      </c>
      <c r="O873" s="34">
        <f>O871</f>
        <v>10.72</v>
      </c>
      <c r="P873" s="34">
        <v>1</v>
      </c>
      <c r="Q873" s="44">
        <f t="shared" si="134"/>
        <v>10.47344</v>
      </c>
      <c r="R873" s="84">
        <f>+Q873/R863</f>
        <v>0.3908</v>
      </c>
      <c r="S873" s="47">
        <v>0.185</v>
      </c>
      <c r="T873" s="47">
        <f>O873*P873*S873</f>
        <v>1.9832</v>
      </c>
      <c r="U873" s="27">
        <f>T873/R863</f>
        <v>0.074</v>
      </c>
    </row>
    <row r="874" s="27" customFormat="1" ht="18" customHeight="1" spans="1:21">
      <c r="A874" s="34"/>
      <c r="B874" s="48">
        <v>3</v>
      </c>
      <c r="C874" s="48"/>
      <c r="D874" s="48"/>
      <c r="E874" s="72"/>
      <c r="F874" s="50"/>
      <c r="G874" s="48"/>
      <c r="H874" s="51"/>
      <c r="I874" s="51"/>
      <c r="J874" s="51"/>
      <c r="K874" s="43"/>
      <c r="L874" s="69" t="s">
        <v>429</v>
      </c>
      <c r="M874" s="81" t="s">
        <v>1042</v>
      </c>
      <c r="N874" s="82">
        <v>0.687</v>
      </c>
      <c r="O874" s="44">
        <f>0.1</f>
        <v>0.1</v>
      </c>
      <c r="P874" s="34">
        <f>8*2</f>
        <v>16</v>
      </c>
      <c r="Q874" s="44">
        <f t="shared" si="134"/>
        <v>1.0992</v>
      </c>
      <c r="R874" s="84">
        <f>+Q874/R863</f>
        <v>0.0410149253731343</v>
      </c>
      <c r="S874" s="47"/>
      <c r="T874" s="47"/>
    </row>
    <row r="875" s="27" customFormat="1" ht="18" customHeight="1" spans="1:21">
      <c r="A875" s="34"/>
      <c r="B875" s="48">
        <v>4</v>
      </c>
      <c r="C875" s="48"/>
      <c r="D875" s="85" t="s">
        <v>426</v>
      </c>
      <c r="E875" s="48" t="s">
        <v>392</v>
      </c>
      <c r="F875" s="50"/>
      <c r="G875" s="48"/>
      <c r="H875" s="86"/>
      <c r="I875" s="86"/>
      <c r="J875" s="51">
        <f>SUM(J873:J873)</f>
        <v>170</v>
      </c>
      <c r="K875" s="75"/>
      <c r="L875" s="69"/>
      <c r="M875" s="70"/>
      <c r="N875" s="83"/>
      <c r="O875" s="83"/>
      <c r="P875" s="34">
        <v>1</v>
      </c>
      <c r="Q875" s="83"/>
      <c r="R875" s="87"/>
      <c r="S875" s="47"/>
      <c r="T875" s="47"/>
    </row>
    <row r="876" s="27" customFormat="1" ht="23" customHeight="1" spans="1:21">
      <c r="A876" s="34"/>
      <c r="B876" s="48">
        <v>1</v>
      </c>
      <c r="C876" s="48" t="s">
        <v>394</v>
      </c>
      <c r="D876" s="88" t="s">
        <v>427</v>
      </c>
      <c r="E876" s="72" t="str">
        <f>+VLOOKUP(D876,'材料表 '!C:F,2,0)</f>
        <v>kg</v>
      </c>
      <c r="F876" s="77">
        <f>+SUMIF($L$863:$L$903,D876,$R$863:$R$903)</f>
        <v>3.19225746268657</v>
      </c>
      <c r="G876" s="89">
        <f>+VLOOKUP(D876,'材料表 '!C:F,4,0)</f>
        <v>0.03</v>
      </c>
      <c r="H876" s="74">
        <f t="shared" ref="H876:H881" si="136">F876*(G876+1)</f>
        <v>3.28802518656717</v>
      </c>
      <c r="I876" s="74">
        <f>+VLOOKUP(D876,'材料表 '!C:F,3,0)</f>
        <v>25.8495575221239</v>
      </c>
      <c r="J876" s="51">
        <f t="shared" si="135"/>
        <v>84.9939961943602</v>
      </c>
      <c r="K876" s="75">
        <f ca="1">H876*K862</f>
        <v>336.036174067165</v>
      </c>
      <c r="L876" s="69"/>
      <c r="M876" s="70"/>
      <c r="N876" s="83"/>
      <c r="O876" s="83"/>
      <c r="P876" s="34">
        <v>1</v>
      </c>
      <c r="Q876" s="83"/>
      <c r="R876" s="87"/>
      <c r="S876" s="47"/>
      <c r="T876" s="47"/>
    </row>
    <row r="877" s="27" customFormat="1" ht="18" customHeight="1" spans="1:21">
      <c r="A877" s="34"/>
      <c r="B877" s="48">
        <v>2</v>
      </c>
      <c r="C877" s="48"/>
      <c r="D877" s="88" t="s">
        <v>404</v>
      </c>
      <c r="E877" s="72" t="str">
        <f>+VLOOKUP(D877,'材料表 '!C:F,2,0)</f>
        <v>kg</v>
      </c>
      <c r="F877" s="77">
        <f t="shared" ref="F877:F889" si="137">+SUMIF($L$863:$L$903,D877,$R$863:$R$903)</f>
        <v>1.4908</v>
      </c>
      <c r="G877" s="89">
        <f>+VLOOKUP(D877,'材料表 '!C:F,4,0)</f>
        <v>0.03</v>
      </c>
      <c r="H877" s="74">
        <f t="shared" si="136"/>
        <v>1.535524</v>
      </c>
      <c r="I877" s="74">
        <f>+VLOOKUP(D877,'材料表 '!C:F,3,0)</f>
        <v>25.6725663716814</v>
      </c>
      <c r="J877" s="51">
        <f t="shared" si="135"/>
        <v>39.4208418053097</v>
      </c>
      <c r="K877" s="75">
        <f ca="1">H877*K862</f>
        <v>156.9305528</v>
      </c>
      <c r="L877" s="69"/>
      <c r="M877" s="70"/>
      <c r="N877" s="83"/>
      <c r="O877" s="83"/>
      <c r="P877" s="83"/>
      <c r="Q877" s="83"/>
      <c r="R877" s="87"/>
      <c r="S877" s="47"/>
      <c r="T877" s="47"/>
    </row>
    <row r="878" s="27" customFormat="1" ht="18" customHeight="1" spans="1:21">
      <c r="A878" s="34"/>
      <c r="B878" s="48">
        <v>3</v>
      </c>
      <c r="C878" s="48"/>
      <c r="D878" s="88" t="s">
        <v>433</v>
      </c>
      <c r="E878" s="72" t="str">
        <f>+VLOOKUP(D878,'材料表 '!C:F,2,0)</f>
        <v>kg</v>
      </c>
      <c r="F878" s="77">
        <f t="shared" si="137"/>
        <v>0</v>
      </c>
      <c r="G878" s="89">
        <f>+VLOOKUP(D878,'材料表 '!C:F,4,0)</f>
        <v>0.03</v>
      </c>
      <c r="H878" s="74">
        <f t="shared" si="136"/>
        <v>0</v>
      </c>
      <c r="I878" s="74">
        <f>+VLOOKUP(D878,'材料表 '!C:F,3,0)</f>
        <v>26.1150442477876</v>
      </c>
      <c r="J878" s="51">
        <f t="shared" si="135"/>
        <v>0</v>
      </c>
      <c r="K878" s="75">
        <f ca="1">H878*K862</f>
        <v>0</v>
      </c>
      <c r="L878" s="69"/>
      <c r="N878" s="83"/>
      <c r="O878" s="83"/>
      <c r="P878" s="83"/>
      <c r="Q878" s="83"/>
      <c r="R878" s="87"/>
      <c r="S878" s="47"/>
      <c r="T878" s="47"/>
    </row>
    <row r="879" s="27" customFormat="1" ht="18" customHeight="1" spans="1:21">
      <c r="A879" s="34"/>
      <c r="B879" s="48">
        <v>4</v>
      </c>
      <c r="C879" s="48"/>
      <c r="D879" s="88" t="s">
        <v>429</v>
      </c>
      <c r="E879" s="72" t="str">
        <f>+VLOOKUP(D879,'材料表 '!C:F,2,0)</f>
        <v>kg</v>
      </c>
      <c r="F879" s="77">
        <f t="shared" si="137"/>
        <v>2.12217288557214</v>
      </c>
      <c r="G879" s="89">
        <f>+VLOOKUP(D879,'材料表 '!C:F,4,0)</f>
        <v>0.03</v>
      </c>
      <c r="H879" s="74">
        <f t="shared" si="136"/>
        <v>2.1858380721393</v>
      </c>
      <c r="I879" s="74">
        <f>+VLOOKUP(D879,'材料表 '!C:F,3,0)</f>
        <v>26.1150442477876</v>
      </c>
      <c r="J879" s="51">
        <f t="shared" si="135"/>
        <v>57.0832579724167</v>
      </c>
      <c r="K879" s="75">
        <f ca="1">H879*K862</f>
        <v>223.392650972636</v>
      </c>
      <c r="L879" s="90" t="s">
        <v>707</v>
      </c>
      <c r="M879" s="44"/>
      <c r="N879" s="82"/>
      <c r="O879" s="44">
        <f>O871*P871</f>
        <v>10.72</v>
      </c>
      <c r="P879" s="44">
        <v>1</v>
      </c>
      <c r="Q879" s="44">
        <f>+P879*O879</f>
        <v>10.72</v>
      </c>
      <c r="R879" s="84">
        <f>+Q879/R863</f>
        <v>0.4</v>
      </c>
      <c r="S879" s="47"/>
      <c r="T879" s="47"/>
    </row>
    <row r="880" s="27" customFormat="1" ht="18" customHeight="1" spans="1:21">
      <c r="A880" s="34"/>
      <c r="B880" s="48">
        <v>5</v>
      </c>
      <c r="C880" s="48"/>
      <c r="D880" s="88" t="s">
        <v>447</v>
      </c>
      <c r="E880" s="72" t="str">
        <f>+VLOOKUP(D880,'材料表 '!C:F,2,0)</f>
        <v>kg</v>
      </c>
      <c r="F880" s="77">
        <f t="shared" si="137"/>
        <v>1.56570671641791</v>
      </c>
      <c r="G880" s="89">
        <f>+VLOOKUP(D880,'材料表 '!C:F,4,0)</f>
        <v>0.03</v>
      </c>
      <c r="H880" s="74">
        <f t="shared" si="136"/>
        <v>1.61267791791045</v>
      </c>
      <c r="I880" s="74">
        <f>+VLOOKUP(D880,'材料表 '!C:F,3,0)</f>
        <v>24.4336283185841</v>
      </c>
      <c r="J880" s="51">
        <f t="shared" si="135"/>
        <v>39.403572843812</v>
      </c>
      <c r="K880" s="43">
        <f ca="1">H880*K862</f>
        <v>164.815683210448</v>
      </c>
      <c r="L880" s="90" t="s">
        <v>435</v>
      </c>
      <c r="M880" s="44"/>
      <c r="N880" s="82">
        <f>0.073*1.2</f>
        <v>0.0876</v>
      </c>
      <c r="O880" s="44">
        <f>O866*P866*3+O871*P871*4</f>
        <v>125.38</v>
      </c>
      <c r="P880" s="44">
        <v>1</v>
      </c>
      <c r="Q880" s="44">
        <f>+P880*O880</f>
        <v>125.38</v>
      </c>
      <c r="R880" s="84">
        <f>+Q880/R863</f>
        <v>4.67835820895522</v>
      </c>
      <c r="S880" s="47"/>
      <c r="T880" s="47"/>
    </row>
    <row r="881" s="27" customFormat="1" ht="18" customHeight="1" spans="1:20">
      <c r="A881" s="34"/>
      <c r="B881" s="48">
        <v>6</v>
      </c>
      <c r="C881" s="48"/>
      <c r="D881" s="88" t="s">
        <v>434</v>
      </c>
      <c r="E881" s="72" t="str">
        <f>+VLOOKUP(D881,'材料表 '!C:F,2,0)</f>
        <v>m2</v>
      </c>
      <c r="F881" s="77">
        <f>U868+U873</f>
        <v>0.250492537313433</v>
      </c>
      <c r="G881" s="89">
        <f>+VLOOKUP(D881,'材料表 '!C:F,4,0)</f>
        <v>0</v>
      </c>
      <c r="H881" s="74">
        <f t="shared" si="136"/>
        <v>0.250492537313433</v>
      </c>
      <c r="I881" s="74">
        <f>+VLOOKUP(D881,'材料表 '!C:F,3,0)</f>
        <v>49.5575221238938</v>
      </c>
      <c r="J881" s="51">
        <f t="shared" si="135"/>
        <v>12.4137894597807</v>
      </c>
      <c r="K881" s="43">
        <f ca="1">H881*K862</f>
        <v>25.6003373134329</v>
      </c>
      <c r="L881" s="90" t="s">
        <v>463</v>
      </c>
      <c r="M881" s="91" t="s">
        <v>1012</v>
      </c>
      <c r="N881" s="82">
        <f>0.32*0.3*8*7.85</f>
        <v>6.0288</v>
      </c>
      <c r="O881" s="44">
        <v>2</v>
      </c>
      <c r="P881" s="44">
        <f>P866</f>
        <v>11</v>
      </c>
      <c r="Q881" s="44">
        <f t="shared" ref="Q881:Q885" si="138">+P881*O881*N881</f>
        <v>132.6336</v>
      </c>
      <c r="R881" s="84">
        <f>+Q881/R863</f>
        <v>4.94901492537313</v>
      </c>
      <c r="S881" s="47"/>
      <c r="T881" s="47"/>
    </row>
    <row r="882" s="27" customFormat="1" ht="18" customHeight="1" spans="1:20">
      <c r="A882" s="34"/>
      <c r="B882" s="48">
        <v>7</v>
      </c>
      <c r="C882" s="48"/>
      <c r="D882" s="88"/>
      <c r="E882" s="72"/>
      <c r="F882" s="77">
        <f t="shared" si="137"/>
        <v>0</v>
      </c>
      <c r="G882" s="89"/>
      <c r="H882" s="74"/>
      <c r="I882" s="74"/>
      <c r="J882" s="51"/>
      <c r="K882" s="43">
        <f ca="1">H882*K862</f>
        <v>0</v>
      </c>
      <c r="L882" s="69" t="s">
        <v>465</v>
      </c>
      <c r="M882" s="81" t="s">
        <v>1013</v>
      </c>
      <c r="N882" s="34">
        <v>9.88</v>
      </c>
      <c r="O882" s="34">
        <f>0.13</f>
        <v>0.13</v>
      </c>
      <c r="P882" s="34">
        <f>4*P881*O881</f>
        <v>88</v>
      </c>
      <c r="Q882" s="44">
        <f t="shared" si="138"/>
        <v>113.0272</v>
      </c>
      <c r="R882" s="84">
        <f>Q882/R863</f>
        <v>4.2174328358209</v>
      </c>
      <c r="S882" s="47"/>
      <c r="T882" s="47"/>
    </row>
    <row r="883" s="27" customFormat="1" ht="18" customHeight="1" spans="1:20">
      <c r="A883" s="34"/>
      <c r="B883" s="48">
        <v>8</v>
      </c>
      <c r="C883" s="48"/>
      <c r="D883" s="88" t="s">
        <v>431</v>
      </c>
      <c r="E883" s="72" t="str">
        <f>+VLOOKUP(D883,'材料表 '!C:F,2,0)</f>
        <v>kg</v>
      </c>
      <c r="F883" s="77">
        <f t="shared" si="137"/>
        <v>0</v>
      </c>
      <c r="G883" s="89">
        <f>+VLOOKUP(D883,'材料表 '!C:F,4,0)</f>
        <v>0.03</v>
      </c>
      <c r="H883" s="74">
        <f t="shared" ref="H883:H891" si="139">F883*(G883+1)</f>
        <v>0</v>
      </c>
      <c r="I883" s="74">
        <f>+VLOOKUP(D883,'材料表 '!C:F,3,0)</f>
        <v>3.80530973451327</v>
      </c>
      <c r="J883" s="51">
        <f t="shared" ref="J883:J891" si="140">H883*I883</f>
        <v>0</v>
      </c>
      <c r="K883" s="43">
        <f ca="1">H883*K862</f>
        <v>0</v>
      </c>
      <c r="L883" s="90" t="s">
        <v>474</v>
      </c>
      <c r="M883" s="44"/>
      <c r="N883" s="82"/>
      <c r="O883" s="44">
        <v>4</v>
      </c>
      <c r="P883" s="44">
        <v>8</v>
      </c>
      <c r="Q883" s="44">
        <f>O883*P883</f>
        <v>32</v>
      </c>
      <c r="R883" s="84">
        <f>Q883/R863</f>
        <v>1.19402985074627</v>
      </c>
      <c r="S883" s="47"/>
      <c r="T883" s="47"/>
    </row>
    <row r="884" s="27" customFormat="1" ht="18" customHeight="1" spans="1:20">
      <c r="A884" s="34"/>
      <c r="B884" s="48">
        <v>9</v>
      </c>
      <c r="C884" s="48"/>
      <c r="D884" s="88" t="s">
        <v>461</v>
      </c>
      <c r="E884" s="72" t="str">
        <f>+VLOOKUP(D884,'材料表 '!C:F,2,0)</f>
        <v>kg</v>
      </c>
      <c r="F884" s="77">
        <f t="shared" si="137"/>
        <v>0</v>
      </c>
      <c r="G884" s="89">
        <f>+VLOOKUP(D884,'材料表 '!C:F,4,0)</f>
        <v>0.03</v>
      </c>
      <c r="H884" s="74">
        <f t="shared" si="139"/>
        <v>0</v>
      </c>
      <c r="I884" s="74">
        <f>+VLOOKUP(D884,'材料表 '!C:F,3,0)</f>
        <v>3.53982300884956</v>
      </c>
      <c r="J884" s="51">
        <f t="shared" si="140"/>
        <v>0</v>
      </c>
      <c r="K884" s="43">
        <f ca="1">H884*K862</f>
        <v>0</v>
      </c>
      <c r="L884" s="90" t="s">
        <v>472</v>
      </c>
      <c r="M884" s="91"/>
      <c r="N884" s="82"/>
      <c r="O884" s="44">
        <v>2</v>
      </c>
      <c r="P884" s="44">
        <f>O881*P881</f>
        <v>22</v>
      </c>
      <c r="Q884" s="44">
        <f>O884*P884</f>
        <v>44</v>
      </c>
      <c r="R884" s="84">
        <f>Q884/R863</f>
        <v>1.64179104477612</v>
      </c>
      <c r="S884" s="47"/>
      <c r="T884" s="47"/>
    </row>
    <row r="885" s="27" customFormat="1" ht="18" customHeight="1" spans="1:20">
      <c r="A885" s="34"/>
      <c r="B885" s="48">
        <v>10</v>
      </c>
      <c r="C885" s="48"/>
      <c r="D885" s="88" t="s">
        <v>435</v>
      </c>
      <c r="E885" s="72" t="str">
        <f>+VLOOKUP(D885,'材料表 '!C:F,2,0)</f>
        <v>kg</v>
      </c>
      <c r="F885" s="77">
        <f t="shared" si="137"/>
        <v>4.67835820895522</v>
      </c>
      <c r="G885" s="89">
        <f>+VLOOKUP(D885,'材料表 '!C:F,4,0)</f>
        <v>0.03</v>
      </c>
      <c r="H885" s="74">
        <f t="shared" si="139"/>
        <v>4.81870895522388</v>
      </c>
      <c r="I885" s="74">
        <f>+VLOOKUP(D885,'材料表 '!C:F,3,0)</f>
        <v>19.4690265486726</v>
      </c>
      <c r="J885" s="51">
        <f t="shared" si="140"/>
        <v>93.81557257958</v>
      </c>
      <c r="K885" s="43">
        <f ca="1">H885*K862</f>
        <v>492.472055223881</v>
      </c>
      <c r="L885" s="69" t="s">
        <v>465</v>
      </c>
      <c r="M885" s="91"/>
      <c r="N885" s="82">
        <f>(0.058+0.04*2)*5*7.85</f>
        <v>5.4165</v>
      </c>
      <c r="O885" s="44">
        <f>O863</f>
        <v>10.72</v>
      </c>
      <c r="P885" s="44">
        <v>1</v>
      </c>
      <c r="Q885" s="44">
        <f t="shared" si="138"/>
        <v>58.06488</v>
      </c>
      <c r="R885" s="84">
        <f>+Q885/R863</f>
        <v>2.1666</v>
      </c>
      <c r="S885" s="47"/>
      <c r="T885" s="47"/>
    </row>
    <row r="886" s="27" customFormat="1" ht="18" customHeight="1" spans="1:20">
      <c r="A886" s="34"/>
      <c r="B886" s="48">
        <v>11</v>
      </c>
      <c r="C886" s="48"/>
      <c r="D886" s="88" t="s">
        <v>463</v>
      </c>
      <c r="E886" s="72" t="str">
        <f>+VLOOKUP(D886,'材料表 '!C:F,2,0)</f>
        <v>kg</v>
      </c>
      <c r="F886" s="77">
        <f t="shared" si="137"/>
        <v>4.94901492537313</v>
      </c>
      <c r="G886" s="89">
        <f>+VLOOKUP(D886,'材料表 '!C:F,4,0)</f>
        <v>0.03</v>
      </c>
      <c r="H886" s="74">
        <f t="shared" si="139"/>
        <v>5.09748537313432</v>
      </c>
      <c r="I886" s="74">
        <f>+VLOOKUP(D886,'材料表 '!C:F,3,0)</f>
        <v>6.01769911504425</v>
      </c>
      <c r="J886" s="51">
        <f t="shared" si="140"/>
        <v>30.6751332188614</v>
      </c>
      <c r="K886" s="43">
        <f ca="1">H886*K862</f>
        <v>520.963005134328</v>
      </c>
      <c r="L886" s="69" t="s">
        <v>461</v>
      </c>
      <c r="N886" s="83"/>
      <c r="O886" s="83"/>
      <c r="P886" s="83"/>
      <c r="Q886" s="83"/>
      <c r="R886" s="84"/>
      <c r="S886" s="47"/>
      <c r="T886" s="47"/>
    </row>
    <row r="887" s="27" customFormat="1" ht="18" customHeight="1" spans="1:20">
      <c r="A887" s="34"/>
      <c r="B887" s="48">
        <v>12</v>
      </c>
      <c r="C887" s="48"/>
      <c r="D887" s="88" t="s">
        <v>465</v>
      </c>
      <c r="E887" s="72" t="str">
        <f>+VLOOKUP(D887,'材料表 '!C:F,2,0)</f>
        <v>kg</v>
      </c>
      <c r="F887" s="77">
        <f t="shared" si="137"/>
        <v>6.3840328358209</v>
      </c>
      <c r="G887" s="89">
        <f>+VLOOKUP(D887,'材料表 '!C:F,4,0)</f>
        <v>0.03</v>
      </c>
      <c r="H887" s="74">
        <f t="shared" si="139"/>
        <v>6.57555382089553</v>
      </c>
      <c r="I887" s="74">
        <f>+VLOOKUP(D887,'材料表 '!C:F,3,0)</f>
        <v>6.01769911504425</v>
      </c>
      <c r="J887" s="51">
        <f t="shared" si="140"/>
        <v>39.5697044089288</v>
      </c>
      <c r="K887" s="43">
        <f ca="1">H887*K862</f>
        <v>672.021600495523</v>
      </c>
      <c r="L887" s="90"/>
      <c r="M887" s="44"/>
      <c r="N887" s="82"/>
      <c r="O887" s="44"/>
      <c r="P887" s="44"/>
      <c r="Q887" s="44"/>
      <c r="R887" s="84"/>
      <c r="S887" s="47"/>
      <c r="T887" s="47"/>
    </row>
    <row r="888" s="27" customFormat="1" ht="18" customHeight="1" spans="1:20">
      <c r="A888" s="34"/>
      <c r="B888" s="48">
        <v>13</v>
      </c>
      <c r="C888" s="48"/>
      <c r="D888" s="88" t="s">
        <v>474</v>
      </c>
      <c r="E888" s="72" t="str">
        <f>+VLOOKUP(D888,'材料表 '!C:F,2,0)</f>
        <v>套</v>
      </c>
      <c r="F888" s="77">
        <f t="shared" si="137"/>
        <v>1.19402985074627</v>
      </c>
      <c r="G888" s="89">
        <f>+VLOOKUP(D888,'材料表 '!C:F,4,0)</f>
        <v>0</v>
      </c>
      <c r="H888" s="74">
        <f t="shared" si="139"/>
        <v>1.19402985074627</v>
      </c>
      <c r="I888" s="74">
        <f>+VLOOKUP(D888,'材料表 '!C:F,3,0)</f>
        <v>2.21238938053097</v>
      </c>
      <c r="J888" s="51">
        <f t="shared" si="140"/>
        <v>2.64165896182803</v>
      </c>
      <c r="K888" s="43">
        <f ca="1">H888*K862</f>
        <v>122.029850746269</v>
      </c>
      <c r="L888" s="90"/>
      <c r="M888" s="44"/>
      <c r="N888" s="82"/>
      <c r="O888" s="44"/>
      <c r="P888" s="44"/>
      <c r="Q888" s="44"/>
      <c r="R888" s="84"/>
      <c r="S888" s="47"/>
      <c r="T888" s="47"/>
    </row>
    <row r="889" s="27" customFormat="1" ht="18" customHeight="1" spans="1:20">
      <c r="A889" s="34"/>
      <c r="B889" s="48">
        <v>14</v>
      </c>
      <c r="C889" s="48"/>
      <c r="D889" s="88" t="s">
        <v>472</v>
      </c>
      <c r="E889" s="72" t="str">
        <f>+VLOOKUP(D889,'材料表 '!C:F,2,0)</f>
        <v>套</v>
      </c>
      <c r="F889" s="77">
        <f t="shared" si="137"/>
        <v>1.64179104477612</v>
      </c>
      <c r="G889" s="89">
        <f>+VLOOKUP(D889,'材料表 '!C:F,4,0)</f>
        <v>0</v>
      </c>
      <c r="H889" s="74">
        <f t="shared" si="139"/>
        <v>1.64179104477612</v>
      </c>
      <c r="I889" s="74">
        <f>+VLOOKUP(D889,'材料表 '!C:F,3,0)</f>
        <v>2.47787610619469</v>
      </c>
      <c r="J889" s="51">
        <f t="shared" si="140"/>
        <v>4.06815480121516</v>
      </c>
      <c r="K889" s="43">
        <f ca="1">H889*K862</f>
        <v>167.791044776119</v>
      </c>
      <c r="L889" s="90"/>
      <c r="M889" s="44"/>
      <c r="N889" s="82"/>
      <c r="O889" s="44"/>
      <c r="P889" s="44"/>
      <c r="Q889" s="44"/>
      <c r="R889" s="84"/>
      <c r="S889" s="47"/>
      <c r="T889" s="47"/>
    </row>
    <row r="890" s="27" customFormat="1" ht="18" customHeight="1" spans="1:20">
      <c r="A890" s="34"/>
      <c r="B890" s="48">
        <v>15</v>
      </c>
      <c r="C890" s="48"/>
      <c r="D890" s="88" t="s">
        <v>476</v>
      </c>
      <c r="E890" s="72" t="str">
        <f>+VLOOKUP(D890,'材料表 '!C:F,2,0)</f>
        <v>支</v>
      </c>
      <c r="F890" s="77">
        <f>8*8*(O871*P871*2)/500/R863+16*8*(O866*P866+O871*P871)/500/R863</f>
        <v>0.467486567164179</v>
      </c>
      <c r="G890" s="89">
        <f>+VLOOKUP(D890,'材料表 '!C:F,4,0)</f>
        <v>0.15</v>
      </c>
      <c r="H890" s="74">
        <f t="shared" si="139"/>
        <v>0.537609552238806</v>
      </c>
      <c r="I890" s="74">
        <f>+VLOOKUP(D890,'材料表 '!C:F,3,0)</f>
        <v>11.5044247787611</v>
      </c>
      <c r="J890" s="51">
        <f t="shared" si="140"/>
        <v>6.18488865407478</v>
      </c>
      <c r="K890" s="43">
        <f ca="1">H890*K862</f>
        <v>54.943696238806</v>
      </c>
      <c r="L890" s="92"/>
      <c r="M890" s="44"/>
      <c r="N890" s="82"/>
      <c r="O890" s="44"/>
      <c r="P890" s="44"/>
      <c r="Q890" s="44"/>
      <c r="R890" s="84"/>
      <c r="S890" s="47"/>
      <c r="T890" s="47"/>
    </row>
    <row r="891" s="27" customFormat="1" ht="18" customHeight="1" spans="1:20">
      <c r="A891" s="34"/>
      <c r="B891" s="48">
        <v>16</v>
      </c>
      <c r="C891" s="48"/>
      <c r="D891" s="88" t="s">
        <v>576</v>
      </c>
      <c r="E891" s="72" t="str">
        <f>+VLOOKUP(D891,'材料表 '!C:F,2,0)</f>
        <v>支</v>
      </c>
      <c r="F891" s="77">
        <v>0</v>
      </c>
      <c r="G891" s="89">
        <f>+VLOOKUP(D891,'材料表 '!C:F,4,0)</f>
        <v>0.15</v>
      </c>
      <c r="H891" s="74">
        <f t="shared" si="139"/>
        <v>0</v>
      </c>
      <c r="I891" s="74">
        <f>+VLOOKUP(D891,'材料表 '!C:F,3,0)</f>
        <v>14.1592920353982</v>
      </c>
      <c r="J891" s="51">
        <f t="shared" si="140"/>
        <v>0</v>
      </c>
      <c r="K891" s="43">
        <f ca="1">H891*K862</f>
        <v>0</v>
      </c>
      <c r="L891" s="92"/>
      <c r="M891" s="44"/>
      <c r="N891" s="82"/>
      <c r="O891" s="44"/>
      <c r="P891" s="44"/>
      <c r="Q891" s="44"/>
      <c r="R891" s="84"/>
      <c r="S891" s="47"/>
      <c r="T891" s="47"/>
    </row>
    <row r="892" s="27" customFormat="1" ht="18" customHeight="1" spans="1:20">
      <c r="A892" s="34"/>
      <c r="B892" s="48">
        <v>17</v>
      </c>
      <c r="C892" s="48"/>
      <c r="D892" s="88"/>
      <c r="E892" s="72"/>
      <c r="F892" s="77"/>
      <c r="G892" s="89"/>
      <c r="H892" s="74"/>
      <c r="I892" s="74"/>
      <c r="J892" s="51"/>
      <c r="K892" s="43">
        <f ca="1">H892*K862</f>
        <v>0</v>
      </c>
      <c r="L892" s="92"/>
      <c r="M892" s="44"/>
      <c r="N892" s="82"/>
      <c r="O892" s="44"/>
      <c r="P892" s="44"/>
      <c r="Q892" s="44"/>
      <c r="R892" s="84"/>
      <c r="S892" s="47"/>
      <c r="T892" s="47"/>
    </row>
    <row r="893" s="27" customFormat="1" ht="18" customHeight="1" spans="1:20">
      <c r="A893" s="34"/>
      <c r="B893" s="48">
        <v>18</v>
      </c>
      <c r="C893" s="48"/>
      <c r="D893" s="88"/>
      <c r="E893" s="72"/>
      <c r="F893" s="77"/>
      <c r="G893" s="89"/>
      <c r="H893" s="74"/>
      <c r="I893" s="74"/>
      <c r="J893" s="51"/>
      <c r="K893" s="43">
        <f ca="1">H893*K862</f>
        <v>0</v>
      </c>
      <c r="L893" s="92"/>
      <c r="M893" s="44"/>
      <c r="N893" s="82"/>
      <c r="O893" s="44"/>
      <c r="P893" s="44"/>
      <c r="Q893" s="44"/>
      <c r="R893" s="84"/>
      <c r="S893" s="47"/>
      <c r="T893" s="47"/>
    </row>
    <row r="894" s="27" customFormat="1" ht="32" customHeight="1" spans="1:20">
      <c r="A894" s="34"/>
      <c r="B894" s="48">
        <v>19</v>
      </c>
      <c r="C894" s="48"/>
      <c r="D894" s="88" t="s">
        <v>649</v>
      </c>
      <c r="E894" s="72" t="str">
        <f>+VLOOKUP(D894,'材料表 '!C:F,2,0)</f>
        <v>m2</v>
      </c>
      <c r="F894" s="77">
        <v>1</v>
      </c>
      <c r="G894" s="89">
        <f>+VLOOKUP(D894,'材料表 '!C:F,4,0)</f>
        <v>0.01</v>
      </c>
      <c r="H894" s="74">
        <f>F894*(G894+1)</f>
        <v>1.01</v>
      </c>
      <c r="I894" s="74">
        <f>+VLOOKUP(D894,'材料表 '!C:F,3,0)</f>
        <v>179.646017699115</v>
      </c>
      <c r="J894" s="51">
        <f>H894*I894</f>
        <v>181.442477876106</v>
      </c>
      <c r="K894" s="43">
        <f ca="1">H894*K862</f>
        <v>103.222</v>
      </c>
      <c r="L894" s="90"/>
      <c r="M894" s="44"/>
      <c r="N894" s="82"/>
      <c r="O894" s="44"/>
      <c r="P894" s="44"/>
      <c r="Q894" s="44"/>
      <c r="R894" s="84"/>
      <c r="S894" s="47"/>
      <c r="T894" s="47"/>
    </row>
    <row r="895" s="27" customFormat="1" ht="21" customHeight="1" spans="1:20">
      <c r="A895" s="34"/>
      <c r="B895" s="48">
        <v>20</v>
      </c>
      <c r="C895" s="48"/>
      <c r="D895" s="88" t="s">
        <v>1043</v>
      </c>
      <c r="E895" s="72" t="str">
        <f>+VLOOKUP(D895,'材料表 '!C:F,2,0)</f>
        <v>套</v>
      </c>
      <c r="F895" s="77">
        <f>P874/R863</f>
        <v>0.597014925373134</v>
      </c>
      <c r="G895" s="89">
        <f>+VLOOKUP(D895,'材料表 '!C:F,4,0)</f>
        <v>0</v>
      </c>
      <c r="H895" s="74">
        <f>F895*(G895+1)</f>
        <v>0.597014925373134</v>
      </c>
      <c r="I895" s="74">
        <f>+VLOOKUP(D895,'材料表 '!C:F,3,0)</f>
        <v>1.32743362831858</v>
      </c>
      <c r="J895" s="51">
        <f>H895*I895</f>
        <v>0.792497688548406</v>
      </c>
      <c r="K895" s="43">
        <f ca="1">H895*K862</f>
        <v>61.0149253731343</v>
      </c>
      <c r="L895" s="90"/>
      <c r="M895" s="44"/>
      <c r="N895" s="82"/>
      <c r="O895" s="44"/>
      <c r="P895" s="44"/>
      <c r="Q895" s="44"/>
      <c r="R895" s="84"/>
      <c r="S895" s="47"/>
      <c r="T895" s="47"/>
    </row>
    <row r="896" s="27" customFormat="1" ht="18" customHeight="1" spans="1:20">
      <c r="A896" s="34"/>
      <c r="B896" s="48">
        <v>21</v>
      </c>
      <c r="C896" s="48"/>
      <c r="D896" s="88"/>
      <c r="E896" s="72"/>
      <c r="F896" s="77"/>
      <c r="G896" s="89"/>
      <c r="H896" s="74"/>
      <c r="I896" s="74"/>
      <c r="J896" s="51"/>
      <c r="K896" s="43">
        <f ca="1">H896*K862</f>
        <v>0</v>
      </c>
      <c r="L896" s="92"/>
      <c r="M896" s="44"/>
      <c r="N896" s="82"/>
      <c r="O896" s="44"/>
      <c r="P896" s="44"/>
      <c r="Q896" s="44"/>
      <c r="R896" s="84"/>
      <c r="S896" s="47"/>
      <c r="T896" s="47"/>
    </row>
    <row r="897" s="27" customFormat="1" ht="18" customHeight="1" spans="1:21">
      <c r="A897" s="34"/>
      <c r="B897" s="48">
        <v>22</v>
      </c>
      <c r="C897" s="48"/>
      <c r="D897" s="88"/>
      <c r="E897" s="72"/>
      <c r="F897" s="77"/>
      <c r="G897" s="89"/>
      <c r="H897" s="74"/>
      <c r="I897" s="74"/>
      <c r="J897" s="51"/>
      <c r="K897" s="43">
        <f ca="1">H897*K862</f>
        <v>0</v>
      </c>
      <c r="L897" s="92"/>
      <c r="M897" s="44"/>
      <c r="N897" s="44"/>
      <c r="O897" s="44"/>
      <c r="P897" s="44"/>
      <c r="Q897" s="44"/>
      <c r="R897" s="84"/>
      <c r="S897" s="47"/>
      <c r="T897" s="47"/>
    </row>
    <row r="898" s="27" customFormat="1" ht="18" customHeight="1" spans="1:21">
      <c r="A898" s="34"/>
      <c r="B898" s="48">
        <v>23</v>
      </c>
      <c r="C898" s="48"/>
      <c r="D898" s="88"/>
      <c r="E898" s="72"/>
      <c r="F898" s="77"/>
      <c r="G898" s="89"/>
      <c r="H898" s="74"/>
      <c r="I898" s="74"/>
      <c r="J898" s="51"/>
      <c r="K898" s="75">
        <f ca="1">H898*K862</f>
        <v>0</v>
      </c>
      <c r="L898" s="92"/>
      <c r="M898" s="44"/>
      <c r="N898" s="44"/>
      <c r="O898" s="44"/>
      <c r="P898" s="44"/>
      <c r="Q898" s="44"/>
      <c r="R898" s="84"/>
      <c r="S898" s="47"/>
      <c r="T898" s="47"/>
    </row>
    <row r="899" s="27" customFormat="1" ht="18" customHeight="1" spans="1:21">
      <c r="A899" s="34"/>
      <c r="B899" s="48">
        <v>24</v>
      </c>
      <c r="C899" s="48"/>
      <c r="D899" s="88"/>
      <c r="E899" s="72"/>
      <c r="F899" s="77"/>
      <c r="G899" s="89"/>
      <c r="H899" s="74"/>
      <c r="I899" s="74"/>
      <c r="J899" s="51"/>
      <c r="K899" s="75">
        <f ca="1">H899*K862</f>
        <v>0</v>
      </c>
      <c r="L899" s="92"/>
      <c r="M899" s="44"/>
      <c r="N899" s="44"/>
      <c r="O899" s="44"/>
      <c r="P899" s="44"/>
      <c r="Q899" s="44"/>
      <c r="R899" s="84"/>
      <c r="S899" s="47"/>
      <c r="T899" s="47"/>
    </row>
    <row r="900" s="27" customFormat="1" ht="18" customHeight="1" spans="1:21">
      <c r="A900" s="34"/>
      <c r="B900" s="48">
        <v>25</v>
      </c>
      <c r="C900" s="48"/>
      <c r="D900" s="88"/>
      <c r="E900" s="72"/>
      <c r="F900" s="77"/>
      <c r="G900" s="89"/>
      <c r="H900" s="74"/>
      <c r="I900" s="74"/>
      <c r="J900" s="51"/>
      <c r="K900" s="75"/>
      <c r="L900" s="92"/>
      <c r="M900" s="44"/>
      <c r="N900" s="44"/>
      <c r="O900" s="44"/>
      <c r="P900" s="44"/>
      <c r="Q900" s="44"/>
      <c r="R900" s="84"/>
      <c r="S900" s="47"/>
      <c r="T900" s="47"/>
    </row>
    <row r="901" s="27" customFormat="1" ht="18" customHeight="1" spans="1:21">
      <c r="A901" s="34"/>
      <c r="B901" s="48">
        <v>26</v>
      </c>
      <c r="C901" s="48"/>
      <c r="D901" s="88" t="s">
        <v>441</v>
      </c>
      <c r="E901" s="72" t="s">
        <v>43</v>
      </c>
      <c r="F901" s="77"/>
      <c r="G901" s="72">
        <v>1</v>
      </c>
      <c r="H901" s="74">
        <v>1</v>
      </c>
      <c r="I901" s="74">
        <f>+辅材及安装费!$E$19</f>
        <v>10</v>
      </c>
      <c r="J901" s="51">
        <f>H901*I901</f>
        <v>10</v>
      </c>
      <c r="K901" s="75"/>
      <c r="L901" s="92"/>
      <c r="M901" s="44"/>
      <c r="N901" s="44"/>
      <c r="O901" s="44"/>
      <c r="P901" s="44"/>
      <c r="Q901" s="44"/>
      <c r="R901" s="62"/>
      <c r="S901" s="47"/>
      <c r="T901" s="47"/>
    </row>
    <row r="902" s="27" customFormat="1" ht="18" customHeight="1" spans="1:21">
      <c r="A902" s="34"/>
      <c r="B902" s="48">
        <v>27</v>
      </c>
      <c r="C902" s="48"/>
      <c r="D902" s="93" t="s">
        <v>442</v>
      </c>
      <c r="E902" s="72"/>
      <c r="F902" s="77"/>
      <c r="G902" s="72"/>
      <c r="H902" s="74"/>
      <c r="I902" s="74"/>
      <c r="J902" s="51">
        <f>SUM(J876:J901)</f>
        <v>602.505546464822</v>
      </c>
      <c r="K902" s="75"/>
      <c r="L902" s="94"/>
      <c r="N902" s="83"/>
      <c r="O902" s="83"/>
      <c r="P902" s="83"/>
      <c r="Q902" s="83"/>
      <c r="R902" s="87"/>
      <c r="S902" s="47"/>
      <c r="T902" s="47"/>
    </row>
    <row r="903" s="27" customFormat="1" ht="18" customHeight="1" spans="1:21">
      <c r="A903" s="34"/>
      <c r="B903" s="48">
        <v>1</v>
      </c>
      <c r="C903" s="48" t="s">
        <v>443</v>
      </c>
      <c r="D903" s="48" t="s">
        <v>444</v>
      </c>
      <c r="E903" s="72" t="s">
        <v>43</v>
      </c>
      <c r="F903" s="50"/>
      <c r="G903" s="48"/>
      <c r="H903" s="51">
        <v>1</v>
      </c>
      <c r="I903" s="74">
        <f>+辅材及安装费!$F$19</f>
        <v>5</v>
      </c>
      <c r="J903" s="95">
        <f>H903*I903</f>
        <v>5</v>
      </c>
      <c r="K903" s="60"/>
      <c r="L903" s="96"/>
      <c r="M903" s="97"/>
      <c r="N903" s="98"/>
      <c r="O903" s="98"/>
      <c r="P903" s="98"/>
      <c r="Q903" s="98"/>
      <c r="R903" s="99"/>
      <c r="S903" s="47"/>
      <c r="T903" s="47"/>
    </row>
    <row r="904" s="26" customFormat="1" ht="25" customHeight="1" spans="1:21">
      <c r="A904" s="28"/>
      <c r="B904" s="29" t="s">
        <v>386</v>
      </c>
      <c r="C904" s="29"/>
      <c r="D904" s="29"/>
      <c r="E904" s="29"/>
      <c r="F904" s="29"/>
      <c r="G904" s="29"/>
      <c r="H904" s="29"/>
      <c r="I904" s="29"/>
      <c r="J904" s="29"/>
      <c r="K904" s="29"/>
      <c r="L904" s="30"/>
      <c r="M904" s="31"/>
      <c r="N904" s="31"/>
      <c r="O904" s="31"/>
      <c r="P904" s="31"/>
      <c r="Q904" s="31"/>
      <c r="R904" s="32"/>
      <c r="S904" s="33"/>
      <c r="T904" s="33"/>
    </row>
    <row r="905" s="27" customFormat="1" ht="51" customHeight="1" spans="1:21">
      <c r="A905" s="34">
        <v>22</v>
      </c>
      <c r="B905" s="35" t="s">
        <v>1</v>
      </c>
      <c r="C905" s="35" t="s">
        <v>387</v>
      </c>
      <c r="D905" s="36" t="str">
        <f>+A913</f>
        <v>首层明框玻璃幕墙（10Low-E(双银)+12A+10㎜全超白钢化中空玻璃）（直+弯弧+直）（直段宽度210㎜+弧长1414㎜+直段宽度210㎜，圆弧半径900㎜，高2500㎜）</v>
      </c>
      <c r="E905" s="37"/>
      <c r="F905" s="38" t="s">
        <v>225</v>
      </c>
      <c r="G905" s="39"/>
      <c r="H905" s="35" t="s">
        <v>388</v>
      </c>
      <c r="I905" s="40" t="s">
        <v>389</v>
      </c>
      <c r="J905" s="41" t="s">
        <v>37</v>
      </c>
      <c r="K905" s="42">
        <f ca="1">VLOOKUP(A905,'商业工程量清单 '!$A$4:$D$44,4,FALSE)</f>
        <v>41.265</v>
      </c>
      <c r="L905" s="43"/>
      <c r="M905" s="44"/>
      <c r="N905" s="44"/>
      <c r="O905" s="44"/>
      <c r="P905" s="45"/>
      <c r="Q905" s="44"/>
      <c r="R905" s="46"/>
      <c r="S905" s="47"/>
      <c r="T905" s="47"/>
    </row>
    <row r="906" s="27" customFormat="1" ht="25" customHeight="1" spans="1:21">
      <c r="A906" s="34"/>
      <c r="B906" s="48">
        <v>1</v>
      </c>
      <c r="C906" s="49" t="s">
        <v>390</v>
      </c>
      <c r="D906" s="48" t="s">
        <v>391</v>
      </c>
      <c r="E906" s="48"/>
      <c r="F906" s="50"/>
      <c r="G906" s="48"/>
      <c r="H906" s="51"/>
      <c r="I906" s="52">
        <f>J918</f>
        <v>170</v>
      </c>
      <c r="J906" s="53" t="s">
        <v>392</v>
      </c>
      <c r="K906" s="54"/>
      <c r="L906" s="55" t="s">
        <v>1036</v>
      </c>
      <c r="M906" s="56" t="s">
        <v>1006</v>
      </c>
      <c r="N906" s="57"/>
      <c r="O906" s="57">
        <f>0.21*2+1.414</f>
        <v>1.834</v>
      </c>
      <c r="P906" s="57">
        <v>2.5</v>
      </c>
      <c r="Q906" s="57">
        <v>1</v>
      </c>
      <c r="R906" s="58">
        <f>+Q906*P906*O906</f>
        <v>4.585</v>
      </c>
      <c r="S906" s="47"/>
      <c r="T906" s="47"/>
    </row>
    <row r="907" s="27" customFormat="1" ht="18" customHeight="1" spans="1:21">
      <c r="A907" s="34"/>
      <c r="B907" s="48">
        <v>2</v>
      </c>
      <c r="C907" s="59"/>
      <c r="D907" s="48" t="s">
        <v>394</v>
      </c>
      <c r="E907" s="48"/>
      <c r="F907" s="50"/>
      <c r="G907" s="48"/>
      <c r="H907" s="51"/>
      <c r="I907" s="52">
        <f>J945</f>
        <v>1160.35121066562</v>
      </c>
      <c r="J907" s="53" t="s">
        <v>392</v>
      </c>
      <c r="K907" s="60"/>
      <c r="L907" s="61"/>
      <c r="M907" s="44"/>
      <c r="N907" s="44"/>
      <c r="O907" s="44"/>
      <c r="P907" s="44"/>
      <c r="Q907" s="44"/>
      <c r="R907" s="62"/>
      <c r="S907" s="47"/>
      <c r="T907" s="47"/>
    </row>
    <row r="908" s="27" customFormat="1" ht="18" customHeight="1" spans="1:21">
      <c r="A908" s="34"/>
      <c r="B908" s="48">
        <v>3</v>
      </c>
      <c r="C908" s="63"/>
      <c r="D908" s="48" t="s">
        <v>395</v>
      </c>
      <c r="E908" s="48"/>
      <c r="F908" s="50"/>
      <c r="G908" s="48"/>
      <c r="H908" s="51"/>
      <c r="I908" s="52">
        <f>J946</f>
        <v>5</v>
      </c>
      <c r="J908" s="53" t="s">
        <v>392</v>
      </c>
      <c r="K908" s="60"/>
      <c r="L908" s="60"/>
      <c r="M908" s="64" t="s">
        <v>396</v>
      </c>
      <c r="N908" s="65" t="s">
        <v>397</v>
      </c>
      <c r="O908" s="65" t="s">
        <v>398</v>
      </c>
      <c r="P908" s="65" t="s">
        <v>399</v>
      </c>
      <c r="Q908" s="65" t="s">
        <v>400</v>
      </c>
      <c r="R908" s="66" t="s">
        <v>401</v>
      </c>
      <c r="S908" s="47"/>
      <c r="T908" s="47"/>
    </row>
    <row r="909" s="27" customFormat="1" ht="18" customHeight="1" spans="1:21">
      <c r="A909" s="34"/>
      <c r="B909" s="48">
        <v>4</v>
      </c>
      <c r="C909" s="48" t="s">
        <v>402</v>
      </c>
      <c r="D909" s="67" t="s">
        <v>403</v>
      </c>
      <c r="E909" s="67"/>
      <c r="F909" s="50"/>
      <c r="G909" s="67"/>
      <c r="H909" s="68"/>
      <c r="I909" s="52">
        <f>SUM(I906:I908)</f>
        <v>1335.35121066562</v>
      </c>
      <c r="J909" s="53" t="s">
        <v>392</v>
      </c>
      <c r="K909" s="60"/>
      <c r="L909" s="69" t="s">
        <v>427</v>
      </c>
      <c r="M909" s="70" t="s">
        <v>1007</v>
      </c>
      <c r="N909" s="34">
        <v>3.111</v>
      </c>
      <c r="O909" s="34">
        <f>P906</f>
        <v>2.5</v>
      </c>
      <c r="P909" s="34">
        <v>1</v>
      </c>
      <c r="Q909" s="44">
        <f t="shared" ref="Q909:Q917" si="141">+P909*O909*N909</f>
        <v>7.7775</v>
      </c>
      <c r="R909" s="71">
        <f>+Q909/R906</f>
        <v>1.69629225736096</v>
      </c>
      <c r="S909" s="47"/>
      <c r="T909" s="47"/>
    </row>
    <row r="910" s="27" customFormat="1" ht="28" customHeight="1" spans="1:21">
      <c r="A910" s="34"/>
      <c r="B910" s="48">
        <v>5</v>
      </c>
      <c r="C910" s="72" t="s">
        <v>406</v>
      </c>
      <c r="D910" s="48" t="s">
        <v>407</v>
      </c>
      <c r="E910" s="48"/>
      <c r="F910" s="50"/>
      <c r="G910" s="48"/>
      <c r="H910" s="73">
        <f>+'材料表 '!$E$178</f>
        <v>0</v>
      </c>
      <c r="I910" s="52">
        <f>H910*I909</f>
        <v>0</v>
      </c>
      <c r="J910" s="53" t="s">
        <v>392</v>
      </c>
      <c r="K910" s="60"/>
      <c r="L910" s="69" t="s">
        <v>429</v>
      </c>
      <c r="M910" s="70" t="s">
        <v>1037</v>
      </c>
      <c r="N910" s="34">
        <v>3.063</v>
      </c>
      <c r="O910" s="100">
        <f>O909/0.3*0.1</f>
        <v>0.833333333333333</v>
      </c>
      <c r="P910" s="34">
        <f>P909</f>
        <v>1</v>
      </c>
      <c r="Q910" s="44">
        <f t="shared" si="141"/>
        <v>2.5525</v>
      </c>
      <c r="R910" s="71">
        <f>+Q910/R906</f>
        <v>0.5567066521265</v>
      </c>
      <c r="S910" s="47"/>
      <c r="T910" s="47"/>
    </row>
    <row r="911" s="27" customFormat="1" ht="18" customHeight="1" spans="1:21">
      <c r="A911" s="34"/>
      <c r="B911" s="48">
        <v>6</v>
      </c>
      <c r="C911" s="48" t="s">
        <v>409</v>
      </c>
      <c r="D911" s="48" t="s">
        <v>410</v>
      </c>
      <c r="E911" s="48"/>
      <c r="F911" s="50"/>
      <c r="G911" s="48"/>
      <c r="H911" s="73">
        <f>+'材料表 '!$E$179</f>
        <v>0</v>
      </c>
      <c r="I911" s="52">
        <f>H911*I909</f>
        <v>0</v>
      </c>
      <c r="J911" s="74" t="s">
        <v>392</v>
      </c>
      <c r="K911" s="75"/>
      <c r="L911" s="69" t="s">
        <v>447</v>
      </c>
      <c r="M911" s="70" t="s">
        <v>1038</v>
      </c>
      <c r="N911" s="34">
        <f>1.041+0.104</f>
        <v>1.145</v>
      </c>
      <c r="O911" s="34">
        <f>O909</f>
        <v>2.5</v>
      </c>
      <c r="P911" s="34">
        <f>P909</f>
        <v>1</v>
      </c>
      <c r="Q911" s="44">
        <f t="shared" si="141"/>
        <v>2.8625</v>
      </c>
      <c r="R911" s="71">
        <f>+Q911/R906</f>
        <v>0.624318429661941</v>
      </c>
      <c r="S911" s="47">
        <v>0.172</v>
      </c>
      <c r="T911" s="47">
        <f>O911*P911*S911</f>
        <v>0.43</v>
      </c>
      <c r="U911" s="76">
        <f>T911/R906</f>
        <v>0.0937840785169029</v>
      </c>
    </row>
    <row r="912" s="27" customFormat="1" ht="18" customHeight="1" spans="1:21">
      <c r="A912" s="34"/>
      <c r="B912" s="48">
        <v>7</v>
      </c>
      <c r="C912" s="48" t="s">
        <v>412</v>
      </c>
      <c r="D912" s="72" t="s">
        <v>413</v>
      </c>
      <c r="E912" s="72"/>
      <c r="F912" s="77"/>
      <c r="G912" s="72"/>
      <c r="H912" s="73">
        <f>+'材料表 '!$E$180</f>
        <v>0.09</v>
      </c>
      <c r="I912" s="52">
        <f>(I909+I910+I911)*H912</f>
        <v>120.181608959906</v>
      </c>
      <c r="J912" s="74" t="s">
        <v>392</v>
      </c>
      <c r="K912" s="75"/>
      <c r="L912" s="69" t="s">
        <v>429</v>
      </c>
      <c r="M912" s="70" t="s">
        <v>1010</v>
      </c>
      <c r="N912" s="102">
        <f>2.9</f>
        <v>2.9</v>
      </c>
      <c r="O912" s="34">
        <v>0.2</v>
      </c>
      <c r="P912" s="34">
        <f>P909</f>
        <v>1</v>
      </c>
      <c r="Q912" s="44">
        <f t="shared" si="141"/>
        <v>0.58</v>
      </c>
      <c r="R912" s="71">
        <f>+Q912/R906</f>
        <v>0.12649945474373</v>
      </c>
      <c r="S912" s="47"/>
      <c r="T912" s="47"/>
    </row>
    <row r="913" s="27" customFormat="1" ht="18" customHeight="1" spans="1:21">
      <c r="A913" s="78" t="s">
        <v>1044</v>
      </c>
      <c r="B913" s="48">
        <v>8</v>
      </c>
      <c r="C913" s="48" t="s">
        <v>363</v>
      </c>
      <c r="D913" s="72" t="s">
        <v>415</v>
      </c>
      <c r="E913" s="72"/>
      <c r="F913" s="77"/>
      <c r="G913" s="72"/>
      <c r="H913" s="51"/>
      <c r="I913" s="74">
        <f>SUM(I909:I912)</f>
        <v>1455.53281962553</v>
      </c>
      <c r="J913" s="74" t="s">
        <v>416</v>
      </c>
      <c r="K913" s="75"/>
      <c r="L913" s="69" t="s">
        <v>429</v>
      </c>
      <c r="M913" s="70" t="s">
        <v>1040</v>
      </c>
      <c r="N913" s="34">
        <v>0.733</v>
      </c>
      <c r="O913" s="100">
        <f>O910*2</f>
        <v>1.66666666666667</v>
      </c>
      <c r="P913" s="34">
        <f>P909</f>
        <v>1</v>
      </c>
      <c r="Q913" s="44">
        <f t="shared" si="141"/>
        <v>1.22166666666667</v>
      </c>
      <c r="R913" s="71">
        <f>+Q913/R906</f>
        <v>0.266448564158488</v>
      </c>
      <c r="S913" s="79"/>
      <c r="T913" s="47"/>
    </row>
    <row r="914" s="27" customFormat="1" ht="18" customHeight="1" spans="1:21">
      <c r="A914" s="34"/>
      <c r="B914" s="48" t="s">
        <v>418</v>
      </c>
      <c r="C914" s="48"/>
      <c r="D914" s="48"/>
      <c r="E914" s="48"/>
      <c r="F914" s="48"/>
      <c r="G914" s="48"/>
      <c r="H914" s="48"/>
      <c r="I914" s="48"/>
      <c r="J914" s="48"/>
      <c r="K914" s="80"/>
      <c r="L914" s="69" t="s">
        <v>404</v>
      </c>
      <c r="M914" s="70" t="s">
        <v>1041</v>
      </c>
      <c r="N914" s="34">
        <v>3.727</v>
      </c>
      <c r="O914" s="34">
        <f>O906</f>
        <v>1.834</v>
      </c>
      <c r="P914" s="34">
        <v>1</v>
      </c>
      <c r="Q914" s="44">
        <f t="shared" si="141"/>
        <v>6.835318</v>
      </c>
      <c r="R914" s="71">
        <f>+Q914/R906</f>
        <v>1.4908</v>
      </c>
      <c r="S914" s="47"/>
      <c r="T914" s="47"/>
      <c r="U914" s="76"/>
    </row>
    <row r="915" s="27" customFormat="1" ht="18" customHeight="1" spans="1:21">
      <c r="A915" s="34"/>
      <c r="B915" s="48">
        <v>1</v>
      </c>
      <c r="C915" s="48" t="s">
        <v>391</v>
      </c>
      <c r="D915" s="48" t="s">
        <v>396</v>
      </c>
      <c r="E915" s="48" t="s">
        <v>37</v>
      </c>
      <c r="F915" s="50"/>
      <c r="G915" s="48"/>
      <c r="H915" s="51" t="s">
        <v>399</v>
      </c>
      <c r="I915" s="51" t="s">
        <v>420</v>
      </c>
      <c r="J915" s="51" t="s">
        <v>421</v>
      </c>
      <c r="K915" s="43"/>
      <c r="L915" s="69" t="s">
        <v>429</v>
      </c>
      <c r="M915" s="81" t="s">
        <v>1027</v>
      </c>
      <c r="N915" s="82">
        <v>0.735</v>
      </c>
      <c r="O915" s="34">
        <f>O914</f>
        <v>1.834</v>
      </c>
      <c r="P915" s="34">
        <v>1</v>
      </c>
      <c r="Q915" s="44">
        <f t="shared" si="141"/>
        <v>1.34799</v>
      </c>
      <c r="R915" s="71">
        <f>+Q915/R906</f>
        <v>0.294</v>
      </c>
      <c r="S915" s="47"/>
      <c r="T915" s="47"/>
    </row>
    <row r="916" s="27" customFormat="1" ht="18" customHeight="1" spans="1:21">
      <c r="A916" s="34"/>
      <c r="B916" s="48">
        <v>2</v>
      </c>
      <c r="C916" s="48"/>
      <c r="D916" s="48" t="s">
        <v>967</v>
      </c>
      <c r="E916" s="72" t="s">
        <v>423</v>
      </c>
      <c r="F916" s="50"/>
      <c r="G916" s="48"/>
      <c r="H916" s="51">
        <v>1</v>
      </c>
      <c r="I916" s="51">
        <f>+辅材及安装费!$G$19</f>
        <v>170</v>
      </c>
      <c r="J916" s="51">
        <f t="shared" ref="J916:J924" si="142">H916*I916</f>
        <v>170</v>
      </c>
      <c r="K916" s="43"/>
      <c r="L916" s="69" t="s">
        <v>447</v>
      </c>
      <c r="M916" s="70" t="s">
        <v>1038</v>
      </c>
      <c r="N916" s="83">
        <v>0.977</v>
      </c>
      <c r="O916" s="34">
        <f>O914</f>
        <v>1.834</v>
      </c>
      <c r="P916" s="34">
        <v>1</v>
      </c>
      <c r="Q916" s="44">
        <f t="shared" si="141"/>
        <v>1.791818</v>
      </c>
      <c r="R916" s="84">
        <f>+Q916/R906</f>
        <v>0.3908</v>
      </c>
      <c r="S916" s="47">
        <v>0.185</v>
      </c>
      <c r="T916" s="47">
        <f>O916*P916*S916</f>
        <v>0.33929</v>
      </c>
      <c r="U916" s="27">
        <f>T916/R906</f>
        <v>0.074</v>
      </c>
    </row>
    <row r="917" s="27" customFormat="1" ht="18" customHeight="1" spans="1:21">
      <c r="A917" s="34"/>
      <c r="B917" s="48">
        <v>3</v>
      </c>
      <c r="C917" s="48"/>
      <c r="D917" s="48"/>
      <c r="E917" s="72"/>
      <c r="F917" s="50"/>
      <c r="G917" s="48"/>
      <c r="H917" s="51"/>
      <c r="I917" s="51"/>
      <c r="J917" s="51"/>
      <c r="K917" s="43"/>
      <c r="L917" s="69" t="s">
        <v>429</v>
      </c>
      <c r="M917" s="81" t="s">
        <v>1042</v>
      </c>
      <c r="N917" s="82">
        <v>0.687</v>
      </c>
      <c r="O917" s="44">
        <f>0.1</f>
        <v>0.1</v>
      </c>
      <c r="P917" s="34">
        <f>1*2</f>
        <v>2</v>
      </c>
      <c r="Q917" s="44">
        <f t="shared" si="141"/>
        <v>0.1374</v>
      </c>
      <c r="R917" s="84">
        <f>+Q917/R906</f>
        <v>0.0299672846237732</v>
      </c>
      <c r="S917" s="47"/>
      <c r="T917" s="47"/>
    </row>
    <row r="918" s="27" customFormat="1" ht="18" customHeight="1" spans="1:21">
      <c r="A918" s="34"/>
      <c r="B918" s="48">
        <v>4</v>
      </c>
      <c r="C918" s="48"/>
      <c r="D918" s="85" t="s">
        <v>426</v>
      </c>
      <c r="E918" s="48" t="s">
        <v>392</v>
      </c>
      <c r="F918" s="50"/>
      <c r="G918" s="48"/>
      <c r="H918" s="86"/>
      <c r="I918" s="86"/>
      <c r="J918" s="51">
        <f>SUM(J916:J916)</f>
        <v>170</v>
      </c>
      <c r="K918" s="75"/>
      <c r="L918" s="69"/>
      <c r="M918" s="70"/>
      <c r="N918" s="83"/>
      <c r="O918" s="83"/>
      <c r="P918" s="34">
        <v>1</v>
      </c>
      <c r="Q918" s="83"/>
      <c r="R918" s="87"/>
      <c r="S918" s="47"/>
      <c r="T918" s="47"/>
    </row>
    <row r="919" s="27" customFormat="1" ht="23" customHeight="1" spans="1:21">
      <c r="A919" s="34"/>
      <c r="B919" s="48">
        <v>1</v>
      </c>
      <c r="C919" s="48" t="s">
        <v>394</v>
      </c>
      <c r="D919" s="88" t="s">
        <v>427</v>
      </c>
      <c r="E919" s="72" t="str">
        <f>+VLOOKUP(D919,'材料表 '!C:F,2,0)</f>
        <v>kg</v>
      </c>
      <c r="F919" s="77">
        <f>+SUMIF($L$906:$L$946,D919,$R$906:$R$946)</f>
        <v>1.69629225736096</v>
      </c>
      <c r="G919" s="89">
        <f>+VLOOKUP(D919,'材料表 '!C:F,4,0)</f>
        <v>0.03</v>
      </c>
      <c r="H919" s="74">
        <f t="shared" ref="H919:H924" si="143">F919*(G919+1)</f>
        <v>1.74718102508179</v>
      </c>
      <c r="I919" s="74">
        <f>+VLOOKUP(D919,'材料表 '!C:F,3,0)</f>
        <v>25.8495575221239</v>
      </c>
      <c r="J919" s="51">
        <f t="shared" si="142"/>
        <v>45.1638564094151</v>
      </c>
      <c r="K919" s="75">
        <f ca="1">H919*K905</f>
        <v>72.0974250000001</v>
      </c>
      <c r="L919" s="69"/>
      <c r="M919" s="70"/>
      <c r="N919" s="83"/>
      <c r="O919" s="83"/>
      <c r="P919" s="34">
        <v>1</v>
      </c>
      <c r="Q919" s="83"/>
      <c r="R919" s="87"/>
      <c r="S919" s="47"/>
      <c r="T919" s="47"/>
    </row>
    <row r="920" s="27" customFormat="1" ht="18" customHeight="1" spans="1:21">
      <c r="A920" s="34"/>
      <c r="B920" s="48">
        <v>2</v>
      </c>
      <c r="C920" s="48"/>
      <c r="D920" s="88" t="s">
        <v>404</v>
      </c>
      <c r="E920" s="72" t="str">
        <f>+VLOOKUP(D920,'材料表 '!C:F,2,0)</f>
        <v>kg</v>
      </c>
      <c r="F920" s="77">
        <f t="shared" ref="F920:F932" si="144">+SUMIF($L$906:$L$946,D920,$R$906:$R$946)</f>
        <v>1.4908</v>
      </c>
      <c r="G920" s="89">
        <f>+VLOOKUP(D920,'材料表 '!C:F,4,0)</f>
        <v>0.03</v>
      </c>
      <c r="H920" s="74">
        <f t="shared" si="143"/>
        <v>1.535524</v>
      </c>
      <c r="I920" s="74">
        <f>+VLOOKUP(D920,'材料表 '!C:F,3,0)</f>
        <v>25.6725663716814</v>
      </c>
      <c r="J920" s="51">
        <f t="shared" si="142"/>
        <v>39.4208418053097</v>
      </c>
      <c r="K920" s="75">
        <f ca="1">H920*K905</f>
        <v>63.36339786</v>
      </c>
      <c r="L920" s="69"/>
      <c r="M920" s="70"/>
      <c r="N920" s="83"/>
      <c r="O920" s="83"/>
      <c r="P920" s="83"/>
      <c r="Q920" s="83"/>
      <c r="R920" s="87"/>
      <c r="S920" s="47"/>
      <c r="T920" s="47"/>
    </row>
    <row r="921" s="27" customFormat="1" ht="18" customHeight="1" spans="1:21">
      <c r="A921" s="34"/>
      <c r="B921" s="48">
        <v>3</v>
      </c>
      <c r="C921" s="48"/>
      <c r="D921" s="88" t="s">
        <v>433</v>
      </c>
      <c r="E921" s="72" t="str">
        <f>+VLOOKUP(D921,'材料表 '!C:F,2,0)</f>
        <v>kg</v>
      </c>
      <c r="F921" s="77">
        <f t="shared" si="144"/>
        <v>0</v>
      </c>
      <c r="G921" s="89">
        <f>+VLOOKUP(D921,'材料表 '!C:F,4,0)</f>
        <v>0.03</v>
      </c>
      <c r="H921" s="74">
        <f t="shared" si="143"/>
        <v>0</v>
      </c>
      <c r="I921" s="74">
        <f>+VLOOKUP(D921,'材料表 '!C:F,3,0)</f>
        <v>26.1150442477876</v>
      </c>
      <c r="J921" s="51">
        <f t="shared" si="142"/>
        <v>0</v>
      </c>
      <c r="K921" s="75">
        <f ca="1">H921*K905</f>
        <v>0</v>
      </c>
      <c r="L921" s="69"/>
      <c r="N921" s="83"/>
      <c r="O921" s="83"/>
      <c r="P921" s="83"/>
      <c r="Q921" s="83"/>
      <c r="R921" s="87"/>
      <c r="S921" s="47"/>
      <c r="T921" s="47"/>
    </row>
    <row r="922" s="27" customFormat="1" ht="18" customHeight="1" spans="1:21">
      <c r="A922" s="34"/>
      <c r="B922" s="48">
        <v>4</v>
      </c>
      <c r="C922" s="48"/>
      <c r="D922" s="88" t="s">
        <v>429</v>
      </c>
      <c r="E922" s="72" t="str">
        <f>+VLOOKUP(D922,'材料表 '!C:F,2,0)</f>
        <v>kg</v>
      </c>
      <c r="F922" s="77">
        <f t="shared" si="144"/>
        <v>1.27362195565249</v>
      </c>
      <c r="G922" s="89">
        <f>+VLOOKUP(D922,'材料表 '!C:F,4,0)</f>
        <v>0.03</v>
      </c>
      <c r="H922" s="74">
        <f t="shared" si="143"/>
        <v>1.31183061432206</v>
      </c>
      <c r="I922" s="74">
        <f>+VLOOKUP(D922,'材料表 '!C:F,3,0)</f>
        <v>26.1150442477876</v>
      </c>
      <c r="J922" s="51">
        <f t="shared" si="142"/>
        <v>34.2585145386231</v>
      </c>
      <c r="K922" s="75">
        <f ca="1">H922*K905</f>
        <v>54.1326902999998</v>
      </c>
      <c r="L922" s="90" t="s">
        <v>707</v>
      </c>
      <c r="M922" s="44"/>
      <c r="N922" s="82"/>
      <c r="O922" s="44">
        <f>O914*P914</f>
        <v>1.834</v>
      </c>
      <c r="P922" s="44">
        <v>1</v>
      </c>
      <c r="Q922" s="44">
        <f>+P922*O922</f>
        <v>1.834</v>
      </c>
      <c r="R922" s="84">
        <f>+Q922/R906</f>
        <v>0.4</v>
      </c>
      <c r="S922" s="47"/>
      <c r="T922" s="47"/>
    </row>
    <row r="923" s="27" customFormat="1" ht="18" customHeight="1" spans="1:21">
      <c r="A923" s="34"/>
      <c r="B923" s="48">
        <v>5</v>
      </c>
      <c r="C923" s="48"/>
      <c r="D923" s="88" t="s">
        <v>447</v>
      </c>
      <c r="E923" s="72" t="str">
        <f>+VLOOKUP(D923,'材料表 '!C:F,2,0)</f>
        <v>kg</v>
      </c>
      <c r="F923" s="77">
        <f t="shared" si="144"/>
        <v>1.01511842966194</v>
      </c>
      <c r="G923" s="89">
        <f>+VLOOKUP(D923,'材料表 '!C:F,4,0)</f>
        <v>0.03</v>
      </c>
      <c r="H923" s="74">
        <f t="shared" si="143"/>
        <v>1.0455719825518</v>
      </c>
      <c r="I923" s="74">
        <f>+VLOOKUP(D923,'材料表 '!C:F,3,0)</f>
        <v>24.4336283185841</v>
      </c>
      <c r="J923" s="51">
        <f t="shared" si="142"/>
        <v>25.5471172019957</v>
      </c>
      <c r="K923" s="43">
        <f ca="1">H923*K905</f>
        <v>43.14552786</v>
      </c>
      <c r="L923" s="90" t="s">
        <v>435</v>
      </c>
      <c r="M923" s="44"/>
      <c r="N923" s="82">
        <f>0.073*1.2</f>
        <v>0.0876</v>
      </c>
      <c r="O923" s="44">
        <f>O909*P909*3+O914*P914*4</f>
        <v>14.836</v>
      </c>
      <c r="P923" s="44">
        <v>1</v>
      </c>
      <c r="Q923" s="44">
        <f>+P923*O923</f>
        <v>14.836</v>
      </c>
      <c r="R923" s="84">
        <f>+Q923/R906</f>
        <v>3.23576881134133</v>
      </c>
      <c r="S923" s="47"/>
      <c r="T923" s="47"/>
    </row>
    <row r="924" s="27" customFormat="1" ht="18" customHeight="1" spans="1:21">
      <c r="A924" s="34"/>
      <c r="B924" s="48">
        <v>6</v>
      </c>
      <c r="C924" s="48"/>
      <c r="D924" s="88" t="s">
        <v>434</v>
      </c>
      <c r="E924" s="72" t="str">
        <f>+VLOOKUP(D924,'材料表 '!C:F,2,0)</f>
        <v>m2</v>
      </c>
      <c r="F924" s="77">
        <f>U911+U916</f>
        <v>0.167784078516903</v>
      </c>
      <c r="G924" s="89">
        <f>+VLOOKUP(D924,'材料表 '!C:F,4,0)</f>
        <v>0</v>
      </c>
      <c r="H924" s="74">
        <f t="shared" si="143"/>
        <v>0.167784078516903</v>
      </c>
      <c r="I924" s="74">
        <f>+VLOOKUP(D924,'材料表 '!C:F,3,0)</f>
        <v>49.5575221238938</v>
      </c>
      <c r="J924" s="51">
        <f t="shared" si="142"/>
        <v>8.31496318313855</v>
      </c>
      <c r="K924" s="43">
        <f ca="1">H924*K905</f>
        <v>6.92361</v>
      </c>
      <c r="L924" s="90" t="s">
        <v>463</v>
      </c>
      <c r="M924" s="91" t="s">
        <v>1012</v>
      </c>
      <c r="N924" s="82">
        <f>0.32*0.3*8*7.85</f>
        <v>6.0288</v>
      </c>
      <c r="O924" s="44">
        <v>2</v>
      </c>
      <c r="P924" s="44">
        <f>P909</f>
        <v>1</v>
      </c>
      <c r="Q924" s="44">
        <f t="shared" ref="Q924:Q928" si="145">+P924*O924*N924</f>
        <v>12.0576</v>
      </c>
      <c r="R924" s="84">
        <f>+Q924/R906</f>
        <v>2.62979280261723</v>
      </c>
      <c r="S924" s="47"/>
      <c r="T924" s="47"/>
    </row>
    <row r="925" s="27" customFormat="1" ht="18" customHeight="1" spans="1:21">
      <c r="A925" s="34"/>
      <c r="B925" s="48">
        <v>7</v>
      </c>
      <c r="C925" s="48"/>
      <c r="D925" s="88"/>
      <c r="E925" s="72"/>
      <c r="F925" s="77">
        <f t="shared" si="144"/>
        <v>0</v>
      </c>
      <c r="G925" s="89"/>
      <c r="H925" s="74"/>
      <c r="I925" s="74"/>
      <c r="J925" s="51"/>
      <c r="K925" s="43">
        <f ca="1">H925*K905</f>
        <v>0</v>
      </c>
      <c r="L925" s="69" t="s">
        <v>465</v>
      </c>
      <c r="M925" s="81" t="s">
        <v>1013</v>
      </c>
      <c r="N925" s="34">
        <v>9.88</v>
      </c>
      <c r="O925" s="34">
        <f>0.13</f>
        <v>0.13</v>
      </c>
      <c r="P925" s="34">
        <f>4*P924*O924</f>
        <v>8</v>
      </c>
      <c r="Q925" s="44">
        <f t="shared" si="145"/>
        <v>10.2752</v>
      </c>
      <c r="R925" s="84">
        <f>Q925/R906</f>
        <v>2.24104689203926</v>
      </c>
      <c r="S925" s="47"/>
      <c r="T925" s="47"/>
    </row>
    <row r="926" s="27" customFormat="1" ht="18" customHeight="1" spans="1:21">
      <c r="A926" s="34"/>
      <c r="B926" s="48">
        <v>8</v>
      </c>
      <c r="C926" s="48"/>
      <c r="D926" s="88" t="s">
        <v>431</v>
      </c>
      <c r="E926" s="72" t="str">
        <f>+VLOOKUP(D926,'材料表 '!C:F,2,0)</f>
        <v>kg</v>
      </c>
      <c r="F926" s="77">
        <f t="shared" si="144"/>
        <v>0</v>
      </c>
      <c r="G926" s="89">
        <f>+VLOOKUP(D926,'材料表 '!C:F,4,0)</f>
        <v>0.03</v>
      </c>
      <c r="H926" s="74">
        <f t="shared" ref="H926:H938" si="146">F926*(G926+1)</f>
        <v>0</v>
      </c>
      <c r="I926" s="74">
        <f>+VLOOKUP(D926,'材料表 '!C:F,3,0)</f>
        <v>3.80530973451327</v>
      </c>
      <c r="J926" s="51">
        <f t="shared" ref="J926:J938" si="147">H926*I926</f>
        <v>0</v>
      </c>
      <c r="K926" s="43">
        <f ca="1">H926*K905</f>
        <v>0</v>
      </c>
      <c r="L926" s="90" t="s">
        <v>474</v>
      </c>
      <c r="M926" s="44"/>
      <c r="N926" s="82"/>
      <c r="O926" s="44">
        <v>4</v>
      </c>
      <c r="P926" s="44">
        <v>8</v>
      </c>
      <c r="Q926" s="44">
        <f>O926*P926</f>
        <v>32</v>
      </c>
      <c r="R926" s="84">
        <f>Q926/R906</f>
        <v>6.97928026172301</v>
      </c>
      <c r="S926" s="47"/>
      <c r="T926" s="47"/>
    </row>
    <row r="927" s="27" customFormat="1" ht="18" customHeight="1" spans="1:21">
      <c r="A927" s="34"/>
      <c r="B927" s="48">
        <v>9</v>
      </c>
      <c r="C927" s="48"/>
      <c r="D927" s="88" t="s">
        <v>461</v>
      </c>
      <c r="E927" s="72" t="str">
        <f>+VLOOKUP(D927,'材料表 '!C:F,2,0)</f>
        <v>kg</v>
      </c>
      <c r="F927" s="77">
        <f t="shared" si="144"/>
        <v>0</v>
      </c>
      <c r="G927" s="89">
        <f>+VLOOKUP(D927,'材料表 '!C:F,4,0)</f>
        <v>0.03</v>
      </c>
      <c r="H927" s="74">
        <f t="shared" si="146"/>
        <v>0</v>
      </c>
      <c r="I927" s="74">
        <f>+VLOOKUP(D927,'材料表 '!C:F,3,0)</f>
        <v>3.53982300884956</v>
      </c>
      <c r="J927" s="51">
        <f t="shared" si="147"/>
        <v>0</v>
      </c>
      <c r="K927" s="43">
        <f ca="1">H927*K905</f>
        <v>0</v>
      </c>
      <c r="L927" s="90" t="s">
        <v>472</v>
      </c>
      <c r="M927" s="91"/>
      <c r="N927" s="82"/>
      <c r="O927" s="44">
        <v>2</v>
      </c>
      <c r="P927" s="44">
        <f>O924*P924</f>
        <v>2</v>
      </c>
      <c r="Q927" s="44">
        <f>O927*P927</f>
        <v>4</v>
      </c>
      <c r="R927" s="84">
        <f>Q927/R906</f>
        <v>0.872410032715376</v>
      </c>
      <c r="S927" s="47"/>
      <c r="T927" s="47"/>
    </row>
    <row r="928" s="27" customFormat="1" ht="18" customHeight="1" spans="1:21">
      <c r="A928" s="34"/>
      <c r="B928" s="48">
        <v>10</v>
      </c>
      <c r="C928" s="48"/>
      <c r="D928" s="88" t="s">
        <v>435</v>
      </c>
      <c r="E928" s="72" t="str">
        <f>+VLOOKUP(D928,'材料表 '!C:F,2,0)</f>
        <v>kg</v>
      </c>
      <c r="F928" s="77">
        <f t="shared" si="144"/>
        <v>3.23576881134133</v>
      </c>
      <c r="G928" s="89">
        <f>+VLOOKUP(D928,'材料表 '!C:F,4,0)</f>
        <v>0.03</v>
      </c>
      <c r="H928" s="74">
        <f t="shared" si="146"/>
        <v>3.33284187568157</v>
      </c>
      <c r="I928" s="74">
        <f>+VLOOKUP(D928,'材料表 '!C:F,3,0)</f>
        <v>19.4690265486726</v>
      </c>
      <c r="J928" s="51">
        <f t="shared" si="147"/>
        <v>64.8871869601723</v>
      </c>
      <c r="K928" s="43">
        <f ca="1">H928*K905</f>
        <v>137.52972</v>
      </c>
      <c r="L928" s="69" t="s">
        <v>465</v>
      </c>
      <c r="M928" s="91"/>
      <c r="N928" s="82">
        <f>(0.058+0.04*2)*5*7.85</f>
        <v>5.4165</v>
      </c>
      <c r="O928" s="44">
        <f>O906</f>
        <v>1.834</v>
      </c>
      <c r="P928" s="44">
        <v>1</v>
      </c>
      <c r="Q928" s="44">
        <f t="shared" si="145"/>
        <v>9.933861</v>
      </c>
      <c r="R928" s="84">
        <f>+Q928/R906</f>
        <v>2.1666</v>
      </c>
      <c r="S928" s="47"/>
      <c r="T928" s="47"/>
    </row>
    <row r="929" s="27" customFormat="1" ht="18" customHeight="1" spans="1:20">
      <c r="A929" s="34"/>
      <c r="B929" s="48">
        <v>11</v>
      </c>
      <c r="C929" s="48"/>
      <c r="D929" s="88" t="s">
        <v>463</v>
      </c>
      <c r="E929" s="72" t="str">
        <f>+VLOOKUP(D929,'材料表 '!C:F,2,0)</f>
        <v>kg</v>
      </c>
      <c r="F929" s="77">
        <f t="shared" si="144"/>
        <v>2.62979280261723</v>
      </c>
      <c r="G929" s="89">
        <f>+VLOOKUP(D929,'材料表 '!C:F,4,0)</f>
        <v>0.03</v>
      </c>
      <c r="H929" s="74">
        <f t="shared" si="146"/>
        <v>2.70868658669575</v>
      </c>
      <c r="I929" s="74">
        <f>+VLOOKUP(D929,'材料表 '!C:F,3,0)</f>
        <v>6.01769911504425</v>
      </c>
      <c r="J929" s="51">
        <f t="shared" si="147"/>
        <v>16.3000608756912</v>
      </c>
      <c r="K929" s="43">
        <f ca="1">H929*K905</f>
        <v>111.773952</v>
      </c>
      <c r="L929" s="69" t="s">
        <v>461</v>
      </c>
      <c r="N929" s="83"/>
      <c r="O929" s="83"/>
      <c r="P929" s="83"/>
      <c r="Q929" s="83"/>
      <c r="R929" s="84"/>
      <c r="S929" s="47"/>
      <c r="T929" s="47"/>
    </row>
    <row r="930" s="27" customFormat="1" ht="18" customHeight="1" spans="1:20">
      <c r="A930" s="34"/>
      <c r="B930" s="48">
        <v>12</v>
      </c>
      <c r="C930" s="48"/>
      <c r="D930" s="88" t="s">
        <v>465</v>
      </c>
      <c r="E930" s="72" t="str">
        <f>+VLOOKUP(D930,'材料表 '!C:F,2,0)</f>
        <v>kg</v>
      </c>
      <c r="F930" s="77">
        <f t="shared" si="144"/>
        <v>4.40764689203926</v>
      </c>
      <c r="G930" s="89">
        <f>+VLOOKUP(D930,'材料表 '!C:F,4,0)</f>
        <v>0.03</v>
      </c>
      <c r="H930" s="74">
        <f t="shared" si="146"/>
        <v>4.53987629880044</v>
      </c>
      <c r="I930" s="74">
        <f>+VLOOKUP(D930,'材料表 '!C:F,3,0)</f>
        <v>6.01769911504425</v>
      </c>
      <c r="J930" s="51">
        <f t="shared" si="147"/>
        <v>27.3196095857018</v>
      </c>
      <c r="K930" s="43">
        <f ca="1">H930*K905</f>
        <v>187.33799547</v>
      </c>
      <c r="L930" s="90"/>
      <c r="M930" s="44"/>
      <c r="N930" s="82"/>
      <c r="O930" s="44"/>
      <c r="P930" s="44"/>
      <c r="Q930" s="44"/>
      <c r="R930" s="84"/>
      <c r="S930" s="47"/>
      <c r="T930" s="47"/>
    </row>
    <row r="931" s="27" customFormat="1" ht="18" customHeight="1" spans="1:20">
      <c r="A931" s="34"/>
      <c r="B931" s="48">
        <v>13</v>
      </c>
      <c r="C931" s="48"/>
      <c r="D931" s="88" t="s">
        <v>474</v>
      </c>
      <c r="E931" s="72" t="str">
        <f>+VLOOKUP(D931,'材料表 '!C:F,2,0)</f>
        <v>套</v>
      </c>
      <c r="F931" s="77">
        <f t="shared" si="144"/>
        <v>6.97928026172301</v>
      </c>
      <c r="G931" s="89">
        <f>+VLOOKUP(D931,'材料表 '!C:F,4,0)</f>
        <v>0</v>
      </c>
      <c r="H931" s="74">
        <f t="shared" si="146"/>
        <v>6.97928026172301</v>
      </c>
      <c r="I931" s="74">
        <f>+VLOOKUP(D931,'材料表 '!C:F,3,0)</f>
        <v>2.21238938053097</v>
      </c>
      <c r="J931" s="51">
        <f t="shared" si="147"/>
        <v>15.4408855347854</v>
      </c>
      <c r="K931" s="43">
        <f ca="1">H931*K905</f>
        <v>288</v>
      </c>
      <c r="L931" s="90"/>
      <c r="M931" s="44"/>
      <c r="N931" s="82"/>
      <c r="O931" s="44"/>
      <c r="P931" s="44"/>
      <c r="Q931" s="44"/>
      <c r="R931" s="84"/>
      <c r="S931" s="47"/>
      <c r="T931" s="47"/>
    </row>
    <row r="932" s="27" customFormat="1" ht="18" customHeight="1" spans="1:20">
      <c r="A932" s="34"/>
      <c r="B932" s="48">
        <v>14</v>
      </c>
      <c r="C932" s="48"/>
      <c r="D932" s="88" t="s">
        <v>472</v>
      </c>
      <c r="E932" s="72" t="str">
        <f>+VLOOKUP(D932,'材料表 '!C:F,2,0)</f>
        <v>套</v>
      </c>
      <c r="F932" s="77">
        <f t="shared" si="144"/>
        <v>0.872410032715376</v>
      </c>
      <c r="G932" s="89">
        <f>+VLOOKUP(D932,'材料表 '!C:F,4,0)</f>
        <v>0</v>
      </c>
      <c r="H932" s="74">
        <f t="shared" si="146"/>
        <v>0.872410032715376</v>
      </c>
      <c r="I932" s="74">
        <f>+VLOOKUP(D932,'材料表 '!C:F,3,0)</f>
        <v>2.47787610619469</v>
      </c>
      <c r="J932" s="51">
        <f t="shared" si="147"/>
        <v>2.16172397486996</v>
      </c>
      <c r="K932" s="43">
        <f ca="1">H932*K905</f>
        <v>36</v>
      </c>
      <c r="L932" s="90"/>
      <c r="M932" s="44"/>
      <c r="N932" s="82"/>
      <c r="O932" s="44"/>
      <c r="P932" s="44"/>
      <c r="Q932" s="44"/>
      <c r="R932" s="84"/>
      <c r="S932" s="47"/>
      <c r="T932" s="47"/>
    </row>
    <row r="933" s="27" customFormat="1" ht="18" customHeight="1" spans="1:20">
      <c r="A933" s="34"/>
      <c r="B933" s="48">
        <v>15</v>
      </c>
      <c r="C933" s="48"/>
      <c r="D933" s="88" t="s">
        <v>476</v>
      </c>
      <c r="E933" s="72" t="str">
        <f>+VLOOKUP(D933,'材料表 '!C:F,2,0)</f>
        <v>支</v>
      </c>
      <c r="F933" s="77">
        <f>8*8*(O914*P914*2)/500/R906+16*8*(O909*P909+O914*P914)/500/R906</f>
        <v>0.34438560523446</v>
      </c>
      <c r="G933" s="89">
        <f>+VLOOKUP(D933,'材料表 '!C:F,4,0)</f>
        <v>0.15</v>
      </c>
      <c r="H933" s="74">
        <f t="shared" si="146"/>
        <v>0.396043446019629</v>
      </c>
      <c r="I933" s="74">
        <f>+VLOOKUP(D933,'材料表 '!C:F,3,0)</f>
        <v>11.5044247787611</v>
      </c>
      <c r="J933" s="51">
        <f t="shared" si="147"/>
        <v>4.55625203385415</v>
      </c>
      <c r="K933" s="43">
        <f ca="1">H933*K905</f>
        <v>16.3427328</v>
      </c>
      <c r="L933" s="92"/>
      <c r="M933" s="44"/>
      <c r="N933" s="82"/>
      <c r="O933" s="44"/>
      <c r="P933" s="44"/>
      <c r="Q933" s="44"/>
      <c r="R933" s="84"/>
      <c r="S933" s="47"/>
      <c r="T933" s="47"/>
    </row>
    <row r="934" s="27" customFormat="1" ht="18" customHeight="1" spans="1:20">
      <c r="A934" s="34"/>
      <c r="B934" s="48">
        <v>16</v>
      </c>
      <c r="C934" s="48"/>
      <c r="D934" s="88" t="s">
        <v>576</v>
      </c>
      <c r="E934" s="72" t="str">
        <f>+VLOOKUP(D934,'材料表 '!C:F,2,0)</f>
        <v>支</v>
      </c>
      <c r="F934" s="77">
        <v>0</v>
      </c>
      <c r="G934" s="89">
        <f>+VLOOKUP(D934,'材料表 '!C:F,4,0)</f>
        <v>0.15</v>
      </c>
      <c r="H934" s="74">
        <f t="shared" si="146"/>
        <v>0</v>
      </c>
      <c r="I934" s="74">
        <f>+VLOOKUP(D934,'材料表 '!C:F,3,0)</f>
        <v>14.1592920353982</v>
      </c>
      <c r="J934" s="51">
        <f t="shared" si="147"/>
        <v>0</v>
      </c>
      <c r="K934" s="43">
        <f ca="1">H934*K905</f>
        <v>0</v>
      </c>
      <c r="L934" s="92"/>
      <c r="M934" s="44"/>
      <c r="N934" s="82"/>
      <c r="O934" s="44"/>
      <c r="P934" s="44"/>
      <c r="Q934" s="44"/>
      <c r="R934" s="84"/>
      <c r="S934" s="47"/>
      <c r="T934" s="47"/>
    </row>
    <row r="935" s="27" customFormat="1" ht="18" customHeight="1" spans="1:20">
      <c r="A935" s="34"/>
      <c r="B935" s="48">
        <v>17</v>
      </c>
      <c r="C935" s="48"/>
      <c r="D935" s="88" t="s">
        <v>479</v>
      </c>
      <c r="E935" s="72" t="str">
        <f>+VLOOKUP(D935,'材料表 '!C:F,2,0)</f>
        <v>kg</v>
      </c>
      <c r="F935" s="77">
        <f>R928</f>
        <v>2.1666</v>
      </c>
      <c r="G935" s="89">
        <f>+VLOOKUP(D935,'材料表 '!C:F,4,0)</f>
        <v>0.03</v>
      </c>
      <c r="H935" s="74">
        <f t="shared" si="146"/>
        <v>2.231598</v>
      </c>
      <c r="I935" s="74">
        <f>+VLOOKUP(D935,'材料表 '!C:F,3,0)</f>
        <v>14.1592920353982</v>
      </c>
      <c r="J935" s="51">
        <f t="shared" si="147"/>
        <v>31.5978477876106</v>
      </c>
      <c r="K935" s="43">
        <f ca="1">H935*K905</f>
        <v>92.08689147</v>
      </c>
      <c r="L935" s="92"/>
      <c r="M935" s="44"/>
      <c r="N935" s="82"/>
      <c r="O935" s="44"/>
      <c r="P935" s="44"/>
      <c r="Q935" s="44"/>
      <c r="R935" s="84"/>
      <c r="S935" s="47"/>
      <c r="T935" s="47"/>
    </row>
    <row r="936" s="27" customFormat="1" ht="18" customHeight="1" spans="1:20">
      <c r="A936" s="34"/>
      <c r="B936" s="48">
        <v>18</v>
      </c>
      <c r="C936" s="48"/>
      <c r="D936" s="88" t="s">
        <v>500</v>
      </c>
      <c r="E936" s="72" t="str">
        <f>+VLOOKUP(D936,'材料表 '!C:F,2,0)</f>
        <v>kg</v>
      </c>
      <c r="F936" s="77">
        <f>R914+R915+R916+R917</f>
        <v>2.20556728462377</v>
      </c>
      <c r="G936" s="89">
        <f>+VLOOKUP(D936,'材料表 '!C:F,4,0)</f>
        <v>0.03</v>
      </c>
      <c r="H936" s="74">
        <f t="shared" si="146"/>
        <v>2.27173430316248</v>
      </c>
      <c r="I936" s="74">
        <f>+VLOOKUP(D936,'材料表 '!C:F,3,0)</f>
        <v>14.1592920353982</v>
      </c>
      <c r="J936" s="51">
        <f t="shared" si="147"/>
        <v>32.1661494253094</v>
      </c>
      <c r="K936" s="43">
        <f ca="1">H936*K905</f>
        <v>93.7431160199997</v>
      </c>
      <c r="L936" s="92"/>
      <c r="M936" s="44"/>
      <c r="N936" s="82"/>
      <c r="O936" s="44"/>
      <c r="P936" s="44"/>
      <c r="Q936" s="44"/>
      <c r="R936" s="84"/>
      <c r="S936" s="47"/>
      <c r="T936" s="47"/>
    </row>
    <row r="937" s="27" customFormat="1" ht="32" customHeight="1" spans="1:20">
      <c r="A937" s="34"/>
      <c r="B937" s="48">
        <v>19</v>
      </c>
      <c r="C937" s="48"/>
      <c r="D937" s="88" t="s">
        <v>690</v>
      </c>
      <c r="E937" s="72" t="str">
        <f>+VLOOKUP(D937,'材料表 '!C:F,2,0)</f>
        <v>m2</v>
      </c>
      <c r="F937" s="77">
        <v>1</v>
      </c>
      <c r="G937" s="89">
        <f>+VLOOKUP(D937,'材料表 '!C:F,4,0)</f>
        <v>0.01</v>
      </c>
      <c r="H937" s="74">
        <f t="shared" si="146"/>
        <v>1.01</v>
      </c>
      <c r="I937" s="74">
        <f>+VLOOKUP(D937,'材料表 '!C:F,3,0)</f>
        <v>794.690265486726</v>
      </c>
      <c r="J937" s="51">
        <f t="shared" si="147"/>
        <v>802.637168141593</v>
      </c>
      <c r="K937" s="43">
        <f ca="1">H937*K905</f>
        <v>41.67765</v>
      </c>
      <c r="L937" s="90"/>
      <c r="M937" s="44"/>
      <c r="N937" s="82"/>
      <c r="O937" s="44"/>
      <c r="P937" s="44"/>
      <c r="Q937" s="44"/>
      <c r="R937" s="84"/>
      <c r="S937" s="47"/>
      <c r="T937" s="47"/>
    </row>
    <row r="938" s="27" customFormat="1" ht="21" customHeight="1" spans="1:20">
      <c r="A938" s="34"/>
      <c r="B938" s="48">
        <v>20</v>
      </c>
      <c r="C938" s="48"/>
      <c r="D938" s="88" t="s">
        <v>1043</v>
      </c>
      <c r="E938" s="72" t="str">
        <f>+VLOOKUP(D938,'材料表 '!C:F,2,0)</f>
        <v>套</v>
      </c>
      <c r="F938" s="77">
        <f>P917/R906</f>
        <v>0.436205016357688</v>
      </c>
      <c r="G938" s="89">
        <f>+VLOOKUP(D938,'材料表 '!C:F,4,0)</f>
        <v>0</v>
      </c>
      <c r="H938" s="74">
        <f t="shared" si="146"/>
        <v>0.436205016357688</v>
      </c>
      <c r="I938" s="74">
        <f>+VLOOKUP(D938,'材料表 '!C:F,3,0)</f>
        <v>1.32743362831858</v>
      </c>
      <c r="J938" s="51">
        <f t="shared" si="147"/>
        <v>0.579033207554451</v>
      </c>
      <c r="K938" s="43">
        <f ca="1">H938*K905</f>
        <v>18</v>
      </c>
      <c r="L938" s="90"/>
      <c r="M938" s="44"/>
      <c r="N938" s="82"/>
      <c r="O938" s="44"/>
      <c r="P938" s="44"/>
      <c r="Q938" s="44"/>
      <c r="R938" s="84"/>
      <c r="S938" s="47"/>
      <c r="T938" s="47"/>
    </row>
    <row r="939" s="27" customFormat="1" ht="18" customHeight="1" spans="1:20">
      <c r="A939" s="34"/>
      <c r="B939" s="48">
        <v>21</v>
      </c>
      <c r="C939" s="48"/>
      <c r="D939" s="88"/>
      <c r="E939" s="72"/>
      <c r="F939" s="77"/>
      <c r="G939" s="89"/>
      <c r="H939" s="74"/>
      <c r="I939" s="74"/>
      <c r="J939" s="51"/>
      <c r="K939" s="43">
        <f ca="1">H939*K905</f>
        <v>0</v>
      </c>
      <c r="L939" s="92"/>
      <c r="M939" s="44"/>
      <c r="N939" s="82"/>
      <c r="O939" s="44"/>
      <c r="P939" s="44"/>
      <c r="Q939" s="44"/>
      <c r="R939" s="84"/>
      <c r="S939" s="47"/>
      <c r="T939" s="47"/>
    </row>
    <row r="940" s="27" customFormat="1" ht="18" customHeight="1" spans="1:20">
      <c r="A940" s="34"/>
      <c r="B940" s="48">
        <v>22</v>
      </c>
      <c r="C940" s="48"/>
      <c r="D940" s="88"/>
      <c r="E940" s="72"/>
      <c r="F940" s="77"/>
      <c r="G940" s="89"/>
      <c r="H940" s="74"/>
      <c r="I940" s="74"/>
      <c r="J940" s="51"/>
      <c r="K940" s="43">
        <f ca="1">H940*K905</f>
        <v>0</v>
      </c>
      <c r="L940" s="92"/>
      <c r="M940" s="44"/>
      <c r="N940" s="44"/>
      <c r="O940" s="44"/>
      <c r="P940" s="44"/>
      <c r="Q940" s="44"/>
      <c r="R940" s="84"/>
      <c r="S940" s="47"/>
      <c r="T940" s="47"/>
    </row>
    <row r="941" s="27" customFormat="1" ht="18" customHeight="1" spans="1:20">
      <c r="A941" s="34"/>
      <c r="B941" s="48">
        <v>23</v>
      </c>
      <c r="C941" s="48"/>
      <c r="D941" s="88"/>
      <c r="E941" s="72"/>
      <c r="F941" s="77"/>
      <c r="G941" s="89"/>
      <c r="H941" s="74"/>
      <c r="I941" s="74"/>
      <c r="J941" s="51"/>
      <c r="K941" s="75">
        <f ca="1">H941*K905</f>
        <v>0</v>
      </c>
      <c r="L941" s="92"/>
      <c r="M941" s="44"/>
      <c r="N941" s="44"/>
      <c r="O941" s="44"/>
      <c r="P941" s="44"/>
      <c r="Q941" s="44"/>
      <c r="R941" s="84"/>
      <c r="S941" s="47"/>
      <c r="T941" s="47"/>
    </row>
    <row r="942" s="27" customFormat="1" ht="18" customHeight="1" spans="1:20">
      <c r="A942" s="34"/>
      <c r="B942" s="48">
        <v>24</v>
      </c>
      <c r="C942" s="48"/>
      <c r="D942" s="88"/>
      <c r="E942" s="72"/>
      <c r="F942" s="77"/>
      <c r="G942" s="89"/>
      <c r="H942" s="74"/>
      <c r="I942" s="74"/>
      <c r="J942" s="51"/>
      <c r="K942" s="75">
        <f ca="1">H942*K905</f>
        <v>0</v>
      </c>
      <c r="L942" s="92"/>
      <c r="M942" s="44"/>
      <c r="N942" s="44"/>
      <c r="O942" s="44"/>
      <c r="P942" s="44"/>
      <c r="Q942" s="44"/>
      <c r="R942" s="84"/>
      <c r="S942" s="47"/>
      <c r="T942" s="47"/>
    </row>
    <row r="943" s="27" customFormat="1" ht="18" customHeight="1" spans="1:20">
      <c r="A943" s="34"/>
      <c r="B943" s="48">
        <v>25</v>
      </c>
      <c r="C943" s="48"/>
      <c r="D943" s="88"/>
      <c r="E943" s="72"/>
      <c r="F943" s="77"/>
      <c r="G943" s="89"/>
      <c r="H943" s="74"/>
      <c r="I943" s="74"/>
      <c r="J943" s="51"/>
      <c r="K943" s="75"/>
      <c r="L943" s="92"/>
      <c r="M943" s="44"/>
      <c r="N943" s="44"/>
      <c r="O943" s="44"/>
      <c r="P943" s="44"/>
      <c r="Q943" s="44"/>
      <c r="R943" s="84"/>
      <c r="S943" s="47"/>
      <c r="T943" s="47"/>
    </row>
    <row r="944" s="27" customFormat="1" ht="18" customHeight="1" spans="1:20">
      <c r="A944" s="34"/>
      <c r="B944" s="48">
        <v>26</v>
      </c>
      <c r="C944" s="48"/>
      <c r="D944" s="88" t="s">
        <v>441</v>
      </c>
      <c r="E944" s="72" t="s">
        <v>43</v>
      </c>
      <c r="F944" s="77"/>
      <c r="G944" s="72">
        <v>1</v>
      </c>
      <c r="H944" s="74">
        <v>1</v>
      </c>
      <c r="I944" s="74">
        <f>+辅材及安装费!$E$19</f>
        <v>10</v>
      </c>
      <c r="J944" s="51">
        <f>H944*I944</f>
        <v>10</v>
      </c>
      <c r="K944" s="75"/>
      <c r="L944" s="92"/>
      <c r="M944" s="44"/>
      <c r="N944" s="44"/>
      <c r="O944" s="44"/>
      <c r="P944" s="44"/>
      <c r="Q944" s="44"/>
      <c r="R944" s="62"/>
      <c r="S944" s="47"/>
      <c r="T944" s="47"/>
    </row>
    <row r="945" s="27" customFormat="1" ht="18" customHeight="1" spans="1:21">
      <c r="A945" s="34"/>
      <c r="B945" s="48">
        <v>27</v>
      </c>
      <c r="C945" s="48"/>
      <c r="D945" s="93" t="s">
        <v>442</v>
      </c>
      <c r="E945" s="72"/>
      <c r="F945" s="77"/>
      <c r="G945" s="72"/>
      <c r="H945" s="74"/>
      <c r="I945" s="74"/>
      <c r="J945" s="51">
        <f>SUM(J919:J944)</f>
        <v>1160.35121066562</v>
      </c>
      <c r="K945" s="75"/>
      <c r="L945" s="94"/>
      <c r="N945" s="83"/>
      <c r="O945" s="83"/>
      <c r="P945" s="83"/>
      <c r="Q945" s="83"/>
      <c r="R945" s="87"/>
      <c r="S945" s="47"/>
      <c r="T945" s="47"/>
    </row>
    <row r="946" s="27" customFormat="1" ht="18" customHeight="1" spans="1:21">
      <c r="A946" s="34"/>
      <c r="B946" s="48">
        <v>1</v>
      </c>
      <c r="C946" s="48" t="s">
        <v>443</v>
      </c>
      <c r="D946" s="48" t="s">
        <v>444</v>
      </c>
      <c r="E946" s="72" t="s">
        <v>43</v>
      </c>
      <c r="F946" s="50"/>
      <c r="G946" s="48"/>
      <c r="H946" s="51">
        <v>1</v>
      </c>
      <c r="I946" s="74">
        <f>+辅材及安装费!$F$19</f>
        <v>5</v>
      </c>
      <c r="J946" s="95">
        <f>H946*I946</f>
        <v>5</v>
      </c>
      <c r="K946" s="60"/>
      <c r="L946" s="96"/>
      <c r="M946" s="97"/>
      <c r="N946" s="98"/>
      <c r="O946" s="98"/>
      <c r="P946" s="98"/>
      <c r="Q946" s="98"/>
      <c r="R946" s="99"/>
      <c r="S946" s="47"/>
      <c r="T946" s="47"/>
    </row>
    <row r="947" s="26" customFormat="1" ht="30" customHeight="1" spans="1:21">
      <c r="A947" s="28"/>
      <c r="B947" s="29" t="s">
        <v>386</v>
      </c>
      <c r="C947" s="29"/>
      <c r="D947" s="29"/>
      <c r="E947" s="29"/>
      <c r="F947" s="29"/>
      <c r="G947" s="29"/>
      <c r="H947" s="29"/>
      <c r="I947" s="29"/>
      <c r="J947" s="29"/>
      <c r="K947" s="29"/>
      <c r="L947" s="30"/>
      <c r="M947" s="31"/>
      <c r="N947" s="31"/>
      <c r="O947" s="31"/>
      <c r="P947" s="31"/>
      <c r="Q947" s="31"/>
      <c r="R947" s="32"/>
      <c r="S947" s="33"/>
      <c r="T947" s="33"/>
    </row>
    <row r="948" s="27" customFormat="1" ht="33.75" customHeight="1" spans="1:21">
      <c r="A948" s="34">
        <v>23</v>
      </c>
      <c r="B948" s="35" t="s">
        <v>1</v>
      </c>
      <c r="C948" s="35" t="s">
        <v>387</v>
      </c>
      <c r="D948" s="36" t="str">
        <f>+A956</f>
        <v>首层明框玻璃幕墙（15Low-E(双银)+12A+15㎜全超白钢化中空玻璃）</v>
      </c>
      <c r="E948" s="37"/>
      <c r="F948" s="38" t="s">
        <v>225</v>
      </c>
      <c r="G948" s="39"/>
      <c r="H948" s="35" t="s">
        <v>388</v>
      </c>
      <c r="I948" s="40" t="s">
        <v>389</v>
      </c>
      <c r="J948" s="41" t="s">
        <v>37</v>
      </c>
      <c r="K948" s="42">
        <f ca="1">VLOOKUP(A948,'商业工程量清单 '!$A$4:$D$44,4,FALSE)</f>
        <v>15.515</v>
      </c>
      <c r="L948" s="43"/>
      <c r="M948" s="44"/>
      <c r="N948" s="44"/>
      <c r="O948" s="44"/>
      <c r="P948" s="45"/>
      <c r="Q948" s="44"/>
      <c r="R948" s="46"/>
      <c r="S948" s="47"/>
      <c r="T948" s="47"/>
    </row>
    <row r="949" s="27" customFormat="1" ht="25" customHeight="1" spans="1:21">
      <c r="A949" s="34"/>
      <c r="B949" s="48">
        <v>1</v>
      </c>
      <c r="C949" s="49" t="s">
        <v>390</v>
      </c>
      <c r="D949" s="48" t="s">
        <v>391</v>
      </c>
      <c r="E949" s="48"/>
      <c r="F949" s="50"/>
      <c r="G949" s="48"/>
      <c r="H949" s="51"/>
      <c r="I949" s="52">
        <f>J961</f>
        <v>170</v>
      </c>
      <c r="J949" s="53" t="s">
        <v>392</v>
      </c>
      <c r="K949" s="54"/>
      <c r="L949" s="55" t="s">
        <v>1036</v>
      </c>
      <c r="M949" s="56"/>
      <c r="N949" s="57"/>
      <c r="O949" s="57">
        <v>3.103</v>
      </c>
      <c r="P949" s="57">
        <v>2.5</v>
      </c>
      <c r="Q949" s="57">
        <v>1</v>
      </c>
      <c r="R949" s="58">
        <f>+Q949*P949*O949</f>
        <v>7.7575</v>
      </c>
      <c r="S949" s="47"/>
      <c r="T949" s="47"/>
    </row>
    <row r="950" s="27" customFormat="1" ht="18" customHeight="1" spans="1:21">
      <c r="A950" s="34"/>
      <c r="B950" s="48">
        <v>2</v>
      </c>
      <c r="C950" s="59"/>
      <c r="D950" s="48" t="s">
        <v>394</v>
      </c>
      <c r="E950" s="48"/>
      <c r="F950" s="50"/>
      <c r="G950" s="48"/>
      <c r="H950" s="51"/>
      <c r="I950" s="52">
        <f>J988</f>
        <v>488.249375192085</v>
      </c>
      <c r="J950" s="53" t="s">
        <v>392</v>
      </c>
      <c r="K950" s="60"/>
      <c r="L950" s="61"/>
      <c r="M950" s="44"/>
      <c r="N950" s="44"/>
      <c r="O950" s="44"/>
      <c r="P950" s="44"/>
      <c r="Q950" s="44"/>
      <c r="R950" s="62"/>
      <c r="S950" s="47"/>
      <c r="T950" s="47"/>
    </row>
    <row r="951" s="27" customFormat="1" ht="18" customHeight="1" spans="1:21">
      <c r="A951" s="34"/>
      <c r="B951" s="48">
        <v>3</v>
      </c>
      <c r="C951" s="63"/>
      <c r="D951" s="48" t="s">
        <v>395</v>
      </c>
      <c r="E951" s="48"/>
      <c r="F951" s="50"/>
      <c r="G951" s="48"/>
      <c r="H951" s="51"/>
      <c r="I951" s="52">
        <f>J989</f>
        <v>5</v>
      </c>
      <c r="J951" s="53" t="s">
        <v>392</v>
      </c>
      <c r="K951" s="60"/>
      <c r="L951" s="60"/>
      <c r="M951" s="64" t="s">
        <v>396</v>
      </c>
      <c r="N951" s="65" t="s">
        <v>397</v>
      </c>
      <c r="O951" s="65" t="s">
        <v>398</v>
      </c>
      <c r="P951" s="65" t="s">
        <v>399</v>
      </c>
      <c r="Q951" s="65" t="s">
        <v>400</v>
      </c>
      <c r="R951" s="66" t="s">
        <v>401</v>
      </c>
      <c r="S951" s="47"/>
      <c r="T951" s="47"/>
    </row>
    <row r="952" s="27" customFormat="1" ht="18" customHeight="1" spans="1:21">
      <c r="A952" s="34"/>
      <c r="B952" s="48">
        <v>4</v>
      </c>
      <c r="C952" s="48" t="s">
        <v>402</v>
      </c>
      <c r="D952" s="67" t="s">
        <v>403</v>
      </c>
      <c r="E952" s="67"/>
      <c r="F952" s="50"/>
      <c r="G952" s="67"/>
      <c r="H952" s="68"/>
      <c r="I952" s="52">
        <f>SUM(I949:I951)</f>
        <v>663.249375192085</v>
      </c>
      <c r="J952" s="53" t="s">
        <v>392</v>
      </c>
      <c r="K952" s="60"/>
      <c r="L952" s="69" t="s">
        <v>427</v>
      </c>
      <c r="M952" s="70" t="s">
        <v>1007</v>
      </c>
      <c r="N952" s="34">
        <v>3.111</v>
      </c>
      <c r="O952" s="34">
        <f>P949</f>
        <v>2.5</v>
      </c>
      <c r="P952" s="34">
        <v>1</v>
      </c>
      <c r="Q952" s="44">
        <f t="shared" ref="Q952:Q960" si="148">+P952*O952*N952</f>
        <v>7.7775</v>
      </c>
      <c r="R952" s="71">
        <f>+Q952/R949</f>
        <v>1.00257815017725</v>
      </c>
      <c r="S952" s="47"/>
      <c r="T952" s="47"/>
    </row>
    <row r="953" s="27" customFormat="1" ht="28" customHeight="1" spans="1:21">
      <c r="A953" s="34"/>
      <c r="B953" s="48">
        <v>5</v>
      </c>
      <c r="C953" s="72" t="s">
        <v>406</v>
      </c>
      <c r="D953" s="48" t="s">
        <v>407</v>
      </c>
      <c r="E953" s="48"/>
      <c r="F953" s="50"/>
      <c r="G953" s="48"/>
      <c r="H953" s="73">
        <f>+'材料表 '!$E$178</f>
        <v>0</v>
      </c>
      <c r="I953" s="52">
        <f>H953*I952</f>
        <v>0</v>
      </c>
      <c r="J953" s="53" t="s">
        <v>392</v>
      </c>
      <c r="K953" s="60"/>
      <c r="L953" s="69" t="s">
        <v>429</v>
      </c>
      <c r="M953" s="70" t="s">
        <v>1037</v>
      </c>
      <c r="N953" s="34">
        <v>3.063</v>
      </c>
      <c r="O953" s="100">
        <f>O952/0.3*0.1</f>
        <v>0.833333333333333</v>
      </c>
      <c r="P953" s="34">
        <f>P952</f>
        <v>1</v>
      </c>
      <c r="Q953" s="44">
        <f t="shared" si="148"/>
        <v>2.5525</v>
      </c>
      <c r="R953" s="71">
        <f>+Q953/R949</f>
        <v>0.329036416371254</v>
      </c>
      <c r="S953" s="47"/>
      <c r="T953" s="47"/>
    </row>
    <row r="954" s="27" customFormat="1" ht="18" customHeight="1" spans="1:21">
      <c r="A954" s="34"/>
      <c r="B954" s="48">
        <v>6</v>
      </c>
      <c r="C954" s="48" t="s">
        <v>409</v>
      </c>
      <c r="D954" s="48" t="s">
        <v>410</v>
      </c>
      <c r="E954" s="48"/>
      <c r="F954" s="50"/>
      <c r="G954" s="48"/>
      <c r="H954" s="73">
        <f>+'材料表 '!$E$179</f>
        <v>0</v>
      </c>
      <c r="I954" s="52">
        <f>H954*I952</f>
        <v>0</v>
      </c>
      <c r="J954" s="74" t="s">
        <v>392</v>
      </c>
      <c r="K954" s="75"/>
      <c r="L954" s="69" t="s">
        <v>447</v>
      </c>
      <c r="M954" s="70" t="s">
        <v>1038</v>
      </c>
      <c r="N954" s="34">
        <f>1.041+0.104</f>
        <v>1.145</v>
      </c>
      <c r="O954" s="34">
        <f>O952</f>
        <v>2.5</v>
      </c>
      <c r="P954" s="34">
        <f>P952</f>
        <v>1</v>
      </c>
      <c r="Q954" s="44">
        <f t="shared" si="148"/>
        <v>2.8625</v>
      </c>
      <c r="R954" s="71">
        <f>+Q954/R949</f>
        <v>0.368997744118595</v>
      </c>
      <c r="S954" s="47">
        <v>0.172</v>
      </c>
      <c r="T954" s="47">
        <f>O954*P954*S954</f>
        <v>0.43</v>
      </c>
      <c r="U954" s="76">
        <f>T954/R949</f>
        <v>0.0554302288108282</v>
      </c>
    </row>
    <row r="955" s="27" customFormat="1" ht="18" customHeight="1" spans="1:21">
      <c r="A955" s="34"/>
      <c r="B955" s="48">
        <v>7</v>
      </c>
      <c r="C955" s="48" t="s">
        <v>412</v>
      </c>
      <c r="D955" s="72" t="s">
        <v>413</v>
      </c>
      <c r="E955" s="72"/>
      <c r="F955" s="77"/>
      <c r="G955" s="72"/>
      <c r="H955" s="73">
        <f>+'材料表 '!$E$180</f>
        <v>0.09</v>
      </c>
      <c r="I955" s="52">
        <f>(I952+I953+I954)*H955</f>
        <v>59.6924437672876</v>
      </c>
      <c r="J955" s="74" t="s">
        <v>392</v>
      </c>
      <c r="K955" s="75"/>
      <c r="L955" s="69" t="s">
        <v>429</v>
      </c>
      <c r="M955" s="70" t="s">
        <v>1010</v>
      </c>
      <c r="N955" s="102">
        <f>2.9</f>
        <v>2.9</v>
      </c>
      <c r="O955" s="34">
        <v>0.2</v>
      </c>
      <c r="P955" s="34">
        <f>P952</f>
        <v>1</v>
      </c>
      <c r="Q955" s="44">
        <f t="shared" si="148"/>
        <v>0.58</v>
      </c>
      <c r="R955" s="71">
        <f>+Q955/R949</f>
        <v>0.0747663551401869</v>
      </c>
      <c r="S955" s="47"/>
      <c r="T955" s="47"/>
    </row>
    <row r="956" s="27" customFormat="1" ht="18" customHeight="1" spans="1:21">
      <c r="A956" s="78" t="s">
        <v>1045</v>
      </c>
      <c r="B956" s="48">
        <v>8</v>
      </c>
      <c r="C956" s="48" t="s">
        <v>363</v>
      </c>
      <c r="D956" s="72" t="s">
        <v>415</v>
      </c>
      <c r="E956" s="72"/>
      <c r="F956" s="77"/>
      <c r="G956" s="72"/>
      <c r="H956" s="51"/>
      <c r="I956" s="74">
        <f>SUM(I952:I955)</f>
        <v>722.941818959372</v>
      </c>
      <c r="J956" s="74" t="s">
        <v>416</v>
      </c>
      <c r="K956" s="75"/>
      <c r="L956" s="69" t="s">
        <v>429</v>
      </c>
      <c r="M956" s="70" t="s">
        <v>1040</v>
      </c>
      <c r="N956" s="34">
        <v>0.733</v>
      </c>
      <c r="O956" s="100">
        <f>O953*2</f>
        <v>1.66666666666667</v>
      </c>
      <c r="P956" s="34">
        <f>P952</f>
        <v>1</v>
      </c>
      <c r="Q956" s="44">
        <f t="shared" si="148"/>
        <v>1.22166666666667</v>
      </c>
      <c r="R956" s="71">
        <f>+Q956/R949</f>
        <v>0.157482006660221</v>
      </c>
      <c r="S956" s="79"/>
      <c r="T956" s="47"/>
    </row>
    <row r="957" s="27" customFormat="1" ht="18" customHeight="1" spans="1:21">
      <c r="A957" s="34"/>
      <c r="B957" s="48" t="s">
        <v>418</v>
      </c>
      <c r="C957" s="48"/>
      <c r="D957" s="48"/>
      <c r="E957" s="48"/>
      <c r="F957" s="48"/>
      <c r="G957" s="48"/>
      <c r="H957" s="48"/>
      <c r="I957" s="48"/>
      <c r="J957" s="48"/>
      <c r="K957" s="80"/>
      <c r="L957" s="69" t="s">
        <v>404</v>
      </c>
      <c r="M957" s="70" t="s">
        <v>1041</v>
      </c>
      <c r="N957" s="34">
        <v>3.727</v>
      </c>
      <c r="O957" s="34">
        <f>O949</f>
        <v>3.103</v>
      </c>
      <c r="P957" s="34">
        <v>1</v>
      </c>
      <c r="Q957" s="44">
        <f t="shared" si="148"/>
        <v>11.564881</v>
      </c>
      <c r="R957" s="71">
        <f>+Q957/R949</f>
        <v>1.4908</v>
      </c>
      <c r="S957" s="47"/>
      <c r="T957" s="47"/>
      <c r="U957" s="76"/>
    </row>
    <row r="958" s="27" customFormat="1" ht="18" customHeight="1" spans="1:21">
      <c r="A958" s="34"/>
      <c r="B958" s="48">
        <v>1</v>
      </c>
      <c r="C958" s="48" t="s">
        <v>391</v>
      </c>
      <c r="D958" s="48" t="s">
        <v>396</v>
      </c>
      <c r="E958" s="48" t="s">
        <v>37</v>
      </c>
      <c r="F958" s="50"/>
      <c r="G958" s="48"/>
      <c r="H958" s="51" t="s">
        <v>399</v>
      </c>
      <c r="I958" s="51" t="s">
        <v>420</v>
      </c>
      <c r="J958" s="51" t="s">
        <v>421</v>
      </c>
      <c r="K958" s="43"/>
      <c r="L958" s="69" t="s">
        <v>429</v>
      </c>
      <c r="M958" s="81" t="s">
        <v>1027</v>
      </c>
      <c r="N958" s="82">
        <v>0.735</v>
      </c>
      <c r="O958" s="34">
        <f>O957</f>
        <v>3.103</v>
      </c>
      <c r="P958" s="34">
        <v>1</v>
      </c>
      <c r="Q958" s="44">
        <f t="shared" si="148"/>
        <v>2.280705</v>
      </c>
      <c r="R958" s="71">
        <f>+Q958/R949</f>
        <v>0.294</v>
      </c>
      <c r="S958" s="47"/>
      <c r="T958" s="47"/>
    </row>
    <row r="959" s="27" customFormat="1" ht="18" customHeight="1" spans="1:21">
      <c r="A959" s="34"/>
      <c r="B959" s="48">
        <v>2</v>
      </c>
      <c r="C959" s="48"/>
      <c r="D959" s="48" t="s">
        <v>967</v>
      </c>
      <c r="E959" s="72" t="s">
        <v>423</v>
      </c>
      <c r="F959" s="50"/>
      <c r="G959" s="48"/>
      <c r="H959" s="51">
        <v>1</v>
      </c>
      <c r="I959" s="51">
        <f>+辅材及安装费!$G$19</f>
        <v>170</v>
      </c>
      <c r="J959" s="51">
        <f t="shared" ref="J959:J967" si="149">H959*I959</f>
        <v>170</v>
      </c>
      <c r="K959" s="43"/>
      <c r="L959" s="69" t="s">
        <v>447</v>
      </c>
      <c r="M959" s="70" t="s">
        <v>1038</v>
      </c>
      <c r="N959" s="83">
        <v>0.977</v>
      </c>
      <c r="O959" s="34">
        <f>O957</f>
        <v>3.103</v>
      </c>
      <c r="P959" s="34">
        <v>1</v>
      </c>
      <c r="Q959" s="44">
        <f t="shared" si="148"/>
        <v>3.031631</v>
      </c>
      <c r="R959" s="84">
        <f>+Q959/R949</f>
        <v>0.3908</v>
      </c>
      <c r="S959" s="47">
        <v>0.185</v>
      </c>
      <c r="T959" s="47">
        <f>O959*P959*S959</f>
        <v>0.574055</v>
      </c>
      <c r="U959" s="27">
        <f>T959/R949</f>
        <v>0.074</v>
      </c>
    </row>
    <row r="960" s="27" customFormat="1" ht="18" customHeight="1" spans="1:21">
      <c r="A960" s="34"/>
      <c r="B960" s="48">
        <v>3</v>
      </c>
      <c r="C960" s="48"/>
      <c r="D960" s="48"/>
      <c r="E960" s="72"/>
      <c r="F960" s="50"/>
      <c r="G960" s="48"/>
      <c r="H960" s="51"/>
      <c r="I960" s="51"/>
      <c r="J960" s="51"/>
      <c r="K960" s="43"/>
      <c r="L960" s="69" t="s">
        <v>429</v>
      </c>
      <c r="M960" s="81" t="s">
        <v>1042</v>
      </c>
      <c r="N960" s="82">
        <v>0.687</v>
      </c>
      <c r="O960" s="44">
        <f>0.1</f>
        <v>0.1</v>
      </c>
      <c r="P960" s="34">
        <f>1*2</f>
        <v>2</v>
      </c>
      <c r="Q960" s="44">
        <f t="shared" si="148"/>
        <v>0.1374</v>
      </c>
      <c r="R960" s="84">
        <f>+Q960/R949</f>
        <v>0.0177118917176926</v>
      </c>
      <c r="S960" s="47"/>
      <c r="T960" s="47"/>
    </row>
    <row r="961" s="27" customFormat="1" ht="18" customHeight="1" spans="1:20">
      <c r="A961" s="34"/>
      <c r="B961" s="48">
        <v>4</v>
      </c>
      <c r="C961" s="48"/>
      <c r="D961" s="85" t="s">
        <v>426</v>
      </c>
      <c r="E961" s="48" t="s">
        <v>392</v>
      </c>
      <c r="F961" s="50"/>
      <c r="G961" s="48"/>
      <c r="H961" s="86"/>
      <c r="I961" s="86"/>
      <c r="J961" s="51">
        <f>SUM(J959:J959)</f>
        <v>170</v>
      </c>
      <c r="K961" s="75"/>
      <c r="L961" s="69"/>
      <c r="M961" s="70"/>
      <c r="N961" s="83"/>
      <c r="O961" s="83"/>
      <c r="P961" s="34">
        <v>1</v>
      </c>
      <c r="Q961" s="83"/>
      <c r="R961" s="87"/>
      <c r="S961" s="47"/>
      <c r="T961" s="47"/>
    </row>
    <row r="962" s="27" customFormat="1" ht="23" customHeight="1" spans="1:20">
      <c r="A962" s="34"/>
      <c r="B962" s="48">
        <v>1</v>
      </c>
      <c r="C962" s="48" t="s">
        <v>394</v>
      </c>
      <c r="D962" s="88" t="s">
        <v>427</v>
      </c>
      <c r="E962" s="72" t="str">
        <f>+VLOOKUP(D962,'材料表 '!C:F,2,0)</f>
        <v>kg</v>
      </c>
      <c r="F962" s="77">
        <f>+SUMIF($L$949:$L$989,D962,$R$949:$R$989)</f>
        <v>1.00257815017725</v>
      </c>
      <c r="G962" s="89">
        <f>+VLOOKUP(D962,'材料表 '!C:F,4,0)</f>
        <v>0.03</v>
      </c>
      <c r="H962" s="74">
        <f t="shared" ref="H962:H967" si="150">F962*(G962+1)</f>
        <v>1.03265549468257</v>
      </c>
      <c r="I962" s="74">
        <f>+VLOOKUP(D962,'材料表 '!C:F,3,0)</f>
        <v>25.8495575221239</v>
      </c>
      <c r="J962" s="51">
        <f t="shared" si="149"/>
        <v>26.6936876103343</v>
      </c>
      <c r="K962" s="75">
        <f ca="1">H962*K948</f>
        <v>16.0216500000001</v>
      </c>
      <c r="L962" s="69"/>
      <c r="M962" s="70"/>
      <c r="N962" s="83"/>
      <c r="O962" s="83"/>
      <c r="P962" s="34">
        <v>1</v>
      </c>
      <c r="Q962" s="83"/>
      <c r="R962" s="87"/>
      <c r="S962" s="47"/>
      <c r="T962" s="47"/>
    </row>
    <row r="963" s="27" customFormat="1" ht="18" customHeight="1" spans="1:20">
      <c r="A963" s="34"/>
      <c r="B963" s="48">
        <v>2</v>
      </c>
      <c r="C963" s="48"/>
      <c r="D963" s="88" t="s">
        <v>404</v>
      </c>
      <c r="E963" s="72" t="str">
        <f>+VLOOKUP(D963,'材料表 '!C:F,2,0)</f>
        <v>kg</v>
      </c>
      <c r="F963" s="77">
        <f t="shared" ref="F963:F975" si="151">+SUMIF($L$949:$L$989,D963,$R$949:$R$989)</f>
        <v>1.4908</v>
      </c>
      <c r="G963" s="89">
        <f>+VLOOKUP(D963,'材料表 '!C:F,4,0)</f>
        <v>0.03</v>
      </c>
      <c r="H963" s="74">
        <f t="shared" si="150"/>
        <v>1.535524</v>
      </c>
      <c r="I963" s="74">
        <f>+VLOOKUP(D963,'材料表 '!C:F,3,0)</f>
        <v>25.6725663716814</v>
      </c>
      <c r="J963" s="51">
        <f t="shared" si="149"/>
        <v>39.4208418053097</v>
      </c>
      <c r="K963" s="75">
        <f ca="1">H963*K948</f>
        <v>23.82365486</v>
      </c>
      <c r="L963" s="69"/>
      <c r="M963" s="70"/>
      <c r="N963" s="83"/>
      <c r="O963" s="83"/>
      <c r="P963" s="83"/>
      <c r="Q963" s="83"/>
      <c r="R963" s="87"/>
      <c r="S963" s="47"/>
      <c r="T963" s="47"/>
    </row>
    <row r="964" s="27" customFormat="1" ht="18" customHeight="1" spans="1:20">
      <c r="A964" s="34"/>
      <c r="B964" s="48">
        <v>3</v>
      </c>
      <c r="C964" s="48"/>
      <c r="D964" s="88" t="s">
        <v>433</v>
      </c>
      <c r="E964" s="72" t="str">
        <f>+VLOOKUP(D964,'材料表 '!C:F,2,0)</f>
        <v>kg</v>
      </c>
      <c r="F964" s="77">
        <f t="shared" si="151"/>
        <v>0</v>
      </c>
      <c r="G964" s="89">
        <f>+VLOOKUP(D964,'材料表 '!C:F,4,0)</f>
        <v>0.03</v>
      </c>
      <c r="H964" s="74">
        <f t="shared" si="150"/>
        <v>0</v>
      </c>
      <c r="I964" s="74">
        <f>+VLOOKUP(D964,'材料表 '!C:F,3,0)</f>
        <v>26.1150442477876</v>
      </c>
      <c r="J964" s="51">
        <f t="shared" si="149"/>
        <v>0</v>
      </c>
      <c r="K964" s="75">
        <f ca="1">H964*K948</f>
        <v>0</v>
      </c>
      <c r="L964" s="69"/>
      <c r="N964" s="83"/>
      <c r="O964" s="83"/>
      <c r="P964" s="83"/>
      <c r="Q964" s="83"/>
      <c r="R964" s="87"/>
      <c r="S964" s="47"/>
      <c r="T964" s="47"/>
    </row>
    <row r="965" s="27" customFormat="1" ht="18" customHeight="1" spans="1:20">
      <c r="A965" s="34"/>
      <c r="B965" s="48">
        <v>4</v>
      </c>
      <c r="C965" s="48"/>
      <c r="D965" s="88" t="s">
        <v>429</v>
      </c>
      <c r="E965" s="72" t="str">
        <f>+VLOOKUP(D965,'材料表 '!C:F,2,0)</f>
        <v>kg</v>
      </c>
      <c r="F965" s="77">
        <f t="shared" si="151"/>
        <v>0.872996669889355</v>
      </c>
      <c r="G965" s="89">
        <f>+VLOOKUP(D965,'材料表 '!C:F,4,0)</f>
        <v>0.03</v>
      </c>
      <c r="H965" s="74">
        <f t="shared" si="150"/>
        <v>0.899186569986036</v>
      </c>
      <c r="I965" s="74">
        <f>+VLOOKUP(D965,'材料表 '!C:F,3,0)</f>
        <v>26.1150442477876</v>
      </c>
      <c r="J965" s="51">
        <f t="shared" si="149"/>
        <v>23.4822970622017</v>
      </c>
      <c r="K965" s="75">
        <f ca="1">H965*K948</f>
        <v>13.9508796333333</v>
      </c>
      <c r="L965" s="90" t="s">
        <v>707</v>
      </c>
      <c r="M965" s="44"/>
      <c r="N965" s="82"/>
      <c r="O965" s="44">
        <f>O957*P957</f>
        <v>3.103</v>
      </c>
      <c r="P965" s="44">
        <v>1</v>
      </c>
      <c r="Q965" s="44">
        <f>+P965*O965</f>
        <v>3.103</v>
      </c>
      <c r="R965" s="84">
        <f>+Q965/R949</f>
        <v>0.4</v>
      </c>
      <c r="S965" s="47"/>
      <c r="T965" s="47"/>
    </row>
    <row r="966" s="27" customFormat="1" ht="18" customHeight="1" spans="1:20">
      <c r="A966" s="34"/>
      <c r="B966" s="48">
        <v>5</v>
      </c>
      <c r="C966" s="48"/>
      <c r="D966" s="88" t="s">
        <v>447</v>
      </c>
      <c r="E966" s="72" t="str">
        <f>+VLOOKUP(D966,'材料表 '!C:F,2,0)</f>
        <v>kg</v>
      </c>
      <c r="F966" s="77">
        <f t="shared" si="151"/>
        <v>0.759797744118595</v>
      </c>
      <c r="G966" s="89">
        <f>+VLOOKUP(D966,'材料表 '!C:F,4,0)</f>
        <v>0.03</v>
      </c>
      <c r="H966" s="74">
        <f t="shared" si="150"/>
        <v>0.782591676442153</v>
      </c>
      <c r="I966" s="74">
        <f>+VLOOKUP(D966,'材料表 '!C:F,3,0)</f>
        <v>24.4336283185841</v>
      </c>
      <c r="J966" s="51">
        <f t="shared" si="149"/>
        <v>19.1215541474052</v>
      </c>
      <c r="K966" s="43">
        <f ca="1">H966*K948</f>
        <v>12.14190986</v>
      </c>
      <c r="L966" s="90" t="s">
        <v>435</v>
      </c>
      <c r="M966" s="44"/>
      <c r="N966" s="82">
        <f>0.073*1.2</f>
        <v>0.0876</v>
      </c>
      <c r="O966" s="44">
        <f>O952*P952*3+O957*P957*4</f>
        <v>19.912</v>
      </c>
      <c r="P966" s="44">
        <v>1</v>
      </c>
      <c r="Q966" s="44">
        <f>+P966*O966</f>
        <v>19.912</v>
      </c>
      <c r="R966" s="84">
        <f>+Q966/R949</f>
        <v>2.56680631646793</v>
      </c>
      <c r="S966" s="47"/>
      <c r="T966" s="47"/>
    </row>
    <row r="967" s="27" customFormat="1" ht="18" customHeight="1" spans="1:20">
      <c r="A967" s="34"/>
      <c r="B967" s="48">
        <v>6</v>
      </c>
      <c r="C967" s="48"/>
      <c r="D967" s="88" t="s">
        <v>434</v>
      </c>
      <c r="E967" s="72" t="str">
        <f>+VLOOKUP(D967,'材料表 '!C:F,2,0)</f>
        <v>m2</v>
      </c>
      <c r="F967" s="77">
        <f>U954+U959</f>
        <v>0.129430228810828</v>
      </c>
      <c r="G967" s="89">
        <f>+VLOOKUP(D967,'材料表 '!C:F,4,0)</f>
        <v>0</v>
      </c>
      <c r="H967" s="74">
        <f t="shared" si="150"/>
        <v>0.129430228810828</v>
      </c>
      <c r="I967" s="74">
        <f>+VLOOKUP(D967,'材料表 '!C:F,3,0)</f>
        <v>49.5575221238938</v>
      </c>
      <c r="J967" s="51">
        <f t="shared" si="149"/>
        <v>6.41424142779324</v>
      </c>
      <c r="K967" s="43">
        <f ca="1">H967*K948</f>
        <v>2.00811</v>
      </c>
      <c r="L967" s="90" t="s">
        <v>463</v>
      </c>
      <c r="M967" s="91" t="s">
        <v>1012</v>
      </c>
      <c r="N967" s="82">
        <f>0.32*0.3*8*7.85</f>
        <v>6.0288</v>
      </c>
      <c r="O967" s="44">
        <v>2</v>
      </c>
      <c r="P967" s="44">
        <f>P952</f>
        <v>1</v>
      </c>
      <c r="Q967" s="44">
        <f t="shared" ref="Q967:Q971" si="152">+P967*O967*N967</f>
        <v>12.0576</v>
      </c>
      <c r="R967" s="84">
        <f>+Q967/R949</f>
        <v>1.55431517885917</v>
      </c>
      <c r="S967" s="47"/>
      <c r="T967" s="47"/>
    </row>
    <row r="968" s="27" customFormat="1" ht="18" customHeight="1" spans="1:20">
      <c r="A968" s="34"/>
      <c r="B968" s="48">
        <v>7</v>
      </c>
      <c r="C968" s="48"/>
      <c r="D968" s="88"/>
      <c r="E968" s="72"/>
      <c r="F968" s="77">
        <f t="shared" si="151"/>
        <v>0</v>
      </c>
      <c r="G968" s="89"/>
      <c r="H968" s="74"/>
      <c r="I968" s="74"/>
      <c r="J968" s="51"/>
      <c r="K968" s="43">
        <f ca="1">H968*K948</f>
        <v>0</v>
      </c>
      <c r="L968" s="69" t="s">
        <v>465</v>
      </c>
      <c r="M968" s="81" t="s">
        <v>1013</v>
      </c>
      <c r="N968" s="34">
        <v>9.88</v>
      </c>
      <c r="O968" s="34">
        <f>0.13</f>
        <v>0.13</v>
      </c>
      <c r="P968" s="34">
        <f>2*P967*O967</f>
        <v>4</v>
      </c>
      <c r="Q968" s="44">
        <f t="shared" si="152"/>
        <v>5.1376</v>
      </c>
      <c r="R968" s="84">
        <f>Q968/R949</f>
        <v>0.662275217531421</v>
      </c>
      <c r="S968" s="47"/>
      <c r="T968" s="47"/>
    </row>
    <row r="969" s="27" customFormat="1" ht="18" customHeight="1" spans="1:20">
      <c r="A969" s="34"/>
      <c r="B969" s="48">
        <v>8</v>
      </c>
      <c r="C969" s="48"/>
      <c r="D969" s="88" t="s">
        <v>431</v>
      </c>
      <c r="E969" s="72" t="str">
        <f>+VLOOKUP(D969,'材料表 '!C:F,2,0)</f>
        <v>kg</v>
      </c>
      <c r="F969" s="77">
        <f t="shared" si="151"/>
        <v>0</v>
      </c>
      <c r="G969" s="89">
        <f>+VLOOKUP(D969,'材料表 '!C:F,4,0)</f>
        <v>0.03</v>
      </c>
      <c r="H969" s="74">
        <f t="shared" ref="H969:H977" si="153">F969*(G969+1)</f>
        <v>0</v>
      </c>
      <c r="I969" s="74">
        <f>+VLOOKUP(D969,'材料表 '!C:F,3,0)</f>
        <v>3.80530973451327</v>
      </c>
      <c r="J969" s="51">
        <f t="shared" ref="J969:J977" si="154">H969*I969</f>
        <v>0</v>
      </c>
      <c r="K969" s="43">
        <f ca="1">H969*K948</f>
        <v>0</v>
      </c>
      <c r="L969" s="90" t="s">
        <v>474</v>
      </c>
      <c r="M969" s="44"/>
      <c r="N969" s="82"/>
      <c r="O969" s="44">
        <v>4</v>
      </c>
      <c r="P969" s="44">
        <v>8</v>
      </c>
      <c r="Q969" s="44">
        <f>O969*P969</f>
        <v>32</v>
      </c>
      <c r="R969" s="84">
        <f>Q969/R949</f>
        <v>4.12504028359652</v>
      </c>
      <c r="S969" s="47"/>
      <c r="T969" s="47"/>
    </row>
    <row r="970" s="27" customFormat="1" ht="18" customHeight="1" spans="1:20">
      <c r="A970" s="34"/>
      <c r="B970" s="48">
        <v>9</v>
      </c>
      <c r="C970" s="48"/>
      <c r="D970" s="88" t="s">
        <v>461</v>
      </c>
      <c r="E970" s="72" t="str">
        <f>+VLOOKUP(D970,'材料表 '!C:F,2,0)</f>
        <v>kg</v>
      </c>
      <c r="F970" s="77">
        <f t="shared" si="151"/>
        <v>0</v>
      </c>
      <c r="G970" s="89">
        <f>+VLOOKUP(D970,'材料表 '!C:F,4,0)</f>
        <v>0.03</v>
      </c>
      <c r="H970" s="74">
        <f t="shared" si="153"/>
        <v>0</v>
      </c>
      <c r="I970" s="74">
        <f>+VLOOKUP(D970,'材料表 '!C:F,3,0)</f>
        <v>3.53982300884956</v>
      </c>
      <c r="J970" s="51">
        <f t="shared" si="154"/>
        <v>0</v>
      </c>
      <c r="K970" s="43">
        <f ca="1">H970*K948</f>
        <v>0</v>
      </c>
      <c r="L970" s="90" t="s">
        <v>472</v>
      </c>
      <c r="M970" s="91"/>
      <c r="N970" s="82"/>
      <c r="O970" s="44">
        <v>2</v>
      </c>
      <c r="P970" s="44">
        <f>O967*P967</f>
        <v>2</v>
      </c>
      <c r="Q970" s="44">
        <f>O970*P970</f>
        <v>4</v>
      </c>
      <c r="R970" s="84">
        <f>Q970/R949</f>
        <v>0.515630035449565</v>
      </c>
      <c r="S970" s="47"/>
      <c r="T970" s="47"/>
    </row>
    <row r="971" s="27" customFormat="1" ht="18" customHeight="1" spans="1:20">
      <c r="A971" s="34"/>
      <c r="B971" s="48">
        <v>10</v>
      </c>
      <c r="C971" s="48"/>
      <c r="D971" s="88" t="s">
        <v>435</v>
      </c>
      <c r="E971" s="72" t="str">
        <f>+VLOOKUP(D971,'材料表 '!C:F,2,0)</f>
        <v>kg</v>
      </c>
      <c r="F971" s="77">
        <f t="shared" si="151"/>
        <v>2.56680631646793</v>
      </c>
      <c r="G971" s="89">
        <f>+VLOOKUP(D971,'材料表 '!C:F,4,0)</f>
        <v>0.03</v>
      </c>
      <c r="H971" s="74">
        <f t="shared" si="153"/>
        <v>2.64381050596197</v>
      </c>
      <c r="I971" s="74">
        <f>+VLOOKUP(D971,'材料表 '!C:F,3,0)</f>
        <v>19.4690265486726</v>
      </c>
      <c r="J971" s="51">
        <f t="shared" si="154"/>
        <v>51.4724169302331</v>
      </c>
      <c r="K971" s="43">
        <f ca="1">H971*K948</f>
        <v>41.01872</v>
      </c>
      <c r="L971" s="69" t="s">
        <v>465</v>
      </c>
      <c r="M971" s="91"/>
      <c r="N971" s="82">
        <f>(0.058+0.04*2)*5*7.85</f>
        <v>5.4165</v>
      </c>
      <c r="O971" s="44">
        <f>O949</f>
        <v>3.103</v>
      </c>
      <c r="P971" s="44">
        <v>1</v>
      </c>
      <c r="Q971" s="44">
        <f t="shared" si="152"/>
        <v>16.8073995</v>
      </c>
      <c r="R971" s="84">
        <f>+Q971/R949</f>
        <v>2.1666</v>
      </c>
      <c r="S971" s="47"/>
      <c r="T971" s="47"/>
    </row>
    <row r="972" s="27" customFormat="1" ht="18" customHeight="1" spans="1:20">
      <c r="A972" s="34"/>
      <c r="B972" s="48">
        <v>11</v>
      </c>
      <c r="C972" s="48"/>
      <c r="D972" s="88" t="s">
        <v>463</v>
      </c>
      <c r="E972" s="72" t="str">
        <f>+VLOOKUP(D972,'材料表 '!C:F,2,0)</f>
        <v>kg</v>
      </c>
      <c r="F972" s="77">
        <f t="shared" si="151"/>
        <v>1.55431517885917</v>
      </c>
      <c r="G972" s="89">
        <f>+VLOOKUP(D972,'材料表 '!C:F,4,0)</f>
        <v>0.03</v>
      </c>
      <c r="H972" s="74">
        <f t="shared" si="153"/>
        <v>1.60094463422495</v>
      </c>
      <c r="I972" s="74">
        <f>+VLOOKUP(D972,'材料表 '!C:F,3,0)</f>
        <v>6.01769911504425</v>
      </c>
      <c r="J972" s="51">
        <f t="shared" si="154"/>
        <v>9.63400310861029</v>
      </c>
      <c r="K972" s="43">
        <f ca="1">H972*K948</f>
        <v>24.8386560000001</v>
      </c>
      <c r="L972" s="69" t="s">
        <v>461</v>
      </c>
      <c r="N972" s="83"/>
      <c r="O972" s="83"/>
      <c r="P972" s="83"/>
      <c r="Q972" s="83"/>
      <c r="R972" s="84"/>
      <c r="S972" s="47"/>
      <c r="T972" s="47"/>
    </row>
    <row r="973" s="27" customFormat="1" ht="18" customHeight="1" spans="1:20">
      <c r="A973" s="34"/>
      <c r="B973" s="48">
        <v>12</v>
      </c>
      <c r="C973" s="48"/>
      <c r="D973" s="88" t="s">
        <v>465</v>
      </c>
      <c r="E973" s="72" t="str">
        <f>+VLOOKUP(D973,'材料表 '!C:F,2,0)</f>
        <v>kg</v>
      </c>
      <c r="F973" s="77">
        <f t="shared" si="151"/>
        <v>2.82887521753142</v>
      </c>
      <c r="G973" s="89">
        <f>+VLOOKUP(D973,'材料表 '!C:F,4,0)</f>
        <v>0.03</v>
      </c>
      <c r="H973" s="74">
        <f t="shared" si="153"/>
        <v>2.91374147405736</v>
      </c>
      <c r="I973" s="74">
        <f>+VLOOKUP(D973,'材料表 '!C:F,3,0)</f>
        <v>6.01769911504425</v>
      </c>
      <c r="J973" s="51">
        <f t="shared" si="154"/>
        <v>17.5340194899027</v>
      </c>
      <c r="K973" s="43">
        <f ca="1">H973*K948</f>
        <v>45.2066989699999</v>
      </c>
      <c r="L973" s="90"/>
      <c r="M973" s="44"/>
      <c r="N973" s="82"/>
      <c r="O973" s="44"/>
      <c r="P973" s="44"/>
      <c r="Q973" s="44"/>
      <c r="R973" s="84"/>
      <c r="S973" s="47"/>
      <c r="T973" s="47"/>
    </row>
    <row r="974" s="27" customFormat="1" ht="18" customHeight="1" spans="1:20">
      <c r="A974" s="34"/>
      <c r="B974" s="48">
        <v>13</v>
      </c>
      <c r="C974" s="48"/>
      <c r="D974" s="88" t="s">
        <v>474</v>
      </c>
      <c r="E974" s="72" t="str">
        <f>+VLOOKUP(D974,'材料表 '!C:F,2,0)</f>
        <v>套</v>
      </c>
      <c r="F974" s="77">
        <f t="shared" si="151"/>
        <v>4.12504028359652</v>
      </c>
      <c r="G974" s="89">
        <f>+VLOOKUP(D974,'材料表 '!C:F,4,0)</f>
        <v>0</v>
      </c>
      <c r="H974" s="74">
        <f t="shared" si="153"/>
        <v>4.12504028359652</v>
      </c>
      <c r="I974" s="74">
        <f>+VLOOKUP(D974,'材料表 '!C:F,3,0)</f>
        <v>2.21238938053097</v>
      </c>
      <c r="J974" s="51">
        <f t="shared" si="154"/>
        <v>9.1261953176914</v>
      </c>
      <c r="K974" s="43">
        <f ca="1">H974*K948</f>
        <v>64</v>
      </c>
      <c r="L974" s="90"/>
      <c r="M974" s="44"/>
      <c r="N974" s="82"/>
      <c r="O974" s="44"/>
      <c r="P974" s="44"/>
      <c r="Q974" s="44"/>
      <c r="R974" s="84"/>
      <c r="S974" s="47"/>
      <c r="T974" s="47"/>
    </row>
    <row r="975" s="27" customFormat="1" ht="18" customHeight="1" spans="1:20">
      <c r="A975" s="34"/>
      <c r="B975" s="48">
        <v>14</v>
      </c>
      <c r="C975" s="48"/>
      <c r="D975" s="88" t="s">
        <v>472</v>
      </c>
      <c r="E975" s="72" t="str">
        <f>+VLOOKUP(D975,'材料表 '!C:F,2,0)</f>
        <v>套</v>
      </c>
      <c r="F975" s="77">
        <f t="shared" si="151"/>
        <v>0.515630035449565</v>
      </c>
      <c r="G975" s="89">
        <f>+VLOOKUP(D975,'材料表 '!C:F,4,0)</f>
        <v>0</v>
      </c>
      <c r="H975" s="74">
        <f t="shared" si="153"/>
        <v>0.515630035449565</v>
      </c>
      <c r="I975" s="74">
        <f>+VLOOKUP(D975,'材料表 '!C:F,3,0)</f>
        <v>2.47787610619469</v>
      </c>
      <c r="J975" s="51">
        <f t="shared" si="154"/>
        <v>1.2776673444768</v>
      </c>
      <c r="K975" s="43">
        <f ca="1">H975*K948</f>
        <v>8</v>
      </c>
      <c r="L975" s="90"/>
      <c r="M975" s="44"/>
      <c r="N975" s="82"/>
      <c r="O975" s="44"/>
      <c r="P975" s="44"/>
      <c r="Q975" s="44"/>
      <c r="R975" s="84"/>
      <c r="S975" s="47"/>
      <c r="T975" s="47"/>
    </row>
    <row r="976" s="27" customFormat="1" ht="18" customHeight="1" spans="1:20">
      <c r="A976" s="34"/>
      <c r="B976" s="48">
        <v>15</v>
      </c>
      <c r="C976" s="48"/>
      <c r="D976" s="88" t="s">
        <v>476</v>
      </c>
      <c r="E976" s="72" t="str">
        <f>+VLOOKUP(D976,'材料表 '!C:F,2,0)</f>
        <v>支</v>
      </c>
      <c r="F976" s="77">
        <f>8*8*(O957*P957*2)/500/R949+16*8*(O952*P952+O957*P957)/500/R949</f>
        <v>0.28730080567193</v>
      </c>
      <c r="G976" s="89">
        <f>+VLOOKUP(D976,'材料表 '!C:F,4,0)</f>
        <v>0.15</v>
      </c>
      <c r="H976" s="74">
        <f t="shared" si="153"/>
        <v>0.330395926522719</v>
      </c>
      <c r="I976" s="74">
        <f>+VLOOKUP(D976,'材料表 '!C:F,3,0)</f>
        <v>11.5044247787611</v>
      </c>
      <c r="J976" s="51">
        <f t="shared" si="154"/>
        <v>3.80101508388971</v>
      </c>
      <c r="K976" s="43">
        <f ca="1">H976*K948</f>
        <v>5.12609279999999</v>
      </c>
      <c r="L976" s="92"/>
      <c r="M976" s="44"/>
      <c r="N976" s="82"/>
      <c r="O976" s="44"/>
      <c r="P976" s="44"/>
      <c r="Q976" s="44"/>
      <c r="R976" s="84"/>
      <c r="S976" s="47"/>
      <c r="T976" s="47"/>
    </row>
    <row r="977" s="27" customFormat="1" ht="18" customHeight="1" spans="1:20">
      <c r="A977" s="34"/>
      <c r="B977" s="48">
        <v>16</v>
      </c>
      <c r="C977" s="48"/>
      <c r="D977" s="88" t="s">
        <v>576</v>
      </c>
      <c r="E977" s="72" t="str">
        <f>+VLOOKUP(D977,'材料表 '!C:F,2,0)</f>
        <v>支</v>
      </c>
      <c r="F977" s="77">
        <v>0</v>
      </c>
      <c r="G977" s="89">
        <f>+VLOOKUP(D977,'材料表 '!C:F,4,0)</f>
        <v>0.15</v>
      </c>
      <c r="H977" s="74">
        <f t="shared" si="153"/>
        <v>0</v>
      </c>
      <c r="I977" s="74">
        <f>+VLOOKUP(D977,'材料表 '!C:F,3,0)</f>
        <v>14.1592920353982</v>
      </c>
      <c r="J977" s="51">
        <f t="shared" si="154"/>
        <v>0</v>
      </c>
      <c r="K977" s="43">
        <f ca="1">H977*K948</f>
        <v>0</v>
      </c>
      <c r="L977" s="92"/>
      <c r="M977" s="44"/>
      <c r="N977" s="82"/>
      <c r="O977" s="44"/>
      <c r="P977" s="44"/>
      <c r="Q977" s="44"/>
      <c r="R977" s="84"/>
      <c r="S977" s="47"/>
      <c r="T977" s="47"/>
    </row>
    <row r="978" s="27" customFormat="1" ht="18" customHeight="1" spans="1:20">
      <c r="A978" s="34"/>
      <c r="B978" s="48">
        <v>17</v>
      </c>
      <c r="C978" s="48"/>
      <c r="D978" s="88"/>
      <c r="E978" s="72"/>
      <c r="F978" s="77"/>
      <c r="G978" s="89"/>
      <c r="H978" s="74"/>
      <c r="I978" s="74"/>
      <c r="J978" s="51"/>
      <c r="K978" s="43">
        <f ca="1">H978*K948</f>
        <v>0</v>
      </c>
      <c r="L978" s="92"/>
      <c r="M978" s="44"/>
      <c r="N978" s="82"/>
      <c r="O978" s="44"/>
      <c r="P978" s="44"/>
      <c r="Q978" s="44"/>
      <c r="R978" s="84"/>
      <c r="S978" s="47"/>
      <c r="T978" s="47"/>
    </row>
    <row r="979" s="27" customFormat="1" ht="18" customHeight="1" spans="1:20">
      <c r="A979" s="34"/>
      <c r="B979" s="48">
        <v>18</v>
      </c>
      <c r="C979" s="48"/>
      <c r="D979" s="88"/>
      <c r="E979" s="72"/>
      <c r="F979" s="77"/>
      <c r="G979" s="89"/>
      <c r="H979" s="74"/>
      <c r="I979" s="74"/>
      <c r="J979" s="51"/>
      <c r="K979" s="43">
        <f ca="1">H979*K948</f>
        <v>0</v>
      </c>
      <c r="L979" s="92"/>
      <c r="M979" s="44"/>
      <c r="N979" s="82"/>
      <c r="O979" s="44"/>
      <c r="P979" s="44"/>
      <c r="Q979" s="44"/>
      <c r="R979" s="84"/>
      <c r="S979" s="47"/>
      <c r="T979" s="47"/>
    </row>
    <row r="980" s="27" customFormat="1" ht="32" customHeight="1" spans="1:20">
      <c r="A980" s="34"/>
      <c r="B980" s="48">
        <v>19</v>
      </c>
      <c r="C980" s="48"/>
      <c r="D980" s="88" t="s">
        <v>651</v>
      </c>
      <c r="E980" s="72" t="str">
        <f>+VLOOKUP(D980,'材料表 '!C:F,2,0)</f>
        <v>m2</v>
      </c>
      <c r="F980" s="77">
        <v>1</v>
      </c>
      <c r="G980" s="89">
        <f>+VLOOKUP(D980,'材料表 '!C:F,4,0)</f>
        <v>0.01</v>
      </c>
      <c r="H980" s="74">
        <f>F980*(G980+1)</f>
        <v>1.01</v>
      </c>
      <c r="I980" s="74">
        <f>+VLOOKUP(D980,'材料表 '!C:F,3,0)</f>
        <v>267.256637168142</v>
      </c>
      <c r="J980" s="51">
        <f>H980*I980</f>
        <v>269.929203539823</v>
      </c>
      <c r="K980" s="43">
        <f ca="1">H980*K948</f>
        <v>15.67015</v>
      </c>
      <c r="L980" s="90"/>
      <c r="M980" s="44"/>
      <c r="N980" s="82"/>
      <c r="O980" s="44"/>
      <c r="P980" s="44"/>
      <c r="Q980" s="44"/>
      <c r="R980" s="84"/>
      <c r="S980" s="47"/>
      <c r="T980" s="47"/>
    </row>
    <row r="981" s="27" customFormat="1" ht="21" customHeight="1" spans="1:20">
      <c r="A981" s="34"/>
      <c r="B981" s="48">
        <v>20</v>
      </c>
      <c r="C981" s="48"/>
      <c r="D981" s="88" t="s">
        <v>1043</v>
      </c>
      <c r="E981" s="72" t="str">
        <f>+VLOOKUP(D981,'材料表 '!C:F,2,0)</f>
        <v>套</v>
      </c>
      <c r="F981" s="77">
        <f>P960/R949</f>
        <v>0.257815017724782</v>
      </c>
      <c r="G981" s="89">
        <f>+VLOOKUP(D981,'材料表 '!C:F,4,0)</f>
        <v>0</v>
      </c>
      <c r="H981" s="74">
        <f>F981*(G981+1)</f>
        <v>0.257815017724782</v>
      </c>
      <c r="I981" s="74">
        <f>+VLOOKUP(D981,'材料表 '!C:F,3,0)</f>
        <v>1.32743362831858</v>
      </c>
      <c r="J981" s="51">
        <f>H981*I981</f>
        <v>0.342232324413426</v>
      </c>
      <c r="K981" s="43">
        <f ca="1">H981*K948</f>
        <v>3.99999999999999</v>
      </c>
      <c r="L981" s="90"/>
      <c r="M981" s="44"/>
      <c r="N981" s="82"/>
      <c r="O981" s="44"/>
      <c r="P981" s="44"/>
      <c r="Q981" s="44"/>
      <c r="R981" s="84"/>
      <c r="S981" s="47"/>
      <c r="T981" s="47"/>
    </row>
    <row r="982" s="27" customFormat="1" ht="18" customHeight="1" spans="1:20">
      <c r="A982" s="34"/>
      <c r="B982" s="48">
        <v>21</v>
      </c>
      <c r="C982" s="48"/>
      <c r="D982" s="88"/>
      <c r="E982" s="72"/>
      <c r="F982" s="77"/>
      <c r="G982" s="89"/>
      <c r="H982" s="74"/>
      <c r="I982" s="74"/>
      <c r="J982" s="51"/>
      <c r="K982" s="43">
        <f ca="1">H982*K948</f>
        <v>0</v>
      </c>
      <c r="L982" s="92"/>
      <c r="M982" s="44"/>
      <c r="N982" s="82"/>
      <c r="O982" s="44"/>
      <c r="P982" s="44"/>
      <c r="Q982" s="44"/>
      <c r="R982" s="84"/>
      <c r="S982" s="47"/>
      <c r="T982" s="47"/>
    </row>
    <row r="983" s="27" customFormat="1" ht="18" customHeight="1" spans="1:20">
      <c r="A983" s="34"/>
      <c r="B983" s="48">
        <v>22</v>
      </c>
      <c r="C983" s="48"/>
      <c r="D983" s="88"/>
      <c r="E983" s="72"/>
      <c r="F983" s="77"/>
      <c r="G983" s="89"/>
      <c r="H983" s="74"/>
      <c r="I983" s="74"/>
      <c r="J983" s="51"/>
      <c r="K983" s="43">
        <f ca="1">H983*K948</f>
        <v>0</v>
      </c>
      <c r="L983" s="92"/>
      <c r="M983" s="44"/>
      <c r="N983" s="44"/>
      <c r="O983" s="44"/>
      <c r="P983" s="44"/>
      <c r="Q983" s="44"/>
      <c r="R983" s="84"/>
      <c r="S983" s="47"/>
      <c r="T983" s="47"/>
    </row>
    <row r="984" s="27" customFormat="1" ht="18" customHeight="1" spans="1:20">
      <c r="A984" s="34"/>
      <c r="B984" s="48">
        <v>23</v>
      </c>
      <c r="C984" s="48"/>
      <c r="D984" s="88"/>
      <c r="E984" s="72"/>
      <c r="F984" s="77"/>
      <c r="G984" s="89"/>
      <c r="H984" s="74"/>
      <c r="I984" s="74"/>
      <c r="J984" s="51"/>
      <c r="K984" s="75">
        <f ca="1">H984*K948</f>
        <v>0</v>
      </c>
      <c r="L984" s="92"/>
      <c r="M984" s="44"/>
      <c r="N984" s="44"/>
      <c r="O984" s="44"/>
      <c r="P984" s="44"/>
      <c r="Q984" s="44"/>
      <c r="R984" s="84"/>
      <c r="S984" s="47"/>
      <c r="T984" s="47"/>
    </row>
    <row r="985" s="27" customFormat="1" ht="18" customHeight="1" spans="1:20">
      <c r="A985" s="34"/>
      <c r="B985" s="48">
        <v>24</v>
      </c>
      <c r="C985" s="48"/>
      <c r="D985" s="88"/>
      <c r="E985" s="72"/>
      <c r="F985" s="77"/>
      <c r="G985" s="89"/>
      <c r="H985" s="74"/>
      <c r="I985" s="74"/>
      <c r="J985" s="51"/>
      <c r="K985" s="75">
        <f ca="1">H985*K948</f>
        <v>0</v>
      </c>
      <c r="L985" s="92"/>
      <c r="M985" s="44"/>
      <c r="N985" s="44"/>
      <c r="O985" s="44"/>
      <c r="P985" s="44"/>
      <c r="Q985" s="44"/>
      <c r="R985" s="84"/>
      <c r="S985" s="47"/>
      <c r="T985" s="47"/>
    </row>
    <row r="986" s="27" customFormat="1" ht="18" customHeight="1" spans="1:20">
      <c r="A986" s="34"/>
      <c r="B986" s="48">
        <v>25</v>
      </c>
      <c r="C986" s="48"/>
      <c r="D986" s="88"/>
      <c r="E986" s="72"/>
      <c r="F986" s="77"/>
      <c r="G986" s="89"/>
      <c r="H986" s="74"/>
      <c r="I986" s="74"/>
      <c r="J986" s="51"/>
      <c r="K986" s="75"/>
      <c r="L986" s="92"/>
      <c r="M986" s="44"/>
      <c r="N986" s="44"/>
      <c r="O986" s="44"/>
      <c r="P986" s="44"/>
      <c r="Q986" s="44"/>
      <c r="R986" s="84"/>
      <c r="S986" s="47"/>
      <c r="T986" s="47"/>
    </row>
    <row r="987" s="27" customFormat="1" ht="18" customHeight="1" spans="1:20">
      <c r="A987" s="34"/>
      <c r="B987" s="48">
        <v>26</v>
      </c>
      <c r="C987" s="48"/>
      <c r="D987" s="88" t="s">
        <v>441</v>
      </c>
      <c r="E987" s="72" t="s">
        <v>43</v>
      </c>
      <c r="F987" s="77"/>
      <c r="G987" s="72">
        <v>1</v>
      </c>
      <c r="H987" s="74">
        <v>1</v>
      </c>
      <c r="I987" s="74">
        <f>+辅材及安装费!$E$19</f>
        <v>10</v>
      </c>
      <c r="J987" s="51">
        <f>H987*I987</f>
        <v>10</v>
      </c>
      <c r="K987" s="75"/>
      <c r="L987" s="92"/>
      <c r="M987" s="44"/>
      <c r="N987" s="44"/>
      <c r="O987" s="44"/>
      <c r="P987" s="44"/>
      <c r="Q987" s="44"/>
      <c r="R987" s="62"/>
      <c r="S987" s="47"/>
      <c r="T987" s="47"/>
    </row>
    <row r="988" s="27" customFormat="1" ht="18" customHeight="1" spans="1:20">
      <c r="A988" s="34"/>
      <c r="B988" s="48">
        <v>27</v>
      </c>
      <c r="C988" s="48"/>
      <c r="D988" s="93" t="s">
        <v>442</v>
      </c>
      <c r="E988" s="72"/>
      <c r="F988" s="77"/>
      <c r="G988" s="72"/>
      <c r="H988" s="74"/>
      <c r="I988" s="74"/>
      <c r="J988" s="51">
        <f>SUM(J962:J987)</f>
        <v>488.249375192085</v>
      </c>
      <c r="K988" s="75"/>
      <c r="L988" s="94"/>
      <c r="N988" s="83"/>
      <c r="O988" s="83"/>
      <c r="P988" s="83"/>
      <c r="Q988" s="83"/>
      <c r="R988" s="87"/>
      <c r="S988" s="47"/>
      <c r="T988" s="47"/>
    </row>
    <row r="989" s="27" customFormat="1" ht="18" customHeight="1" spans="1:20">
      <c r="A989" s="34"/>
      <c r="B989" s="48">
        <v>1</v>
      </c>
      <c r="C989" s="48" t="s">
        <v>443</v>
      </c>
      <c r="D989" s="48" t="s">
        <v>444</v>
      </c>
      <c r="E989" s="72" t="s">
        <v>43</v>
      </c>
      <c r="F989" s="50"/>
      <c r="G989" s="48"/>
      <c r="H989" s="51">
        <v>1</v>
      </c>
      <c r="I989" s="74">
        <f>+辅材及安装费!$F$19</f>
        <v>5</v>
      </c>
      <c r="J989" s="95">
        <f>H989*I989</f>
        <v>5</v>
      </c>
      <c r="K989" s="60"/>
      <c r="L989" s="96"/>
      <c r="M989" s="97"/>
      <c r="N989" s="98"/>
      <c r="O989" s="98"/>
      <c r="P989" s="98"/>
      <c r="Q989" s="98"/>
      <c r="R989" s="99"/>
      <c r="S989" s="47"/>
      <c r="T989" s="47"/>
    </row>
    <row r="990" s="26" customFormat="1" ht="30" customHeight="1" spans="1:20">
      <c r="A990" s="28"/>
      <c r="B990" s="29" t="s">
        <v>386</v>
      </c>
      <c r="C990" s="29"/>
      <c r="D990" s="29"/>
      <c r="E990" s="29"/>
      <c r="F990" s="29"/>
      <c r="G990" s="29"/>
      <c r="H990" s="29"/>
      <c r="I990" s="29"/>
      <c r="J990" s="29"/>
      <c r="K990" s="29"/>
      <c r="L990" s="30"/>
      <c r="M990" s="31"/>
      <c r="N990" s="31"/>
      <c r="O990" s="31"/>
      <c r="P990" s="31"/>
      <c r="Q990" s="31"/>
      <c r="R990" s="32"/>
      <c r="S990" s="33"/>
      <c r="T990" s="33"/>
    </row>
    <row r="991" s="27" customFormat="1" ht="33.75" customHeight="1" spans="1:20">
      <c r="A991" s="34">
        <v>24</v>
      </c>
      <c r="B991" s="35" t="s">
        <v>1</v>
      </c>
      <c r="C991" s="35" t="s">
        <v>387</v>
      </c>
      <c r="D991" s="36" t="str">
        <f>+A999</f>
        <v>首层明框玻璃幕墙（8+1.52PVB+8Low-E(双银)+12A+8+1.52PVB+8㎜全超白钢化夹层中空玻璃）（超高）（宽2175㎜，高6800㎜）</v>
      </c>
      <c r="E991" s="37"/>
      <c r="F991" s="38" t="s">
        <v>225</v>
      </c>
      <c r="G991" s="39"/>
      <c r="H991" s="35" t="s">
        <v>388</v>
      </c>
      <c r="I991" s="40" t="s">
        <v>389</v>
      </c>
      <c r="J991" s="41" t="s">
        <v>37</v>
      </c>
      <c r="K991" s="42">
        <f ca="1">VLOOKUP(A991,'商业工程量清单 '!$A$4:$D$44,4,FALSE)</f>
        <v>14.79</v>
      </c>
      <c r="L991" s="43"/>
      <c r="M991" s="44"/>
      <c r="N991" s="44"/>
      <c r="O991" s="44"/>
      <c r="P991" s="45"/>
      <c r="Q991" s="44"/>
      <c r="R991" s="46"/>
      <c r="S991" s="47"/>
      <c r="T991" s="47"/>
    </row>
    <row r="992" s="27" customFormat="1" ht="25" customHeight="1" spans="1:20">
      <c r="A992" s="34"/>
      <c r="B992" s="48">
        <v>1</v>
      </c>
      <c r="C992" s="49" t="s">
        <v>390</v>
      </c>
      <c r="D992" s="48" t="s">
        <v>391</v>
      </c>
      <c r="E992" s="48"/>
      <c r="F992" s="50"/>
      <c r="G992" s="48"/>
      <c r="H992" s="51"/>
      <c r="I992" s="52">
        <f>J1004</f>
        <v>220</v>
      </c>
      <c r="J992" s="53" t="s">
        <v>392</v>
      </c>
      <c r="K992" s="54"/>
      <c r="L992" s="55" t="s">
        <v>1036</v>
      </c>
      <c r="M992" s="56"/>
      <c r="N992" s="57"/>
      <c r="O992" s="57">
        <v>2.175</v>
      </c>
      <c r="P992" s="57">
        <v>6.8</v>
      </c>
      <c r="Q992" s="57">
        <v>1</v>
      </c>
      <c r="R992" s="58">
        <f>+Q992*P992*O992</f>
        <v>14.79</v>
      </c>
      <c r="S992" s="47"/>
      <c r="T992" s="47"/>
    </row>
    <row r="993" s="27" customFormat="1" ht="18" customHeight="1" spans="1:21">
      <c r="A993" s="34"/>
      <c r="B993" s="48">
        <v>2</v>
      </c>
      <c r="C993" s="59"/>
      <c r="D993" s="48" t="s">
        <v>394</v>
      </c>
      <c r="E993" s="48"/>
      <c r="F993" s="50"/>
      <c r="G993" s="48"/>
      <c r="H993" s="51"/>
      <c r="I993" s="52">
        <f>J1031</f>
        <v>1691.49352556369</v>
      </c>
      <c r="J993" s="53" t="s">
        <v>392</v>
      </c>
      <c r="K993" s="60"/>
      <c r="L993" s="61"/>
      <c r="M993" s="44"/>
      <c r="N993" s="44"/>
      <c r="O993" s="44"/>
      <c r="P993" s="44"/>
      <c r="Q993" s="44"/>
      <c r="R993" s="62"/>
      <c r="S993" s="47"/>
      <c r="T993" s="47"/>
    </row>
    <row r="994" s="27" customFormat="1" ht="18" customHeight="1" spans="1:21">
      <c r="A994" s="34"/>
      <c r="B994" s="48">
        <v>3</v>
      </c>
      <c r="C994" s="63"/>
      <c r="D994" s="48" t="s">
        <v>395</v>
      </c>
      <c r="E994" s="48"/>
      <c r="F994" s="50"/>
      <c r="G994" s="48"/>
      <c r="H994" s="51"/>
      <c r="I994" s="52">
        <f>J1032</f>
        <v>5</v>
      </c>
      <c r="J994" s="53" t="s">
        <v>392</v>
      </c>
      <c r="K994" s="60"/>
      <c r="L994" s="60"/>
      <c r="M994" s="64" t="s">
        <v>396</v>
      </c>
      <c r="N994" s="65" t="s">
        <v>397</v>
      </c>
      <c r="O994" s="65" t="s">
        <v>398</v>
      </c>
      <c r="P994" s="65" t="s">
        <v>399</v>
      </c>
      <c r="Q994" s="65" t="s">
        <v>400</v>
      </c>
      <c r="R994" s="66" t="s">
        <v>401</v>
      </c>
      <c r="S994" s="47"/>
      <c r="T994" s="47"/>
    </row>
    <row r="995" s="27" customFormat="1" ht="18" customHeight="1" spans="1:21">
      <c r="A995" s="34"/>
      <c r="B995" s="48">
        <v>4</v>
      </c>
      <c r="C995" s="48" t="s">
        <v>402</v>
      </c>
      <c r="D995" s="67" t="s">
        <v>403</v>
      </c>
      <c r="E995" s="67"/>
      <c r="F995" s="50"/>
      <c r="G995" s="67"/>
      <c r="H995" s="68"/>
      <c r="I995" s="52">
        <f>SUM(I992:I994)</f>
        <v>1916.49352556369</v>
      </c>
      <c r="J995" s="53" t="s">
        <v>392</v>
      </c>
      <c r="K995" s="60"/>
      <c r="L995" s="69" t="s">
        <v>427</v>
      </c>
      <c r="M995" s="70" t="s">
        <v>1007</v>
      </c>
      <c r="N995" s="34">
        <v>3.111</v>
      </c>
      <c r="O995" s="34">
        <f>P992</f>
        <v>6.8</v>
      </c>
      <c r="P995" s="34">
        <v>2</v>
      </c>
      <c r="Q995" s="44">
        <f t="shared" ref="Q995:Q1003" si="155">+P995*O995*N995</f>
        <v>42.3096</v>
      </c>
      <c r="R995" s="71">
        <f>+Q995/R992</f>
        <v>2.86068965517241</v>
      </c>
      <c r="S995" s="47"/>
      <c r="T995" s="47"/>
    </row>
    <row r="996" s="27" customFormat="1" ht="28" customHeight="1" spans="1:21">
      <c r="A996" s="34"/>
      <c r="B996" s="48">
        <v>5</v>
      </c>
      <c r="C996" s="72" t="s">
        <v>406</v>
      </c>
      <c r="D996" s="48" t="s">
        <v>407</v>
      </c>
      <c r="E996" s="48"/>
      <c r="F996" s="50"/>
      <c r="G996" s="48"/>
      <c r="H996" s="73">
        <f>+'材料表 '!$E$178</f>
        <v>0</v>
      </c>
      <c r="I996" s="52">
        <f>H996*I995</f>
        <v>0</v>
      </c>
      <c r="J996" s="53" t="s">
        <v>392</v>
      </c>
      <c r="K996" s="60"/>
      <c r="L996" s="69" t="s">
        <v>429</v>
      </c>
      <c r="M996" s="70" t="s">
        <v>1037</v>
      </c>
      <c r="N996" s="34">
        <v>3.063</v>
      </c>
      <c r="O996" s="100">
        <f>O995/0.3*0.1</f>
        <v>2.26666666666667</v>
      </c>
      <c r="P996" s="34">
        <f>P995</f>
        <v>2</v>
      </c>
      <c r="Q996" s="44">
        <f t="shared" si="155"/>
        <v>13.8856</v>
      </c>
      <c r="R996" s="71">
        <f>+Q996/R992</f>
        <v>0.938850574712644</v>
      </c>
      <c r="S996" s="47"/>
      <c r="T996" s="47"/>
    </row>
    <row r="997" s="27" customFormat="1" ht="18" customHeight="1" spans="1:21">
      <c r="A997" s="34"/>
      <c r="B997" s="48">
        <v>6</v>
      </c>
      <c r="C997" s="48" t="s">
        <v>409</v>
      </c>
      <c r="D997" s="48" t="s">
        <v>410</v>
      </c>
      <c r="E997" s="48"/>
      <c r="F997" s="50"/>
      <c r="G997" s="48"/>
      <c r="H997" s="73">
        <f>+'材料表 '!$E$179</f>
        <v>0</v>
      </c>
      <c r="I997" s="52">
        <f>H997*I995</f>
        <v>0</v>
      </c>
      <c r="J997" s="74" t="s">
        <v>392</v>
      </c>
      <c r="K997" s="75"/>
      <c r="L997" s="69" t="s">
        <v>447</v>
      </c>
      <c r="M997" s="70" t="s">
        <v>1038</v>
      </c>
      <c r="N997" s="34">
        <f>1.041+0.104</f>
        <v>1.145</v>
      </c>
      <c r="O997" s="34">
        <f>O995</f>
        <v>6.8</v>
      </c>
      <c r="P997" s="34">
        <f>P995</f>
        <v>2</v>
      </c>
      <c r="Q997" s="44">
        <f t="shared" si="155"/>
        <v>15.572</v>
      </c>
      <c r="R997" s="71">
        <f>+Q997/R992</f>
        <v>1.05287356321839</v>
      </c>
      <c r="S997" s="47">
        <v>0.172</v>
      </c>
      <c r="T997" s="47">
        <f>O997*P997*S997</f>
        <v>2.3392</v>
      </c>
      <c r="U997" s="76">
        <f>T997/R992</f>
        <v>0.15816091954023</v>
      </c>
    </row>
    <row r="998" s="27" customFormat="1" ht="18" customHeight="1" spans="1:21">
      <c r="A998" s="34"/>
      <c r="B998" s="48">
        <v>7</v>
      </c>
      <c r="C998" s="48" t="s">
        <v>412</v>
      </c>
      <c r="D998" s="72" t="s">
        <v>413</v>
      </c>
      <c r="E998" s="72"/>
      <c r="F998" s="77"/>
      <c r="G998" s="72"/>
      <c r="H998" s="73">
        <f>+'材料表 '!$E$180</f>
        <v>0.09</v>
      </c>
      <c r="I998" s="52">
        <f>(I995+I996+I997)*H998</f>
        <v>172.484417300732</v>
      </c>
      <c r="J998" s="74" t="s">
        <v>392</v>
      </c>
      <c r="K998" s="75"/>
      <c r="L998" s="69" t="s">
        <v>429</v>
      </c>
      <c r="M998" s="70" t="s">
        <v>1010</v>
      </c>
      <c r="N998" s="102">
        <f>2.9</f>
        <v>2.9</v>
      </c>
      <c r="O998" s="34">
        <v>0.2</v>
      </c>
      <c r="P998" s="34">
        <f>P995</f>
        <v>2</v>
      </c>
      <c r="Q998" s="44">
        <f t="shared" si="155"/>
        <v>1.16</v>
      </c>
      <c r="R998" s="71">
        <f>+Q998/R992</f>
        <v>0.0784313725490196</v>
      </c>
      <c r="S998" s="47"/>
      <c r="T998" s="47"/>
    </row>
    <row r="999" s="27" customFormat="1" ht="18" customHeight="1" spans="1:21">
      <c r="A999" s="78" t="s">
        <v>260</v>
      </c>
      <c r="B999" s="48">
        <v>8</v>
      </c>
      <c r="C999" s="48" t="s">
        <v>363</v>
      </c>
      <c r="D999" s="72" t="s">
        <v>415</v>
      </c>
      <c r="E999" s="72"/>
      <c r="F999" s="77"/>
      <c r="G999" s="72"/>
      <c r="H999" s="51"/>
      <c r="I999" s="74">
        <f>SUM(I995:I998)</f>
        <v>2088.97794286443</v>
      </c>
      <c r="J999" s="74" t="s">
        <v>416</v>
      </c>
      <c r="K999" s="75"/>
      <c r="L999" s="69" t="s">
        <v>429</v>
      </c>
      <c r="M999" s="70" t="s">
        <v>1040</v>
      </c>
      <c r="N999" s="34">
        <v>0.733</v>
      </c>
      <c r="O999" s="100">
        <f>O996*2</f>
        <v>4.53333333333333</v>
      </c>
      <c r="P999" s="34">
        <f>P995</f>
        <v>2</v>
      </c>
      <c r="Q999" s="44">
        <f t="shared" si="155"/>
        <v>6.64586666666667</v>
      </c>
      <c r="R999" s="71">
        <f>+Q999/R992</f>
        <v>0.449348659003831</v>
      </c>
      <c r="S999" s="79"/>
      <c r="T999" s="47"/>
    </row>
    <row r="1000" s="27" customFormat="1" ht="18" customHeight="1" spans="1:21">
      <c r="A1000" s="34"/>
      <c r="B1000" s="48" t="s">
        <v>418</v>
      </c>
      <c r="C1000" s="48"/>
      <c r="D1000" s="48"/>
      <c r="E1000" s="48"/>
      <c r="F1000" s="48"/>
      <c r="G1000" s="48"/>
      <c r="H1000" s="48"/>
      <c r="I1000" s="48"/>
      <c r="J1000" s="48"/>
      <c r="K1000" s="80"/>
      <c r="L1000" s="69" t="s">
        <v>404</v>
      </c>
      <c r="M1000" s="70" t="s">
        <v>1041</v>
      </c>
      <c r="N1000" s="34">
        <v>3.727</v>
      </c>
      <c r="O1000" s="34">
        <f>O992</f>
        <v>2.175</v>
      </c>
      <c r="P1000" s="34">
        <f>2</f>
        <v>2</v>
      </c>
      <c r="Q1000" s="44">
        <f t="shared" si="155"/>
        <v>16.21245</v>
      </c>
      <c r="R1000" s="71">
        <f>+Q1000/R992</f>
        <v>1.09617647058824</v>
      </c>
      <c r="S1000" s="47"/>
      <c r="T1000" s="47"/>
      <c r="U1000" s="76"/>
    </row>
    <row r="1001" s="27" customFormat="1" ht="18" customHeight="1" spans="1:21">
      <c r="A1001" s="34"/>
      <c r="B1001" s="48">
        <v>1</v>
      </c>
      <c r="C1001" s="48" t="s">
        <v>391</v>
      </c>
      <c r="D1001" s="48" t="s">
        <v>396</v>
      </c>
      <c r="E1001" s="48" t="s">
        <v>37</v>
      </c>
      <c r="F1001" s="50"/>
      <c r="G1001" s="48"/>
      <c r="H1001" s="51" t="s">
        <v>399</v>
      </c>
      <c r="I1001" s="51" t="s">
        <v>420</v>
      </c>
      <c r="J1001" s="51" t="s">
        <v>421</v>
      </c>
      <c r="K1001" s="43"/>
      <c r="L1001" s="69" t="s">
        <v>429</v>
      </c>
      <c r="M1001" s="81" t="s">
        <v>1027</v>
      </c>
      <c r="N1001" s="82">
        <v>0.735</v>
      </c>
      <c r="O1001" s="34">
        <f>O1000</f>
        <v>2.175</v>
      </c>
      <c r="P1001" s="34">
        <f>P1000</f>
        <v>2</v>
      </c>
      <c r="Q1001" s="44">
        <f t="shared" si="155"/>
        <v>3.19725</v>
      </c>
      <c r="R1001" s="71">
        <f>+Q1001/R992</f>
        <v>0.216176470588235</v>
      </c>
      <c r="S1001" s="47"/>
      <c r="T1001" s="47"/>
    </row>
    <row r="1002" s="27" customFormat="1" ht="18" customHeight="1" spans="1:21">
      <c r="A1002" s="34"/>
      <c r="B1002" s="48">
        <v>2</v>
      </c>
      <c r="C1002" s="48"/>
      <c r="D1002" s="48" t="s">
        <v>967</v>
      </c>
      <c r="E1002" s="72" t="s">
        <v>423</v>
      </c>
      <c r="F1002" s="50"/>
      <c r="G1002" s="48"/>
      <c r="H1002" s="51">
        <v>1</v>
      </c>
      <c r="I1002" s="51">
        <f>+辅材及安装费!$G$19+50</f>
        <v>220</v>
      </c>
      <c r="J1002" s="51">
        <f t="shared" ref="J1002:J1010" si="156">H1002*I1002</f>
        <v>220</v>
      </c>
      <c r="K1002" s="43"/>
      <c r="L1002" s="69" t="s">
        <v>447</v>
      </c>
      <c r="M1002" s="70" t="s">
        <v>1038</v>
      </c>
      <c r="N1002" s="83">
        <v>0.977</v>
      </c>
      <c r="O1002" s="34">
        <f>O1000</f>
        <v>2.175</v>
      </c>
      <c r="P1002" s="34">
        <f>P1000</f>
        <v>2</v>
      </c>
      <c r="Q1002" s="44">
        <f t="shared" si="155"/>
        <v>4.24995</v>
      </c>
      <c r="R1002" s="84">
        <f>+Q1002/R992</f>
        <v>0.287352941176471</v>
      </c>
      <c r="S1002" s="47">
        <v>0.185</v>
      </c>
      <c r="T1002" s="47">
        <f>O1002*P1002*S1002</f>
        <v>0.80475</v>
      </c>
      <c r="U1002" s="103">
        <f>T1002/R992</f>
        <v>0.0544117647058824</v>
      </c>
    </row>
    <row r="1003" s="27" customFormat="1" ht="18" customHeight="1" spans="1:21">
      <c r="A1003" s="34"/>
      <c r="B1003" s="48">
        <v>3</v>
      </c>
      <c r="C1003" s="48"/>
      <c r="D1003" s="48"/>
      <c r="E1003" s="72"/>
      <c r="F1003" s="50"/>
      <c r="G1003" s="48"/>
      <c r="H1003" s="51"/>
      <c r="I1003" s="51"/>
      <c r="J1003" s="51"/>
      <c r="K1003" s="43"/>
      <c r="L1003" s="69" t="s">
        <v>429</v>
      </c>
      <c r="M1003" s="81" t="s">
        <v>1042</v>
      </c>
      <c r="N1003" s="82">
        <v>0.687</v>
      </c>
      <c r="O1003" s="44">
        <f>0.1</f>
        <v>0.1</v>
      </c>
      <c r="P1003" s="34">
        <f>2*2</f>
        <v>4</v>
      </c>
      <c r="Q1003" s="44">
        <f t="shared" si="155"/>
        <v>0.2748</v>
      </c>
      <c r="R1003" s="84">
        <f>+Q1003/R992</f>
        <v>0.018580121703854</v>
      </c>
      <c r="S1003" s="47"/>
      <c r="T1003" s="47"/>
    </row>
    <row r="1004" s="27" customFormat="1" ht="18" customHeight="1" spans="1:21">
      <c r="A1004" s="34"/>
      <c r="B1004" s="48">
        <v>4</v>
      </c>
      <c r="C1004" s="48"/>
      <c r="D1004" s="85" t="s">
        <v>426</v>
      </c>
      <c r="E1004" s="48" t="s">
        <v>392</v>
      </c>
      <c r="F1004" s="50"/>
      <c r="G1004" s="48"/>
      <c r="H1004" s="86"/>
      <c r="I1004" s="86"/>
      <c r="J1004" s="51">
        <f>SUM(J1002:J1002)</f>
        <v>220</v>
      </c>
      <c r="K1004" s="75"/>
      <c r="L1004" s="69"/>
      <c r="M1004" s="70"/>
      <c r="N1004" s="83"/>
      <c r="O1004" s="83"/>
      <c r="P1004" s="34">
        <v>1</v>
      </c>
      <c r="Q1004" s="83"/>
      <c r="R1004" s="87"/>
      <c r="S1004" s="47"/>
      <c r="T1004" s="47"/>
    </row>
    <row r="1005" s="27" customFormat="1" ht="23" customHeight="1" spans="1:21">
      <c r="A1005" s="34"/>
      <c r="B1005" s="48">
        <v>1</v>
      </c>
      <c r="C1005" s="48" t="s">
        <v>394</v>
      </c>
      <c r="D1005" s="88" t="s">
        <v>427</v>
      </c>
      <c r="E1005" s="72" t="str">
        <f>+VLOOKUP(D1005,'材料表 '!C:F,2,0)</f>
        <v>kg</v>
      </c>
      <c r="F1005" s="77">
        <f>+SUMIF($L$992:$L$1032,D1005,$R$992:$R$1032)</f>
        <v>2.86068965517241</v>
      </c>
      <c r="G1005" s="89">
        <f>+VLOOKUP(D1005,'材料表 '!C:F,4,0)</f>
        <v>0.03</v>
      </c>
      <c r="H1005" s="74">
        <f t="shared" ref="H1005:H1010" si="157">F1005*(G1005+1)</f>
        <v>2.94651034482758</v>
      </c>
      <c r="I1005" s="74">
        <f>+VLOOKUP(D1005,'材料表 '!C:F,3,0)</f>
        <v>25.8495575221239</v>
      </c>
      <c r="J1005" s="51">
        <f t="shared" si="156"/>
        <v>76.1659886481537</v>
      </c>
      <c r="K1005" s="75">
        <f ca="1">H1005*K991</f>
        <v>43.5788879999999</v>
      </c>
      <c r="L1005" s="69"/>
      <c r="M1005" s="70"/>
      <c r="N1005" s="83"/>
      <c r="O1005" s="83"/>
      <c r="P1005" s="34">
        <v>1</v>
      </c>
      <c r="Q1005" s="83"/>
      <c r="R1005" s="87"/>
      <c r="S1005" s="47"/>
      <c r="T1005" s="47"/>
    </row>
    <row r="1006" s="27" customFormat="1" ht="18" customHeight="1" spans="1:21">
      <c r="A1006" s="34"/>
      <c r="B1006" s="48">
        <v>2</v>
      </c>
      <c r="C1006" s="48"/>
      <c r="D1006" s="88" t="s">
        <v>404</v>
      </c>
      <c r="E1006" s="72" t="str">
        <f>+VLOOKUP(D1006,'材料表 '!C:F,2,0)</f>
        <v>kg</v>
      </c>
      <c r="F1006" s="77">
        <f t="shared" ref="F1006:F1018" si="158">+SUMIF($L$992:$L$1032,D1006,$R$992:$R$1032)</f>
        <v>1.09617647058824</v>
      </c>
      <c r="G1006" s="89">
        <f>+VLOOKUP(D1006,'材料表 '!C:F,4,0)</f>
        <v>0.03</v>
      </c>
      <c r="H1006" s="74">
        <f t="shared" si="157"/>
        <v>1.12906176470589</v>
      </c>
      <c r="I1006" s="74">
        <f>+VLOOKUP(D1006,'材料表 '!C:F,3,0)</f>
        <v>25.6725663716814</v>
      </c>
      <c r="J1006" s="51">
        <f t="shared" si="156"/>
        <v>28.9859130921396</v>
      </c>
      <c r="K1006" s="75">
        <f ca="1">H1006*K991</f>
        <v>16.6988235000001</v>
      </c>
      <c r="L1006" s="69"/>
      <c r="M1006" s="70"/>
      <c r="N1006" s="83"/>
      <c r="O1006" s="83"/>
      <c r="P1006" s="83"/>
      <c r="Q1006" s="83"/>
      <c r="R1006" s="87"/>
      <c r="S1006" s="47"/>
      <c r="T1006" s="47"/>
    </row>
    <row r="1007" s="27" customFormat="1" ht="18" customHeight="1" spans="1:21">
      <c r="A1007" s="34"/>
      <c r="B1007" s="48">
        <v>3</v>
      </c>
      <c r="C1007" s="48"/>
      <c r="D1007" s="88" t="s">
        <v>433</v>
      </c>
      <c r="E1007" s="72" t="str">
        <f>+VLOOKUP(D1007,'材料表 '!C:F,2,0)</f>
        <v>kg</v>
      </c>
      <c r="F1007" s="77">
        <f t="shared" si="158"/>
        <v>0</v>
      </c>
      <c r="G1007" s="89">
        <f>+VLOOKUP(D1007,'材料表 '!C:F,4,0)</f>
        <v>0.03</v>
      </c>
      <c r="H1007" s="74">
        <f t="shared" si="157"/>
        <v>0</v>
      </c>
      <c r="I1007" s="74">
        <f>+VLOOKUP(D1007,'材料表 '!C:F,3,0)</f>
        <v>26.1150442477876</v>
      </c>
      <c r="J1007" s="51">
        <f t="shared" si="156"/>
        <v>0</v>
      </c>
      <c r="K1007" s="75">
        <f ca="1">H1007*K991</f>
        <v>0</v>
      </c>
      <c r="L1007" s="69"/>
      <c r="N1007" s="83"/>
      <c r="O1007" s="83"/>
      <c r="P1007" s="83"/>
      <c r="Q1007" s="83"/>
      <c r="R1007" s="87"/>
      <c r="S1007" s="47"/>
      <c r="T1007" s="47"/>
    </row>
    <row r="1008" s="27" customFormat="1" ht="18" customHeight="1" spans="1:21">
      <c r="A1008" s="34"/>
      <c r="B1008" s="48">
        <v>4</v>
      </c>
      <c r="C1008" s="48"/>
      <c r="D1008" s="88" t="s">
        <v>429</v>
      </c>
      <c r="E1008" s="72" t="str">
        <f>+VLOOKUP(D1008,'材料表 '!C:F,2,0)</f>
        <v>kg</v>
      </c>
      <c r="F1008" s="77">
        <f t="shared" si="158"/>
        <v>1.70138719855758</v>
      </c>
      <c r="G1008" s="89">
        <f>+VLOOKUP(D1008,'材料表 '!C:F,4,0)</f>
        <v>0.03</v>
      </c>
      <c r="H1008" s="74">
        <f t="shared" si="157"/>
        <v>1.75242881451431</v>
      </c>
      <c r="I1008" s="74">
        <f>+VLOOKUP(D1008,'材料表 '!C:F,3,0)</f>
        <v>26.1150442477876</v>
      </c>
      <c r="J1008" s="51">
        <f t="shared" si="156"/>
        <v>45.7647560321391</v>
      </c>
      <c r="K1008" s="75">
        <f ca="1">H1008*K991</f>
        <v>25.9184221666666</v>
      </c>
      <c r="L1008" s="90" t="s">
        <v>707</v>
      </c>
      <c r="M1008" s="44"/>
      <c r="N1008" s="82"/>
      <c r="O1008" s="44">
        <f>O1000*P1000</f>
        <v>4.35</v>
      </c>
      <c r="P1008" s="44">
        <v>1</v>
      </c>
      <c r="Q1008" s="44">
        <f>+P1008*O1008</f>
        <v>4.35</v>
      </c>
      <c r="R1008" s="84">
        <f>+Q1008/R992</f>
        <v>0.294117647058824</v>
      </c>
      <c r="S1008" s="47"/>
      <c r="T1008" s="47"/>
    </row>
    <row r="1009" s="27" customFormat="1" ht="18" customHeight="1" spans="1:20">
      <c r="A1009" s="34"/>
      <c r="B1009" s="48">
        <v>5</v>
      </c>
      <c r="C1009" s="48"/>
      <c r="D1009" s="88" t="s">
        <v>447</v>
      </c>
      <c r="E1009" s="72" t="str">
        <f>+VLOOKUP(D1009,'材料表 '!C:F,2,0)</f>
        <v>kg</v>
      </c>
      <c r="F1009" s="77">
        <f t="shared" si="158"/>
        <v>1.34022650439486</v>
      </c>
      <c r="G1009" s="89">
        <f>+VLOOKUP(D1009,'材料表 '!C:F,4,0)</f>
        <v>0.03</v>
      </c>
      <c r="H1009" s="74">
        <f t="shared" si="157"/>
        <v>1.38043329952671</v>
      </c>
      <c r="I1009" s="74">
        <f>+VLOOKUP(D1009,'材料表 '!C:F,3,0)</f>
        <v>24.4336283185841</v>
      </c>
      <c r="J1009" s="51">
        <f t="shared" si="156"/>
        <v>33.7289941592322</v>
      </c>
      <c r="K1009" s="43">
        <f ca="1">H1009*K991</f>
        <v>20.4166085</v>
      </c>
      <c r="L1009" s="90" t="s">
        <v>435</v>
      </c>
      <c r="M1009" s="44"/>
      <c r="N1009" s="82">
        <f>0.073*1.2</f>
        <v>0.0876</v>
      </c>
      <c r="O1009" s="44">
        <f>O995*P995*3+O1000*P1000*4</f>
        <v>58.2</v>
      </c>
      <c r="P1009" s="44">
        <v>1</v>
      </c>
      <c r="Q1009" s="44">
        <f>+P1009*O1009</f>
        <v>58.2</v>
      </c>
      <c r="R1009" s="84">
        <f>+Q1009/R992</f>
        <v>3.93509127789047</v>
      </c>
      <c r="S1009" s="47"/>
      <c r="T1009" s="47"/>
    </row>
    <row r="1010" s="27" customFormat="1" ht="18" customHeight="1" spans="1:20">
      <c r="A1010" s="34"/>
      <c r="B1010" s="48">
        <v>6</v>
      </c>
      <c r="C1010" s="48"/>
      <c r="D1010" s="88" t="s">
        <v>434</v>
      </c>
      <c r="E1010" s="72" t="str">
        <f>+VLOOKUP(D1010,'材料表 '!C:F,2,0)</f>
        <v>m2</v>
      </c>
      <c r="F1010" s="77">
        <f>U997+U1002</f>
        <v>0.212572684246112</v>
      </c>
      <c r="G1010" s="89">
        <f>+VLOOKUP(D1010,'材料表 '!C:F,4,0)</f>
        <v>0</v>
      </c>
      <c r="H1010" s="74">
        <f t="shared" si="157"/>
        <v>0.212572684246112</v>
      </c>
      <c r="I1010" s="74">
        <f>+VLOOKUP(D1010,'材料表 '!C:F,3,0)</f>
        <v>49.5575221238938</v>
      </c>
      <c r="J1010" s="51">
        <f t="shared" si="156"/>
        <v>10.5345755024622</v>
      </c>
      <c r="K1010" s="43">
        <f ca="1">H1010*K991</f>
        <v>3.14395</v>
      </c>
      <c r="L1010" s="90" t="s">
        <v>463</v>
      </c>
      <c r="M1010" s="91" t="s">
        <v>1012</v>
      </c>
      <c r="N1010" s="82">
        <f>0.32*0.3*8*7.85</f>
        <v>6.0288</v>
      </c>
      <c r="O1010" s="44">
        <v>2</v>
      </c>
      <c r="P1010" s="44">
        <f>P995</f>
        <v>2</v>
      </c>
      <c r="Q1010" s="44">
        <f t="shared" ref="Q1010:Q1014" si="159">+P1010*O1010*N1010</f>
        <v>24.1152</v>
      </c>
      <c r="R1010" s="84">
        <f>+Q1010/R992</f>
        <v>1.63050709939148</v>
      </c>
      <c r="S1010" s="47"/>
      <c r="T1010" s="47"/>
    </row>
    <row r="1011" s="27" customFormat="1" ht="18" customHeight="1" spans="1:20">
      <c r="A1011" s="34"/>
      <c r="B1011" s="48">
        <v>7</v>
      </c>
      <c r="C1011" s="48"/>
      <c r="D1011" s="88"/>
      <c r="E1011" s="72"/>
      <c r="F1011" s="77">
        <f t="shared" si="158"/>
        <v>0</v>
      </c>
      <c r="G1011" s="89"/>
      <c r="H1011" s="74"/>
      <c r="I1011" s="74"/>
      <c r="J1011" s="51"/>
      <c r="K1011" s="43">
        <f ca="1">H1011*K991</f>
        <v>0</v>
      </c>
      <c r="L1011" s="69" t="s">
        <v>465</v>
      </c>
      <c r="M1011" s="81" t="s">
        <v>1013</v>
      </c>
      <c r="N1011" s="34">
        <v>9.88</v>
      </c>
      <c r="O1011" s="34">
        <f>0.13</f>
        <v>0.13</v>
      </c>
      <c r="P1011" s="34">
        <f>2*P1010*O1010</f>
        <v>8</v>
      </c>
      <c r="Q1011" s="44">
        <f t="shared" si="159"/>
        <v>10.2752</v>
      </c>
      <c r="R1011" s="84">
        <f>Q1011/R992</f>
        <v>0.69473968897904</v>
      </c>
      <c r="S1011" s="47"/>
      <c r="T1011" s="47"/>
    </row>
    <row r="1012" s="27" customFormat="1" ht="18" customHeight="1" spans="1:20">
      <c r="A1012" s="34"/>
      <c r="B1012" s="48">
        <v>8</v>
      </c>
      <c r="C1012" s="48"/>
      <c r="D1012" s="88" t="s">
        <v>431</v>
      </c>
      <c r="E1012" s="72" t="str">
        <f>+VLOOKUP(D1012,'材料表 '!C:F,2,0)</f>
        <v>kg</v>
      </c>
      <c r="F1012" s="77">
        <f t="shared" si="158"/>
        <v>0</v>
      </c>
      <c r="G1012" s="89">
        <f>+VLOOKUP(D1012,'材料表 '!C:F,4,0)</f>
        <v>0.03</v>
      </c>
      <c r="H1012" s="74">
        <f t="shared" ref="H1012:H1020" si="160">F1012*(G1012+1)</f>
        <v>0</v>
      </c>
      <c r="I1012" s="74">
        <f>+VLOOKUP(D1012,'材料表 '!C:F,3,0)</f>
        <v>3.80530973451327</v>
      </c>
      <c r="J1012" s="51">
        <f t="shared" ref="J1012:J1020" si="161">H1012*I1012</f>
        <v>0</v>
      </c>
      <c r="K1012" s="43">
        <f ca="1">H1012*K991</f>
        <v>0</v>
      </c>
      <c r="L1012" s="90" t="s">
        <v>474</v>
      </c>
      <c r="M1012" s="44"/>
      <c r="N1012" s="82"/>
      <c r="O1012" s="44">
        <v>4</v>
      </c>
      <c r="P1012" s="44">
        <v>8</v>
      </c>
      <c r="Q1012" s="44">
        <f>O1012*P1012</f>
        <v>32</v>
      </c>
      <c r="R1012" s="84">
        <f>Q1012/R992</f>
        <v>2.16362407031778</v>
      </c>
      <c r="S1012" s="47"/>
      <c r="T1012" s="47"/>
    </row>
    <row r="1013" s="27" customFormat="1" ht="18" customHeight="1" spans="1:20">
      <c r="A1013" s="34"/>
      <c r="B1013" s="48">
        <v>9</v>
      </c>
      <c r="C1013" s="48"/>
      <c r="D1013" s="88" t="s">
        <v>461</v>
      </c>
      <c r="E1013" s="72" t="str">
        <f>+VLOOKUP(D1013,'材料表 '!C:F,2,0)</f>
        <v>kg</v>
      </c>
      <c r="F1013" s="77">
        <f t="shared" si="158"/>
        <v>0</v>
      </c>
      <c r="G1013" s="89">
        <f>+VLOOKUP(D1013,'材料表 '!C:F,4,0)</f>
        <v>0.03</v>
      </c>
      <c r="H1013" s="74">
        <f t="shared" si="160"/>
        <v>0</v>
      </c>
      <c r="I1013" s="74">
        <f>+VLOOKUP(D1013,'材料表 '!C:F,3,0)</f>
        <v>3.53982300884956</v>
      </c>
      <c r="J1013" s="51">
        <f t="shared" si="161"/>
        <v>0</v>
      </c>
      <c r="K1013" s="43">
        <f ca="1">H1013*K991</f>
        <v>0</v>
      </c>
      <c r="L1013" s="90" t="s">
        <v>472</v>
      </c>
      <c r="M1013" s="91"/>
      <c r="N1013" s="82"/>
      <c r="O1013" s="44">
        <v>2</v>
      </c>
      <c r="P1013" s="44">
        <f>O1010*P1010</f>
        <v>4</v>
      </c>
      <c r="Q1013" s="44">
        <f>O1013*P1013</f>
        <v>8</v>
      </c>
      <c r="R1013" s="84">
        <f>Q1013/R992</f>
        <v>0.540906017579446</v>
      </c>
      <c r="S1013" s="47"/>
      <c r="T1013" s="47"/>
    </row>
    <row r="1014" s="27" customFormat="1" ht="18" customHeight="1" spans="1:20">
      <c r="A1014" s="34"/>
      <c r="B1014" s="48">
        <v>10</v>
      </c>
      <c r="C1014" s="48"/>
      <c r="D1014" s="88" t="s">
        <v>435</v>
      </c>
      <c r="E1014" s="72" t="str">
        <f>+VLOOKUP(D1014,'材料表 '!C:F,2,0)</f>
        <v>kg</v>
      </c>
      <c r="F1014" s="77">
        <f t="shared" si="158"/>
        <v>3.93509127789047</v>
      </c>
      <c r="G1014" s="89">
        <f>+VLOOKUP(D1014,'材料表 '!C:F,4,0)</f>
        <v>0.03</v>
      </c>
      <c r="H1014" s="74">
        <f t="shared" si="160"/>
        <v>4.05314401622718</v>
      </c>
      <c r="I1014" s="74">
        <f>+VLOOKUP(D1014,'材料表 '!C:F,3,0)</f>
        <v>19.4690265486726</v>
      </c>
      <c r="J1014" s="51">
        <f t="shared" si="161"/>
        <v>78.9107684575205</v>
      </c>
      <c r="K1014" s="43">
        <f ca="1">H1014*K991</f>
        <v>59.946</v>
      </c>
      <c r="L1014" s="69" t="s">
        <v>465</v>
      </c>
      <c r="M1014" s="91"/>
      <c r="N1014" s="82">
        <f>(0.058+0.04*2)*5*7.85</f>
        <v>5.4165</v>
      </c>
      <c r="O1014" s="44">
        <f>O992</f>
        <v>2.175</v>
      </c>
      <c r="P1014" s="44">
        <v>1</v>
      </c>
      <c r="Q1014" s="44">
        <f t="shared" si="159"/>
        <v>11.7808875</v>
      </c>
      <c r="R1014" s="84">
        <f>+Q1014/R992</f>
        <v>0.796544117647059</v>
      </c>
      <c r="S1014" s="47"/>
      <c r="T1014" s="47"/>
    </row>
    <row r="1015" s="27" customFormat="1" ht="18" customHeight="1" spans="1:20">
      <c r="A1015" s="34"/>
      <c r="B1015" s="48">
        <v>11</v>
      </c>
      <c r="C1015" s="48"/>
      <c r="D1015" s="88" t="s">
        <v>463</v>
      </c>
      <c r="E1015" s="72" t="str">
        <f>+VLOOKUP(D1015,'材料表 '!C:F,2,0)</f>
        <v>kg</v>
      </c>
      <c r="F1015" s="77">
        <f t="shared" si="158"/>
        <v>1.63050709939148</v>
      </c>
      <c r="G1015" s="89">
        <f>+VLOOKUP(D1015,'材料表 '!C:F,4,0)</f>
        <v>0.03</v>
      </c>
      <c r="H1015" s="74">
        <f t="shared" si="160"/>
        <v>1.67942231237322</v>
      </c>
      <c r="I1015" s="74">
        <f>+VLOOKUP(D1015,'材料表 '!C:F,3,0)</f>
        <v>6.01769911504425</v>
      </c>
      <c r="J1015" s="51">
        <f t="shared" si="161"/>
        <v>10.1062581629539</v>
      </c>
      <c r="K1015" s="43">
        <f ca="1">H1015*K991</f>
        <v>24.8386559999999</v>
      </c>
      <c r="L1015" s="69" t="s">
        <v>461</v>
      </c>
      <c r="N1015" s="83"/>
      <c r="O1015" s="83"/>
      <c r="P1015" s="83"/>
      <c r="Q1015" s="83"/>
      <c r="R1015" s="84"/>
      <c r="S1015" s="47"/>
      <c r="T1015" s="47"/>
    </row>
    <row r="1016" s="27" customFormat="1" ht="18" customHeight="1" spans="1:20">
      <c r="A1016" s="34"/>
      <c r="B1016" s="48">
        <v>12</v>
      </c>
      <c r="C1016" s="48"/>
      <c r="D1016" s="88" t="s">
        <v>465</v>
      </c>
      <c r="E1016" s="72" t="str">
        <f>+VLOOKUP(D1016,'材料表 '!C:F,2,0)</f>
        <v>kg</v>
      </c>
      <c r="F1016" s="77">
        <f t="shared" si="158"/>
        <v>1.4912838066261</v>
      </c>
      <c r="G1016" s="89">
        <f>+VLOOKUP(D1016,'材料表 '!C:F,4,0)</f>
        <v>0.03</v>
      </c>
      <c r="H1016" s="74">
        <f t="shared" si="160"/>
        <v>1.53602232082488</v>
      </c>
      <c r="I1016" s="74">
        <f>+VLOOKUP(D1016,'材料表 '!C:F,3,0)</f>
        <v>6.01769911504425</v>
      </c>
      <c r="J1016" s="51">
        <f t="shared" si="161"/>
        <v>9.24332016071611</v>
      </c>
      <c r="K1016" s="43">
        <f ca="1">H1016*K991</f>
        <v>22.717770125</v>
      </c>
      <c r="L1016" s="90"/>
      <c r="M1016" s="44"/>
      <c r="N1016" s="82"/>
      <c r="O1016" s="44"/>
      <c r="P1016" s="44"/>
      <c r="Q1016" s="44"/>
      <c r="R1016" s="84"/>
      <c r="S1016" s="47"/>
      <c r="T1016" s="47"/>
    </row>
    <row r="1017" s="27" customFormat="1" ht="18" customHeight="1" spans="1:20">
      <c r="A1017" s="34"/>
      <c r="B1017" s="48">
        <v>13</v>
      </c>
      <c r="C1017" s="48"/>
      <c r="D1017" s="88" t="s">
        <v>474</v>
      </c>
      <c r="E1017" s="72" t="str">
        <f>+VLOOKUP(D1017,'材料表 '!C:F,2,0)</f>
        <v>套</v>
      </c>
      <c r="F1017" s="77">
        <f t="shared" si="158"/>
        <v>2.16362407031778</v>
      </c>
      <c r="G1017" s="89">
        <f>+VLOOKUP(D1017,'材料表 '!C:F,4,0)</f>
        <v>0</v>
      </c>
      <c r="H1017" s="74">
        <f t="shared" si="160"/>
        <v>2.16362407031778</v>
      </c>
      <c r="I1017" s="74">
        <f>+VLOOKUP(D1017,'材料表 '!C:F,3,0)</f>
        <v>2.21238938053097</v>
      </c>
      <c r="J1017" s="51">
        <f t="shared" si="161"/>
        <v>4.78677891663225</v>
      </c>
      <c r="K1017" s="43">
        <f ca="1">H1017*K991</f>
        <v>32</v>
      </c>
      <c r="L1017" s="90"/>
      <c r="M1017" s="44"/>
      <c r="N1017" s="82"/>
      <c r="O1017" s="44"/>
      <c r="P1017" s="44"/>
      <c r="Q1017" s="44"/>
      <c r="R1017" s="84"/>
      <c r="S1017" s="47"/>
      <c r="T1017" s="47"/>
    </row>
    <row r="1018" s="27" customFormat="1" ht="18" customHeight="1" spans="1:20">
      <c r="A1018" s="34"/>
      <c r="B1018" s="48">
        <v>14</v>
      </c>
      <c r="C1018" s="48"/>
      <c r="D1018" s="88" t="s">
        <v>472</v>
      </c>
      <c r="E1018" s="72" t="str">
        <f>+VLOOKUP(D1018,'材料表 '!C:F,2,0)</f>
        <v>套</v>
      </c>
      <c r="F1018" s="77">
        <f t="shared" si="158"/>
        <v>0.540906017579446</v>
      </c>
      <c r="G1018" s="89">
        <f>+VLOOKUP(D1018,'材料表 '!C:F,4,0)</f>
        <v>0</v>
      </c>
      <c r="H1018" s="74">
        <f t="shared" si="160"/>
        <v>0.540906017579446</v>
      </c>
      <c r="I1018" s="74">
        <f>+VLOOKUP(D1018,'材料表 '!C:F,3,0)</f>
        <v>2.47787610619469</v>
      </c>
      <c r="J1018" s="51">
        <f t="shared" si="161"/>
        <v>1.34029809665703</v>
      </c>
      <c r="K1018" s="43">
        <f ca="1">H1018*K991</f>
        <v>8.00000000000001</v>
      </c>
      <c r="L1018" s="90"/>
      <c r="M1018" s="44"/>
      <c r="N1018" s="82"/>
      <c r="O1018" s="44"/>
      <c r="P1018" s="44"/>
      <c r="Q1018" s="44"/>
      <c r="R1018" s="84"/>
      <c r="S1018" s="47"/>
      <c r="T1018" s="47"/>
    </row>
    <row r="1019" s="27" customFormat="1" ht="18" customHeight="1" spans="1:20">
      <c r="A1019" s="34"/>
      <c r="B1019" s="48">
        <v>15</v>
      </c>
      <c r="C1019" s="48"/>
      <c r="D1019" s="88" t="s">
        <v>476</v>
      </c>
      <c r="E1019" s="72" t="str">
        <f>+VLOOKUP(D1019,'材料表 '!C:F,2,0)</f>
        <v>支</v>
      </c>
      <c r="F1019" s="77">
        <f>8*8*(O1000*P1000*2)/500/R992+16*8*(O995*P995+O1000*P1000)/500/R992</f>
        <v>0.385990534144692</v>
      </c>
      <c r="G1019" s="89">
        <f>+VLOOKUP(D1019,'材料表 '!C:F,4,0)</f>
        <v>0.15</v>
      </c>
      <c r="H1019" s="74">
        <f t="shared" si="160"/>
        <v>0.443889114266396</v>
      </c>
      <c r="I1019" s="74">
        <f>+VLOOKUP(D1019,'材料表 '!C:F,3,0)</f>
        <v>11.5044247787611</v>
      </c>
      <c r="J1019" s="51">
        <f t="shared" si="161"/>
        <v>5.10668892518864</v>
      </c>
      <c r="K1019" s="43">
        <f ca="1">H1019*K991</f>
        <v>6.56512</v>
      </c>
      <c r="L1019" s="92"/>
      <c r="M1019" s="44"/>
      <c r="N1019" s="82"/>
      <c r="O1019" s="44"/>
      <c r="P1019" s="44"/>
      <c r="Q1019" s="44"/>
      <c r="R1019" s="84"/>
      <c r="S1019" s="47"/>
      <c r="T1019" s="47"/>
    </row>
    <row r="1020" s="27" customFormat="1" ht="18" customHeight="1" spans="1:20">
      <c r="A1020" s="34"/>
      <c r="B1020" s="48">
        <v>16</v>
      </c>
      <c r="C1020" s="48"/>
      <c r="D1020" s="88" t="s">
        <v>576</v>
      </c>
      <c r="E1020" s="72" t="str">
        <f>+VLOOKUP(D1020,'材料表 '!C:F,2,0)</f>
        <v>支</v>
      </c>
      <c r="F1020" s="77">
        <v>0</v>
      </c>
      <c r="G1020" s="89">
        <f>+VLOOKUP(D1020,'材料表 '!C:F,4,0)</f>
        <v>0.15</v>
      </c>
      <c r="H1020" s="74">
        <f t="shared" si="160"/>
        <v>0</v>
      </c>
      <c r="I1020" s="74">
        <f>+VLOOKUP(D1020,'材料表 '!C:F,3,0)</f>
        <v>14.1592920353982</v>
      </c>
      <c r="J1020" s="51">
        <f t="shared" si="161"/>
        <v>0</v>
      </c>
      <c r="K1020" s="43">
        <f ca="1">H1020*K991</f>
        <v>0</v>
      </c>
      <c r="L1020" s="92"/>
      <c r="M1020" s="44"/>
      <c r="N1020" s="82"/>
      <c r="O1020" s="44"/>
      <c r="P1020" s="44"/>
      <c r="Q1020" s="44"/>
      <c r="R1020" s="84"/>
      <c r="S1020" s="47"/>
      <c r="T1020" s="47"/>
    </row>
    <row r="1021" s="27" customFormat="1" ht="18" customHeight="1" spans="1:20">
      <c r="A1021" s="34"/>
      <c r="B1021" s="48">
        <v>17</v>
      </c>
      <c r="C1021" s="48"/>
      <c r="D1021" s="88"/>
      <c r="E1021" s="72"/>
      <c r="F1021" s="77"/>
      <c r="G1021" s="89"/>
      <c r="H1021" s="74"/>
      <c r="I1021" s="74"/>
      <c r="J1021" s="51"/>
      <c r="K1021" s="43">
        <f ca="1">H1021*K991</f>
        <v>0</v>
      </c>
      <c r="L1021" s="92"/>
      <c r="M1021" s="44"/>
      <c r="N1021" s="82"/>
      <c r="O1021" s="44"/>
      <c r="P1021" s="44"/>
      <c r="Q1021" s="44"/>
      <c r="R1021" s="84"/>
      <c r="S1021" s="47"/>
      <c r="T1021" s="47"/>
    </row>
    <row r="1022" s="27" customFormat="1" ht="18" customHeight="1" spans="1:20">
      <c r="A1022" s="34"/>
      <c r="B1022" s="48">
        <v>18</v>
      </c>
      <c r="C1022" s="48"/>
      <c r="D1022" s="88"/>
      <c r="E1022" s="72"/>
      <c r="F1022" s="77"/>
      <c r="G1022" s="89"/>
      <c r="H1022" s="74"/>
      <c r="I1022" s="74"/>
      <c r="J1022" s="51"/>
      <c r="K1022" s="43">
        <f ca="1">H1022*K991</f>
        <v>0</v>
      </c>
      <c r="L1022" s="92"/>
      <c r="M1022" s="44"/>
      <c r="N1022" s="82"/>
      <c r="O1022" s="44"/>
      <c r="P1022" s="44"/>
      <c r="Q1022" s="44"/>
      <c r="R1022" s="84"/>
      <c r="S1022" s="47"/>
      <c r="T1022" s="47"/>
    </row>
    <row r="1023" s="27" customFormat="1" ht="32" customHeight="1" spans="1:20">
      <c r="A1023" s="34"/>
      <c r="B1023" s="48">
        <v>19</v>
      </c>
      <c r="C1023" s="48"/>
      <c r="D1023" s="88" t="s">
        <v>681</v>
      </c>
      <c r="E1023" s="72" t="str">
        <f>+VLOOKUP(D1023,'材料表 '!C:F,2,0)</f>
        <v>m2</v>
      </c>
      <c r="F1023" s="77">
        <v>1</v>
      </c>
      <c r="G1023" s="89">
        <f>+VLOOKUP(D1023,'材料表 '!C:F,4,0)</f>
        <v>0.01</v>
      </c>
      <c r="H1023" s="74">
        <f>F1023*(G1023+1)</f>
        <v>1.01</v>
      </c>
      <c r="I1023" s="74">
        <f>+VLOOKUP(D1023,'材料表 '!C:F,3,0)</f>
        <v>1362.83185840708</v>
      </c>
      <c r="J1023" s="51">
        <f>H1023*I1023</f>
        <v>1376.46017699115</v>
      </c>
      <c r="K1023" s="43">
        <f ca="1">H1023*K991</f>
        <v>14.9379</v>
      </c>
      <c r="L1023" s="90"/>
      <c r="M1023" s="44"/>
      <c r="N1023" s="82"/>
      <c r="O1023" s="44"/>
      <c r="P1023" s="44"/>
      <c r="Q1023" s="44"/>
      <c r="R1023" s="84"/>
      <c r="S1023" s="47"/>
      <c r="T1023" s="47"/>
    </row>
    <row r="1024" s="27" customFormat="1" ht="21" customHeight="1" spans="1:20">
      <c r="A1024" s="34"/>
      <c r="B1024" s="48">
        <v>20</v>
      </c>
      <c r="C1024" s="48"/>
      <c r="D1024" s="88" t="s">
        <v>1043</v>
      </c>
      <c r="E1024" s="72" t="str">
        <f>+VLOOKUP(D1024,'材料表 '!C:F,2,0)</f>
        <v>套</v>
      </c>
      <c r="F1024" s="77">
        <f>P1003/R992</f>
        <v>0.270453008789723</v>
      </c>
      <c r="G1024" s="89">
        <f>+VLOOKUP(D1024,'材料表 '!C:F,4,0)</f>
        <v>0</v>
      </c>
      <c r="H1024" s="74">
        <f>F1024*(G1024+1)</f>
        <v>0.270453008789723</v>
      </c>
      <c r="I1024" s="74">
        <f>+VLOOKUP(D1024,'材料表 '!C:F,3,0)</f>
        <v>1.32743362831858</v>
      </c>
      <c r="J1024" s="51">
        <f>H1024*I1024</f>
        <v>0.359008418747419</v>
      </c>
      <c r="K1024" s="43">
        <f ca="1">H1024*K991</f>
        <v>4</v>
      </c>
      <c r="L1024" s="90"/>
      <c r="M1024" s="44"/>
      <c r="N1024" s="82"/>
      <c r="O1024" s="44"/>
      <c r="P1024" s="44"/>
      <c r="Q1024" s="44"/>
      <c r="R1024" s="84"/>
      <c r="S1024" s="47"/>
      <c r="T1024" s="47"/>
    </row>
    <row r="1025" s="27" customFormat="1" ht="18" customHeight="1" spans="1:21">
      <c r="A1025" s="34"/>
      <c r="B1025" s="48">
        <v>21</v>
      </c>
      <c r="C1025" s="48"/>
      <c r="D1025" s="88"/>
      <c r="E1025" s="72"/>
      <c r="F1025" s="77"/>
      <c r="G1025" s="89"/>
      <c r="H1025" s="74"/>
      <c r="I1025" s="74"/>
      <c r="J1025" s="51"/>
      <c r="K1025" s="43">
        <f ca="1">H1025*K991</f>
        <v>0</v>
      </c>
      <c r="L1025" s="92"/>
      <c r="M1025" s="44"/>
      <c r="N1025" s="82"/>
      <c r="O1025" s="44"/>
      <c r="P1025" s="44"/>
      <c r="Q1025" s="44"/>
      <c r="R1025" s="84"/>
      <c r="S1025" s="47"/>
      <c r="T1025" s="47"/>
    </row>
    <row r="1026" s="27" customFormat="1" ht="18" customHeight="1" spans="1:21">
      <c r="A1026" s="34"/>
      <c r="B1026" s="48">
        <v>22</v>
      </c>
      <c r="C1026" s="48"/>
      <c r="D1026" s="88"/>
      <c r="E1026" s="72"/>
      <c r="F1026" s="77"/>
      <c r="G1026" s="89"/>
      <c r="H1026" s="74"/>
      <c r="I1026" s="74"/>
      <c r="J1026" s="51"/>
      <c r="K1026" s="43">
        <f ca="1">H1026*K991</f>
        <v>0</v>
      </c>
      <c r="L1026" s="92"/>
      <c r="M1026" s="44"/>
      <c r="N1026" s="44"/>
      <c r="O1026" s="44"/>
      <c r="P1026" s="44"/>
      <c r="Q1026" s="44"/>
      <c r="R1026" s="84"/>
      <c r="S1026" s="47"/>
      <c r="T1026" s="47"/>
    </row>
    <row r="1027" s="27" customFormat="1" ht="18" customHeight="1" spans="1:21">
      <c r="A1027" s="34"/>
      <c r="B1027" s="48">
        <v>23</v>
      </c>
      <c r="C1027" s="48"/>
      <c r="D1027" s="88"/>
      <c r="E1027" s="72"/>
      <c r="F1027" s="77"/>
      <c r="G1027" s="89"/>
      <c r="H1027" s="74"/>
      <c r="I1027" s="74"/>
      <c r="J1027" s="51"/>
      <c r="K1027" s="75">
        <f ca="1">H1027*K991</f>
        <v>0</v>
      </c>
      <c r="L1027" s="92"/>
      <c r="M1027" s="44"/>
      <c r="N1027" s="44"/>
      <c r="O1027" s="44"/>
      <c r="P1027" s="44"/>
      <c r="Q1027" s="44"/>
      <c r="R1027" s="84"/>
      <c r="S1027" s="47"/>
      <c r="T1027" s="47"/>
    </row>
    <row r="1028" s="27" customFormat="1" ht="18" customHeight="1" spans="1:21">
      <c r="A1028" s="34"/>
      <c r="B1028" s="48">
        <v>24</v>
      </c>
      <c r="C1028" s="48"/>
      <c r="D1028" s="88"/>
      <c r="E1028" s="72"/>
      <c r="F1028" s="77"/>
      <c r="G1028" s="89"/>
      <c r="H1028" s="74"/>
      <c r="I1028" s="74"/>
      <c r="J1028" s="51"/>
      <c r="K1028" s="75">
        <f ca="1">H1028*K991</f>
        <v>0</v>
      </c>
      <c r="L1028" s="92"/>
      <c r="M1028" s="44"/>
      <c r="N1028" s="44"/>
      <c r="O1028" s="44"/>
      <c r="P1028" s="44"/>
      <c r="Q1028" s="44"/>
      <c r="R1028" s="84"/>
      <c r="S1028" s="47"/>
      <c r="T1028" s="47"/>
    </row>
    <row r="1029" s="27" customFormat="1" ht="18" customHeight="1" spans="1:21">
      <c r="A1029" s="34"/>
      <c r="B1029" s="48">
        <v>25</v>
      </c>
      <c r="C1029" s="48"/>
      <c r="D1029" s="88"/>
      <c r="E1029" s="72"/>
      <c r="F1029" s="77"/>
      <c r="G1029" s="89"/>
      <c r="H1029" s="74"/>
      <c r="I1029" s="74"/>
      <c r="J1029" s="51"/>
      <c r="K1029" s="75"/>
      <c r="L1029" s="92"/>
      <c r="M1029" s="44"/>
      <c r="N1029" s="44"/>
      <c r="O1029" s="44"/>
      <c r="P1029" s="44"/>
      <c r="Q1029" s="44"/>
      <c r="R1029" s="84"/>
      <c r="S1029" s="47"/>
      <c r="T1029" s="47"/>
    </row>
    <row r="1030" s="27" customFormat="1" ht="18" customHeight="1" spans="1:21">
      <c r="A1030" s="34"/>
      <c r="B1030" s="48">
        <v>26</v>
      </c>
      <c r="C1030" s="48"/>
      <c r="D1030" s="88" t="s">
        <v>441</v>
      </c>
      <c r="E1030" s="72" t="s">
        <v>43</v>
      </c>
      <c r="F1030" s="77"/>
      <c r="G1030" s="72">
        <v>1</v>
      </c>
      <c r="H1030" s="74">
        <v>1</v>
      </c>
      <c r="I1030" s="74">
        <f>+辅材及安装费!$E$17</f>
        <v>10</v>
      </c>
      <c r="J1030" s="51">
        <f>H1030*I1030</f>
        <v>10</v>
      </c>
      <c r="K1030" s="75"/>
      <c r="L1030" s="92"/>
      <c r="M1030" s="44"/>
      <c r="N1030" s="44"/>
      <c r="O1030" s="44"/>
      <c r="P1030" s="44"/>
      <c r="Q1030" s="44"/>
      <c r="R1030" s="62"/>
      <c r="S1030" s="47"/>
      <c r="T1030" s="47"/>
    </row>
    <row r="1031" s="27" customFormat="1" ht="18" customHeight="1" spans="1:21">
      <c r="A1031" s="34"/>
      <c r="B1031" s="48">
        <v>27</v>
      </c>
      <c r="C1031" s="48"/>
      <c r="D1031" s="93" t="s">
        <v>442</v>
      </c>
      <c r="E1031" s="72"/>
      <c r="F1031" s="77"/>
      <c r="G1031" s="72"/>
      <c r="H1031" s="74"/>
      <c r="I1031" s="74"/>
      <c r="J1031" s="51">
        <f>SUM(J1005:J1030)</f>
        <v>1691.49352556369</v>
      </c>
      <c r="K1031" s="75"/>
      <c r="L1031" s="94"/>
      <c r="N1031" s="83"/>
      <c r="O1031" s="83"/>
      <c r="P1031" s="83"/>
      <c r="Q1031" s="83"/>
      <c r="R1031" s="87"/>
      <c r="S1031" s="47"/>
      <c r="T1031" s="47"/>
    </row>
    <row r="1032" s="27" customFormat="1" ht="18" customHeight="1" spans="1:21">
      <c r="A1032" s="34"/>
      <c r="B1032" s="48">
        <v>1</v>
      </c>
      <c r="C1032" s="48" t="s">
        <v>443</v>
      </c>
      <c r="D1032" s="48" t="s">
        <v>444</v>
      </c>
      <c r="E1032" s="72" t="s">
        <v>43</v>
      </c>
      <c r="F1032" s="50"/>
      <c r="G1032" s="48"/>
      <c r="H1032" s="51">
        <v>1</v>
      </c>
      <c r="I1032" s="74">
        <f>+辅材及安装费!$F$17</f>
        <v>5</v>
      </c>
      <c r="J1032" s="95">
        <f>H1032*I1032</f>
        <v>5</v>
      </c>
      <c r="K1032" s="60"/>
      <c r="L1032" s="96"/>
      <c r="M1032" s="97"/>
      <c r="N1032" s="98"/>
      <c r="O1032" s="98"/>
      <c r="P1032" s="98"/>
      <c r="Q1032" s="98"/>
      <c r="R1032" s="99"/>
      <c r="S1032" s="47"/>
      <c r="T1032" s="47"/>
    </row>
    <row r="1033" s="26" customFormat="1" ht="30" customHeight="1" spans="1:21">
      <c r="A1033" s="28"/>
      <c r="B1033" s="29" t="s">
        <v>386</v>
      </c>
      <c r="C1033" s="29"/>
      <c r="D1033" s="29"/>
      <c r="E1033" s="29"/>
      <c r="F1033" s="29"/>
      <c r="G1033" s="29"/>
      <c r="H1033" s="29"/>
      <c r="I1033" s="29"/>
      <c r="J1033" s="29"/>
      <c r="K1033" s="29"/>
      <c r="L1033" s="30"/>
      <c r="M1033" s="31"/>
      <c r="N1033" s="31"/>
      <c r="O1033" s="31"/>
      <c r="P1033" s="31"/>
      <c r="Q1033" s="31"/>
      <c r="R1033" s="32"/>
      <c r="S1033" s="33"/>
      <c r="T1033" s="33"/>
    </row>
    <row r="1034" s="27" customFormat="1" ht="33.75" customHeight="1" spans="1:21">
      <c r="A1034" s="34">
        <v>25</v>
      </c>
      <c r="B1034" s="35" t="s">
        <v>1</v>
      </c>
      <c r="C1034" s="35" t="s">
        <v>387</v>
      </c>
      <c r="D1034" s="36" t="str">
        <f>+A1042</f>
        <v>首层明框玻璃幕墙（10Low-E(双银)+12A+10㎜全超白钢化中空玻璃）（直+弯弧+直）（直段宽度210㎜+弧长942㎜+直段宽度210㎜，圆弧半径600㎜，高2500㎜）</v>
      </c>
      <c r="E1034" s="37"/>
      <c r="F1034" s="38" t="s">
        <v>225</v>
      </c>
      <c r="G1034" s="39"/>
      <c r="H1034" s="35" t="s">
        <v>388</v>
      </c>
      <c r="I1034" s="40" t="s">
        <v>389</v>
      </c>
      <c r="J1034" s="41" t="s">
        <v>37</v>
      </c>
      <c r="K1034" s="42">
        <f ca="1">VLOOKUP(A1034,'商业工程量清单 '!$A$4:$D$44,4,FALSE)</f>
        <v>6.81</v>
      </c>
      <c r="L1034" s="43"/>
      <c r="M1034" s="44"/>
      <c r="N1034" s="44"/>
      <c r="O1034" s="44"/>
      <c r="P1034" s="45"/>
      <c r="Q1034" s="44"/>
      <c r="R1034" s="46"/>
      <c r="S1034" s="47"/>
      <c r="T1034" s="47"/>
    </row>
    <row r="1035" s="27" customFormat="1" ht="25" customHeight="1" spans="1:21">
      <c r="A1035" s="34"/>
      <c r="B1035" s="48">
        <v>1</v>
      </c>
      <c r="C1035" s="49" t="s">
        <v>390</v>
      </c>
      <c r="D1035" s="48" t="s">
        <v>391</v>
      </c>
      <c r="E1035" s="48"/>
      <c r="F1035" s="50"/>
      <c r="G1035" s="48"/>
      <c r="H1035" s="51"/>
      <c r="I1035" s="52">
        <f>J1047</f>
        <v>170</v>
      </c>
      <c r="J1035" s="53" t="s">
        <v>392</v>
      </c>
      <c r="K1035" s="54"/>
      <c r="L1035" s="55" t="s">
        <v>1036</v>
      </c>
      <c r="M1035" s="56"/>
      <c r="N1035" s="57"/>
      <c r="O1035" s="57">
        <f>0.21*2+0.942</f>
        <v>1.362</v>
      </c>
      <c r="P1035" s="57">
        <v>2.5</v>
      </c>
      <c r="Q1035" s="57">
        <v>1</v>
      </c>
      <c r="R1035" s="58">
        <f>+Q1035*P1035*O1035</f>
        <v>3.405</v>
      </c>
      <c r="S1035" s="47"/>
      <c r="T1035" s="47"/>
    </row>
    <row r="1036" s="27" customFormat="1" ht="18" customHeight="1" spans="1:21">
      <c r="A1036" s="34"/>
      <c r="B1036" s="48">
        <v>2</v>
      </c>
      <c r="C1036" s="59"/>
      <c r="D1036" s="48" t="s">
        <v>394</v>
      </c>
      <c r="E1036" s="48"/>
      <c r="F1036" s="50"/>
      <c r="G1036" s="48"/>
      <c r="H1036" s="51"/>
      <c r="I1036" s="52">
        <f>J1074</f>
        <v>1336.89303159922</v>
      </c>
      <c r="J1036" s="53" t="s">
        <v>392</v>
      </c>
      <c r="K1036" s="60"/>
      <c r="L1036" s="61"/>
      <c r="M1036" s="44"/>
      <c r="N1036" s="44"/>
      <c r="O1036" s="44"/>
      <c r="P1036" s="44"/>
      <c r="Q1036" s="44"/>
      <c r="R1036" s="62"/>
      <c r="S1036" s="47"/>
      <c r="T1036" s="47"/>
    </row>
    <row r="1037" s="27" customFormat="1" ht="18" customHeight="1" spans="1:21">
      <c r="A1037" s="34"/>
      <c r="B1037" s="48">
        <v>3</v>
      </c>
      <c r="C1037" s="63"/>
      <c r="D1037" s="48" t="s">
        <v>395</v>
      </c>
      <c r="E1037" s="48"/>
      <c r="F1037" s="50"/>
      <c r="G1037" s="48"/>
      <c r="H1037" s="51"/>
      <c r="I1037" s="52">
        <f>J1075</f>
        <v>5</v>
      </c>
      <c r="J1037" s="53" t="s">
        <v>392</v>
      </c>
      <c r="K1037" s="60"/>
      <c r="L1037" s="60"/>
      <c r="M1037" s="64" t="s">
        <v>396</v>
      </c>
      <c r="N1037" s="65" t="s">
        <v>397</v>
      </c>
      <c r="O1037" s="65" t="s">
        <v>398</v>
      </c>
      <c r="P1037" s="65" t="s">
        <v>399</v>
      </c>
      <c r="Q1037" s="65" t="s">
        <v>400</v>
      </c>
      <c r="R1037" s="66" t="s">
        <v>401</v>
      </c>
      <c r="S1037" s="47"/>
      <c r="T1037" s="47"/>
    </row>
    <row r="1038" s="27" customFormat="1" ht="18" customHeight="1" spans="1:21">
      <c r="A1038" s="34"/>
      <c r="B1038" s="48">
        <v>4</v>
      </c>
      <c r="C1038" s="48" t="s">
        <v>402</v>
      </c>
      <c r="D1038" s="67" t="s">
        <v>403</v>
      </c>
      <c r="E1038" s="67"/>
      <c r="F1038" s="50"/>
      <c r="G1038" s="67"/>
      <c r="H1038" s="68"/>
      <c r="I1038" s="52">
        <f>SUM(I1035:I1037)</f>
        <v>1511.89303159922</v>
      </c>
      <c r="J1038" s="53" t="s">
        <v>392</v>
      </c>
      <c r="K1038" s="60"/>
      <c r="L1038" s="69" t="s">
        <v>427</v>
      </c>
      <c r="M1038" s="70" t="s">
        <v>1007</v>
      </c>
      <c r="N1038" s="34">
        <v>3.111</v>
      </c>
      <c r="O1038" s="34">
        <f>P1035</f>
        <v>2.5</v>
      </c>
      <c r="P1038" s="34">
        <v>1</v>
      </c>
      <c r="Q1038" s="44">
        <f t="shared" ref="Q1038:Q1046" si="162">+P1038*O1038*N1038</f>
        <v>7.7775</v>
      </c>
      <c r="R1038" s="71">
        <f>+Q1038/R1035</f>
        <v>2.284140969163</v>
      </c>
      <c r="S1038" s="47"/>
      <c r="T1038" s="47"/>
    </row>
    <row r="1039" s="27" customFormat="1" ht="28" customHeight="1" spans="1:21">
      <c r="A1039" s="34"/>
      <c r="B1039" s="48">
        <v>5</v>
      </c>
      <c r="C1039" s="72" t="s">
        <v>406</v>
      </c>
      <c r="D1039" s="48" t="s">
        <v>407</v>
      </c>
      <c r="E1039" s="48"/>
      <c r="F1039" s="50"/>
      <c r="G1039" s="48"/>
      <c r="H1039" s="73">
        <f>+'材料表 '!$E$178</f>
        <v>0</v>
      </c>
      <c r="I1039" s="52">
        <f>H1039*I1038</f>
        <v>0</v>
      </c>
      <c r="J1039" s="53" t="s">
        <v>392</v>
      </c>
      <c r="K1039" s="60"/>
      <c r="L1039" s="69" t="s">
        <v>429</v>
      </c>
      <c r="M1039" s="70" t="s">
        <v>1037</v>
      </c>
      <c r="N1039" s="34">
        <v>3.063</v>
      </c>
      <c r="O1039" s="100">
        <f>O1038/0.3*0.1</f>
        <v>0.833333333333333</v>
      </c>
      <c r="P1039" s="34">
        <f>P1038</f>
        <v>1</v>
      </c>
      <c r="Q1039" s="44">
        <f t="shared" si="162"/>
        <v>2.5525</v>
      </c>
      <c r="R1039" s="71">
        <f>+Q1039/R1035</f>
        <v>0.749632892804699</v>
      </c>
      <c r="S1039" s="47"/>
      <c r="T1039" s="47"/>
    </row>
    <row r="1040" s="27" customFormat="1" ht="18" customHeight="1" spans="1:21">
      <c r="A1040" s="34"/>
      <c r="B1040" s="48">
        <v>6</v>
      </c>
      <c r="C1040" s="48" t="s">
        <v>409</v>
      </c>
      <c r="D1040" s="48" t="s">
        <v>410</v>
      </c>
      <c r="E1040" s="48"/>
      <c r="F1040" s="50"/>
      <c r="G1040" s="48"/>
      <c r="H1040" s="73">
        <f>+'材料表 '!$E$179</f>
        <v>0</v>
      </c>
      <c r="I1040" s="52">
        <f>H1040*I1038</f>
        <v>0</v>
      </c>
      <c r="J1040" s="74" t="s">
        <v>392</v>
      </c>
      <c r="K1040" s="75"/>
      <c r="L1040" s="69" t="s">
        <v>447</v>
      </c>
      <c r="M1040" s="70" t="s">
        <v>1038</v>
      </c>
      <c r="N1040" s="34">
        <f>1.041+0.104</f>
        <v>1.145</v>
      </c>
      <c r="O1040" s="34">
        <f>O1038</f>
        <v>2.5</v>
      </c>
      <c r="P1040" s="34">
        <f>P1038</f>
        <v>1</v>
      </c>
      <c r="Q1040" s="44">
        <f t="shared" si="162"/>
        <v>2.8625</v>
      </c>
      <c r="R1040" s="71">
        <f>+Q1040/R1035</f>
        <v>0.840675477239354</v>
      </c>
      <c r="S1040" s="47">
        <v>0.172</v>
      </c>
      <c r="T1040" s="47">
        <f>O1040*P1040*S1040</f>
        <v>0.43</v>
      </c>
      <c r="U1040" s="76">
        <f>T1040/R1035</f>
        <v>0.126284875183554</v>
      </c>
    </row>
    <row r="1041" s="27" customFormat="1" ht="18" customHeight="1" spans="1:21">
      <c r="A1041" s="34"/>
      <c r="B1041" s="48">
        <v>7</v>
      </c>
      <c r="C1041" s="48" t="s">
        <v>412</v>
      </c>
      <c r="D1041" s="72" t="s">
        <v>413</v>
      </c>
      <c r="E1041" s="72"/>
      <c r="F1041" s="77"/>
      <c r="G1041" s="72"/>
      <c r="H1041" s="73">
        <f>+'材料表 '!$E$180</f>
        <v>0.09</v>
      </c>
      <c r="I1041" s="52">
        <f>(I1038+I1039+I1040)*H1041</f>
        <v>136.07037284393</v>
      </c>
      <c r="J1041" s="74" t="s">
        <v>392</v>
      </c>
      <c r="K1041" s="75"/>
      <c r="L1041" s="69" t="s">
        <v>429</v>
      </c>
      <c r="M1041" s="70" t="s">
        <v>1010</v>
      </c>
      <c r="N1041" s="102">
        <f>2.9</f>
        <v>2.9</v>
      </c>
      <c r="O1041" s="34">
        <v>0.2</v>
      </c>
      <c r="P1041" s="34">
        <f>P1038</f>
        <v>1</v>
      </c>
      <c r="Q1041" s="44">
        <f t="shared" si="162"/>
        <v>0.58</v>
      </c>
      <c r="R1041" s="71">
        <f>+Q1041/R1035</f>
        <v>0.170337738619677</v>
      </c>
      <c r="S1041" s="47"/>
      <c r="T1041" s="47"/>
    </row>
    <row r="1042" s="27" customFormat="1" ht="18" customHeight="1" spans="1:21">
      <c r="A1042" s="78" t="s">
        <v>1046</v>
      </c>
      <c r="B1042" s="48">
        <v>8</v>
      </c>
      <c r="C1042" s="48" t="s">
        <v>363</v>
      </c>
      <c r="D1042" s="72" t="s">
        <v>415</v>
      </c>
      <c r="E1042" s="72"/>
      <c r="F1042" s="77"/>
      <c r="G1042" s="72"/>
      <c r="H1042" s="51"/>
      <c r="I1042" s="74">
        <f>SUM(I1038:I1041)</f>
        <v>1647.96340444315</v>
      </c>
      <c r="J1042" s="74" t="s">
        <v>416</v>
      </c>
      <c r="K1042" s="75"/>
      <c r="L1042" s="69" t="s">
        <v>429</v>
      </c>
      <c r="M1042" s="70" t="s">
        <v>1040</v>
      </c>
      <c r="N1042" s="34">
        <v>0.733</v>
      </c>
      <c r="O1042" s="100">
        <f>O1039*2</f>
        <v>1.66666666666667</v>
      </c>
      <c r="P1042" s="34">
        <f>P1038</f>
        <v>1</v>
      </c>
      <c r="Q1042" s="44">
        <f t="shared" si="162"/>
        <v>1.22166666666667</v>
      </c>
      <c r="R1042" s="71">
        <f>+Q1042/R1035</f>
        <v>0.358786098874205</v>
      </c>
      <c r="S1042" s="79"/>
      <c r="T1042" s="47"/>
    </row>
    <row r="1043" s="27" customFormat="1" ht="18" customHeight="1" spans="1:21">
      <c r="A1043" s="34"/>
      <c r="B1043" s="48" t="s">
        <v>418</v>
      </c>
      <c r="C1043" s="48"/>
      <c r="D1043" s="48"/>
      <c r="E1043" s="48"/>
      <c r="F1043" s="48"/>
      <c r="G1043" s="48"/>
      <c r="H1043" s="48"/>
      <c r="I1043" s="48"/>
      <c r="J1043" s="48"/>
      <c r="K1043" s="80"/>
      <c r="L1043" s="69" t="s">
        <v>404</v>
      </c>
      <c r="M1043" s="70" t="s">
        <v>1041</v>
      </c>
      <c r="N1043" s="34">
        <v>3.727</v>
      </c>
      <c r="O1043" s="34">
        <f>O1035</f>
        <v>1.362</v>
      </c>
      <c r="P1043" s="34">
        <v>1</v>
      </c>
      <c r="Q1043" s="44">
        <f t="shared" si="162"/>
        <v>5.076174</v>
      </c>
      <c r="R1043" s="71">
        <f>+Q1043/R1035</f>
        <v>1.4908</v>
      </c>
      <c r="S1043" s="47"/>
      <c r="T1043" s="47"/>
      <c r="U1043" s="76"/>
    </row>
    <row r="1044" s="27" customFormat="1" ht="18" customHeight="1" spans="1:21">
      <c r="A1044" s="34"/>
      <c r="B1044" s="48">
        <v>1</v>
      </c>
      <c r="C1044" s="48" t="s">
        <v>391</v>
      </c>
      <c r="D1044" s="48" t="s">
        <v>396</v>
      </c>
      <c r="E1044" s="48" t="s">
        <v>37</v>
      </c>
      <c r="F1044" s="50"/>
      <c r="G1044" s="48"/>
      <c r="H1044" s="51" t="s">
        <v>399</v>
      </c>
      <c r="I1044" s="51" t="s">
        <v>420</v>
      </c>
      <c r="J1044" s="51" t="s">
        <v>421</v>
      </c>
      <c r="K1044" s="43"/>
      <c r="L1044" s="69" t="s">
        <v>429</v>
      </c>
      <c r="M1044" s="81" t="s">
        <v>1027</v>
      </c>
      <c r="N1044" s="82">
        <v>0.735</v>
      </c>
      <c r="O1044" s="34">
        <f>O1043</f>
        <v>1.362</v>
      </c>
      <c r="P1044" s="34">
        <v>1</v>
      </c>
      <c r="Q1044" s="44">
        <f t="shared" si="162"/>
        <v>1.00107</v>
      </c>
      <c r="R1044" s="71">
        <f>+Q1044/R1035</f>
        <v>0.294</v>
      </c>
      <c r="S1044" s="47"/>
      <c r="T1044" s="47"/>
    </row>
    <row r="1045" s="27" customFormat="1" ht="18" customHeight="1" spans="1:21">
      <c r="A1045" s="34"/>
      <c r="B1045" s="48">
        <v>2</v>
      </c>
      <c r="C1045" s="48"/>
      <c r="D1045" s="48" t="s">
        <v>967</v>
      </c>
      <c r="E1045" s="72" t="s">
        <v>423</v>
      </c>
      <c r="F1045" s="50"/>
      <c r="G1045" s="48"/>
      <c r="H1045" s="51">
        <v>1</v>
      </c>
      <c r="I1045" s="51">
        <f>+辅材及安装费!$G$19</f>
        <v>170</v>
      </c>
      <c r="J1045" s="51">
        <f t="shared" ref="J1045:J1053" si="163">H1045*I1045</f>
        <v>170</v>
      </c>
      <c r="K1045" s="43"/>
      <c r="L1045" s="69" t="s">
        <v>447</v>
      </c>
      <c r="M1045" s="70" t="s">
        <v>1038</v>
      </c>
      <c r="N1045" s="83">
        <v>0.977</v>
      </c>
      <c r="O1045" s="34">
        <f>O1043</f>
        <v>1.362</v>
      </c>
      <c r="P1045" s="34">
        <v>1</v>
      </c>
      <c r="Q1045" s="44">
        <f t="shared" si="162"/>
        <v>1.330674</v>
      </c>
      <c r="R1045" s="84">
        <f>+Q1045/R1035</f>
        <v>0.3908</v>
      </c>
      <c r="S1045" s="47">
        <v>0.185</v>
      </c>
      <c r="T1045" s="47">
        <f>O1045*P1045*S1045</f>
        <v>0.25197</v>
      </c>
      <c r="U1045" s="27">
        <f>T1045/R1035</f>
        <v>0.074</v>
      </c>
    </row>
    <row r="1046" s="27" customFormat="1" ht="18" customHeight="1" spans="1:21">
      <c r="A1046" s="34"/>
      <c r="B1046" s="48">
        <v>3</v>
      </c>
      <c r="C1046" s="48"/>
      <c r="D1046" s="48"/>
      <c r="E1046" s="72"/>
      <c r="F1046" s="50"/>
      <c r="G1046" s="48"/>
      <c r="H1046" s="51"/>
      <c r="I1046" s="51"/>
      <c r="J1046" s="51"/>
      <c r="K1046" s="43"/>
      <c r="L1046" s="69" t="s">
        <v>429</v>
      </c>
      <c r="M1046" s="81" t="s">
        <v>1042</v>
      </c>
      <c r="N1046" s="82">
        <v>0.687</v>
      </c>
      <c r="O1046" s="44">
        <f>0.1</f>
        <v>0.1</v>
      </c>
      <c r="P1046" s="34">
        <f>1*2</f>
        <v>2</v>
      </c>
      <c r="Q1046" s="44">
        <f t="shared" si="162"/>
        <v>0.1374</v>
      </c>
      <c r="R1046" s="84">
        <f>+Q1046/R1035</f>
        <v>0.040352422907489</v>
      </c>
      <c r="S1046" s="47"/>
      <c r="T1046" s="47"/>
    </row>
    <row r="1047" s="27" customFormat="1" ht="18" customHeight="1" spans="1:21">
      <c r="A1047" s="34"/>
      <c r="B1047" s="48">
        <v>4</v>
      </c>
      <c r="C1047" s="48"/>
      <c r="D1047" s="85" t="s">
        <v>426</v>
      </c>
      <c r="E1047" s="48" t="s">
        <v>392</v>
      </c>
      <c r="F1047" s="50"/>
      <c r="G1047" s="48"/>
      <c r="H1047" s="86"/>
      <c r="I1047" s="86"/>
      <c r="J1047" s="51">
        <f>SUM(J1045:J1045)</f>
        <v>170</v>
      </c>
      <c r="K1047" s="75"/>
      <c r="L1047" s="69"/>
      <c r="M1047" s="70"/>
      <c r="N1047" s="83"/>
      <c r="O1047" s="83"/>
      <c r="P1047" s="34">
        <v>1</v>
      </c>
      <c r="Q1047" s="83"/>
      <c r="R1047" s="87"/>
      <c r="S1047" s="47"/>
      <c r="T1047" s="47"/>
    </row>
    <row r="1048" s="27" customFormat="1" ht="23" customHeight="1" spans="1:21">
      <c r="A1048" s="34"/>
      <c r="B1048" s="48">
        <v>1</v>
      </c>
      <c r="C1048" s="48" t="s">
        <v>394</v>
      </c>
      <c r="D1048" s="88" t="s">
        <v>427</v>
      </c>
      <c r="E1048" s="72" t="str">
        <f>+VLOOKUP(D1048,'材料表 '!C:F,2,0)</f>
        <v>kg</v>
      </c>
      <c r="F1048" s="77">
        <f>+SUMIF($L$1035:$L$1075,D1048,$R$1035:$R$1075)</f>
        <v>2.284140969163</v>
      </c>
      <c r="G1048" s="89">
        <f>+VLOOKUP(D1048,'材料表 '!C:F,4,0)</f>
        <v>0.03</v>
      </c>
      <c r="H1048" s="74">
        <f t="shared" ref="H1048:H1053" si="164">F1048*(G1048+1)</f>
        <v>2.35266519823789</v>
      </c>
      <c r="I1048" s="74">
        <f>+VLOOKUP(D1048,'材料表 '!C:F,3,0)</f>
        <v>25.8495575221239</v>
      </c>
      <c r="J1048" s="51">
        <f t="shared" si="163"/>
        <v>60.8153543721494</v>
      </c>
      <c r="K1048" s="75">
        <f ca="1">H1048*K1034</f>
        <v>16.02165</v>
      </c>
      <c r="L1048" s="69"/>
      <c r="M1048" s="70"/>
      <c r="N1048" s="83"/>
      <c r="O1048" s="83"/>
      <c r="P1048" s="34">
        <v>1</v>
      </c>
      <c r="Q1048" s="83"/>
      <c r="R1048" s="87"/>
      <c r="S1048" s="47"/>
      <c r="T1048" s="47"/>
    </row>
    <row r="1049" s="27" customFormat="1" ht="18" customHeight="1" spans="1:21">
      <c r="A1049" s="34"/>
      <c r="B1049" s="48">
        <v>2</v>
      </c>
      <c r="C1049" s="48"/>
      <c r="D1049" s="88" t="s">
        <v>404</v>
      </c>
      <c r="E1049" s="72" t="str">
        <f>+VLOOKUP(D1049,'材料表 '!C:F,2,0)</f>
        <v>kg</v>
      </c>
      <c r="F1049" s="77">
        <f t="shared" ref="F1049:F1061" si="165">+SUMIF($L$1035:$L$1075,D1049,$R$1035:$R$1075)</f>
        <v>1.4908</v>
      </c>
      <c r="G1049" s="89">
        <f>+VLOOKUP(D1049,'材料表 '!C:F,4,0)</f>
        <v>0.03</v>
      </c>
      <c r="H1049" s="74">
        <f t="shared" si="164"/>
        <v>1.535524</v>
      </c>
      <c r="I1049" s="74">
        <f>+VLOOKUP(D1049,'材料表 '!C:F,3,0)</f>
        <v>25.6725663716814</v>
      </c>
      <c r="J1049" s="51">
        <f t="shared" si="163"/>
        <v>39.4208418053097</v>
      </c>
      <c r="K1049" s="75">
        <f ca="1">H1049*K1034</f>
        <v>10.45691844</v>
      </c>
      <c r="L1049" s="69"/>
      <c r="M1049" s="70"/>
      <c r="N1049" s="83"/>
      <c r="O1049" s="83"/>
      <c r="P1049" s="83"/>
      <c r="Q1049" s="83"/>
      <c r="R1049" s="87"/>
      <c r="S1049" s="47"/>
      <c r="T1049" s="47"/>
    </row>
    <row r="1050" s="27" customFormat="1" ht="18" customHeight="1" spans="1:21">
      <c r="A1050" s="34"/>
      <c r="B1050" s="48">
        <v>3</v>
      </c>
      <c r="C1050" s="48"/>
      <c r="D1050" s="88" t="s">
        <v>433</v>
      </c>
      <c r="E1050" s="72" t="str">
        <f>+VLOOKUP(D1050,'材料表 '!C:F,2,0)</f>
        <v>kg</v>
      </c>
      <c r="F1050" s="77">
        <f t="shared" si="165"/>
        <v>0</v>
      </c>
      <c r="G1050" s="89">
        <f>+VLOOKUP(D1050,'材料表 '!C:F,4,0)</f>
        <v>0.03</v>
      </c>
      <c r="H1050" s="74">
        <f t="shared" si="164"/>
        <v>0</v>
      </c>
      <c r="I1050" s="74">
        <f>+VLOOKUP(D1050,'材料表 '!C:F,3,0)</f>
        <v>26.1150442477876</v>
      </c>
      <c r="J1050" s="51">
        <f t="shared" si="163"/>
        <v>0</v>
      </c>
      <c r="K1050" s="75">
        <f ca="1">H1050*K1034</f>
        <v>0</v>
      </c>
      <c r="L1050" s="69"/>
      <c r="N1050" s="83"/>
      <c r="O1050" s="83"/>
      <c r="P1050" s="83"/>
      <c r="Q1050" s="83"/>
      <c r="R1050" s="87"/>
      <c r="S1050" s="47"/>
      <c r="T1050" s="47"/>
    </row>
    <row r="1051" s="27" customFormat="1" ht="18" customHeight="1" spans="1:21">
      <c r="A1051" s="34"/>
      <c r="B1051" s="48">
        <v>4</v>
      </c>
      <c r="C1051" s="48"/>
      <c r="D1051" s="88" t="s">
        <v>429</v>
      </c>
      <c r="E1051" s="72" t="str">
        <f>+VLOOKUP(D1051,'材料表 '!C:F,2,0)</f>
        <v>kg</v>
      </c>
      <c r="F1051" s="77">
        <f t="shared" si="165"/>
        <v>1.61310915320607</v>
      </c>
      <c r="G1051" s="89">
        <f>+VLOOKUP(D1051,'材料表 '!C:F,4,0)</f>
        <v>0.03</v>
      </c>
      <c r="H1051" s="74">
        <f t="shared" si="164"/>
        <v>1.66150242780225</v>
      </c>
      <c r="I1051" s="74">
        <f>+VLOOKUP(D1051,'材料表 '!C:F,3,0)</f>
        <v>26.1150442477876</v>
      </c>
      <c r="J1051" s="51">
        <f t="shared" si="163"/>
        <v>43.3902094198623</v>
      </c>
      <c r="K1051" s="75">
        <f ca="1">H1051*K1034</f>
        <v>11.3148315333333</v>
      </c>
      <c r="L1051" s="90" t="s">
        <v>707</v>
      </c>
      <c r="M1051" s="44"/>
      <c r="N1051" s="82"/>
      <c r="O1051" s="44">
        <f>O1043*P1043</f>
        <v>1.362</v>
      </c>
      <c r="P1051" s="44">
        <v>1</v>
      </c>
      <c r="Q1051" s="44">
        <f>+P1051*O1051</f>
        <v>1.362</v>
      </c>
      <c r="R1051" s="84">
        <f>+Q1051/R1035</f>
        <v>0.4</v>
      </c>
      <c r="S1051" s="47"/>
      <c r="T1051" s="47"/>
    </row>
    <row r="1052" s="27" customFormat="1" ht="18" customHeight="1" spans="1:21">
      <c r="A1052" s="34"/>
      <c r="B1052" s="48">
        <v>5</v>
      </c>
      <c r="C1052" s="48"/>
      <c r="D1052" s="88" t="s">
        <v>447</v>
      </c>
      <c r="E1052" s="72" t="str">
        <f>+VLOOKUP(D1052,'材料表 '!C:F,2,0)</f>
        <v>kg</v>
      </c>
      <c r="F1052" s="77">
        <f t="shared" si="165"/>
        <v>1.23147547723935</v>
      </c>
      <c r="G1052" s="89">
        <f>+VLOOKUP(D1052,'材料表 '!C:F,4,0)</f>
        <v>0.03</v>
      </c>
      <c r="H1052" s="74">
        <f t="shared" si="164"/>
        <v>1.26841974155653</v>
      </c>
      <c r="I1052" s="74">
        <f>+VLOOKUP(D1052,'材料表 '!C:F,3,0)</f>
        <v>24.4336283185841</v>
      </c>
      <c r="J1052" s="51">
        <f t="shared" si="163"/>
        <v>30.9920965171468</v>
      </c>
      <c r="K1052" s="43">
        <f ca="1">H1052*K1034</f>
        <v>8.63793843999997</v>
      </c>
      <c r="L1052" s="90" t="s">
        <v>435</v>
      </c>
      <c r="M1052" s="44"/>
      <c r="N1052" s="82">
        <f>0.073*1.2</f>
        <v>0.0876</v>
      </c>
      <c r="O1052" s="44">
        <f>O1038*P1038*3+O1043*P1043*4</f>
        <v>12.948</v>
      </c>
      <c r="P1052" s="44">
        <v>1</v>
      </c>
      <c r="Q1052" s="44">
        <f>+P1052*O1052</f>
        <v>12.948</v>
      </c>
      <c r="R1052" s="84">
        <f>+Q1052/R1035</f>
        <v>3.80264317180617</v>
      </c>
      <c r="S1052" s="47"/>
      <c r="T1052" s="47"/>
    </row>
    <row r="1053" s="27" customFormat="1" ht="18" customHeight="1" spans="1:21">
      <c r="A1053" s="34"/>
      <c r="B1053" s="48">
        <v>6</v>
      </c>
      <c r="C1053" s="48"/>
      <c r="D1053" s="88" t="s">
        <v>434</v>
      </c>
      <c r="E1053" s="72" t="str">
        <f>+VLOOKUP(D1053,'材料表 '!C:F,2,0)</f>
        <v>m2</v>
      </c>
      <c r="F1053" s="77">
        <f>U1040+U1045</f>
        <v>0.200284875183554</v>
      </c>
      <c r="G1053" s="89">
        <f>+VLOOKUP(D1053,'材料表 '!C:F,4,0)</f>
        <v>0</v>
      </c>
      <c r="H1053" s="74">
        <f t="shared" si="164"/>
        <v>0.200284875183554</v>
      </c>
      <c r="I1053" s="74">
        <f>+VLOOKUP(D1053,'材料表 '!C:F,3,0)</f>
        <v>49.5575221238938</v>
      </c>
      <c r="J1053" s="51">
        <f t="shared" si="163"/>
        <v>9.92562213299029</v>
      </c>
      <c r="K1053" s="43">
        <f ca="1">H1053*K1034</f>
        <v>1.36394</v>
      </c>
      <c r="L1053" s="90" t="s">
        <v>463</v>
      </c>
      <c r="M1053" s="91" t="s">
        <v>1012</v>
      </c>
      <c r="N1053" s="82">
        <f>0.32*0.3*8*7.85</f>
        <v>6.0288</v>
      </c>
      <c r="O1053" s="44">
        <v>2</v>
      </c>
      <c r="P1053" s="44">
        <f>P1038</f>
        <v>1</v>
      </c>
      <c r="Q1053" s="44">
        <f t="shared" ref="Q1053:Q1057" si="166">+P1053*O1053*N1053</f>
        <v>12.0576</v>
      </c>
      <c r="R1053" s="84">
        <f>+Q1053/R1035</f>
        <v>3.54114537444934</v>
      </c>
      <c r="S1053" s="47"/>
      <c r="T1053" s="47"/>
    </row>
    <row r="1054" s="27" customFormat="1" ht="18" customHeight="1" spans="1:21">
      <c r="A1054" s="34"/>
      <c r="B1054" s="48">
        <v>7</v>
      </c>
      <c r="C1054" s="48"/>
      <c r="D1054" s="88"/>
      <c r="E1054" s="72"/>
      <c r="F1054" s="77">
        <f t="shared" si="165"/>
        <v>0</v>
      </c>
      <c r="G1054" s="89"/>
      <c r="H1054" s="74"/>
      <c r="I1054" s="74"/>
      <c r="J1054" s="51"/>
      <c r="K1054" s="43">
        <f ca="1">H1054*K1034</f>
        <v>0</v>
      </c>
      <c r="L1054" s="69" t="s">
        <v>465</v>
      </c>
      <c r="M1054" s="81" t="s">
        <v>1013</v>
      </c>
      <c r="N1054" s="34">
        <v>9.88</v>
      </c>
      <c r="O1054" s="34">
        <f>0.13</f>
        <v>0.13</v>
      </c>
      <c r="P1054" s="34">
        <f>2*P1053*O1053</f>
        <v>4</v>
      </c>
      <c r="Q1054" s="44">
        <f t="shared" si="166"/>
        <v>5.1376</v>
      </c>
      <c r="R1054" s="84">
        <f>Q1054/R1035</f>
        <v>1.50883994126285</v>
      </c>
      <c r="S1054" s="47"/>
      <c r="T1054" s="47"/>
    </row>
    <row r="1055" s="27" customFormat="1" ht="18" customHeight="1" spans="1:21">
      <c r="A1055" s="34"/>
      <c r="B1055" s="48">
        <v>8</v>
      </c>
      <c r="C1055" s="48"/>
      <c r="D1055" s="88" t="s">
        <v>431</v>
      </c>
      <c r="E1055" s="72" t="str">
        <f>+VLOOKUP(D1055,'材料表 '!C:F,2,0)</f>
        <v>kg</v>
      </c>
      <c r="F1055" s="77">
        <f t="shared" si="165"/>
        <v>0</v>
      </c>
      <c r="G1055" s="89">
        <f>+VLOOKUP(D1055,'材料表 '!C:F,4,0)</f>
        <v>0.03</v>
      </c>
      <c r="H1055" s="74">
        <f t="shared" ref="H1055:H1067" si="167">F1055*(G1055+1)</f>
        <v>0</v>
      </c>
      <c r="I1055" s="74">
        <f>+VLOOKUP(D1055,'材料表 '!C:F,3,0)</f>
        <v>3.80530973451327</v>
      </c>
      <c r="J1055" s="51">
        <f t="shared" ref="J1055:J1067" si="168">H1055*I1055</f>
        <v>0</v>
      </c>
      <c r="K1055" s="43">
        <f ca="1">H1055*K1034</f>
        <v>0</v>
      </c>
      <c r="L1055" s="90" t="s">
        <v>474</v>
      </c>
      <c r="M1055" s="44"/>
      <c r="N1055" s="82"/>
      <c r="O1055" s="44">
        <v>4</v>
      </c>
      <c r="P1055" s="44">
        <v>8</v>
      </c>
      <c r="Q1055" s="44">
        <f>O1055*P1055</f>
        <v>32</v>
      </c>
      <c r="R1055" s="84">
        <f>Q1055/R1035</f>
        <v>9.39794419970631</v>
      </c>
      <c r="S1055" s="47"/>
      <c r="T1055" s="47"/>
    </row>
    <row r="1056" s="27" customFormat="1" ht="18" customHeight="1" spans="1:21">
      <c r="A1056" s="34"/>
      <c r="B1056" s="48">
        <v>9</v>
      </c>
      <c r="C1056" s="48"/>
      <c r="D1056" s="88" t="s">
        <v>461</v>
      </c>
      <c r="E1056" s="72" t="str">
        <f>+VLOOKUP(D1056,'材料表 '!C:F,2,0)</f>
        <v>kg</v>
      </c>
      <c r="F1056" s="77">
        <f t="shared" si="165"/>
        <v>0</v>
      </c>
      <c r="G1056" s="89">
        <f>+VLOOKUP(D1056,'材料表 '!C:F,4,0)</f>
        <v>0.03</v>
      </c>
      <c r="H1056" s="74">
        <f t="shared" si="167"/>
        <v>0</v>
      </c>
      <c r="I1056" s="74">
        <f>+VLOOKUP(D1056,'材料表 '!C:F,3,0)</f>
        <v>3.53982300884956</v>
      </c>
      <c r="J1056" s="51">
        <f t="shared" si="168"/>
        <v>0</v>
      </c>
      <c r="K1056" s="43">
        <f ca="1">H1056*K1034</f>
        <v>0</v>
      </c>
      <c r="L1056" s="90" t="s">
        <v>472</v>
      </c>
      <c r="M1056" s="91"/>
      <c r="N1056" s="82"/>
      <c r="O1056" s="44">
        <v>2</v>
      </c>
      <c r="P1056" s="44">
        <f>O1053*P1053</f>
        <v>2</v>
      </c>
      <c r="Q1056" s="44">
        <f>O1056*P1056</f>
        <v>4</v>
      </c>
      <c r="R1056" s="84">
        <f>Q1056/R1035</f>
        <v>1.17474302496329</v>
      </c>
      <c r="S1056" s="47"/>
      <c r="T1056" s="47"/>
    </row>
    <row r="1057" s="27" customFormat="1" ht="18" customHeight="1" spans="1:20">
      <c r="A1057" s="34"/>
      <c r="B1057" s="48">
        <v>10</v>
      </c>
      <c r="C1057" s="48"/>
      <c r="D1057" s="88" t="s">
        <v>435</v>
      </c>
      <c r="E1057" s="72" t="str">
        <f>+VLOOKUP(D1057,'材料表 '!C:F,2,0)</f>
        <v>kg</v>
      </c>
      <c r="F1057" s="77">
        <f t="shared" si="165"/>
        <v>3.80264317180617</v>
      </c>
      <c r="G1057" s="89">
        <f>+VLOOKUP(D1057,'材料表 '!C:F,4,0)</f>
        <v>0.03</v>
      </c>
      <c r="H1057" s="74">
        <f t="shared" si="167"/>
        <v>3.91672246696036</v>
      </c>
      <c r="I1057" s="74">
        <f>+VLOOKUP(D1057,'材料表 '!C:F,3,0)</f>
        <v>19.4690265486726</v>
      </c>
      <c r="J1057" s="51">
        <f t="shared" si="168"/>
        <v>76.2547736930336</v>
      </c>
      <c r="K1057" s="43">
        <f ca="1">H1057*K1034</f>
        <v>26.6728800000001</v>
      </c>
      <c r="L1057" s="69" t="s">
        <v>465</v>
      </c>
      <c r="M1057" s="91"/>
      <c r="N1057" s="82">
        <f>(0.058+0.04*2)*5*7.85</f>
        <v>5.4165</v>
      </c>
      <c r="O1057" s="44">
        <f>O1035</f>
        <v>1.362</v>
      </c>
      <c r="P1057" s="44">
        <v>1</v>
      </c>
      <c r="Q1057" s="44">
        <f t="shared" si="166"/>
        <v>7.377273</v>
      </c>
      <c r="R1057" s="84">
        <f>+Q1057/R1035</f>
        <v>2.1666</v>
      </c>
      <c r="S1057" s="47"/>
      <c r="T1057" s="47"/>
    </row>
    <row r="1058" s="27" customFormat="1" ht="18" customHeight="1" spans="1:20">
      <c r="A1058" s="34"/>
      <c r="B1058" s="48">
        <v>11</v>
      </c>
      <c r="C1058" s="48"/>
      <c r="D1058" s="88" t="s">
        <v>463</v>
      </c>
      <c r="E1058" s="72" t="str">
        <f>+VLOOKUP(D1058,'材料表 '!C:F,2,0)</f>
        <v>kg</v>
      </c>
      <c r="F1058" s="77">
        <f t="shared" si="165"/>
        <v>3.54114537444934</v>
      </c>
      <c r="G1058" s="89">
        <f>+VLOOKUP(D1058,'材料表 '!C:F,4,0)</f>
        <v>0.03</v>
      </c>
      <c r="H1058" s="74">
        <f t="shared" si="167"/>
        <v>3.64737973568282</v>
      </c>
      <c r="I1058" s="74">
        <f>+VLOOKUP(D1058,'材料表 '!C:F,3,0)</f>
        <v>6.01769911504425</v>
      </c>
      <c r="J1058" s="51">
        <f t="shared" si="168"/>
        <v>21.9488338076488</v>
      </c>
      <c r="K1058" s="43">
        <f ca="1">H1058*K1034</f>
        <v>24.838656</v>
      </c>
      <c r="L1058" s="69" t="s">
        <v>461</v>
      </c>
      <c r="N1058" s="83"/>
      <c r="O1058" s="83"/>
      <c r="P1058" s="83"/>
      <c r="Q1058" s="83"/>
      <c r="R1058" s="84"/>
      <c r="S1058" s="47"/>
      <c r="T1058" s="47"/>
    </row>
    <row r="1059" s="27" customFormat="1" ht="18" customHeight="1" spans="1:20">
      <c r="A1059" s="34"/>
      <c r="B1059" s="48">
        <v>12</v>
      </c>
      <c r="C1059" s="48"/>
      <c r="D1059" s="88" t="s">
        <v>465</v>
      </c>
      <c r="E1059" s="72" t="str">
        <f>+VLOOKUP(D1059,'材料表 '!C:F,2,0)</f>
        <v>kg</v>
      </c>
      <c r="F1059" s="77">
        <f t="shared" si="165"/>
        <v>3.67543994126285</v>
      </c>
      <c r="G1059" s="89">
        <f>+VLOOKUP(D1059,'材料表 '!C:F,4,0)</f>
        <v>0.03</v>
      </c>
      <c r="H1059" s="74">
        <f t="shared" si="167"/>
        <v>3.78570313950074</v>
      </c>
      <c r="I1059" s="74">
        <f>+VLOOKUP(D1059,'材料表 '!C:F,3,0)</f>
        <v>6.01769911504425</v>
      </c>
      <c r="J1059" s="51">
        <f t="shared" si="168"/>
        <v>22.7812224323938</v>
      </c>
      <c r="K1059" s="43">
        <f ca="1">H1059*K1034</f>
        <v>25.78063838</v>
      </c>
      <c r="L1059" s="90"/>
      <c r="M1059" s="44"/>
      <c r="N1059" s="82"/>
      <c r="O1059" s="44"/>
      <c r="P1059" s="44"/>
      <c r="Q1059" s="44"/>
      <c r="R1059" s="84"/>
      <c r="S1059" s="47"/>
      <c r="T1059" s="47"/>
    </row>
    <row r="1060" s="27" customFormat="1" ht="18" customHeight="1" spans="1:20">
      <c r="A1060" s="34"/>
      <c r="B1060" s="48">
        <v>13</v>
      </c>
      <c r="C1060" s="48"/>
      <c r="D1060" s="88" t="s">
        <v>474</v>
      </c>
      <c r="E1060" s="72" t="str">
        <f>+VLOOKUP(D1060,'材料表 '!C:F,2,0)</f>
        <v>套</v>
      </c>
      <c r="F1060" s="77">
        <f t="shared" si="165"/>
        <v>9.39794419970631</v>
      </c>
      <c r="G1060" s="89">
        <f>+VLOOKUP(D1060,'材料表 '!C:F,4,0)</f>
        <v>0</v>
      </c>
      <c r="H1060" s="74">
        <f t="shared" si="167"/>
        <v>9.39794419970631</v>
      </c>
      <c r="I1060" s="74">
        <f>+VLOOKUP(D1060,'材料表 '!C:F,3,0)</f>
        <v>2.21238938053097</v>
      </c>
      <c r="J1060" s="51">
        <f t="shared" si="168"/>
        <v>20.7919119462529</v>
      </c>
      <c r="K1060" s="43">
        <f ca="1">H1060*K1034</f>
        <v>64</v>
      </c>
      <c r="L1060" s="90"/>
      <c r="M1060" s="44"/>
      <c r="N1060" s="82"/>
      <c r="O1060" s="44"/>
      <c r="P1060" s="44"/>
      <c r="Q1060" s="44"/>
      <c r="R1060" s="84"/>
      <c r="S1060" s="47"/>
      <c r="T1060" s="47"/>
    </row>
    <row r="1061" s="27" customFormat="1" ht="18" customHeight="1" spans="1:20">
      <c r="A1061" s="34"/>
      <c r="B1061" s="48">
        <v>14</v>
      </c>
      <c r="C1061" s="48"/>
      <c r="D1061" s="88" t="s">
        <v>472</v>
      </c>
      <c r="E1061" s="72" t="str">
        <f>+VLOOKUP(D1061,'材料表 '!C:F,2,0)</f>
        <v>套</v>
      </c>
      <c r="F1061" s="77">
        <f t="shared" si="165"/>
        <v>1.17474302496329</v>
      </c>
      <c r="G1061" s="89">
        <f>+VLOOKUP(D1061,'材料表 '!C:F,4,0)</f>
        <v>0</v>
      </c>
      <c r="H1061" s="74">
        <f t="shared" si="167"/>
        <v>1.17474302496329</v>
      </c>
      <c r="I1061" s="74">
        <f>+VLOOKUP(D1061,'材料表 '!C:F,3,0)</f>
        <v>2.47787610619469</v>
      </c>
      <c r="J1061" s="51">
        <f t="shared" si="168"/>
        <v>2.91086767247541</v>
      </c>
      <c r="K1061" s="43">
        <f ca="1">H1061*K1034</f>
        <v>8</v>
      </c>
      <c r="L1061" s="90"/>
      <c r="M1061" s="44"/>
      <c r="N1061" s="82"/>
      <c r="O1061" s="44"/>
      <c r="P1061" s="44"/>
      <c r="Q1061" s="44"/>
      <c r="R1061" s="84"/>
      <c r="S1061" s="47"/>
      <c r="T1061" s="47"/>
    </row>
    <row r="1062" s="27" customFormat="1" ht="18" customHeight="1" spans="1:20">
      <c r="A1062" s="34"/>
      <c r="B1062" s="48">
        <v>15</v>
      </c>
      <c r="C1062" s="48"/>
      <c r="D1062" s="88" t="s">
        <v>476</v>
      </c>
      <c r="E1062" s="72" t="str">
        <f>+VLOOKUP(D1062,'材料表 '!C:F,2,0)</f>
        <v>支</v>
      </c>
      <c r="F1062" s="77">
        <f>8*8*(O1043*P1043*2)/500/R1035+16*8*(O1038*P1038+O1043*P1043)/500/R1035</f>
        <v>0.392758883994126</v>
      </c>
      <c r="G1062" s="89">
        <f>+VLOOKUP(D1062,'材料表 '!C:F,4,0)</f>
        <v>0.15</v>
      </c>
      <c r="H1062" s="74">
        <f t="shared" si="167"/>
        <v>0.451672716593245</v>
      </c>
      <c r="I1062" s="74">
        <f>+VLOOKUP(D1062,'材料表 '!C:F,3,0)</f>
        <v>11.5044247787611</v>
      </c>
      <c r="J1062" s="51">
        <f t="shared" si="168"/>
        <v>5.19623479266567</v>
      </c>
      <c r="K1062" s="43">
        <f ca="1">H1062*K1034</f>
        <v>3.0758912</v>
      </c>
      <c r="L1062" s="92"/>
      <c r="M1062" s="44"/>
      <c r="N1062" s="82"/>
      <c r="O1062" s="44"/>
      <c r="P1062" s="44"/>
      <c r="Q1062" s="44"/>
      <c r="R1062" s="84"/>
      <c r="S1062" s="47"/>
      <c r="T1062" s="47"/>
    </row>
    <row r="1063" s="27" customFormat="1" ht="18" customHeight="1" spans="1:20">
      <c r="A1063" s="34"/>
      <c r="B1063" s="48">
        <v>16</v>
      </c>
      <c r="C1063" s="48"/>
      <c r="D1063" s="88" t="s">
        <v>576</v>
      </c>
      <c r="E1063" s="72" t="str">
        <f>+VLOOKUP(D1063,'材料表 '!C:F,2,0)</f>
        <v>支</v>
      </c>
      <c r="F1063" s="77">
        <v>0</v>
      </c>
      <c r="G1063" s="89">
        <f>+VLOOKUP(D1063,'材料表 '!C:F,4,0)</f>
        <v>0.15</v>
      </c>
      <c r="H1063" s="74">
        <f t="shared" si="167"/>
        <v>0</v>
      </c>
      <c r="I1063" s="74">
        <f>+VLOOKUP(D1063,'材料表 '!C:F,3,0)</f>
        <v>14.1592920353982</v>
      </c>
      <c r="J1063" s="51">
        <f t="shared" si="168"/>
        <v>0</v>
      </c>
      <c r="K1063" s="43">
        <f ca="1">H1063*K1034</f>
        <v>0</v>
      </c>
      <c r="L1063" s="92"/>
      <c r="M1063" s="44"/>
      <c r="N1063" s="82"/>
      <c r="O1063" s="44"/>
      <c r="P1063" s="44"/>
      <c r="Q1063" s="44"/>
      <c r="R1063" s="84"/>
      <c r="S1063" s="47"/>
      <c r="T1063" s="47"/>
    </row>
    <row r="1064" s="27" customFormat="1" ht="18" customHeight="1" spans="1:20">
      <c r="A1064" s="34"/>
      <c r="B1064" s="48">
        <v>17</v>
      </c>
      <c r="C1064" s="48"/>
      <c r="D1064" s="88" t="s">
        <v>479</v>
      </c>
      <c r="E1064" s="72" t="str">
        <f>+VLOOKUP(D1064,'材料表 '!C:F,2,0)</f>
        <v>kg</v>
      </c>
      <c r="F1064" s="77">
        <f>R1057</f>
        <v>2.1666</v>
      </c>
      <c r="G1064" s="89">
        <f>+VLOOKUP(D1064,'材料表 '!C:F,4,0)</f>
        <v>0.03</v>
      </c>
      <c r="H1064" s="74">
        <f t="shared" si="167"/>
        <v>2.231598</v>
      </c>
      <c r="I1064" s="74">
        <f>+VLOOKUP(D1064,'材料表 '!C:F,3,0)</f>
        <v>14.1592920353982</v>
      </c>
      <c r="J1064" s="51">
        <f t="shared" si="168"/>
        <v>31.5978477876106</v>
      </c>
      <c r="K1064" s="43">
        <f ca="1">H1064*K1034</f>
        <v>15.19718238</v>
      </c>
      <c r="L1064" s="92"/>
      <c r="M1064" s="44"/>
      <c r="N1064" s="82"/>
      <c r="O1064" s="44"/>
      <c r="P1064" s="44"/>
      <c r="Q1064" s="44"/>
      <c r="R1064" s="84"/>
      <c r="S1064" s="47"/>
      <c r="T1064" s="47"/>
    </row>
    <row r="1065" s="27" customFormat="1" ht="18" customHeight="1" spans="1:20">
      <c r="A1065" s="34"/>
      <c r="B1065" s="48">
        <v>18</v>
      </c>
      <c r="C1065" s="48"/>
      <c r="D1065" s="88" t="s">
        <v>500</v>
      </c>
      <c r="E1065" s="72" t="str">
        <f>+VLOOKUP(D1065,'材料表 '!C:F,2,0)</f>
        <v>kg</v>
      </c>
      <c r="F1065" s="77">
        <f>R1043+R1044+R1045+R1046</f>
        <v>2.21595242290749</v>
      </c>
      <c r="G1065" s="89">
        <f>+VLOOKUP(D1065,'材料表 '!C:F,4,0)</f>
        <v>0.03</v>
      </c>
      <c r="H1065" s="74">
        <f t="shared" si="167"/>
        <v>2.28243099559471</v>
      </c>
      <c r="I1065" s="74">
        <f>+VLOOKUP(D1065,'材料表 '!C:F,3,0)</f>
        <v>14.1592920353982</v>
      </c>
      <c r="J1065" s="51">
        <f t="shared" si="168"/>
        <v>32.3176070172702</v>
      </c>
      <c r="K1065" s="43">
        <f ca="1">H1065*K1034</f>
        <v>15.54335508</v>
      </c>
      <c r="L1065" s="92"/>
      <c r="M1065" s="44"/>
      <c r="N1065" s="82"/>
      <c r="O1065" s="44"/>
      <c r="P1065" s="44"/>
      <c r="Q1065" s="44"/>
      <c r="R1065" s="84"/>
      <c r="S1065" s="47"/>
      <c r="T1065" s="47"/>
    </row>
    <row r="1066" s="27" customFormat="1" ht="43" customHeight="1" spans="1:20">
      <c r="A1066" s="34"/>
      <c r="B1066" s="48">
        <v>19</v>
      </c>
      <c r="C1066" s="48"/>
      <c r="D1066" s="88" t="s">
        <v>1047</v>
      </c>
      <c r="E1066" s="72" t="str">
        <f>+VLOOKUP(D1066,'材料表 '!C:F,2,0)</f>
        <v>m2</v>
      </c>
      <c r="F1066" s="77">
        <v>1</v>
      </c>
      <c r="G1066" s="89">
        <f>+VLOOKUP(D1066,'材料表 '!C:F,4,0)</f>
        <v>0.01</v>
      </c>
      <c r="H1066" s="74">
        <f t="shared" si="167"/>
        <v>1.01</v>
      </c>
      <c r="I1066" s="74">
        <f>+VLOOKUP(D1066,'材料表 '!C:F,3,0)</f>
        <v>918.58407079646</v>
      </c>
      <c r="J1066" s="51">
        <f t="shared" si="168"/>
        <v>927.769911504425</v>
      </c>
      <c r="K1066" s="43">
        <f ca="1">H1066*K1034</f>
        <v>6.8781</v>
      </c>
      <c r="L1066" s="90"/>
      <c r="M1066" s="44"/>
      <c r="N1066" s="82"/>
      <c r="O1066" s="44"/>
      <c r="P1066" s="44"/>
      <c r="Q1066" s="44"/>
      <c r="R1066" s="84"/>
      <c r="S1066" s="47"/>
      <c r="T1066" s="47"/>
    </row>
    <row r="1067" s="27" customFormat="1" ht="21" customHeight="1" spans="1:20">
      <c r="A1067" s="34"/>
      <c r="B1067" s="48">
        <v>20</v>
      </c>
      <c r="C1067" s="48"/>
      <c r="D1067" s="88" t="s">
        <v>1043</v>
      </c>
      <c r="E1067" s="72" t="str">
        <f>+VLOOKUP(D1067,'材料表 '!C:F,2,0)</f>
        <v>套</v>
      </c>
      <c r="F1067" s="77">
        <f>P1046/R1035</f>
        <v>0.587371512481645</v>
      </c>
      <c r="G1067" s="89">
        <f>+VLOOKUP(D1067,'材料表 '!C:F,4,0)</f>
        <v>0</v>
      </c>
      <c r="H1067" s="74">
        <f t="shared" si="167"/>
        <v>0.587371512481645</v>
      </c>
      <c r="I1067" s="74">
        <f>+VLOOKUP(D1067,'材料表 '!C:F,3,0)</f>
        <v>1.32743362831858</v>
      </c>
      <c r="J1067" s="51">
        <f t="shared" si="168"/>
        <v>0.779696697984482</v>
      </c>
      <c r="K1067" s="43">
        <f ca="1">H1067*K1034</f>
        <v>4</v>
      </c>
      <c r="L1067" s="90"/>
      <c r="M1067" s="44"/>
      <c r="N1067" s="82"/>
      <c r="O1067" s="44"/>
      <c r="P1067" s="44"/>
      <c r="Q1067" s="44"/>
      <c r="R1067" s="84"/>
      <c r="S1067" s="47"/>
      <c r="T1067" s="47"/>
    </row>
    <row r="1068" s="27" customFormat="1" ht="18" customHeight="1" spans="1:20">
      <c r="A1068" s="34"/>
      <c r="B1068" s="48">
        <v>21</v>
      </c>
      <c r="C1068" s="48"/>
      <c r="D1068" s="88"/>
      <c r="E1068" s="72"/>
      <c r="F1068" s="77"/>
      <c r="G1068" s="89"/>
      <c r="H1068" s="74"/>
      <c r="I1068" s="74"/>
      <c r="J1068" s="51"/>
      <c r="K1068" s="43">
        <f ca="1">H1068*K1034</f>
        <v>0</v>
      </c>
      <c r="L1068" s="92"/>
      <c r="M1068" s="44"/>
      <c r="N1068" s="82"/>
      <c r="O1068" s="44"/>
      <c r="P1068" s="44"/>
      <c r="Q1068" s="44"/>
      <c r="R1068" s="84"/>
      <c r="S1068" s="47"/>
      <c r="T1068" s="47"/>
    </row>
    <row r="1069" s="27" customFormat="1" ht="18" customHeight="1" spans="1:20">
      <c r="A1069" s="34"/>
      <c r="B1069" s="48">
        <v>22</v>
      </c>
      <c r="C1069" s="48"/>
      <c r="D1069" s="88"/>
      <c r="E1069" s="72"/>
      <c r="F1069" s="77"/>
      <c r="G1069" s="89"/>
      <c r="H1069" s="74"/>
      <c r="I1069" s="74"/>
      <c r="J1069" s="51"/>
      <c r="K1069" s="43">
        <f ca="1">H1069*K1034</f>
        <v>0</v>
      </c>
      <c r="L1069" s="92"/>
      <c r="M1069" s="44"/>
      <c r="N1069" s="44"/>
      <c r="O1069" s="44"/>
      <c r="P1069" s="44"/>
      <c r="Q1069" s="44"/>
      <c r="R1069" s="84"/>
      <c r="S1069" s="47"/>
      <c r="T1069" s="47"/>
    </row>
    <row r="1070" s="27" customFormat="1" ht="18" customHeight="1" spans="1:20">
      <c r="A1070" s="34"/>
      <c r="B1070" s="48">
        <v>23</v>
      </c>
      <c r="C1070" s="48"/>
      <c r="D1070" s="88"/>
      <c r="E1070" s="72"/>
      <c r="F1070" s="77"/>
      <c r="G1070" s="89"/>
      <c r="H1070" s="74"/>
      <c r="I1070" s="74"/>
      <c r="J1070" s="51"/>
      <c r="K1070" s="75">
        <f ca="1">H1070*K1034</f>
        <v>0</v>
      </c>
      <c r="L1070" s="92"/>
      <c r="M1070" s="44"/>
      <c r="N1070" s="44"/>
      <c r="O1070" s="44"/>
      <c r="P1070" s="44"/>
      <c r="Q1070" s="44"/>
      <c r="R1070" s="84"/>
      <c r="S1070" s="47"/>
      <c r="T1070" s="47"/>
    </row>
    <row r="1071" s="27" customFormat="1" ht="18" customHeight="1" spans="1:20">
      <c r="A1071" s="34"/>
      <c r="B1071" s="48">
        <v>24</v>
      </c>
      <c r="C1071" s="48"/>
      <c r="D1071" s="88"/>
      <c r="E1071" s="72"/>
      <c r="F1071" s="77"/>
      <c r="G1071" s="89"/>
      <c r="H1071" s="74"/>
      <c r="I1071" s="74"/>
      <c r="J1071" s="51"/>
      <c r="K1071" s="75">
        <f ca="1">H1071*K1034</f>
        <v>0</v>
      </c>
      <c r="L1071" s="92"/>
      <c r="M1071" s="44"/>
      <c r="N1071" s="44"/>
      <c r="O1071" s="44"/>
      <c r="P1071" s="44"/>
      <c r="Q1071" s="44"/>
      <c r="R1071" s="84"/>
      <c r="S1071" s="47"/>
      <c r="T1071" s="47"/>
    </row>
    <row r="1072" s="27" customFormat="1" ht="18" customHeight="1" spans="1:20">
      <c r="A1072" s="34"/>
      <c r="B1072" s="48">
        <v>25</v>
      </c>
      <c r="C1072" s="48"/>
      <c r="D1072" s="88"/>
      <c r="E1072" s="72"/>
      <c r="F1072" s="77"/>
      <c r="G1072" s="89"/>
      <c r="H1072" s="74"/>
      <c r="I1072" s="74"/>
      <c r="J1072" s="51"/>
      <c r="K1072" s="75"/>
      <c r="L1072" s="92"/>
      <c r="M1072" s="44"/>
      <c r="N1072" s="44"/>
      <c r="O1072" s="44"/>
      <c r="P1072" s="44"/>
      <c r="Q1072" s="44"/>
      <c r="R1072" s="84"/>
      <c r="S1072" s="47"/>
      <c r="T1072" s="47"/>
    </row>
    <row r="1073" s="27" customFormat="1" ht="18" customHeight="1" spans="1:21">
      <c r="A1073" s="34"/>
      <c r="B1073" s="48">
        <v>26</v>
      </c>
      <c r="C1073" s="48"/>
      <c r="D1073" s="88" t="s">
        <v>441</v>
      </c>
      <c r="E1073" s="72" t="s">
        <v>43</v>
      </c>
      <c r="F1073" s="77"/>
      <c r="G1073" s="72">
        <v>1</v>
      </c>
      <c r="H1073" s="74">
        <v>1</v>
      </c>
      <c r="I1073" s="74">
        <f>+辅材及安装费!$E$19</f>
        <v>10</v>
      </c>
      <c r="J1073" s="51">
        <f>H1073*I1073</f>
        <v>10</v>
      </c>
      <c r="K1073" s="75"/>
      <c r="L1073" s="92"/>
      <c r="M1073" s="44"/>
      <c r="N1073" s="44"/>
      <c r="O1073" s="44"/>
      <c r="P1073" s="44"/>
      <c r="Q1073" s="44"/>
      <c r="R1073" s="62"/>
      <c r="S1073" s="47"/>
      <c r="T1073" s="47"/>
    </row>
    <row r="1074" s="27" customFormat="1" ht="18" customHeight="1" spans="1:21">
      <c r="A1074" s="34"/>
      <c r="B1074" s="48">
        <v>27</v>
      </c>
      <c r="C1074" s="48"/>
      <c r="D1074" s="93" t="s">
        <v>442</v>
      </c>
      <c r="E1074" s="72"/>
      <c r="F1074" s="77"/>
      <c r="G1074" s="72"/>
      <c r="H1074" s="74"/>
      <c r="I1074" s="74"/>
      <c r="J1074" s="51">
        <f>SUM(J1048:J1073)</f>
        <v>1336.89303159922</v>
      </c>
      <c r="K1074" s="75"/>
      <c r="L1074" s="94"/>
      <c r="N1074" s="83"/>
      <c r="O1074" s="83"/>
      <c r="P1074" s="83"/>
      <c r="Q1074" s="83"/>
      <c r="R1074" s="87"/>
      <c r="S1074" s="47"/>
      <c r="T1074" s="47"/>
    </row>
    <row r="1075" s="27" customFormat="1" ht="18" customHeight="1" spans="1:21">
      <c r="A1075" s="34"/>
      <c r="B1075" s="48">
        <v>1</v>
      </c>
      <c r="C1075" s="48" t="s">
        <v>443</v>
      </c>
      <c r="D1075" s="48" t="s">
        <v>444</v>
      </c>
      <c r="E1075" s="72" t="s">
        <v>43</v>
      </c>
      <c r="F1075" s="50"/>
      <c r="G1075" s="48"/>
      <c r="H1075" s="51">
        <v>1</v>
      </c>
      <c r="I1075" s="74">
        <f>+辅材及安装费!$F$19</f>
        <v>5</v>
      </c>
      <c r="J1075" s="95">
        <f>H1075*I1075</f>
        <v>5</v>
      </c>
      <c r="K1075" s="60"/>
      <c r="L1075" s="96"/>
      <c r="M1075" s="97"/>
      <c r="N1075" s="98"/>
      <c r="O1075" s="98"/>
      <c r="P1075" s="98"/>
      <c r="Q1075" s="98"/>
      <c r="R1075" s="99"/>
      <c r="S1075" s="47"/>
      <c r="T1075" s="47"/>
    </row>
    <row r="1076" s="26" customFormat="1" ht="30" customHeight="1" spans="1:21">
      <c r="A1076" s="28"/>
      <c r="B1076" s="29" t="s">
        <v>386</v>
      </c>
      <c r="C1076" s="29"/>
      <c r="D1076" s="29"/>
      <c r="E1076" s="29"/>
      <c r="F1076" s="29"/>
      <c r="G1076" s="29"/>
      <c r="H1076" s="29"/>
      <c r="I1076" s="29"/>
      <c r="J1076" s="29"/>
      <c r="K1076" s="29"/>
      <c r="L1076" s="30"/>
      <c r="M1076" s="31"/>
      <c r="N1076" s="31"/>
      <c r="O1076" s="31"/>
      <c r="P1076" s="31"/>
      <c r="Q1076" s="31"/>
      <c r="R1076" s="32"/>
      <c r="S1076" s="33"/>
      <c r="T1076" s="33"/>
    </row>
    <row r="1077" s="27" customFormat="1" ht="33.75" customHeight="1" spans="1:21">
      <c r="A1077" s="34">
        <v>26</v>
      </c>
      <c r="B1077" s="35" t="s">
        <v>1</v>
      </c>
      <c r="C1077" s="35" t="s">
        <v>387</v>
      </c>
      <c r="D1077" s="36" t="str">
        <f>+A1085</f>
        <v>首层明框玻璃幕墙（12Low-E(双银)+12A+12㎜全超白钢化中空玻璃）</v>
      </c>
      <c r="E1077" s="37"/>
      <c r="F1077" s="38" t="s">
        <v>225</v>
      </c>
      <c r="G1077" s="39"/>
      <c r="H1077" s="35" t="s">
        <v>388</v>
      </c>
      <c r="I1077" s="40" t="s">
        <v>389</v>
      </c>
      <c r="J1077" s="41" t="s">
        <v>37</v>
      </c>
      <c r="K1077" s="42">
        <f ca="1">VLOOKUP(A1077,'商业工程量清单 '!$A$4:$D$44,4,FALSE)</f>
        <v>41.95</v>
      </c>
      <c r="L1077" s="43"/>
      <c r="M1077" s="44"/>
      <c r="N1077" s="44"/>
      <c r="O1077" s="44"/>
      <c r="P1077" s="45"/>
      <c r="Q1077" s="44"/>
      <c r="R1077" s="46"/>
      <c r="S1077" s="47"/>
      <c r="T1077" s="47"/>
    </row>
    <row r="1078" s="27" customFormat="1" ht="25" customHeight="1" spans="1:21">
      <c r="A1078" s="34"/>
      <c r="B1078" s="48">
        <v>1</v>
      </c>
      <c r="C1078" s="49" t="s">
        <v>390</v>
      </c>
      <c r="D1078" s="48" t="s">
        <v>391</v>
      </c>
      <c r="E1078" s="48"/>
      <c r="F1078" s="50"/>
      <c r="G1078" s="48"/>
      <c r="H1078" s="51"/>
      <c r="I1078" s="52">
        <f>J1090</f>
        <v>170</v>
      </c>
      <c r="J1078" s="53" t="s">
        <v>392</v>
      </c>
      <c r="K1078" s="54"/>
      <c r="L1078" s="55" t="s">
        <v>1036</v>
      </c>
      <c r="M1078" s="56"/>
      <c r="N1078" s="57"/>
      <c r="O1078" s="57">
        <f>2.79</f>
        <v>2.79</v>
      </c>
      <c r="P1078" s="57">
        <v>2.5</v>
      </c>
      <c r="Q1078" s="57">
        <v>1</v>
      </c>
      <c r="R1078" s="58">
        <f>+Q1078*P1078*O1078</f>
        <v>6.975</v>
      </c>
      <c r="S1078" s="47"/>
      <c r="T1078" s="47"/>
    </row>
    <row r="1079" s="27" customFormat="1" ht="18" customHeight="1" spans="1:21">
      <c r="A1079" s="34"/>
      <c r="B1079" s="48">
        <v>2</v>
      </c>
      <c r="C1079" s="59"/>
      <c r="D1079" s="48" t="s">
        <v>394</v>
      </c>
      <c r="E1079" s="48"/>
      <c r="F1079" s="50"/>
      <c r="G1079" s="48"/>
      <c r="H1079" s="51"/>
      <c r="I1079" s="52">
        <f>J1117</f>
        <v>442.18204223381</v>
      </c>
      <c r="J1079" s="53" t="s">
        <v>392</v>
      </c>
      <c r="K1079" s="60"/>
      <c r="L1079" s="61"/>
      <c r="M1079" s="44"/>
      <c r="N1079" s="44"/>
      <c r="O1079" s="44"/>
      <c r="P1079" s="44"/>
      <c r="Q1079" s="44"/>
      <c r="R1079" s="62"/>
      <c r="S1079" s="47"/>
      <c r="T1079" s="47"/>
    </row>
    <row r="1080" s="27" customFormat="1" ht="18" customHeight="1" spans="1:21">
      <c r="A1080" s="34"/>
      <c r="B1080" s="48">
        <v>3</v>
      </c>
      <c r="C1080" s="63"/>
      <c r="D1080" s="48" t="s">
        <v>395</v>
      </c>
      <c r="E1080" s="48"/>
      <c r="F1080" s="50"/>
      <c r="G1080" s="48"/>
      <c r="H1080" s="51"/>
      <c r="I1080" s="52">
        <f>J1118</f>
        <v>5</v>
      </c>
      <c r="J1080" s="53" t="s">
        <v>392</v>
      </c>
      <c r="K1080" s="60"/>
      <c r="L1080" s="60"/>
      <c r="M1080" s="64" t="s">
        <v>396</v>
      </c>
      <c r="N1080" s="65" t="s">
        <v>397</v>
      </c>
      <c r="O1080" s="65" t="s">
        <v>398</v>
      </c>
      <c r="P1080" s="65" t="s">
        <v>399</v>
      </c>
      <c r="Q1080" s="65" t="s">
        <v>400</v>
      </c>
      <c r="R1080" s="66" t="s">
        <v>401</v>
      </c>
      <c r="S1080" s="47"/>
      <c r="T1080" s="47"/>
    </row>
    <row r="1081" s="27" customFormat="1" ht="18" customHeight="1" spans="1:21">
      <c r="A1081" s="34"/>
      <c r="B1081" s="48">
        <v>4</v>
      </c>
      <c r="C1081" s="48" t="s">
        <v>402</v>
      </c>
      <c r="D1081" s="67" t="s">
        <v>403</v>
      </c>
      <c r="E1081" s="67"/>
      <c r="F1081" s="50"/>
      <c r="G1081" s="67"/>
      <c r="H1081" s="68"/>
      <c r="I1081" s="52">
        <f>SUM(I1078:I1080)</f>
        <v>617.18204223381</v>
      </c>
      <c r="J1081" s="53" t="s">
        <v>392</v>
      </c>
      <c r="K1081" s="60"/>
      <c r="L1081" s="69" t="s">
        <v>427</v>
      </c>
      <c r="M1081" s="70" t="s">
        <v>1007</v>
      </c>
      <c r="N1081" s="34">
        <v>3.111</v>
      </c>
      <c r="O1081" s="34">
        <f>P1078</f>
        <v>2.5</v>
      </c>
      <c r="P1081" s="34">
        <v>1</v>
      </c>
      <c r="Q1081" s="44">
        <f t="shared" ref="Q1081:Q1089" si="169">+P1081*O1081*N1081</f>
        <v>7.7775</v>
      </c>
      <c r="R1081" s="71">
        <f>+Q1081/R1078</f>
        <v>1.11505376344086</v>
      </c>
      <c r="S1081" s="47"/>
      <c r="T1081" s="47"/>
    </row>
    <row r="1082" s="27" customFormat="1" ht="28" customHeight="1" spans="1:21">
      <c r="A1082" s="34"/>
      <c r="B1082" s="48">
        <v>5</v>
      </c>
      <c r="C1082" s="72" t="s">
        <v>406</v>
      </c>
      <c r="D1082" s="48" t="s">
        <v>407</v>
      </c>
      <c r="E1082" s="48"/>
      <c r="F1082" s="50"/>
      <c r="G1082" s="48"/>
      <c r="H1082" s="73">
        <f>+'材料表 '!$E$178</f>
        <v>0</v>
      </c>
      <c r="I1082" s="52">
        <f>H1082*I1081</f>
        <v>0</v>
      </c>
      <c r="J1082" s="53" t="s">
        <v>392</v>
      </c>
      <c r="K1082" s="60"/>
      <c r="L1082" s="69" t="s">
        <v>429</v>
      </c>
      <c r="M1082" s="70" t="s">
        <v>1037</v>
      </c>
      <c r="N1082" s="34">
        <v>3.063</v>
      </c>
      <c r="O1082" s="100">
        <f>O1081/0.3*0.1</f>
        <v>0.833333333333333</v>
      </c>
      <c r="P1082" s="34">
        <f>P1081</f>
        <v>1</v>
      </c>
      <c r="Q1082" s="44">
        <f t="shared" si="169"/>
        <v>2.5525</v>
      </c>
      <c r="R1082" s="71">
        <f>+Q1082/R1078</f>
        <v>0.365949820788531</v>
      </c>
      <c r="S1082" s="47"/>
      <c r="T1082" s="47"/>
    </row>
    <row r="1083" s="27" customFormat="1" ht="18" customHeight="1" spans="1:21">
      <c r="A1083" s="34"/>
      <c r="B1083" s="48">
        <v>6</v>
      </c>
      <c r="C1083" s="48" t="s">
        <v>409</v>
      </c>
      <c r="D1083" s="48" t="s">
        <v>410</v>
      </c>
      <c r="E1083" s="48"/>
      <c r="F1083" s="50"/>
      <c r="G1083" s="48"/>
      <c r="H1083" s="73">
        <f>+'材料表 '!$E$179</f>
        <v>0</v>
      </c>
      <c r="I1083" s="52">
        <f>H1083*I1081</f>
        <v>0</v>
      </c>
      <c r="J1083" s="74" t="s">
        <v>392</v>
      </c>
      <c r="K1083" s="75"/>
      <c r="L1083" s="69" t="s">
        <v>447</v>
      </c>
      <c r="M1083" s="70" t="s">
        <v>1038</v>
      </c>
      <c r="N1083" s="34">
        <f>1.041+0.104</f>
        <v>1.145</v>
      </c>
      <c r="O1083" s="34">
        <f>O1081</f>
        <v>2.5</v>
      </c>
      <c r="P1083" s="34">
        <f>P1081</f>
        <v>1</v>
      </c>
      <c r="Q1083" s="44">
        <f t="shared" si="169"/>
        <v>2.8625</v>
      </c>
      <c r="R1083" s="71">
        <f>+Q1083/R1078</f>
        <v>0.410394265232975</v>
      </c>
      <c r="S1083" s="47">
        <v>0.172</v>
      </c>
      <c r="T1083" s="47">
        <f>O1083*P1083*S1083</f>
        <v>0.43</v>
      </c>
      <c r="U1083" s="76">
        <f>T1083/R1078</f>
        <v>0.0616487455197133</v>
      </c>
    </row>
    <row r="1084" s="27" customFormat="1" ht="18" customHeight="1" spans="1:21">
      <c r="A1084" s="34"/>
      <c r="B1084" s="48">
        <v>7</v>
      </c>
      <c r="C1084" s="48" t="s">
        <v>412</v>
      </c>
      <c r="D1084" s="72" t="s">
        <v>413</v>
      </c>
      <c r="E1084" s="72"/>
      <c r="F1084" s="77"/>
      <c r="G1084" s="72"/>
      <c r="H1084" s="73">
        <f>+'材料表 '!$E$180</f>
        <v>0.09</v>
      </c>
      <c r="I1084" s="52">
        <f>(I1081+I1082+I1083)*H1084</f>
        <v>55.5463838010429</v>
      </c>
      <c r="J1084" s="74" t="s">
        <v>392</v>
      </c>
      <c r="K1084" s="75"/>
      <c r="L1084" s="69" t="s">
        <v>429</v>
      </c>
      <c r="M1084" s="70" t="s">
        <v>1010</v>
      </c>
      <c r="N1084" s="102">
        <f>2.9</f>
        <v>2.9</v>
      </c>
      <c r="O1084" s="34">
        <v>0.2</v>
      </c>
      <c r="P1084" s="34">
        <f>P1081</f>
        <v>1</v>
      </c>
      <c r="Q1084" s="44">
        <f t="shared" si="169"/>
        <v>0.58</v>
      </c>
      <c r="R1084" s="71">
        <f>+Q1084/R1078</f>
        <v>0.0831541218637993</v>
      </c>
      <c r="S1084" s="47"/>
      <c r="T1084" s="47"/>
    </row>
    <row r="1085" s="27" customFormat="1" ht="18" customHeight="1" spans="1:21">
      <c r="A1085" s="78" t="s">
        <v>1048</v>
      </c>
      <c r="B1085" s="48">
        <v>8</v>
      </c>
      <c r="C1085" s="48" t="s">
        <v>363</v>
      </c>
      <c r="D1085" s="72" t="s">
        <v>415</v>
      </c>
      <c r="E1085" s="72"/>
      <c r="F1085" s="77"/>
      <c r="G1085" s="72"/>
      <c r="H1085" s="51"/>
      <c r="I1085" s="74">
        <f>SUM(I1081:I1084)</f>
        <v>672.728426034853</v>
      </c>
      <c r="J1085" s="74" t="s">
        <v>416</v>
      </c>
      <c r="K1085" s="75"/>
      <c r="L1085" s="69" t="s">
        <v>429</v>
      </c>
      <c r="M1085" s="70" t="s">
        <v>1040</v>
      </c>
      <c r="N1085" s="34">
        <v>0.733</v>
      </c>
      <c r="O1085" s="100">
        <f>O1082*2</f>
        <v>1.66666666666667</v>
      </c>
      <c r="P1085" s="34">
        <f>P1081</f>
        <v>1</v>
      </c>
      <c r="Q1085" s="44">
        <f t="shared" si="169"/>
        <v>1.22166666666667</v>
      </c>
      <c r="R1085" s="71">
        <f>+Q1085/R1078</f>
        <v>0.175149342891278</v>
      </c>
      <c r="S1085" s="79"/>
      <c r="T1085" s="47"/>
    </row>
    <row r="1086" s="27" customFormat="1" ht="18" customHeight="1" spans="1:21">
      <c r="A1086" s="34"/>
      <c r="B1086" s="48" t="s">
        <v>418</v>
      </c>
      <c r="C1086" s="48"/>
      <c r="D1086" s="48"/>
      <c r="E1086" s="48"/>
      <c r="F1086" s="48"/>
      <c r="G1086" s="48"/>
      <c r="H1086" s="48"/>
      <c r="I1086" s="48"/>
      <c r="J1086" s="48"/>
      <c r="K1086" s="80"/>
      <c r="L1086" s="69" t="s">
        <v>404</v>
      </c>
      <c r="M1086" s="70" t="s">
        <v>1041</v>
      </c>
      <c r="N1086" s="34">
        <v>3.727</v>
      </c>
      <c r="O1086" s="34">
        <f>O1078</f>
        <v>2.79</v>
      </c>
      <c r="P1086" s="34">
        <v>1</v>
      </c>
      <c r="Q1086" s="44">
        <f t="shared" si="169"/>
        <v>10.39833</v>
      </c>
      <c r="R1086" s="71">
        <f>+Q1086/R1078</f>
        <v>1.4908</v>
      </c>
      <c r="S1086" s="47"/>
      <c r="T1086" s="47"/>
      <c r="U1086" s="76"/>
    </row>
    <row r="1087" s="27" customFormat="1" ht="18" customHeight="1" spans="1:21">
      <c r="A1087" s="34"/>
      <c r="B1087" s="48">
        <v>1</v>
      </c>
      <c r="C1087" s="48" t="s">
        <v>391</v>
      </c>
      <c r="D1087" s="48" t="s">
        <v>396</v>
      </c>
      <c r="E1087" s="48" t="s">
        <v>37</v>
      </c>
      <c r="F1087" s="50"/>
      <c r="G1087" s="48"/>
      <c r="H1087" s="51" t="s">
        <v>399</v>
      </c>
      <c r="I1087" s="51" t="s">
        <v>420</v>
      </c>
      <c r="J1087" s="51" t="s">
        <v>421</v>
      </c>
      <c r="K1087" s="43"/>
      <c r="L1087" s="69" t="s">
        <v>429</v>
      </c>
      <c r="M1087" s="81" t="s">
        <v>1027</v>
      </c>
      <c r="N1087" s="82">
        <v>0.735</v>
      </c>
      <c r="O1087" s="34">
        <f>O1086</f>
        <v>2.79</v>
      </c>
      <c r="P1087" s="34">
        <v>1</v>
      </c>
      <c r="Q1087" s="44">
        <f t="shared" si="169"/>
        <v>2.05065</v>
      </c>
      <c r="R1087" s="71">
        <f>+Q1087/R1078</f>
        <v>0.294</v>
      </c>
      <c r="S1087" s="47"/>
      <c r="T1087" s="47"/>
    </row>
    <row r="1088" s="27" customFormat="1" ht="18" customHeight="1" spans="1:21">
      <c r="A1088" s="34"/>
      <c r="B1088" s="48">
        <v>2</v>
      </c>
      <c r="C1088" s="48"/>
      <c r="D1088" s="48" t="s">
        <v>967</v>
      </c>
      <c r="E1088" s="72" t="s">
        <v>423</v>
      </c>
      <c r="F1088" s="50"/>
      <c r="G1088" s="48"/>
      <c r="H1088" s="51">
        <v>1</v>
      </c>
      <c r="I1088" s="51">
        <f>+辅材及安装费!$G$19</f>
        <v>170</v>
      </c>
      <c r="J1088" s="51">
        <f t="shared" ref="J1088:J1096" si="170">H1088*I1088</f>
        <v>170</v>
      </c>
      <c r="K1088" s="43"/>
      <c r="L1088" s="69" t="s">
        <v>447</v>
      </c>
      <c r="M1088" s="70" t="s">
        <v>1038</v>
      </c>
      <c r="N1088" s="83">
        <v>0.977</v>
      </c>
      <c r="O1088" s="34">
        <f>O1086</f>
        <v>2.79</v>
      </c>
      <c r="P1088" s="34">
        <v>1</v>
      </c>
      <c r="Q1088" s="44">
        <f t="shared" si="169"/>
        <v>2.72583</v>
      </c>
      <c r="R1088" s="84">
        <f>+Q1088/R1078</f>
        <v>0.3908</v>
      </c>
      <c r="S1088" s="47">
        <v>0.185</v>
      </c>
      <c r="T1088" s="47">
        <f>O1088*P1088*S1088</f>
        <v>0.51615</v>
      </c>
      <c r="U1088" s="27">
        <f>T1088/R1078</f>
        <v>0.074</v>
      </c>
    </row>
    <row r="1089" s="27" customFormat="1" ht="18" customHeight="1" spans="1:20">
      <c r="A1089" s="34"/>
      <c r="B1089" s="48">
        <v>3</v>
      </c>
      <c r="C1089" s="48"/>
      <c r="D1089" s="48"/>
      <c r="E1089" s="72"/>
      <c r="F1089" s="50"/>
      <c r="G1089" s="48"/>
      <c r="H1089" s="51"/>
      <c r="I1089" s="51"/>
      <c r="J1089" s="51"/>
      <c r="K1089" s="43"/>
      <c r="L1089" s="69" t="s">
        <v>429</v>
      </c>
      <c r="M1089" s="81" t="s">
        <v>1042</v>
      </c>
      <c r="N1089" s="82">
        <v>0.687</v>
      </c>
      <c r="O1089" s="44">
        <f>0.1</f>
        <v>0.1</v>
      </c>
      <c r="P1089" s="34">
        <f>1*2</f>
        <v>2</v>
      </c>
      <c r="Q1089" s="44">
        <f t="shared" si="169"/>
        <v>0.1374</v>
      </c>
      <c r="R1089" s="84">
        <f>+Q1089/R1078</f>
        <v>0.0196989247311828</v>
      </c>
      <c r="S1089" s="47"/>
      <c r="T1089" s="47"/>
    </row>
    <row r="1090" s="27" customFormat="1" ht="18" customHeight="1" spans="1:20">
      <c r="A1090" s="34"/>
      <c r="B1090" s="48">
        <v>4</v>
      </c>
      <c r="C1090" s="48"/>
      <c r="D1090" s="85" t="s">
        <v>426</v>
      </c>
      <c r="E1090" s="48" t="s">
        <v>392</v>
      </c>
      <c r="F1090" s="50"/>
      <c r="G1090" s="48"/>
      <c r="H1090" s="86"/>
      <c r="I1090" s="86"/>
      <c r="J1090" s="51">
        <f>SUM(J1088:J1088)</f>
        <v>170</v>
      </c>
      <c r="K1090" s="75"/>
      <c r="L1090" s="69"/>
      <c r="M1090" s="70"/>
      <c r="N1090" s="83"/>
      <c r="O1090" s="83"/>
      <c r="P1090" s="34">
        <v>1</v>
      </c>
      <c r="Q1090" s="83"/>
      <c r="R1090" s="87"/>
      <c r="S1090" s="47"/>
      <c r="T1090" s="47"/>
    </row>
    <row r="1091" s="27" customFormat="1" ht="23" customHeight="1" spans="1:20">
      <c r="A1091" s="34"/>
      <c r="B1091" s="48">
        <v>1</v>
      </c>
      <c r="C1091" s="48" t="s">
        <v>394</v>
      </c>
      <c r="D1091" s="88" t="s">
        <v>427</v>
      </c>
      <c r="E1091" s="72" t="str">
        <f>+VLOOKUP(D1091,'材料表 '!C:F,2,0)</f>
        <v>kg</v>
      </c>
      <c r="F1091" s="77">
        <f>+SUMIF($L$1078:$L$1118,D1091,$R$1078:$R$1118)</f>
        <v>1.11505376344086</v>
      </c>
      <c r="G1091" s="89">
        <f>+VLOOKUP(D1091,'材料表 '!C:F,4,0)</f>
        <v>0.03</v>
      </c>
      <c r="H1091" s="74">
        <f t="shared" ref="H1091:H1096" si="171">F1091*(G1091+1)</f>
        <v>1.14850537634409</v>
      </c>
      <c r="I1091" s="74">
        <f>+VLOOKUP(D1091,'材料表 '!C:F,3,0)</f>
        <v>25.8495575221239</v>
      </c>
      <c r="J1091" s="51">
        <f t="shared" si="170"/>
        <v>29.688355790275</v>
      </c>
      <c r="K1091" s="75">
        <f ca="1">H1091*K1077</f>
        <v>48.1798005376346</v>
      </c>
      <c r="L1091" s="69"/>
      <c r="M1091" s="70"/>
      <c r="N1091" s="83"/>
      <c r="O1091" s="83"/>
      <c r="P1091" s="34">
        <v>1</v>
      </c>
      <c r="Q1091" s="83"/>
      <c r="R1091" s="87"/>
      <c r="S1091" s="47"/>
      <c r="T1091" s="47"/>
    </row>
    <row r="1092" s="27" customFormat="1" ht="18" customHeight="1" spans="1:20">
      <c r="A1092" s="34"/>
      <c r="B1092" s="48">
        <v>2</v>
      </c>
      <c r="C1092" s="48"/>
      <c r="D1092" s="88" t="s">
        <v>404</v>
      </c>
      <c r="E1092" s="72" t="str">
        <f>+VLOOKUP(D1092,'材料表 '!C:F,2,0)</f>
        <v>kg</v>
      </c>
      <c r="F1092" s="77">
        <f t="shared" ref="F1092:F1104" si="172">+SUMIF($L$1078:$L$1118,D1092,$R$1078:$R$1118)</f>
        <v>1.4908</v>
      </c>
      <c r="G1092" s="89">
        <f>+VLOOKUP(D1092,'材料表 '!C:F,4,0)</f>
        <v>0.03</v>
      </c>
      <c r="H1092" s="74">
        <f t="shared" si="171"/>
        <v>1.535524</v>
      </c>
      <c r="I1092" s="74">
        <f>+VLOOKUP(D1092,'材料表 '!C:F,3,0)</f>
        <v>25.6725663716814</v>
      </c>
      <c r="J1092" s="51">
        <f t="shared" si="170"/>
        <v>39.4208418053097</v>
      </c>
      <c r="K1092" s="75">
        <f ca="1">H1092*K1077</f>
        <v>64.4152318</v>
      </c>
      <c r="L1092" s="69"/>
      <c r="M1092" s="70"/>
      <c r="N1092" s="83"/>
      <c r="O1092" s="83"/>
      <c r="P1092" s="83"/>
      <c r="Q1092" s="83"/>
      <c r="R1092" s="87"/>
      <c r="S1092" s="47"/>
      <c r="T1092" s="47"/>
    </row>
    <row r="1093" s="27" customFormat="1" ht="18" customHeight="1" spans="1:20">
      <c r="A1093" s="34"/>
      <c r="B1093" s="48">
        <v>3</v>
      </c>
      <c r="C1093" s="48"/>
      <c r="D1093" s="88" t="s">
        <v>433</v>
      </c>
      <c r="E1093" s="72" t="str">
        <f>+VLOOKUP(D1093,'材料表 '!C:F,2,0)</f>
        <v>kg</v>
      </c>
      <c r="F1093" s="77">
        <f t="shared" si="172"/>
        <v>0</v>
      </c>
      <c r="G1093" s="89">
        <f>+VLOOKUP(D1093,'材料表 '!C:F,4,0)</f>
        <v>0.03</v>
      </c>
      <c r="H1093" s="74">
        <f t="shared" si="171"/>
        <v>0</v>
      </c>
      <c r="I1093" s="74">
        <f>+VLOOKUP(D1093,'材料表 '!C:F,3,0)</f>
        <v>26.1150442477876</v>
      </c>
      <c r="J1093" s="51">
        <f t="shared" si="170"/>
        <v>0</v>
      </c>
      <c r="K1093" s="75">
        <f ca="1">H1093*K1077</f>
        <v>0</v>
      </c>
      <c r="L1093" s="69"/>
      <c r="N1093" s="83"/>
      <c r="O1093" s="83"/>
      <c r="P1093" s="83"/>
      <c r="Q1093" s="83"/>
      <c r="R1093" s="87"/>
      <c r="S1093" s="47"/>
      <c r="T1093" s="47"/>
    </row>
    <row r="1094" s="27" customFormat="1" ht="18" customHeight="1" spans="1:20">
      <c r="A1094" s="34"/>
      <c r="B1094" s="48">
        <v>4</v>
      </c>
      <c r="C1094" s="48"/>
      <c r="D1094" s="88" t="s">
        <v>429</v>
      </c>
      <c r="E1094" s="72" t="str">
        <f>+VLOOKUP(D1094,'材料表 '!C:F,2,0)</f>
        <v>kg</v>
      </c>
      <c r="F1094" s="77">
        <f t="shared" si="172"/>
        <v>0.937952210274791</v>
      </c>
      <c r="G1094" s="89">
        <f>+VLOOKUP(D1094,'材料表 '!C:F,4,0)</f>
        <v>0.03</v>
      </c>
      <c r="H1094" s="74">
        <f t="shared" si="171"/>
        <v>0.966090776583035</v>
      </c>
      <c r="I1094" s="74">
        <f>+VLOOKUP(D1094,'材料表 '!C:F,3,0)</f>
        <v>26.1150442477876</v>
      </c>
      <c r="J1094" s="51">
        <f t="shared" si="170"/>
        <v>25.2295033778454</v>
      </c>
      <c r="K1094" s="75">
        <f ca="1">H1094*K1077</f>
        <v>40.5275080776583</v>
      </c>
      <c r="L1094" s="90" t="s">
        <v>707</v>
      </c>
      <c r="M1094" s="44"/>
      <c r="N1094" s="82"/>
      <c r="O1094" s="44">
        <f>O1086*P1086</f>
        <v>2.79</v>
      </c>
      <c r="P1094" s="44">
        <v>1</v>
      </c>
      <c r="Q1094" s="44">
        <f>+P1094*O1094</f>
        <v>2.79</v>
      </c>
      <c r="R1094" s="84">
        <f>+Q1094/R1078</f>
        <v>0.4</v>
      </c>
      <c r="S1094" s="47"/>
      <c r="T1094" s="47"/>
    </row>
    <row r="1095" s="27" customFormat="1" ht="18" customHeight="1" spans="1:20">
      <c r="A1095" s="34"/>
      <c r="B1095" s="48">
        <v>5</v>
      </c>
      <c r="C1095" s="48"/>
      <c r="D1095" s="88" t="s">
        <v>447</v>
      </c>
      <c r="E1095" s="72" t="str">
        <f>+VLOOKUP(D1095,'材料表 '!C:F,2,0)</f>
        <v>kg</v>
      </c>
      <c r="F1095" s="77">
        <f t="shared" si="172"/>
        <v>0.801194265232975</v>
      </c>
      <c r="G1095" s="89">
        <f>+VLOOKUP(D1095,'材料表 '!C:F,4,0)</f>
        <v>0.03</v>
      </c>
      <c r="H1095" s="74">
        <f t="shared" si="171"/>
        <v>0.825230093189964</v>
      </c>
      <c r="I1095" s="74">
        <f>+VLOOKUP(D1095,'材料表 '!C:F,3,0)</f>
        <v>24.4336283185841</v>
      </c>
      <c r="J1095" s="51">
        <f t="shared" si="170"/>
        <v>20.1633653743141</v>
      </c>
      <c r="K1095" s="43">
        <f ca="1">H1095*K1077</f>
        <v>34.618402409319</v>
      </c>
      <c r="L1095" s="90" t="s">
        <v>435</v>
      </c>
      <c r="M1095" s="44"/>
      <c r="N1095" s="82">
        <f>0.073*1.2</f>
        <v>0.0876</v>
      </c>
      <c r="O1095" s="44">
        <f>O1081*P1081*3+O1086*P1086*4</f>
        <v>18.66</v>
      </c>
      <c r="P1095" s="44">
        <v>1</v>
      </c>
      <c r="Q1095" s="44">
        <f>+P1095*O1095</f>
        <v>18.66</v>
      </c>
      <c r="R1095" s="84">
        <f>+Q1095/R1078</f>
        <v>2.6752688172043</v>
      </c>
      <c r="S1095" s="47"/>
      <c r="T1095" s="47"/>
    </row>
    <row r="1096" s="27" customFormat="1" ht="18" customHeight="1" spans="1:20">
      <c r="A1096" s="34"/>
      <c r="B1096" s="48">
        <v>6</v>
      </c>
      <c r="C1096" s="48"/>
      <c r="D1096" s="88" t="s">
        <v>434</v>
      </c>
      <c r="E1096" s="72" t="str">
        <f>+VLOOKUP(D1096,'材料表 '!C:F,2,0)</f>
        <v>m2</v>
      </c>
      <c r="F1096" s="77">
        <f>U1083+U1088</f>
        <v>0.135648745519713</v>
      </c>
      <c r="G1096" s="89">
        <f>+VLOOKUP(D1096,'材料表 '!C:F,4,0)</f>
        <v>0</v>
      </c>
      <c r="H1096" s="74">
        <f t="shared" si="171"/>
        <v>0.135648745519713</v>
      </c>
      <c r="I1096" s="74">
        <f>+VLOOKUP(D1096,'材料表 '!C:F,3,0)</f>
        <v>49.5575221238938</v>
      </c>
      <c r="J1096" s="51">
        <f t="shared" si="170"/>
        <v>6.72241570717162</v>
      </c>
      <c r="K1096" s="43">
        <f ca="1">H1096*K1077</f>
        <v>5.69046487455196</v>
      </c>
      <c r="L1096" s="90" t="s">
        <v>463</v>
      </c>
      <c r="M1096" s="91" t="s">
        <v>1012</v>
      </c>
      <c r="N1096" s="82">
        <f>0.32*0.3*8*7.85</f>
        <v>6.0288</v>
      </c>
      <c r="O1096" s="44">
        <v>2</v>
      </c>
      <c r="P1096" s="44">
        <f>P1081</f>
        <v>1</v>
      </c>
      <c r="Q1096" s="44">
        <f t="shared" ref="Q1096:Q1100" si="173">+P1096*O1096*N1096</f>
        <v>12.0576</v>
      </c>
      <c r="R1096" s="84">
        <f>+Q1096/R1078</f>
        <v>1.72868817204301</v>
      </c>
      <c r="S1096" s="47"/>
      <c r="T1096" s="47"/>
    </row>
    <row r="1097" s="27" customFormat="1" ht="18" customHeight="1" spans="1:20">
      <c r="A1097" s="34"/>
      <c r="B1097" s="48">
        <v>7</v>
      </c>
      <c r="C1097" s="48"/>
      <c r="D1097" s="88"/>
      <c r="E1097" s="72"/>
      <c r="F1097" s="77">
        <f t="shared" si="172"/>
        <v>0</v>
      </c>
      <c r="G1097" s="89"/>
      <c r="H1097" s="74"/>
      <c r="I1097" s="74"/>
      <c r="J1097" s="51"/>
      <c r="K1097" s="43">
        <f ca="1">H1097*K1077</f>
        <v>0</v>
      </c>
      <c r="L1097" s="69" t="s">
        <v>465</v>
      </c>
      <c r="M1097" s="81" t="s">
        <v>1013</v>
      </c>
      <c r="N1097" s="34">
        <v>9.88</v>
      </c>
      <c r="O1097" s="34">
        <f>0.13</f>
        <v>0.13</v>
      </c>
      <c r="P1097" s="34">
        <f>2*P1096*O1096</f>
        <v>4</v>
      </c>
      <c r="Q1097" s="44">
        <f t="shared" si="173"/>
        <v>5.1376</v>
      </c>
      <c r="R1097" s="84">
        <f>Q1097/R1078</f>
        <v>0.736573476702509</v>
      </c>
      <c r="S1097" s="47"/>
      <c r="T1097" s="47"/>
    </row>
    <row r="1098" s="27" customFormat="1" ht="18" customHeight="1" spans="1:20">
      <c r="A1098" s="34"/>
      <c r="B1098" s="48">
        <v>8</v>
      </c>
      <c r="C1098" s="48"/>
      <c r="D1098" s="88" t="s">
        <v>431</v>
      </c>
      <c r="E1098" s="72" t="str">
        <f>+VLOOKUP(D1098,'材料表 '!C:F,2,0)</f>
        <v>kg</v>
      </c>
      <c r="F1098" s="77">
        <f t="shared" si="172"/>
        <v>0</v>
      </c>
      <c r="G1098" s="89">
        <f>+VLOOKUP(D1098,'材料表 '!C:F,4,0)</f>
        <v>0.03</v>
      </c>
      <c r="H1098" s="74">
        <f t="shared" ref="H1098:H1110" si="174">F1098*(G1098+1)</f>
        <v>0</v>
      </c>
      <c r="I1098" s="74">
        <f>+VLOOKUP(D1098,'材料表 '!C:F,3,0)</f>
        <v>3.80530973451327</v>
      </c>
      <c r="J1098" s="51">
        <f t="shared" ref="J1098:J1110" si="175">H1098*I1098</f>
        <v>0</v>
      </c>
      <c r="K1098" s="43">
        <f ca="1">H1098*K1077</f>
        <v>0</v>
      </c>
      <c r="L1098" s="90" t="s">
        <v>474</v>
      </c>
      <c r="M1098" s="44"/>
      <c r="N1098" s="82"/>
      <c r="O1098" s="44">
        <v>4</v>
      </c>
      <c r="P1098" s="44">
        <v>8</v>
      </c>
      <c r="Q1098" s="44">
        <f>O1098*P1098</f>
        <v>32</v>
      </c>
      <c r="R1098" s="84">
        <f>Q1098/R1078</f>
        <v>4.58781362007169</v>
      </c>
      <c r="S1098" s="47"/>
      <c r="T1098" s="47"/>
    </row>
    <row r="1099" s="27" customFormat="1" ht="18" customHeight="1" spans="1:20">
      <c r="A1099" s="34"/>
      <c r="B1099" s="48">
        <v>9</v>
      </c>
      <c r="C1099" s="48"/>
      <c r="D1099" s="88" t="s">
        <v>461</v>
      </c>
      <c r="E1099" s="72" t="str">
        <f>+VLOOKUP(D1099,'材料表 '!C:F,2,0)</f>
        <v>kg</v>
      </c>
      <c r="F1099" s="77">
        <f t="shared" si="172"/>
        <v>0</v>
      </c>
      <c r="G1099" s="89">
        <f>+VLOOKUP(D1099,'材料表 '!C:F,4,0)</f>
        <v>0.03</v>
      </c>
      <c r="H1099" s="74">
        <f t="shared" si="174"/>
        <v>0</v>
      </c>
      <c r="I1099" s="74">
        <f>+VLOOKUP(D1099,'材料表 '!C:F,3,0)</f>
        <v>3.53982300884956</v>
      </c>
      <c r="J1099" s="51">
        <f t="shared" si="175"/>
        <v>0</v>
      </c>
      <c r="K1099" s="43">
        <f ca="1">H1099*K1077</f>
        <v>0</v>
      </c>
      <c r="L1099" s="90" t="s">
        <v>472</v>
      </c>
      <c r="M1099" s="91"/>
      <c r="N1099" s="82"/>
      <c r="O1099" s="44">
        <v>2</v>
      </c>
      <c r="P1099" s="44">
        <f>O1096*P1096</f>
        <v>2</v>
      </c>
      <c r="Q1099" s="44">
        <f>O1099*P1099</f>
        <v>4</v>
      </c>
      <c r="R1099" s="84">
        <f>Q1099/R1078</f>
        <v>0.573476702508961</v>
      </c>
      <c r="S1099" s="47"/>
      <c r="T1099" s="47"/>
    </row>
    <row r="1100" s="27" customFormat="1" ht="18" customHeight="1" spans="1:20">
      <c r="A1100" s="34"/>
      <c r="B1100" s="48">
        <v>10</v>
      </c>
      <c r="C1100" s="48"/>
      <c r="D1100" s="88" t="s">
        <v>435</v>
      </c>
      <c r="E1100" s="72" t="str">
        <f>+VLOOKUP(D1100,'材料表 '!C:F,2,0)</f>
        <v>kg</v>
      </c>
      <c r="F1100" s="77">
        <f t="shared" si="172"/>
        <v>2.6752688172043</v>
      </c>
      <c r="G1100" s="89">
        <f>+VLOOKUP(D1100,'材料表 '!C:F,4,0)</f>
        <v>0.03</v>
      </c>
      <c r="H1100" s="74">
        <f t="shared" si="174"/>
        <v>2.75552688172043</v>
      </c>
      <c r="I1100" s="74">
        <f>+VLOOKUP(D1100,'材料表 '!C:F,3,0)</f>
        <v>19.4690265486726</v>
      </c>
      <c r="J1100" s="51">
        <f t="shared" si="175"/>
        <v>53.6474260157961</v>
      </c>
      <c r="K1100" s="43">
        <f ca="1">H1100*K1077</f>
        <v>115.594352688172</v>
      </c>
      <c r="L1100" s="69" t="s">
        <v>465</v>
      </c>
      <c r="M1100" s="91"/>
      <c r="N1100" s="82">
        <f>(0.058+0.04*2)*5*7.85</f>
        <v>5.4165</v>
      </c>
      <c r="O1100" s="44">
        <f>O1078</f>
        <v>2.79</v>
      </c>
      <c r="P1100" s="44">
        <v>1</v>
      </c>
      <c r="Q1100" s="44">
        <f t="shared" si="173"/>
        <v>15.112035</v>
      </c>
      <c r="R1100" s="84">
        <f>+Q1100/R1078</f>
        <v>2.1666</v>
      </c>
      <c r="S1100" s="47"/>
      <c r="T1100" s="47"/>
    </row>
    <row r="1101" s="27" customFormat="1" ht="18" customHeight="1" spans="1:20">
      <c r="A1101" s="34"/>
      <c r="B1101" s="48">
        <v>11</v>
      </c>
      <c r="C1101" s="48"/>
      <c r="D1101" s="88" t="s">
        <v>463</v>
      </c>
      <c r="E1101" s="72" t="str">
        <f>+VLOOKUP(D1101,'材料表 '!C:F,2,0)</f>
        <v>kg</v>
      </c>
      <c r="F1101" s="77">
        <f t="shared" si="172"/>
        <v>1.72868817204301</v>
      </c>
      <c r="G1101" s="89">
        <f>+VLOOKUP(D1101,'材料表 '!C:F,4,0)</f>
        <v>0.03</v>
      </c>
      <c r="H1101" s="74">
        <f t="shared" si="174"/>
        <v>1.7805488172043</v>
      </c>
      <c r="I1101" s="74">
        <f>+VLOOKUP(D1101,'材料表 '!C:F,3,0)</f>
        <v>6.01769911504425</v>
      </c>
      <c r="J1101" s="51">
        <f t="shared" si="175"/>
        <v>10.7148070415834</v>
      </c>
      <c r="K1101" s="43">
        <f ca="1">H1101*K1077</f>
        <v>74.6940228817204</v>
      </c>
      <c r="L1101" s="69" t="s">
        <v>461</v>
      </c>
      <c r="N1101" s="83"/>
      <c r="O1101" s="83"/>
      <c r="P1101" s="83"/>
      <c r="Q1101" s="83"/>
      <c r="R1101" s="84"/>
      <c r="S1101" s="47"/>
      <c r="T1101" s="47"/>
    </row>
    <row r="1102" s="27" customFormat="1" ht="18" customHeight="1" spans="1:20">
      <c r="A1102" s="34"/>
      <c r="B1102" s="48">
        <v>12</v>
      </c>
      <c r="C1102" s="48"/>
      <c r="D1102" s="88" t="s">
        <v>465</v>
      </c>
      <c r="E1102" s="72" t="str">
        <f>+VLOOKUP(D1102,'材料表 '!C:F,2,0)</f>
        <v>kg</v>
      </c>
      <c r="F1102" s="77">
        <f t="shared" si="172"/>
        <v>2.90317347670251</v>
      </c>
      <c r="G1102" s="89">
        <f>+VLOOKUP(D1102,'材料表 '!C:F,4,0)</f>
        <v>0.03</v>
      </c>
      <c r="H1102" s="74">
        <f t="shared" si="174"/>
        <v>2.99026868100359</v>
      </c>
      <c r="I1102" s="74">
        <f>+VLOOKUP(D1102,'材料表 '!C:F,3,0)</f>
        <v>6.01769911504425</v>
      </c>
      <c r="J1102" s="51">
        <f t="shared" si="175"/>
        <v>17.9945371954198</v>
      </c>
      <c r="K1102" s="43">
        <f ca="1">H1102*K1077</f>
        <v>125.441771168101</v>
      </c>
      <c r="L1102" s="90"/>
      <c r="M1102" s="44"/>
      <c r="N1102" s="82"/>
      <c r="O1102" s="44"/>
      <c r="P1102" s="44"/>
      <c r="Q1102" s="44"/>
      <c r="R1102" s="84"/>
      <c r="S1102" s="47"/>
      <c r="T1102" s="47"/>
    </row>
    <row r="1103" s="27" customFormat="1" ht="18" customHeight="1" spans="1:20">
      <c r="A1103" s="34"/>
      <c r="B1103" s="48">
        <v>13</v>
      </c>
      <c r="C1103" s="48"/>
      <c r="D1103" s="88" t="s">
        <v>474</v>
      </c>
      <c r="E1103" s="72" t="str">
        <f>+VLOOKUP(D1103,'材料表 '!C:F,2,0)</f>
        <v>套</v>
      </c>
      <c r="F1103" s="77">
        <f t="shared" si="172"/>
        <v>4.58781362007169</v>
      </c>
      <c r="G1103" s="89">
        <f>+VLOOKUP(D1103,'材料表 '!C:F,4,0)</f>
        <v>0</v>
      </c>
      <c r="H1103" s="74">
        <f t="shared" si="174"/>
        <v>4.58781362007169</v>
      </c>
      <c r="I1103" s="74">
        <f>+VLOOKUP(D1103,'材料表 '!C:F,3,0)</f>
        <v>2.21238938053097</v>
      </c>
      <c r="J1103" s="51">
        <f t="shared" si="175"/>
        <v>10.150030132902</v>
      </c>
      <c r="K1103" s="43">
        <f ca="1">H1103*K1077</f>
        <v>192.458781362007</v>
      </c>
      <c r="L1103" s="90"/>
      <c r="M1103" s="44"/>
      <c r="N1103" s="82"/>
      <c r="O1103" s="44"/>
      <c r="P1103" s="44"/>
      <c r="Q1103" s="44"/>
      <c r="R1103" s="84"/>
      <c r="S1103" s="47"/>
      <c r="T1103" s="47"/>
    </row>
    <row r="1104" s="27" customFormat="1" ht="18" customHeight="1" spans="1:20">
      <c r="A1104" s="34"/>
      <c r="B1104" s="48">
        <v>14</v>
      </c>
      <c r="C1104" s="48"/>
      <c r="D1104" s="88" t="s">
        <v>472</v>
      </c>
      <c r="E1104" s="72" t="str">
        <f>+VLOOKUP(D1104,'材料表 '!C:F,2,0)</f>
        <v>套</v>
      </c>
      <c r="F1104" s="77">
        <f t="shared" si="172"/>
        <v>0.573476702508961</v>
      </c>
      <c r="G1104" s="89">
        <f>+VLOOKUP(D1104,'材料表 '!C:F,4,0)</f>
        <v>0</v>
      </c>
      <c r="H1104" s="74">
        <f t="shared" si="174"/>
        <v>0.573476702508961</v>
      </c>
      <c r="I1104" s="74">
        <f>+VLOOKUP(D1104,'材料表 '!C:F,3,0)</f>
        <v>2.47787610619469</v>
      </c>
      <c r="J1104" s="51">
        <f t="shared" si="175"/>
        <v>1.42100421860628</v>
      </c>
      <c r="K1104" s="43">
        <f ca="1">H1104*K1077</f>
        <v>24.0573476702509</v>
      </c>
      <c r="L1104" s="90"/>
      <c r="M1104" s="44"/>
      <c r="N1104" s="82"/>
      <c r="O1104" s="44"/>
      <c r="P1104" s="44"/>
      <c r="Q1104" s="44"/>
      <c r="R1104" s="84"/>
      <c r="S1104" s="47"/>
      <c r="T1104" s="47"/>
    </row>
    <row r="1105" s="27" customFormat="1" ht="18" customHeight="1" spans="1:20">
      <c r="A1105" s="34"/>
      <c r="B1105" s="48">
        <v>15</v>
      </c>
      <c r="C1105" s="48"/>
      <c r="D1105" s="88" t="s">
        <v>476</v>
      </c>
      <c r="E1105" s="72" t="str">
        <f>+VLOOKUP(D1105,'材料表 '!C:F,2,0)</f>
        <v>支</v>
      </c>
      <c r="F1105" s="77">
        <f>8*8*(O1086*P1086*2)/500/R1078+16*8*(O1081*P1081+O1086*P1086)/500/R1078</f>
        <v>0.296556272401434</v>
      </c>
      <c r="G1105" s="89">
        <f>+VLOOKUP(D1105,'材料表 '!C:F,4,0)</f>
        <v>0.15</v>
      </c>
      <c r="H1105" s="74">
        <f t="shared" si="174"/>
        <v>0.341039713261649</v>
      </c>
      <c r="I1105" s="74">
        <f>+VLOOKUP(D1105,'材料表 '!C:F,3,0)</f>
        <v>11.5044247787611</v>
      </c>
      <c r="J1105" s="51">
        <f t="shared" si="175"/>
        <v>3.9234657277889</v>
      </c>
      <c r="K1105" s="43">
        <f ca="1">H1105*K1077</f>
        <v>14.3066159713262</v>
      </c>
      <c r="L1105" s="92"/>
      <c r="M1105" s="44"/>
      <c r="N1105" s="82"/>
      <c r="O1105" s="44"/>
      <c r="P1105" s="44"/>
      <c r="Q1105" s="44"/>
      <c r="R1105" s="84"/>
      <c r="S1105" s="47"/>
      <c r="T1105" s="47"/>
    </row>
    <row r="1106" s="27" customFormat="1" ht="18" customHeight="1" spans="1:20">
      <c r="A1106" s="34"/>
      <c r="B1106" s="48">
        <v>16</v>
      </c>
      <c r="C1106" s="48"/>
      <c r="D1106" s="88" t="s">
        <v>576</v>
      </c>
      <c r="E1106" s="72" t="str">
        <f>+VLOOKUP(D1106,'材料表 '!C:F,2,0)</f>
        <v>支</v>
      </c>
      <c r="F1106" s="77">
        <v>0</v>
      </c>
      <c r="G1106" s="89">
        <f>+VLOOKUP(D1106,'材料表 '!C:F,4,0)</f>
        <v>0.15</v>
      </c>
      <c r="H1106" s="74">
        <f t="shared" si="174"/>
        <v>0</v>
      </c>
      <c r="I1106" s="74">
        <f>+VLOOKUP(D1106,'材料表 '!C:F,3,0)</f>
        <v>14.1592920353982</v>
      </c>
      <c r="J1106" s="51">
        <f t="shared" si="175"/>
        <v>0</v>
      </c>
      <c r="K1106" s="43">
        <f ca="1">H1106*K1077</f>
        <v>0</v>
      </c>
      <c r="L1106" s="92"/>
      <c r="M1106" s="44"/>
      <c r="N1106" s="82"/>
      <c r="O1106" s="44"/>
      <c r="P1106" s="44"/>
      <c r="Q1106" s="44"/>
      <c r="R1106" s="84"/>
      <c r="S1106" s="47"/>
      <c r="T1106" s="47"/>
    </row>
    <row r="1107" s="27" customFormat="1" ht="18" customHeight="1" spans="1:20">
      <c r="A1107" s="34"/>
      <c r="B1107" s="48">
        <v>17</v>
      </c>
      <c r="C1107" s="48"/>
      <c r="D1107" s="88" t="s">
        <v>479</v>
      </c>
      <c r="E1107" s="72" t="str">
        <f>+VLOOKUP(D1107,'材料表 '!C:F,2,0)</f>
        <v>kg</v>
      </c>
      <c r="F1107" s="77">
        <v>0</v>
      </c>
      <c r="G1107" s="89">
        <f>+VLOOKUP(D1107,'材料表 '!C:F,4,0)</f>
        <v>0.03</v>
      </c>
      <c r="H1107" s="74">
        <f t="shared" si="174"/>
        <v>0</v>
      </c>
      <c r="I1107" s="74">
        <f>+VLOOKUP(D1107,'材料表 '!C:F,3,0)</f>
        <v>14.1592920353982</v>
      </c>
      <c r="J1107" s="51">
        <f t="shared" si="175"/>
        <v>0</v>
      </c>
      <c r="K1107" s="43">
        <f ca="1">H1107*K1077</f>
        <v>0</v>
      </c>
      <c r="L1107" s="92"/>
      <c r="M1107" s="44"/>
      <c r="N1107" s="82"/>
      <c r="O1107" s="44"/>
      <c r="P1107" s="44"/>
      <c r="Q1107" s="44"/>
      <c r="R1107" s="84"/>
      <c r="S1107" s="47"/>
      <c r="T1107" s="47"/>
    </row>
    <row r="1108" s="27" customFormat="1" ht="18" customHeight="1" spans="1:20">
      <c r="A1108" s="34"/>
      <c r="B1108" s="48">
        <v>18</v>
      </c>
      <c r="C1108" s="48"/>
      <c r="D1108" s="88" t="s">
        <v>500</v>
      </c>
      <c r="E1108" s="72" t="str">
        <f>+VLOOKUP(D1108,'材料表 '!C:F,2,0)</f>
        <v>kg</v>
      </c>
      <c r="F1108" s="77">
        <v>0</v>
      </c>
      <c r="G1108" s="89">
        <f>+VLOOKUP(D1108,'材料表 '!C:F,4,0)</f>
        <v>0.03</v>
      </c>
      <c r="H1108" s="74">
        <f t="shared" si="174"/>
        <v>0</v>
      </c>
      <c r="I1108" s="74">
        <f>+VLOOKUP(D1108,'材料表 '!C:F,3,0)</f>
        <v>14.1592920353982</v>
      </c>
      <c r="J1108" s="51">
        <f t="shared" si="175"/>
        <v>0</v>
      </c>
      <c r="K1108" s="43">
        <f ca="1">H1108*K1077</f>
        <v>0</v>
      </c>
      <c r="L1108" s="92"/>
      <c r="M1108" s="44"/>
      <c r="N1108" s="82"/>
      <c r="O1108" s="44"/>
      <c r="P1108" s="44"/>
      <c r="Q1108" s="44"/>
      <c r="R1108" s="84"/>
      <c r="S1108" s="47"/>
      <c r="T1108" s="47"/>
    </row>
    <row r="1109" s="27" customFormat="1" ht="29" customHeight="1" spans="1:20">
      <c r="A1109" s="34"/>
      <c r="B1109" s="48">
        <v>19</v>
      </c>
      <c r="C1109" s="48"/>
      <c r="D1109" s="88" t="s">
        <v>650</v>
      </c>
      <c r="E1109" s="72" t="str">
        <f>+VLOOKUP(D1109,'材料表 '!C:F,2,0)</f>
        <v>m2</v>
      </c>
      <c r="F1109" s="77">
        <v>1</v>
      </c>
      <c r="G1109" s="89">
        <f>+VLOOKUP(D1109,'材料表 '!C:F,4,0)</f>
        <v>0.01</v>
      </c>
      <c r="H1109" s="74">
        <f t="shared" si="174"/>
        <v>1.01</v>
      </c>
      <c r="I1109" s="74">
        <f>+VLOOKUP(D1109,'材料表 '!C:F,3,0)</f>
        <v>210.619469026549</v>
      </c>
      <c r="J1109" s="51">
        <f t="shared" si="175"/>
        <v>212.725663716814</v>
      </c>
      <c r="K1109" s="43">
        <f ca="1">H1109*K1077</f>
        <v>42.3695</v>
      </c>
      <c r="L1109" s="90"/>
      <c r="M1109" s="44"/>
      <c r="N1109" s="82"/>
      <c r="O1109" s="44"/>
      <c r="P1109" s="44"/>
      <c r="Q1109" s="44"/>
      <c r="R1109" s="84"/>
      <c r="S1109" s="47"/>
      <c r="T1109" s="47"/>
    </row>
    <row r="1110" s="27" customFormat="1" ht="21" customHeight="1" spans="1:20">
      <c r="A1110" s="34"/>
      <c r="B1110" s="48">
        <v>20</v>
      </c>
      <c r="C1110" s="48"/>
      <c r="D1110" s="88" t="s">
        <v>1043</v>
      </c>
      <c r="E1110" s="72" t="str">
        <f>+VLOOKUP(D1110,'材料表 '!C:F,2,0)</f>
        <v>套</v>
      </c>
      <c r="F1110" s="77">
        <f>P1089/R1078</f>
        <v>0.28673835125448</v>
      </c>
      <c r="G1110" s="89">
        <f>+VLOOKUP(D1110,'材料表 '!C:F,4,0)</f>
        <v>0</v>
      </c>
      <c r="H1110" s="74">
        <f t="shared" si="174"/>
        <v>0.28673835125448</v>
      </c>
      <c r="I1110" s="74">
        <f>+VLOOKUP(D1110,'材料表 '!C:F,3,0)</f>
        <v>1.32743362831858</v>
      </c>
      <c r="J1110" s="51">
        <f t="shared" si="175"/>
        <v>0.380626129983822</v>
      </c>
      <c r="K1110" s="43">
        <f ca="1">H1110*K1077</f>
        <v>12.0286738351254</v>
      </c>
      <c r="L1110" s="90"/>
      <c r="M1110" s="44"/>
      <c r="N1110" s="82"/>
      <c r="O1110" s="44"/>
      <c r="P1110" s="44"/>
      <c r="Q1110" s="44"/>
      <c r="R1110" s="84"/>
      <c r="S1110" s="47"/>
      <c r="T1110" s="47"/>
    </row>
    <row r="1111" s="27" customFormat="1" ht="18" customHeight="1" spans="1:20">
      <c r="A1111" s="34"/>
      <c r="B1111" s="48">
        <v>21</v>
      </c>
      <c r="C1111" s="48"/>
      <c r="D1111" s="88"/>
      <c r="E1111" s="72"/>
      <c r="F1111" s="77"/>
      <c r="G1111" s="89"/>
      <c r="H1111" s="74"/>
      <c r="I1111" s="74"/>
      <c r="J1111" s="51"/>
      <c r="K1111" s="43">
        <f ca="1">H1111*K1077</f>
        <v>0</v>
      </c>
      <c r="L1111" s="92"/>
      <c r="M1111" s="44"/>
      <c r="N1111" s="82"/>
      <c r="O1111" s="44"/>
      <c r="P1111" s="44"/>
      <c r="Q1111" s="44"/>
      <c r="R1111" s="84"/>
      <c r="S1111" s="47"/>
      <c r="T1111" s="47"/>
    </row>
    <row r="1112" s="27" customFormat="1" ht="18" customHeight="1" spans="1:20">
      <c r="A1112" s="34"/>
      <c r="B1112" s="48">
        <v>22</v>
      </c>
      <c r="C1112" s="48"/>
      <c r="D1112" s="88"/>
      <c r="E1112" s="72"/>
      <c r="F1112" s="77"/>
      <c r="G1112" s="89"/>
      <c r="H1112" s="74"/>
      <c r="I1112" s="74"/>
      <c r="J1112" s="51"/>
      <c r="K1112" s="43">
        <f ca="1">H1112*K1077</f>
        <v>0</v>
      </c>
      <c r="L1112" s="92"/>
      <c r="M1112" s="44"/>
      <c r="N1112" s="44"/>
      <c r="O1112" s="44"/>
      <c r="P1112" s="44"/>
      <c r="Q1112" s="44"/>
      <c r="R1112" s="84"/>
      <c r="S1112" s="47"/>
      <c r="T1112" s="47"/>
    </row>
    <row r="1113" s="27" customFormat="1" ht="18" customHeight="1" spans="1:20">
      <c r="A1113" s="34"/>
      <c r="B1113" s="48">
        <v>23</v>
      </c>
      <c r="C1113" s="48"/>
      <c r="D1113" s="88"/>
      <c r="E1113" s="72"/>
      <c r="F1113" s="77"/>
      <c r="G1113" s="89"/>
      <c r="H1113" s="74"/>
      <c r="I1113" s="74"/>
      <c r="J1113" s="51"/>
      <c r="K1113" s="75">
        <f ca="1">H1113*K1077</f>
        <v>0</v>
      </c>
      <c r="L1113" s="92"/>
      <c r="M1113" s="44"/>
      <c r="N1113" s="44"/>
      <c r="O1113" s="44"/>
      <c r="P1113" s="44"/>
      <c r="Q1113" s="44"/>
      <c r="R1113" s="84"/>
      <c r="S1113" s="47"/>
      <c r="T1113" s="47"/>
    </row>
    <row r="1114" s="27" customFormat="1" ht="18" customHeight="1" spans="1:20">
      <c r="A1114" s="34"/>
      <c r="B1114" s="48">
        <v>24</v>
      </c>
      <c r="C1114" s="48"/>
      <c r="D1114" s="88"/>
      <c r="E1114" s="72"/>
      <c r="F1114" s="77"/>
      <c r="G1114" s="89"/>
      <c r="H1114" s="74"/>
      <c r="I1114" s="74"/>
      <c r="J1114" s="51"/>
      <c r="K1114" s="75">
        <f ca="1">H1114*K1077</f>
        <v>0</v>
      </c>
      <c r="L1114" s="92"/>
      <c r="M1114" s="44"/>
      <c r="N1114" s="44"/>
      <c r="O1114" s="44"/>
      <c r="P1114" s="44"/>
      <c r="Q1114" s="44"/>
      <c r="R1114" s="84"/>
      <c r="S1114" s="47"/>
      <c r="T1114" s="47"/>
    </row>
    <row r="1115" s="27" customFormat="1" ht="18" customHeight="1" spans="1:20">
      <c r="A1115" s="34"/>
      <c r="B1115" s="48">
        <v>25</v>
      </c>
      <c r="C1115" s="48"/>
      <c r="D1115" s="88"/>
      <c r="E1115" s="72"/>
      <c r="F1115" s="77"/>
      <c r="G1115" s="89"/>
      <c r="H1115" s="74"/>
      <c r="I1115" s="74"/>
      <c r="J1115" s="51"/>
      <c r="K1115" s="75"/>
      <c r="L1115" s="92"/>
      <c r="M1115" s="44"/>
      <c r="N1115" s="44"/>
      <c r="O1115" s="44"/>
      <c r="P1115" s="44"/>
      <c r="Q1115" s="44"/>
      <c r="R1115" s="84"/>
      <c r="S1115" s="47"/>
      <c r="T1115" s="47"/>
    </row>
    <row r="1116" s="27" customFormat="1" ht="18" customHeight="1" spans="1:20">
      <c r="A1116" s="34"/>
      <c r="B1116" s="48">
        <v>26</v>
      </c>
      <c r="C1116" s="48"/>
      <c r="D1116" s="88" t="s">
        <v>441</v>
      </c>
      <c r="E1116" s="72" t="s">
        <v>43</v>
      </c>
      <c r="F1116" s="77"/>
      <c r="G1116" s="72">
        <v>1</v>
      </c>
      <c r="H1116" s="74">
        <v>1</v>
      </c>
      <c r="I1116" s="74">
        <f>+辅材及安装费!$E$19</f>
        <v>10</v>
      </c>
      <c r="J1116" s="51">
        <f>H1116*I1116</f>
        <v>10</v>
      </c>
      <c r="K1116" s="75"/>
      <c r="L1116" s="92"/>
      <c r="M1116" s="44"/>
      <c r="N1116" s="44"/>
      <c r="O1116" s="44"/>
      <c r="P1116" s="44"/>
      <c r="Q1116" s="44"/>
      <c r="R1116" s="62"/>
      <c r="S1116" s="47"/>
      <c r="T1116" s="47"/>
    </row>
    <row r="1117" s="27" customFormat="1" ht="18" customHeight="1" spans="1:20">
      <c r="A1117" s="34"/>
      <c r="B1117" s="48">
        <v>27</v>
      </c>
      <c r="C1117" s="48"/>
      <c r="D1117" s="93" t="s">
        <v>442</v>
      </c>
      <c r="E1117" s="72"/>
      <c r="F1117" s="77"/>
      <c r="G1117" s="72"/>
      <c r="H1117" s="74"/>
      <c r="I1117" s="74"/>
      <c r="J1117" s="51">
        <f>SUM(J1091:J1116)</f>
        <v>442.18204223381</v>
      </c>
      <c r="K1117" s="75"/>
      <c r="L1117" s="94"/>
      <c r="N1117" s="83"/>
      <c r="O1117" s="83"/>
      <c r="P1117" s="83"/>
      <c r="Q1117" s="83"/>
      <c r="R1117" s="87"/>
      <c r="S1117" s="47"/>
      <c r="T1117" s="47"/>
    </row>
    <row r="1118" s="27" customFormat="1" ht="18" customHeight="1" spans="1:20">
      <c r="A1118" s="34"/>
      <c r="B1118" s="48">
        <v>1</v>
      </c>
      <c r="C1118" s="48" t="s">
        <v>443</v>
      </c>
      <c r="D1118" s="48" t="s">
        <v>444</v>
      </c>
      <c r="E1118" s="72" t="s">
        <v>43</v>
      </c>
      <c r="F1118" s="50"/>
      <c r="G1118" s="48"/>
      <c r="H1118" s="51">
        <v>1</v>
      </c>
      <c r="I1118" s="74">
        <f>+辅材及安装费!$F$19</f>
        <v>5</v>
      </c>
      <c r="J1118" s="95">
        <f>H1118*I1118</f>
        <v>5</v>
      </c>
      <c r="K1118" s="60"/>
      <c r="L1118" s="96"/>
      <c r="M1118" s="97"/>
      <c r="N1118" s="98"/>
      <c r="O1118" s="98"/>
      <c r="P1118" s="98"/>
      <c r="Q1118" s="98"/>
      <c r="R1118" s="99"/>
      <c r="S1118" s="47"/>
      <c r="T1118" s="47"/>
    </row>
    <row r="1119" s="26" customFormat="1" ht="30" customHeight="1" spans="1:20">
      <c r="A1119" s="28"/>
      <c r="B1119" s="29" t="s">
        <v>386</v>
      </c>
      <c r="C1119" s="29"/>
      <c r="D1119" s="29"/>
      <c r="E1119" s="29"/>
      <c r="F1119" s="29"/>
      <c r="G1119" s="29"/>
      <c r="H1119" s="29"/>
      <c r="I1119" s="29"/>
      <c r="J1119" s="29"/>
      <c r="K1119" s="29"/>
      <c r="L1119" s="30"/>
      <c r="M1119" s="31"/>
      <c r="N1119" s="31"/>
      <c r="O1119" s="31"/>
      <c r="P1119" s="31"/>
      <c r="Q1119" s="31"/>
      <c r="R1119" s="32"/>
      <c r="S1119" s="33"/>
      <c r="T1119" s="33"/>
    </row>
    <row r="1120" s="27" customFormat="1" ht="33.75" customHeight="1" spans="1:20">
      <c r="A1120" s="34">
        <v>27</v>
      </c>
      <c r="B1120" s="35" t="s">
        <v>1</v>
      </c>
      <c r="C1120" s="35" t="s">
        <v>387</v>
      </c>
      <c r="D1120" s="36" t="str">
        <f>+A1128</f>
        <v>首层明框玻璃幕墙（6Low-E(双银)+12A+6㎜全超白钢化中空玻璃）</v>
      </c>
      <c r="E1120" s="37"/>
      <c r="F1120" s="38" t="s">
        <v>225</v>
      </c>
      <c r="G1120" s="39"/>
      <c r="H1120" s="35" t="s">
        <v>388</v>
      </c>
      <c r="I1120" s="40" t="s">
        <v>389</v>
      </c>
      <c r="J1120" s="41" t="s">
        <v>37</v>
      </c>
      <c r="K1120" s="42">
        <f ca="1">VLOOKUP(A1120,'商业工程量清单 '!$A$4:$D$44,4,FALSE)</f>
        <v>3.375</v>
      </c>
      <c r="L1120" s="43"/>
      <c r="M1120" s="44"/>
      <c r="N1120" s="44"/>
      <c r="O1120" s="44"/>
      <c r="P1120" s="45"/>
      <c r="Q1120" s="44"/>
      <c r="R1120" s="46"/>
      <c r="S1120" s="47"/>
      <c r="T1120" s="47"/>
    </row>
    <row r="1121" s="27" customFormat="1" ht="25" customHeight="1" spans="1:21">
      <c r="A1121" s="34"/>
      <c r="B1121" s="48">
        <v>1</v>
      </c>
      <c r="C1121" s="49" t="s">
        <v>390</v>
      </c>
      <c r="D1121" s="48" t="s">
        <v>391</v>
      </c>
      <c r="E1121" s="48"/>
      <c r="F1121" s="50"/>
      <c r="G1121" s="48"/>
      <c r="H1121" s="51"/>
      <c r="I1121" s="52">
        <f>J1133</f>
        <v>170</v>
      </c>
      <c r="J1121" s="53" t="s">
        <v>392</v>
      </c>
      <c r="K1121" s="54"/>
      <c r="L1121" s="55" t="s">
        <v>1036</v>
      </c>
      <c r="M1121" s="56"/>
      <c r="N1121" s="57"/>
      <c r="O1121" s="57">
        <v>0.45</v>
      </c>
      <c r="P1121" s="57">
        <v>2.5</v>
      </c>
      <c r="Q1121" s="57">
        <v>1</v>
      </c>
      <c r="R1121" s="58">
        <f>+Q1121*P1121*O1121</f>
        <v>1.125</v>
      </c>
      <c r="S1121" s="47"/>
      <c r="T1121" s="47"/>
    </row>
    <row r="1122" s="27" customFormat="1" ht="18" customHeight="1" spans="1:21">
      <c r="A1122" s="34"/>
      <c r="B1122" s="48">
        <v>2</v>
      </c>
      <c r="C1122" s="59"/>
      <c r="D1122" s="48" t="s">
        <v>394</v>
      </c>
      <c r="E1122" s="48"/>
      <c r="F1122" s="50"/>
      <c r="G1122" s="48"/>
      <c r="H1122" s="51"/>
      <c r="I1122" s="52">
        <f>J1160</f>
        <v>940.296065304491</v>
      </c>
      <c r="J1122" s="53" t="s">
        <v>392</v>
      </c>
      <c r="K1122" s="60"/>
      <c r="L1122" s="61"/>
      <c r="M1122" s="44"/>
      <c r="N1122" s="44"/>
      <c r="O1122" s="44"/>
      <c r="P1122" s="44"/>
      <c r="Q1122" s="44"/>
      <c r="R1122" s="62"/>
      <c r="S1122" s="47"/>
      <c r="T1122" s="47"/>
    </row>
    <row r="1123" s="27" customFormat="1" ht="18" customHeight="1" spans="1:21">
      <c r="A1123" s="34"/>
      <c r="B1123" s="48">
        <v>3</v>
      </c>
      <c r="C1123" s="63"/>
      <c r="D1123" s="48" t="s">
        <v>395</v>
      </c>
      <c r="E1123" s="48"/>
      <c r="F1123" s="50"/>
      <c r="G1123" s="48"/>
      <c r="H1123" s="51"/>
      <c r="I1123" s="52">
        <f>J1161</f>
        <v>5</v>
      </c>
      <c r="J1123" s="53" t="s">
        <v>392</v>
      </c>
      <c r="K1123" s="60"/>
      <c r="L1123" s="60"/>
      <c r="M1123" s="64" t="s">
        <v>396</v>
      </c>
      <c r="N1123" s="65" t="s">
        <v>397</v>
      </c>
      <c r="O1123" s="65" t="s">
        <v>398</v>
      </c>
      <c r="P1123" s="65" t="s">
        <v>399</v>
      </c>
      <c r="Q1123" s="65" t="s">
        <v>400</v>
      </c>
      <c r="R1123" s="66" t="s">
        <v>401</v>
      </c>
      <c r="S1123" s="47"/>
      <c r="T1123" s="47"/>
    </row>
    <row r="1124" s="27" customFormat="1" ht="18" customHeight="1" spans="1:21">
      <c r="A1124" s="34"/>
      <c r="B1124" s="48">
        <v>4</v>
      </c>
      <c r="C1124" s="48" t="s">
        <v>402</v>
      </c>
      <c r="D1124" s="67" t="s">
        <v>403</v>
      </c>
      <c r="E1124" s="67"/>
      <c r="F1124" s="50"/>
      <c r="G1124" s="67"/>
      <c r="H1124" s="68"/>
      <c r="I1124" s="52">
        <f>SUM(I1121:I1123)</f>
        <v>1115.29606530449</v>
      </c>
      <c r="J1124" s="53" t="s">
        <v>392</v>
      </c>
      <c r="K1124" s="60"/>
      <c r="L1124" s="69" t="s">
        <v>427</v>
      </c>
      <c r="M1124" s="70" t="s">
        <v>1007</v>
      </c>
      <c r="N1124" s="34">
        <v>3.111</v>
      </c>
      <c r="O1124" s="34">
        <f>P1121</f>
        <v>2.5</v>
      </c>
      <c r="P1124" s="34">
        <v>1</v>
      </c>
      <c r="Q1124" s="44">
        <f t="shared" ref="Q1124:Q1132" si="176">+P1124*O1124*N1124</f>
        <v>7.7775</v>
      </c>
      <c r="R1124" s="71">
        <f>+Q1124/R1121</f>
        <v>6.91333333333333</v>
      </c>
      <c r="S1124" s="47"/>
      <c r="T1124" s="47"/>
    </row>
    <row r="1125" s="27" customFormat="1" ht="28" customHeight="1" spans="1:21">
      <c r="A1125" s="34"/>
      <c r="B1125" s="48">
        <v>5</v>
      </c>
      <c r="C1125" s="72" t="s">
        <v>406</v>
      </c>
      <c r="D1125" s="48" t="s">
        <v>407</v>
      </c>
      <c r="E1125" s="48"/>
      <c r="F1125" s="50"/>
      <c r="G1125" s="48"/>
      <c r="H1125" s="73">
        <f>+'材料表 '!$E$178</f>
        <v>0</v>
      </c>
      <c r="I1125" s="52">
        <f>H1125*I1124</f>
        <v>0</v>
      </c>
      <c r="J1125" s="53" t="s">
        <v>392</v>
      </c>
      <c r="K1125" s="60"/>
      <c r="L1125" s="69" t="s">
        <v>429</v>
      </c>
      <c r="M1125" s="70" t="s">
        <v>1037</v>
      </c>
      <c r="N1125" s="34">
        <v>3.063</v>
      </c>
      <c r="O1125" s="100">
        <f>O1124/0.3*0.1</f>
        <v>0.833333333333333</v>
      </c>
      <c r="P1125" s="34">
        <f>P1124</f>
        <v>1</v>
      </c>
      <c r="Q1125" s="44">
        <f t="shared" si="176"/>
        <v>2.5525</v>
      </c>
      <c r="R1125" s="71">
        <f>+Q1125/R1121</f>
        <v>2.26888888888889</v>
      </c>
      <c r="S1125" s="47"/>
      <c r="T1125" s="47"/>
    </row>
    <row r="1126" s="27" customFormat="1" ht="18" customHeight="1" spans="1:21">
      <c r="A1126" s="34"/>
      <c r="B1126" s="48">
        <v>6</v>
      </c>
      <c r="C1126" s="48" t="s">
        <v>409</v>
      </c>
      <c r="D1126" s="48" t="s">
        <v>410</v>
      </c>
      <c r="E1126" s="48"/>
      <c r="F1126" s="50"/>
      <c r="G1126" s="48"/>
      <c r="H1126" s="73">
        <f>+'材料表 '!$E$179</f>
        <v>0</v>
      </c>
      <c r="I1126" s="52">
        <f>H1126*I1124</f>
        <v>0</v>
      </c>
      <c r="J1126" s="74" t="s">
        <v>392</v>
      </c>
      <c r="K1126" s="75"/>
      <c r="L1126" s="69" t="s">
        <v>447</v>
      </c>
      <c r="M1126" s="70" t="s">
        <v>1038</v>
      </c>
      <c r="N1126" s="34">
        <f>1.041+0.104</f>
        <v>1.145</v>
      </c>
      <c r="O1126" s="34">
        <f>O1124</f>
        <v>2.5</v>
      </c>
      <c r="P1126" s="34">
        <f>P1124</f>
        <v>1</v>
      </c>
      <c r="Q1126" s="44">
        <f t="shared" si="176"/>
        <v>2.8625</v>
      </c>
      <c r="R1126" s="71">
        <f>+Q1126/R1121</f>
        <v>2.54444444444444</v>
      </c>
      <c r="S1126" s="47">
        <v>0.172</v>
      </c>
      <c r="T1126" s="47">
        <f>O1126*P1126*S1126</f>
        <v>0.43</v>
      </c>
      <c r="U1126" s="76">
        <f>T1126/R1121</f>
        <v>0.382222222222222</v>
      </c>
    </row>
    <row r="1127" s="27" customFormat="1" ht="18" customHeight="1" spans="1:21">
      <c r="A1127" s="34"/>
      <c r="B1127" s="48">
        <v>7</v>
      </c>
      <c r="C1127" s="48" t="s">
        <v>412</v>
      </c>
      <c r="D1127" s="72" t="s">
        <v>413</v>
      </c>
      <c r="E1127" s="72"/>
      <c r="F1127" s="77"/>
      <c r="G1127" s="72"/>
      <c r="H1127" s="73">
        <f>+'材料表 '!$E$180</f>
        <v>0.09</v>
      </c>
      <c r="I1127" s="52">
        <f>(I1124+I1125+I1126)*H1127</f>
        <v>100.376645877404</v>
      </c>
      <c r="J1127" s="74" t="s">
        <v>392</v>
      </c>
      <c r="K1127" s="75"/>
      <c r="L1127" s="69" t="s">
        <v>429</v>
      </c>
      <c r="M1127" s="70" t="s">
        <v>1010</v>
      </c>
      <c r="N1127" s="102">
        <f>2.9</f>
        <v>2.9</v>
      </c>
      <c r="O1127" s="34">
        <v>0.2</v>
      </c>
      <c r="P1127" s="34">
        <f>P1124</f>
        <v>1</v>
      </c>
      <c r="Q1127" s="44">
        <f t="shared" si="176"/>
        <v>0.58</v>
      </c>
      <c r="R1127" s="71">
        <f>+Q1127/R1121</f>
        <v>0.515555555555556</v>
      </c>
      <c r="S1127" s="47"/>
      <c r="T1127" s="47"/>
    </row>
    <row r="1128" s="27" customFormat="1" ht="18" customHeight="1" spans="1:21">
      <c r="A1128" s="78" t="s">
        <v>265</v>
      </c>
      <c r="B1128" s="48">
        <v>8</v>
      </c>
      <c r="C1128" s="48" t="s">
        <v>363</v>
      </c>
      <c r="D1128" s="72" t="s">
        <v>415</v>
      </c>
      <c r="E1128" s="72"/>
      <c r="F1128" s="77"/>
      <c r="G1128" s="72"/>
      <c r="H1128" s="51"/>
      <c r="I1128" s="74">
        <f>SUM(I1124:I1127)</f>
        <v>1215.67271118189</v>
      </c>
      <c r="J1128" s="74" t="s">
        <v>416</v>
      </c>
      <c r="K1128" s="75"/>
      <c r="L1128" s="69" t="s">
        <v>429</v>
      </c>
      <c r="M1128" s="70" t="s">
        <v>1040</v>
      </c>
      <c r="N1128" s="34">
        <v>0.733</v>
      </c>
      <c r="O1128" s="100">
        <f>O1125*2</f>
        <v>1.66666666666667</v>
      </c>
      <c r="P1128" s="34">
        <f>P1124</f>
        <v>1</v>
      </c>
      <c r="Q1128" s="44">
        <f t="shared" si="176"/>
        <v>1.22166666666667</v>
      </c>
      <c r="R1128" s="71">
        <f>+Q1128/R1121</f>
        <v>1.08592592592593</v>
      </c>
      <c r="S1128" s="79"/>
      <c r="T1128" s="47"/>
    </row>
    <row r="1129" s="27" customFormat="1" ht="18" customHeight="1" spans="1:21">
      <c r="A1129" s="34"/>
      <c r="B1129" s="48" t="s">
        <v>418</v>
      </c>
      <c r="C1129" s="48"/>
      <c r="D1129" s="48"/>
      <c r="E1129" s="48"/>
      <c r="F1129" s="48"/>
      <c r="G1129" s="48"/>
      <c r="H1129" s="48"/>
      <c r="I1129" s="48"/>
      <c r="J1129" s="48"/>
      <c r="K1129" s="80"/>
      <c r="L1129" s="69" t="s">
        <v>404</v>
      </c>
      <c r="M1129" s="70" t="s">
        <v>1041</v>
      </c>
      <c r="N1129" s="34">
        <v>3.727</v>
      </c>
      <c r="O1129" s="34">
        <f>O1121</f>
        <v>0.45</v>
      </c>
      <c r="P1129" s="34">
        <v>1</v>
      </c>
      <c r="Q1129" s="44">
        <f t="shared" si="176"/>
        <v>1.67715</v>
      </c>
      <c r="R1129" s="71">
        <f>+Q1129/R1121</f>
        <v>1.4908</v>
      </c>
      <c r="S1129" s="47"/>
      <c r="T1129" s="47"/>
      <c r="U1129" s="76"/>
    </row>
    <row r="1130" s="27" customFormat="1" ht="18" customHeight="1" spans="1:21">
      <c r="A1130" s="34"/>
      <c r="B1130" s="48">
        <v>1</v>
      </c>
      <c r="C1130" s="48" t="s">
        <v>391</v>
      </c>
      <c r="D1130" s="48" t="s">
        <v>396</v>
      </c>
      <c r="E1130" s="48" t="s">
        <v>37</v>
      </c>
      <c r="F1130" s="50"/>
      <c r="G1130" s="48"/>
      <c r="H1130" s="51" t="s">
        <v>399</v>
      </c>
      <c r="I1130" s="51" t="s">
        <v>420</v>
      </c>
      <c r="J1130" s="51" t="s">
        <v>421</v>
      </c>
      <c r="K1130" s="43"/>
      <c r="L1130" s="69" t="s">
        <v>429</v>
      </c>
      <c r="M1130" s="81" t="s">
        <v>1027</v>
      </c>
      <c r="N1130" s="82">
        <v>0.735</v>
      </c>
      <c r="O1130" s="34">
        <f>O1129</f>
        <v>0.45</v>
      </c>
      <c r="P1130" s="34">
        <v>1</v>
      </c>
      <c r="Q1130" s="44">
        <f t="shared" si="176"/>
        <v>0.33075</v>
      </c>
      <c r="R1130" s="71">
        <f>+Q1130/R1121</f>
        <v>0.294</v>
      </c>
      <c r="S1130" s="47"/>
      <c r="T1130" s="47"/>
    </row>
    <row r="1131" s="27" customFormat="1" ht="18" customHeight="1" spans="1:21">
      <c r="A1131" s="34"/>
      <c r="B1131" s="48">
        <v>2</v>
      </c>
      <c r="C1131" s="48"/>
      <c r="D1131" s="48" t="s">
        <v>967</v>
      </c>
      <c r="E1131" s="72" t="s">
        <v>423</v>
      </c>
      <c r="F1131" s="50"/>
      <c r="G1131" s="48"/>
      <c r="H1131" s="51">
        <v>1</v>
      </c>
      <c r="I1131" s="51">
        <f>+辅材及安装费!$G$19</f>
        <v>170</v>
      </c>
      <c r="J1131" s="51">
        <f t="shared" ref="J1131:J1139" si="177">H1131*I1131</f>
        <v>170</v>
      </c>
      <c r="K1131" s="43"/>
      <c r="L1131" s="69" t="s">
        <v>447</v>
      </c>
      <c r="M1131" s="70" t="s">
        <v>1038</v>
      </c>
      <c r="N1131" s="83">
        <v>0.977</v>
      </c>
      <c r="O1131" s="34">
        <f>O1129</f>
        <v>0.45</v>
      </c>
      <c r="P1131" s="34">
        <v>1</v>
      </c>
      <c r="Q1131" s="44">
        <f t="shared" si="176"/>
        <v>0.43965</v>
      </c>
      <c r="R1131" s="84">
        <f>+Q1131/R1121</f>
        <v>0.3908</v>
      </c>
      <c r="S1131" s="47">
        <v>0.185</v>
      </c>
      <c r="T1131" s="47">
        <f>O1131*P1131*S1131</f>
        <v>0.08325</v>
      </c>
      <c r="U1131" s="27">
        <f>T1131/R1121</f>
        <v>0.074</v>
      </c>
    </row>
    <row r="1132" s="27" customFormat="1" ht="18" customHeight="1" spans="1:21">
      <c r="A1132" s="34"/>
      <c r="B1132" s="48">
        <v>3</v>
      </c>
      <c r="C1132" s="48"/>
      <c r="D1132" s="48"/>
      <c r="E1132" s="72"/>
      <c r="F1132" s="50"/>
      <c r="G1132" s="48"/>
      <c r="H1132" s="51"/>
      <c r="I1132" s="51"/>
      <c r="J1132" s="51"/>
      <c r="K1132" s="43"/>
      <c r="L1132" s="69" t="s">
        <v>429</v>
      </c>
      <c r="M1132" s="81" t="s">
        <v>1042</v>
      </c>
      <c r="N1132" s="82">
        <v>0.687</v>
      </c>
      <c r="O1132" s="44">
        <f>0.1</f>
        <v>0.1</v>
      </c>
      <c r="P1132" s="34">
        <f>1*2</f>
        <v>2</v>
      </c>
      <c r="Q1132" s="44">
        <f t="shared" si="176"/>
        <v>0.1374</v>
      </c>
      <c r="R1132" s="84">
        <f>+Q1132/R1121</f>
        <v>0.122133333333333</v>
      </c>
      <c r="S1132" s="47"/>
      <c r="T1132" s="47"/>
    </row>
    <row r="1133" s="27" customFormat="1" ht="18" customHeight="1" spans="1:21">
      <c r="A1133" s="34"/>
      <c r="B1133" s="48">
        <v>4</v>
      </c>
      <c r="C1133" s="48"/>
      <c r="D1133" s="85" t="s">
        <v>426</v>
      </c>
      <c r="E1133" s="48" t="s">
        <v>392</v>
      </c>
      <c r="F1133" s="50"/>
      <c r="G1133" s="48"/>
      <c r="H1133" s="86"/>
      <c r="I1133" s="86"/>
      <c r="J1133" s="51">
        <f>SUM(J1131:J1131)</f>
        <v>170</v>
      </c>
      <c r="K1133" s="75"/>
      <c r="L1133" s="69"/>
      <c r="M1133" s="70"/>
      <c r="N1133" s="83"/>
      <c r="O1133" s="83"/>
      <c r="P1133" s="34">
        <v>1</v>
      </c>
      <c r="Q1133" s="83"/>
      <c r="R1133" s="87"/>
      <c r="S1133" s="47"/>
      <c r="T1133" s="47"/>
    </row>
    <row r="1134" s="27" customFormat="1" ht="23" customHeight="1" spans="1:21">
      <c r="A1134" s="34"/>
      <c r="B1134" s="48">
        <v>1</v>
      </c>
      <c r="C1134" s="48" t="s">
        <v>394</v>
      </c>
      <c r="D1134" s="88" t="s">
        <v>427</v>
      </c>
      <c r="E1134" s="72" t="str">
        <f>+VLOOKUP(D1134,'材料表 '!C:F,2,0)</f>
        <v>kg</v>
      </c>
      <c r="F1134" s="77">
        <f>+SUMIF($L$1121:$L$1161,D1134,$R$1121:$R$1161)</f>
        <v>6.91333333333333</v>
      </c>
      <c r="G1134" s="89">
        <f>+VLOOKUP(D1134,'材料表 '!C:F,4,0)</f>
        <v>0.03</v>
      </c>
      <c r="H1134" s="74">
        <f t="shared" ref="H1134:H1139" si="178">F1134*(G1134+1)</f>
        <v>7.12073333333333</v>
      </c>
      <c r="I1134" s="74">
        <f>+VLOOKUP(D1134,'材料表 '!C:F,3,0)</f>
        <v>25.8495575221239</v>
      </c>
      <c r="J1134" s="51">
        <f t="shared" si="177"/>
        <v>184.067805899705</v>
      </c>
      <c r="K1134" s="75">
        <f ca="1">H1134*K1120</f>
        <v>24.032475</v>
      </c>
      <c r="L1134" s="69"/>
      <c r="M1134" s="70"/>
      <c r="N1134" s="83"/>
      <c r="O1134" s="83"/>
      <c r="P1134" s="34">
        <v>1</v>
      </c>
      <c r="Q1134" s="83"/>
      <c r="R1134" s="87"/>
      <c r="S1134" s="47"/>
      <c r="T1134" s="47"/>
    </row>
    <row r="1135" s="27" customFormat="1" ht="18" customHeight="1" spans="1:21">
      <c r="A1135" s="34"/>
      <c r="B1135" s="48">
        <v>2</v>
      </c>
      <c r="C1135" s="48"/>
      <c r="D1135" s="88" t="s">
        <v>404</v>
      </c>
      <c r="E1135" s="72" t="str">
        <f>+VLOOKUP(D1135,'材料表 '!C:F,2,0)</f>
        <v>kg</v>
      </c>
      <c r="F1135" s="77">
        <f t="shared" ref="F1135:F1147" si="179">+SUMIF($L$1121:$L$1161,D1135,$R$1121:$R$1161)</f>
        <v>1.4908</v>
      </c>
      <c r="G1135" s="89">
        <f>+VLOOKUP(D1135,'材料表 '!C:F,4,0)</f>
        <v>0.03</v>
      </c>
      <c r="H1135" s="74">
        <f t="shared" si="178"/>
        <v>1.535524</v>
      </c>
      <c r="I1135" s="74">
        <f>+VLOOKUP(D1135,'材料表 '!C:F,3,0)</f>
        <v>25.6725663716814</v>
      </c>
      <c r="J1135" s="51">
        <f t="shared" si="177"/>
        <v>39.4208418053097</v>
      </c>
      <c r="K1135" s="75">
        <f ca="1">H1135*K1120</f>
        <v>5.1823935</v>
      </c>
      <c r="L1135" s="69"/>
      <c r="M1135" s="70"/>
      <c r="N1135" s="83"/>
      <c r="O1135" s="83"/>
      <c r="P1135" s="83"/>
      <c r="Q1135" s="83"/>
      <c r="R1135" s="87"/>
      <c r="S1135" s="47"/>
      <c r="T1135" s="47"/>
    </row>
    <row r="1136" s="27" customFormat="1" ht="18" customHeight="1" spans="1:21">
      <c r="A1136" s="34"/>
      <c r="B1136" s="48">
        <v>3</v>
      </c>
      <c r="C1136" s="48"/>
      <c r="D1136" s="88" t="s">
        <v>433</v>
      </c>
      <c r="E1136" s="72" t="str">
        <f>+VLOOKUP(D1136,'材料表 '!C:F,2,0)</f>
        <v>kg</v>
      </c>
      <c r="F1136" s="77">
        <f t="shared" si="179"/>
        <v>0</v>
      </c>
      <c r="G1136" s="89">
        <f>+VLOOKUP(D1136,'材料表 '!C:F,4,0)</f>
        <v>0.03</v>
      </c>
      <c r="H1136" s="74">
        <f t="shared" si="178"/>
        <v>0</v>
      </c>
      <c r="I1136" s="74">
        <f>+VLOOKUP(D1136,'材料表 '!C:F,3,0)</f>
        <v>26.1150442477876</v>
      </c>
      <c r="J1136" s="51">
        <f t="shared" si="177"/>
        <v>0</v>
      </c>
      <c r="K1136" s="75">
        <f ca="1">H1136*K1120</f>
        <v>0</v>
      </c>
      <c r="L1136" s="69"/>
      <c r="N1136" s="83"/>
      <c r="O1136" s="83"/>
      <c r="P1136" s="83"/>
      <c r="Q1136" s="83"/>
      <c r="R1136" s="87"/>
      <c r="S1136" s="47"/>
      <c r="T1136" s="47"/>
    </row>
    <row r="1137" s="27" customFormat="1" ht="18" customHeight="1" spans="1:20">
      <c r="A1137" s="34"/>
      <c r="B1137" s="48">
        <v>4</v>
      </c>
      <c r="C1137" s="48"/>
      <c r="D1137" s="88" t="s">
        <v>429</v>
      </c>
      <c r="E1137" s="72" t="str">
        <f>+VLOOKUP(D1137,'材料表 '!C:F,2,0)</f>
        <v>kg</v>
      </c>
      <c r="F1137" s="77">
        <f t="shared" si="179"/>
        <v>4.2865037037037</v>
      </c>
      <c r="G1137" s="89">
        <f>+VLOOKUP(D1137,'材料表 '!C:F,4,0)</f>
        <v>0.03</v>
      </c>
      <c r="H1137" s="74">
        <f t="shared" si="178"/>
        <v>4.41509881481481</v>
      </c>
      <c r="I1137" s="74">
        <f>+VLOOKUP(D1137,'材料表 '!C:F,3,0)</f>
        <v>26.1150442477876</v>
      </c>
      <c r="J1137" s="51">
        <f t="shared" si="177"/>
        <v>115.300500907243</v>
      </c>
      <c r="K1137" s="75">
        <f ca="1">H1137*K1120</f>
        <v>14.9009585</v>
      </c>
      <c r="L1137" s="90" t="s">
        <v>707</v>
      </c>
      <c r="M1137" s="44"/>
      <c r="N1137" s="82"/>
      <c r="O1137" s="44">
        <f>O1129*P1129</f>
        <v>0.45</v>
      </c>
      <c r="P1137" s="44">
        <v>1</v>
      </c>
      <c r="Q1137" s="44">
        <f>+P1137*O1137</f>
        <v>0.45</v>
      </c>
      <c r="R1137" s="84">
        <f>+Q1137/R1121</f>
        <v>0.4</v>
      </c>
      <c r="S1137" s="47"/>
      <c r="T1137" s="47"/>
    </row>
    <row r="1138" s="27" customFormat="1" ht="18" customHeight="1" spans="1:20">
      <c r="A1138" s="34"/>
      <c r="B1138" s="48">
        <v>5</v>
      </c>
      <c r="C1138" s="48"/>
      <c r="D1138" s="88" t="s">
        <v>447</v>
      </c>
      <c r="E1138" s="72" t="str">
        <f>+VLOOKUP(D1138,'材料表 '!C:F,2,0)</f>
        <v>kg</v>
      </c>
      <c r="F1138" s="77">
        <f t="shared" si="179"/>
        <v>2.93524444444444</v>
      </c>
      <c r="G1138" s="89">
        <f>+VLOOKUP(D1138,'材料表 '!C:F,4,0)</f>
        <v>0.03</v>
      </c>
      <c r="H1138" s="74">
        <f t="shared" si="178"/>
        <v>3.02330177777777</v>
      </c>
      <c r="I1138" s="74">
        <f>+VLOOKUP(D1138,'材料表 '!C:F,3,0)</f>
        <v>24.4336283185841</v>
      </c>
      <c r="J1138" s="51">
        <f t="shared" si="177"/>
        <v>73.8702319331367</v>
      </c>
      <c r="K1138" s="43">
        <f ca="1">H1138*K1120</f>
        <v>10.2036435</v>
      </c>
      <c r="L1138" s="90" t="s">
        <v>435</v>
      </c>
      <c r="M1138" s="44"/>
      <c r="N1138" s="82">
        <f>0.073*1.2</f>
        <v>0.0876</v>
      </c>
      <c r="O1138" s="44">
        <f>O1124*P1124*3+O1129*P1129*4</f>
        <v>9.3</v>
      </c>
      <c r="P1138" s="44">
        <v>1</v>
      </c>
      <c r="Q1138" s="44">
        <f>+P1138*O1138</f>
        <v>9.3</v>
      </c>
      <c r="R1138" s="84">
        <f>+Q1138/R1121</f>
        <v>8.26666666666667</v>
      </c>
      <c r="S1138" s="47"/>
      <c r="T1138" s="47"/>
    </row>
    <row r="1139" s="27" customFormat="1" ht="18" customHeight="1" spans="1:20">
      <c r="A1139" s="34"/>
      <c r="B1139" s="48">
        <v>6</v>
      </c>
      <c r="C1139" s="48"/>
      <c r="D1139" s="88" t="s">
        <v>434</v>
      </c>
      <c r="E1139" s="72" t="str">
        <f>+VLOOKUP(D1139,'材料表 '!C:F,2,0)</f>
        <v>m2</v>
      </c>
      <c r="F1139" s="77">
        <f>U1126+U1131</f>
        <v>0.456222222222222</v>
      </c>
      <c r="G1139" s="89">
        <f>+VLOOKUP(D1139,'材料表 '!C:F,4,0)</f>
        <v>0</v>
      </c>
      <c r="H1139" s="74">
        <f t="shared" si="178"/>
        <v>0.456222222222222</v>
      </c>
      <c r="I1139" s="74">
        <f>+VLOOKUP(D1139,'材料表 '!C:F,3,0)</f>
        <v>49.5575221238938</v>
      </c>
      <c r="J1139" s="51">
        <f t="shared" si="177"/>
        <v>22.6092428711898</v>
      </c>
      <c r="K1139" s="43">
        <f ca="1">H1139*K1120</f>
        <v>1.53975</v>
      </c>
      <c r="L1139" s="90" t="s">
        <v>463</v>
      </c>
      <c r="M1139" s="91" t="s">
        <v>1012</v>
      </c>
      <c r="N1139" s="82">
        <f>0.32*0.3*8*7.85</f>
        <v>6.0288</v>
      </c>
      <c r="O1139" s="44">
        <v>2</v>
      </c>
      <c r="P1139" s="44">
        <f>P1124</f>
        <v>1</v>
      </c>
      <c r="Q1139" s="44">
        <f t="shared" ref="Q1139:Q1143" si="180">+P1139*O1139*N1139</f>
        <v>12.0576</v>
      </c>
      <c r="R1139" s="84">
        <f>+Q1139/R1121</f>
        <v>10.7178666666667</v>
      </c>
      <c r="S1139" s="47"/>
      <c r="T1139" s="47"/>
    </row>
    <row r="1140" s="27" customFormat="1" ht="18" customHeight="1" spans="1:20">
      <c r="A1140" s="34"/>
      <c r="B1140" s="48">
        <v>7</v>
      </c>
      <c r="C1140" s="48"/>
      <c r="D1140" s="88"/>
      <c r="E1140" s="72"/>
      <c r="F1140" s="77">
        <f t="shared" si="179"/>
        <v>0</v>
      </c>
      <c r="G1140" s="89"/>
      <c r="H1140" s="74"/>
      <c r="I1140" s="74"/>
      <c r="J1140" s="51"/>
      <c r="K1140" s="43">
        <f ca="1">H1140*K1120</f>
        <v>0</v>
      </c>
      <c r="L1140" s="69" t="s">
        <v>465</v>
      </c>
      <c r="M1140" s="81" t="s">
        <v>1013</v>
      </c>
      <c r="N1140" s="34">
        <v>9.88</v>
      </c>
      <c r="O1140" s="34">
        <f>0.13</f>
        <v>0.13</v>
      </c>
      <c r="P1140" s="34">
        <f>2*P1139*O1139</f>
        <v>4</v>
      </c>
      <c r="Q1140" s="44">
        <f t="shared" si="180"/>
        <v>5.1376</v>
      </c>
      <c r="R1140" s="84">
        <f>Q1140/R1121</f>
        <v>4.56675555555556</v>
      </c>
      <c r="S1140" s="47"/>
      <c r="T1140" s="47"/>
    </row>
    <row r="1141" s="27" customFormat="1" ht="18" customHeight="1" spans="1:20">
      <c r="A1141" s="34"/>
      <c r="B1141" s="48">
        <v>8</v>
      </c>
      <c r="C1141" s="48"/>
      <c r="D1141" s="88" t="s">
        <v>431</v>
      </c>
      <c r="E1141" s="72" t="str">
        <f>+VLOOKUP(D1141,'材料表 '!C:F,2,0)</f>
        <v>kg</v>
      </c>
      <c r="F1141" s="77">
        <f t="shared" si="179"/>
        <v>0</v>
      </c>
      <c r="G1141" s="89">
        <f>+VLOOKUP(D1141,'材料表 '!C:F,4,0)</f>
        <v>0.03</v>
      </c>
      <c r="H1141" s="74">
        <f t="shared" ref="H1141:H1153" si="181">F1141*(G1141+1)</f>
        <v>0</v>
      </c>
      <c r="I1141" s="74">
        <f>+VLOOKUP(D1141,'材料表 '!C:F,3,0)</f>
        <v>3.80530973451327</v>
      </c>
      <c r="J1141" s="51">
        <f t="shared" ref="J1141:J1153" si="182">H1141*I1141</f>
        <v>0</v>
      </c>
      <c r="K1141" s="43">
        <f ca="1">H1141*K1120</f>
        <v>0</v>
      </c>
      <c r="L1141" s="90" t="s">
        <v>474</v>
      </c>
      <c r="M1141" s="44"/>
      <c r="N1141" s="82"/>
      <c r="O1141" s="44">
        <v>4</v>
      </c>
      <c r="P1141" s="44">
        <v>8</v>
      </c>
      <c r="Q1141" s="44">
        <f>O1141*P1141</f>
        <v>32</v>
      </c>
      <c r="R1141" s="84">
        <f>Q1141/R1121</f>
        <v>28.4444444444444</v>
      </c>
      <c r="S1141" s="47"/>
      <c r="T1141" s="47"/>
    </row>
    <row r="1142" s="27" customFormat="1" ht="18" customHeight="1" spans="1:20">
      <c r="A1142" s="34"/>
      <c r="B1142" s="48">
        <v>9</v>
      </c>
      <c r="C1142" s="48"/>
      <c r="D1142" s="88" t="s">
        <v>461</v>
      </c>
      <c r="E1142" s="72" t="str">
        <f>+VLOOKUP(D1142,'材料表 '!C:F,2,0)</f>
        <v>kg</v>
      </c>
      <c r="F1142" s="77">
        <f t="shared" si="179"/>
        <v>0</v>
      </c>
      <c r="G1142" s="89">
        <f>+VLOOKUP(D1142,'材料表 '!C:F,4,0)</f>
        <v>0.03</v>
      </c>
      <c r="H1142" s="74">
        <f t="shared" si="181"/>
        <v>0</v>
      </c>
      <c r="I1142" s="74">
        <f>+VLOOKUP(D1142,'材料表 '!C:F,3,0)</f>
        <v>3.53982300884956</v>
      </c>
      <c r="J1142" s="51">
        <f t="shared" si="182"/>
        <v>0</v>
      </c>
      <c r="K1142" s="43">
        <f ca="1">H1142*K1120</f>
        <v>0</v>
      </c>
      <c r="L1142" s="90" t="s">
        <v>472</v>
      </c>
      <c r="M1142" s="91"/>
      <c r="N1142" s="82"/>
      <c r="O1142" s="44">
        <v>2</v>
      </c>
      <c r="P1142" s="44">
        <f>O1139*P1139</f>
        <v>2</v>
      </c>
      <c r="Q1142" s="44">
        <f>O1142*P1142</f>
        <v>4</v>
      </c>
      <c r="R1142" s="84">
        <f>Q1142/R1121</f>
        <v>3.55555555555556</v>
      </c>
      <c r="S1142" s="47"/>
      <c r="T1142" s="47"/>
    </row>
    <row r="1143" s="27" customFormat="1" ht="18" customHeight="1" spans="1:20">
      <c r="A1143" s="34"/>
      <c r="B1143" s="48">
        <v>10</v>
      </c>
      <c r="C1143" s="48"/>
      <c r="D1143" s="88" t="s">
        <v>435</v>
      </c>
      <c r="E1143" s="72" t="str">
        <f>+VLOOKUP(D1143,'材料表 '!C:F,2,0)</f>
        <v>kg</v>
      </c>
      <c r="F1143" s="77">
        <f t="shared" si="179"/>
        <v>8.26666666666667</v>
      </c>
      <c r="G1143" s="89">
        <f>+VLOOKUP(D1143,'材料表 '!C:F,4,0)</f>
        <v>0.03</v>
      </c>
      <c r="H1143" s="74">
        <f t="shared" si="181"/>
        <v>8.51466666666667</v>
      </c>
      <c r="I1143" s="74">
        <f>+VLOOKUP(D1143,'材料表 '!C:F,3,0)</f>
        <v>19.4690265486726</v>
      </c>
      <c r="J1143" s="51">
        <f t="shared" si="182"/>
        <v>165.772271386431</v>
      </c>
      <c r="K1143" s="43">
        <f ca="1">H1143*K1120</f>
        <v>28.737</v>
      </c>
      <c r="L1143" s="69" t="s">
        <v>465</v>
      </c>
      <c r="M1143" s="91"/>
      <c r="N1143" s="82">
        <f>(0.058+0.04*2)*5*7.85</f>
        <v>5.4165</v>
      </c>
      <c r="O1143" s="44">
        <f>O1121</f>
        <v>0.45</v>
      </c>
      <c r="P1143" s="44">
        <v>1</v>
      </c>
      <c r="Q1143" s="44">
        <f t="shared" si="180"/>
        <v>2.437425</v>
      </c>
      <c r="R1143" s="84">
        <f>+Q1143/R1121</f>
        <v>2.1666</v>
      </c>
      <c r="S1143" s="47"/>
      <c r="T1143" s="47"/>
    </row>
    <row r="1144" s="27" customFormat="1" ht="18" customHeight="1" spans="1:20">
      <c r="A1144" s="34"/>
      <c r="B1144" s="48">
        <v>11</v>
      </c>
      <c r="C1144" s="48"/>
      <c r="D1144" s="88" t="s">
        <v>463</v>
      </c>
      <c r="E1144" s="72" t="str">
        <f>+VLOOKUP(D1144,'材料表 '!C:F,2,0)</f>
        <v>kg</v>
      </c>
      <c r="F1144" s="77">
        <f t="shared" si="179"/>
        <v>10.7178666666667</v>
      </c>
      <c r="G1144" s="89">
        <f>+VLOOKUP(D1144,'材料表 '!C:F,4,0)</f>
        <v>0.03</v>
      </c>
      <c r="H1144" s="74">
        <f t="shared" si="181"/>
        <v>11.0394026666667</v>
      </c>
      <c r="I1144" s="74">
        <f>+VLOOKUP(D1144,'材料表 '!C:F,3,0)</f>
        <v>6.01769911504425</v>
      </c>
      <c r="J1144" s="51">
        <f t="shared" si="182"/>
        <v>66.4318036578173</v>
      </c>
      <c r="K1144" s="43">
        <f ca="1">H1144*K1120</f>
        <v>37.2579840000001</v>
      </c>
      <c r="L1144" s="69" t="s">
        <v>461</v>
      </c>
      <c r="N1144" s="83"/>
      <c r="O1144" s="83"/>
      <c r="P1144" s="83"/>
      <c r="Q1144" s="83"/>
      <c r="R1144" s="84"/>
      <c r="S1144" s="47"/>
      <c r="T1144" s="47"/>
    </row>
    <row r="1145" s="27" customFormat="1" ht="18" customHeight="1" spans="1:20">
      <c r="A1145" s="34"/>
      <c r="B1145" s="48">
        <v>12</v>
      </c>
      <c r="C1145" s="48"/>
      <c r="D1145" s="88" t="s">
        <v>465</v>
      </c>
      <c r="E1145" s="72" t="str">
        <f>+VLOOKUP(D1145,'材料表 '!C:F,2,0)</f>
        <v>kg</v>
      </c>
      <c r="F1145" s="77">
        <f t="shared" si="179"/>
        <v>6.73335555555556</v>
      </c>
      <c r="G1145" s="89">
        <f>+VLOOKUP(D1145,'材料表 '!C:F,4,0)</f>
        <v>0.03</v>
      </c>
      <c r="H1145" s="74">
        <f t="shared" si="181"/>
        <v>6.93535622222223</v>
      </c>
      <c r="I1145" s="74">
        <f>+VLOOKUP(D1145,'材料表 '!C:F,3,0)</f>
        <v>6.01769911504425</v>
      </c>
      <c r="J1145" s="51">
        <f t="shared" si="182"/>
        <v>41.7348870009833</v>
      </c>
      <c r="K1145" s="43">
        <f ca="1">H1145*K1120</f>
        <v>23.40682725</v>
      </c>
      <c r="L1145" s="90"/>
      <c r="M1145" s="44"/>
      <c r="N1145" s="82"/>
      <c r="O1145" s="44"/>
      <c r="P1145" s="44"/>
      <c r="Q1145" s="44"/>
      <c r="R1145" s="84"/>
      <c r="S1145" s="47"/>
      <c r="T1145" s="47"/>
    </row>
    <row r="1146" s="27" customFormat="1" ht="18" customHeight="1" spans="1:20">
      <c r="A1146" s="34"/>
      <c r="B1146" s="48">
        <v>13</v>
      </c>
      <c r="C1146" s="48"/>
      <c r="D1146" s="88" t="s">
        <v>474</v>
      </c>
      <c r="E1146" s="72" t="str">
        <f>+VLOOKUP(D1146,'材料表 '!C:F,2,0)</f>
        <v>套</v>
      </c>
      <c r="F1146" s="77">
        <f t="shared" si="179"/>
        <v>28.4444444444444</v>
      </c>
      <c r="G1146" s="89">
        <f>+VLOOKUP(D1146,'材料表 '!C:F,4,0)</f>
        <v>0</v>
      </c>
      <c r="H1146" s="74">
        <f t="shared" si="181"/>
        <v>28.4444444444444</v>
      </c>
      <c r="I1146" s="74">
        <f>+VLOOKUP(D1146,'材料表 '!C:F,3,0)</f>
        <v>2.21238938053097</v>
      </c>
      <c r="J1146" s="51">
        <f t="shared" si="182"/>
        <v>62.9301868239919</v>
      </c>
      <c r="K1146" s="43">
        <f ca="1">H1146*K1120</f>
        <v>95.9999999999999</v>
      </c>
      <c r="L1146" s="90"/>
      <c r="M1146" s="44"/>
      <c r="N1146" s="82"/>
      <c r="O1146" s="44"/>
      <c r="P1146" s="44"/>
      <c r="Q1146" s="44"/>
      <c r="R1146" s="84"/>
      <c r="S1146" s="47"/>
      <c r="T1146" s="47"/>
    </row>
    <row r="1147" s="27" customFormat="1" ht="18" customHeight="1" spans="1:20">
      <c r="A1147" s="34"/>
      <c r="B1147" s="48">
        <v>14</v>
      </c>
      <c r="C1147" s="48"/>
      <c r="D1147" s="88" t="s">
        <v>472</v>
      </c>
      <c r="E1147" s="72" t="str">
        <f>+VLOOKUP(D1147,'材料表 '!C:F,2,0)</f>
        <v>套</v>
      </c>
      <c r="F1147" s="77">
        <f t="shared" si="179"/>
        <v>3.55555555555556</v>
      </c>
      <c r="G1147" s="89">
        <f>+VLOOKUP(D1147,'材料表 '!C:F,4,0)</f>
        <v>0</v>
      </c>
      <c r="H1147" s="74">
        <f t="shared" si="181"/>
        <v>3.55555555555556</v>
      </c>
      <c r="I1147" s="74">
        <f>+VLOOKUP(D1147,'材料表 '!C:F,3,0)</f>
        <v>2.47787610619469</v>
      </c>
      <c r="J1147" s="51">
        <f t="shared" si="182"/>
        <v>8.81022615535891</v>
      </c>
      <c r="K1147" s="43">
        <f ca="1">H1147*K1120</f>
        <v>12</v>
      </c>
      <c r="L1147" s="90"/>
      <c r="M1147" s="44"/>
      <c r="N1147" s="82"/>
      <c r="O1147" s="44"/>
      <c r="P1147" s="44"/>
      <c r="Q1147" s="44"/>
      <c r="R1147" s="84"/>
      <c r="S1147" s="47"/>
      <c r="T1147" s="47"/>
    </row>
    <row r="1148" s="27" customFormat="1" ht="18" customHeight="1" spans="1:20">
      <c r="A1148" s="34"/>
      <c r="B1148" s="48">
        <v>15</v>
      </c>
      <c r="C1148" s="48"/>
      <c r="D1148" s="88" t="s">
        <v>476</v>
      </c>
      <c r="E1148" s="72" t="str">
        <f>+VLOOKUP(D1148,'材料表 '!C:F,2,0)</f>
        <v>支</v>
      </c>
      <c r="F1148" s="77">
        <f>8*8*(O1129*P1129*2)/500/R1121+16*8*(O1124*P1124+O1129*P1129)/500/R1121</f>
        <v>0.773688888888889</v>
      </c>
      <c r="G1148" s="89">
        <f>+VLOOKUP(D1148,'材料表 '!C:F,4,0)</f>
        <v>0.15</v>
      </c>
      <c r="H1148" s="74">
        <f t="shared" si="181"/>
        <v>0.889742222222222</v>
      </c>
      <c r="I1148" s="74">
        <f>+VLOOKUP(D1148,'材料表 '!C:F,3,0)</f>
        <v>11.5044247787611</v>
      </c>
      <c r="J1148" s="51">
        <f t="shared" si="182"/>
        <v>10.2359724680433</v>
      </c>
      <c r="K1148" s="43">
        <f ca="1">H1148*K1120</f>
        <v>3.00288</v>
      </c>
      <c r="L1148" s="92"/>
      <c r="M1148" s="44"/>
      <c r="N1148" s="82"/>
      <c r="O1148" s="44"/>
      <c r="P1148" s="44"/>
      <c r="Q1148" s="44"/>
      <c r="R1148" s="84"/>
      <c r="S1148" s="47"/>
      <c r="T1148" s="47"/>
    </row>
    <row r="1149" s="27" customFormat="1" ht="18" customHeight="1" spans="1:20">
      <c r="A1149" s="34"/>
      <c r="B1149" s="48">
        <v>16</v>
      </c>
      <c r="C1149" s="48"/>
      <c r="D1149" s="88" t="s">
        <v>576</v>
      </c>
      <c r="E1149" s="72" t="str">
        <f>+VLOOKUP(D1149,'材料表 '!C:F,2,0)</f>
        <v>支</v>
      </c>
      <c r="F1149" s="77">
        <v>0</v>
      </c>
      <c r="G1149" s="89">
        <f>+VLOOKUP(D1149,'材料表 '!C:F,4,0)</f>
        <v>0.15</v>
      </c>
      <c r="H1149" s="74">
        <f t="shared" si="181"/>
        <v>0</v>
      </c>
      <c r="I1149" s="74">
        <f>+VLOOKUP(D1149,'材料表 '!C:F,3,0)</f>
        <v>14.1592920353982</v>
      </c>
      <c r="J1149" s="51">
        <f t="shared" si="182"/>
        <v>0</v>
      </c>
      <c r="K1149" s="43">
        <f ca="1">H1149*K1120</f>
        <v>0</v>
      </c>
      <c r="L1149" s="92"/>
      <c r="M1149" s="44"/>
      <c r="N1149" s="82"/>
      <c r="O1149" s="44"/>
      <c r="P1149" s="44"/>
      <c r="Q1149" s="44"/>
      <c r="R1149" s="84"/>
      <c r="S1149" s="47"/>
      <c r="T1149" s="47"/>
    </row>
    <row r="1150" s="27" customFormat="1" ht="18" customHeight="1" spans="1:20">
      <c r="A1150" s="34"/>
      <c r="B1150" s="48">
        <v>17</v>
      </c>
      <c r="C1150" s="48"/>
      <c r="D1150" s="88" t="s">
        <v>479</v>
      </c>
      <c r="E1150" s="72" t="str">
        <f>+VLOOKUP(D1150,'材料表 '!C:F,2,0)</f>
        <v>kg</v>
      </c>
      <c r="F1150" s="77">
        <v>0</v>
      </c>
      <c r="G1150" s="89">
        <f>+VLOOKUP(D1150,'材料表 '!C:F,4,0)</f>
        <v>0.03</v>
      </c>
      <c r="H1150" s="74">
        <f t="shared" si="181"/>
        <v>0</v>
      </c>
      <c r="I1150" s="74">
        <f>+VLOOKUP(D1150,'材料表 '!C:F,3,0)</f>
        <v>14.1592920353982</v>
      </c>
      <c r="J1150" s="51">
        <f t="shared" si="182"/>
        <v>0</v>
      </c>
      <c r="K1150" s="43">
        <f ca="1">H1150*K1120</f>
        <v>0</v>
      </c>
      <c r="L1150" s="92"/>
      <c r="M1150" s="44"/>
      <c r="N1150" s="82"/>
      <c r="O1150" s="44"/>
      <c r="P1150" s="44"/>
      <c r="Q1150" s="44"/>
      <c r="R1150" s="84"/>
      <c r="S1150" s="47"/>
      <c r="T1150" s="47"/>
    </row>
    <row r="1151" s="27" customFormat="1" ht="18" customHeight="1" spans="1:20">
      <c r="A1151" s="34"/>
      <c r="B1151" s="48">
        <v>18</v>
      </c>
      <c r="C1151" s="48"/>
      <c r="D1151" s="88" t="s">
        <v>500</v>
      </c>
      <c r="E1151" s="72" t="str">
        <f>+VLOOKUP(D1151,'材料表 '!C:F,2,0)</f>
        <v>kg</v>
      </c>
      <c r="F1151" s="77">
        <v>0</v>
      </c>
      <c r="G1151" s="89">
        <f>+VLOOKUP(D1151,'材料表 '!C:F,4,0)</f>
        <v>0.03</v>
      </c>
      <c r="H1151" s="74">
        <f t="shared" si="181"/>
        <v>0</v>
      </c>
      <c r="I1151" s="74">
        <f>+VLOOKUP(D1151,'材料表 '!C:F,3,0)</f>
        <v>14.1592920353982</v>
      </c>
      <c r="J1151" s="51">
        <f t="shared" si="182"/>
        <v>0</v>
      </c>
      <c r="K1151" s="43">
        <f ca="1">H1151*K1120</f>
        <v>0</v>
      </c>
      <c r="L1151" s="92"/>
      <c r="M1151" s="44"/>
      <c r="N1151" s="82"/>
      <c r="O1151" s="44"/>
      <c r="P1151" s="44"/>
      <c r="Q1151" s="44"/>
      <c r="R1151" s="84"/>
      <c r="S1151" s="47"/>
      <c r="T1151" s="47"/>
    </row>
    <row r="1152" s="27" customFormat="1" ht="29" customHeight="1" spans="1:20">
      <c r="A1152" s="34"/>
      <c r="B1152" s="48">
        <v>19</v>
      </c>
      <c r="C1152" s="48"/>
      <c r="D1152" s="88" t="s">
        <v>647</v>
      </c>
      <c r="E1152" s="72" t="str">
        <f>+VLOOKUP(D1152,'材料表 '!C:F,2,0)</f>
        <v>m2</v>
      </c>
      <c r="F1152" s="77">
        <v>1</v>
      </c>
      <c r="G1152" s="89">
        <f>+VLOOKUP(D1152,'材料表 '!C:F,4,0)</f>
        <v>0.01</v>
      </c>
      <c r="H1152" s="74">
        <f t="shared" si="181"/>
        <v>1.01</v>
      </c>
      <c r="I1152" s="74">
        <f>+VLOOKUP(D1152,'材料表 '!C:F,3,0)</f>
        <v>135.398230088496</v>
      </c>
      <c r="J1152" s="51">
        <f t="shared" si="182"/>
        <v>136.752212389381</v>
      </c>
      <c r="K1152" s="43">
        <f ca="1">H1152*K1120</f>
        <v>3.40875</v>
      </c>
      <c r="L1152" s="90"/>
      <c r="M1152" s="44"/>
      <c r="N1152" s="82"/>
      <c r="O1152" s="44"/>
      <c r="P1152" s="44"/>
      <c r="Q1152" s="44"/>
      <c r="R1152" s="84"/>
      <c r="S1152" s="47"/>
      <c r="T1152" s="47"/>
    </row>
    <row r="1153" s="27" customFormat="1" ht="21" customHeight="1" spans="1:20">
      <c r="A1153" s="34"/>
      <c r="B1153" s="48">
        <v>20</v>
      </c>
      <c r="C1153" s="48"/>
      <c r="D1153" s="88" t="s">
        <v>1043</v>
      </c>
      <c r="E1153" s="72" t="str">
        <f>+VLOOKUP(D1153,'材料表 '!C:F,2,0)</f>
        <v>套</v>
      </c>
      <c r="F1153" s="77">
        <f>P1132/R1121</f>
        <v>1.77777777777778</v>
      </c>
      <c r="G1153" s="89">
        <f>+VLOOKUP(D1153,'材料表 '!C:F,4,0)</f>
        <v>0</v>
      </c>
      <c r="H1153" s="74">
        <f t="shared" si="181"/>
        <v>1.77777777777778</v>
      </c>
      <c r="I1153" s="74">
        <f>+VLOOKUP(D1153,'材料表 '!C:F,3,0)</f>
        <v>1.32743362831858</v>
      </c>
      <c r="J1153" s="51">
        <f t="shared" si="182"/>
        <v>2.3598820058997</v>
      </c>
      <c r="K1153" s="43">
        <f ca="1">H1153*K1120</f>
        <v>6.00000000000001</v>
      </c>
      <c r="L1153" s="90"/>
      <c r="M1153" s="44"/>
      <c r="N1153" s="82"/>
      <c r="O1153" s="44"/>
      <c r="P1153" s="44"/>
      <c r="Q1153" s="44"/>
      <c r="R1153" s="84"/>
      <c r="S1153" s="47"/>
      <c r="T1153" s="47"/>
    </row>
    <row r="1154" s="27" customFormat="1" ht="18" customHeight="1" spans="1:20">
      <c r="A1154" s="34"/>
      <c r="B1154" s="48">
        <v>21</v>
      </c>
      <c r="C1154" s="48"/>
      <c r="D1154" s="88"/>
      <c r="E1154" s="72"/>
      <c r="F1154" s="77"/>
      <c r="G1154" s="89"/>
      <c r="H1154" s="74"/>
      <c r="I1154" s="74"/>
      <c r="J1154" s="51"/>
      <c r="K1154" s="43">
        <f ca="1">H1154*K1120</f>
        <v>0</v>
      </c>
      <c r="L1154" s="92"/>
      <c r="M1154" s="44"/>
      <c r="N1154" s="82"/>
      <c r="O1154" s="44"/>
      <c r="P1154" s="44"/>
      <c r="Q1154" s="44"/>
      <c r="R1154" s="84"/>
      <c r="S1154" s="47"/>
      <c r="T1154" s="47"/>
    </row>
    <row r="1155" s="27" customFormat="1" ht="18" customHeight="1" spans="1:20">
      <c r="A1155" s="34"/>
      <c r="B1155" s="48">
        <v>22</v>
      </c>
      <c r="C1155" s="48"/>
      <c r="D1155" s="88"/>
      <c r="E1155" s="72"/>
      <c r="F1155" s="77"/>
      <c r="G1155" s="89"/>
      <c r="H1155" s="74"/>
      <c r="I1155" s="74"/>
      <c r="J1155" s="51"/>
      <c r="K1155" s="43">
        <f ca="1">H1155*K1120</f>
        <v>0</v>
      </c>
      <c r="L1155" s="92"/>
      <c r="M1155" s="44"/>
      <c r="N1155" s="44"/>
      <c r="O1155" s="44"/>
      <c r="P1155" s="44"/>
      <c r="Q1155" s="44"/>
      <c r="R1155" s="84"/>
      <c r="S1155" s="47"/>
      <c r="T1155" s="47"/>
    </row>
    <row r="1156" s="27" customFormat="1" ht="18" customHeight="1" spans="1:20">
      <c r="A1156" s="34"/>
      <c r="B1156" s="48">
        <v>23</v>
      </c>
      <c r="C1156" s="48"/>
      <c r="D1156" s="88"/>
      <c r="E1156" s="72"/>
      <c r="F1156" s="77"/>
      <c r="G1156" s="89"/>
      <c r="H1156" s="74"/>
      <c r="I1156" s="74"/>
      <c r="J1156" s="51"/>
      <c r="K1156" s="75">
        <f ca="1">H1156*K1120</f>
        <v>0</v>
      </c>
      <c r="L1156" s="92"/>
      <c r="M1156" s="44"/>
      <c r="N1156" s="44"/>
      <c r="O1156" s="44"/>
      <c r="P1156" s="44"/>
      <c r="Q1156" s="44"/>
      <c r="R1156" s="84"/>
      <c r="S1156" s="47"/>
      <c r="T1156" s="47"/>
    </row>
    <row r="1157" s="27" customFormat="1" ht="18" customHeight="1" spans="1:20">
      <c r="A1157" s="34"/>
      <c r="B1157" s="48">
        <v>24</v>
      </c>
      <c r="C1157" s="48"/>
      <c r="D1157" s="88"/>
      <c r="E1157" s="72"/>
      <c r="F1157" s="77"/>
      <c r="G1157" s="89"/>
      <c r="H1157" s="74"/>
      <c r="I1157" s="74"/>
      <c r="J1157" s="51"/>
      <c r="K1157" s="75">
        <f ca="1">H1157*K1120</f>
        <v>0</v>
      </c>
      <c r="L1157" s="92"/>
      <c r="M1157" s="44"/>
      <c r="N1157" s="44"/>
      <c r="O1157" s="44"/>
      <c r="P1157" s="44"/>
      <c r="Q1157" s="44"/>
      <c r="R1157" s="84"/>
      <c r="S1157" s="47"/>
      <c r="T1157" s="47"/>
    </row>
    <row r="1158" s="27" customFormat="1" ht="18" customHeight="1" spans="1:20">
      <c r="A1158" s="34"/>
      <c r="B1158" s="48">
        <v>25</v>
      </c>
      <c r="C1158" s="48"/>
      <c r="D1158" s="88"/>
      <c r="E1158" s="72"/>
      <c r="F1158" s="77"/>
      <c r="G1158" s="89"/>
      <c r="H1158" s="74"/>
      <c r="I1158" s="74"/>
      <c r="J1158" s="51"/>
      <c r="K1158" s="75"/>
      <c r="L1158" s="92"/>
      <c r="M1158" s="44"/>
      <c r="N1158" s="44"/>
      <c r="O1158" s="44"/>
      <c r="P1158" s="44"/>
      <c r="Q1158" s="44"/>
      <c r="R1158" s="84"/>
      <c r="S1158" s="47"/>
      <c r="T1158" s="47"/>
    </row>
    <row r="1159" s="27" customFormat="1" ht="18" customHeight="1" spans="1:20">
      <c r="A1159" s="34"/>
      <c r="B1159" s="48">
        <v>26</v>
      </c>
      <c r="C1159" s="48"/>
      <c r="D1159" s="88" t="s">
        <v>441</v>
      </c>
      <c r="E1159" s="72" t="s">
        <v>43</v>
      </c>
      <c r="F1159" s="77"/>
      <c r="G1159" s="72">
        <v>1</v>
      </c>
      <c r="H1159" s="74">
        <v>1</v>
      </c>
      <c r="I1159" s="74">
        <f>+辅材及安装费!$E$19</f>
        <v>10</v>
      </c>
      <c r="J1159" s="51">
        <f>H1159*I1159</f>
        <v>10</v>
      </c>
      <c r="K1159" s="75"/>
      <c r="L1159" s="92"/>
      <c r="M1159" s="44"/>
      <c r="N1159" s="44"/>
      <c r="O1159" s="44"/>
      <c r="P1159" s="44"/>
      <c r="Q1159" s="44"/>
      <c r="R1159" s="62"/>
      <c r="S1159" s="47"/>
      <c r="T1159" s="47"/>
    </row>
    <row r="1160" s="27" customFormat="1" ht="18" customHeight="1" spans="1:20">
      <c r="A1160" s="34"/>
      <c r="B1160" s="48">
        <v>27</v>
      </c>
      <c r="C1160" s="48"/>
      <c r="D1160" s="93" t="s">
        <v>442</v>
      </c>
      <c r="E1160" s="72"/>
      <c r="F1160" s="77"/>
      <c r="G1160" s="72"/>
      <c r="H1160" s="74"/>
      <c r="I1160" s="74"/>
      <c r="J1160" s="51">
        <f>SUM(J1134:J1159)</f>
        <v>940.296065304491</v>
      </c>
      <c r="K1160" s="75"/>
      <c r="L1160" s="94"/>
      <c r="N1160" s="83"/>
      <c r="O1160" s="83"/>
      <c r="P1160" s="83"/>
      <c r="Q1160" s="83"/>
      <c r="R1160" s="87"/>
      <c r="S1160" s="47"/>
      <c r="T1160" s="47"/>
    </row>
    <row r="1161" s="27" customFormat="1" ht="18" customHeight="1" spans="1:20">
      <c r="A1161" s="34"/>
      <c r="B1161" s="48">
        <v>1</v>
      </c>
      <c r="C1161" s="48" t="s">
        <v>443</v>
      </c>
      <c r="D1161" s="48" t="s">
        <v>444</v>
      </c>
      <c r="E1161" s="72" t="s">
        <v>43</v>
      </c>
      <c r="F1161" s="50"/>
      <c r="G1161" s="48"/>
      <c r="H1161" s="51">
        <v>1</v>
      </c>
      <c r="I1161" s="74">
        <f>+辅材及安装费!$F$19</f>
        <v>5</v>
      </c>
      <c r="J1161" s="95">
        <f>H1161*I1161</f>
        <v>5</v>
      </c>
      <c r="K1161" s="60"/>
      <c r="L1161" s="96"/>
      <c r="M1161" s="97"/>
      <c r="N1161" s="98"/>
      <c r="O1161" s="98"/>
      <c r="P1161" s="98"/>
      <c r="Q1161" s="98"/>
      <c r="R1161" s="99"/>
      <c r="S1161" s="47"/>
      <c r="T1161" s="47"/>
    </row>
    <row r="1162" s="26" customFormat="1" ht="30" customHeight="1" spans="1:20">
      <c r="A1162" s="28"/>
      <c r="B1162" s="29" t="s">
        <v>386</v>
      </c>
      <c r="C1162" s="29"/>
      <c r="D1162" s="29"/>
      <c r="E1162" s="29"/>
      <c r="F1162" s="29"/>
      <c r="G1162" s="29"/>
      <c r="H1162" s="29"/>
      <c r="I1162" s="29"/>
      <c r="J1162" s="29"/>
      <c r="K1162" s="29"/>
      <c r="L1162" s="30"/>
      <c r="M1162" s="31"/>
      <c r="N1162" s="31"/>
      <c r="O1162" s="31"/>
      <c r="P1162" s="31"/>
      <c r="Q1162" s="31"/>
      <c r="R1162" s="32"/>
      <c r="S1162" s="33"/>
      <c r="T1162" s="33"/>
    </row>
    <row r="1163" s="27" customFormat="1" ht="33.75" customHeight="1" spans="1:20">
      <c r="A1163" s="34">
        <v>28</v>
      </c>
      <c r="B1163" s="35" t="s">
        <v>1</v>
      </c>
      <c r="C1163" s="35" t="s">
        <v>387</v>
      </c>
      <c r="D1163" s="36" t="str">
        <f>+A1171</f>
        <v>二层明框玻璃幕墙（6Low-E(双银)+12A+6㎜全超白钢化中空玻璃）</v>
      </c>
      <c r="E1163" s="37"/>
      <c r="F1163" s="38" t="s">
        <v>225</v>
      </c>
      <c r="G1163" s="39"/>
      <c r="H1163" s="35" t="s">
        <v>388</v>
      </c>
      <c r="I1163" s="40" t="s">
        <v>389</v>
      </c>
      <c r="J1163" s="41" t="s">
        <v>37</v>
      </c>
      <c r="K1163" s="42">
        <f ca="1">VLOOKUP(A1163,'商业工程量清单 '!$A$4:$D$44,4,FALSE)</f>
        <v>34.6766</v>
      </c>
      <c r="L1163" s="43"/>
      <c r="M1163" s="44"/>
      <c r="N1163" s="44"/>
      <c r="O1163" s="44"/>
      <c r="P1163" s="45"/>
      <c r="Q1163" s="44"/>
      <c r="R1163" s="46"/>
      <c r="S1163" s="47"/>
      <c r="T1163" s="47"/>
    </row>
    <row r="1164" s="27" customFormat="1" ht="25" customHeight="1" spans="1:20">
      <c r="A1164" s="34"/>
      <c r="B1164" s="48">
        <v>1</v>
      </c>
      <c r="C1164" s="49" t="s">
        <v>390</v>
      </c>
      <c r="D1164" s="48" t="s">
        <v>391</v>
      </c>
      <c r="E1164" s="48"/>
      <c r="F1164" s="50"/>
      <c r="G1164" s="48"/>
      <c r="H1164" s="51"/>
      <c r="I1164" s="52">
        <f>J1176</f>
        <v>170</v>
      </c>
      <c r="J1164" s="53" t="s">
        <v>392</v>
      </c>
      <c r="K1164" s="54"/>
      <c r="L1164" s="55" t="s">
        <v>1036</v>
      </c>
      <c r="M1164" s="56"/>
      <c r="N1164" s="57"/>
      <c r="O1164" s="57">
        <f>11.4+1.85+1.8+1.08</f>
        <v>16.13</v>
      </c>
      <c r="P1164" s="57">
        <v>0.62</v>
      </c>
      <c r="Q1164" s="57">
        <v>1</v>
      </c>
      <c r="R1164" s="58">
        <f>+Q1164*P1164*O1164</f>
        <v>10.0006</v>
      </c>
      <c r="S1164" s="47"/>
      <c r="T1164" s="47"/>
    </row>
    <row r="1165" s="27" customFormat="1" ht="18" customHeight="1" spans="1:20">
      <c r="A1165" s="34"/>
      <c r="B1165" s="48">
        <v>2</v>
      </c>
      <c r="C1165" s="59"/>
      <c r="D1165" s="48" t="s">
        <v>394</v>
      </c>
      <c r="E1165" s="48"/>
      <c r="F1165" s="50"/>
      <c r="G1165" s="48"/>
      <c r="H1165" s="51"/>
      <c r="I1165" s="52">
        <f>J1203</f>
        <v>1093.63711887212</v>
      </c>
      <c r="J1165" s="53" t="s">
        <v>392</v>
      </c>
      <c r="K1165" s="60"/>
      <c r="L1165" s="61"/>
      <c r="M1165" s="44"/>
      <c r="N1165" s="44"/>
      <c r="O1165" s="44"/>
      <c r="P1165" s="44"/>
      <c r="Q1165" s="44"/>
      <c r="R1165" s="62"/>
      <c r="S1165" s="47"/>
      <c r="T1165" s="47"/>
    </row>
    <row r="1166" s="27" customFormat="1" ht="18" customHeight="1" spans="1:20">
      <c r="A1166" s="34"/>
      <c r="B1166" s="48">
        <v>3</v>
      </c>
      <c r="C1166" s="63"/>
      <c r="D1166" s="48" t="s">
        <v>395</v>
      </c>
      <c r="E1166" s="48"/>
      <c r="F1166" s="50"/>
      <c r="G1166" s="48"/>
      <c r="H1166" s="51"/>
      <c r="I1166" s="52">
        <f>J1204</f>
        <v>5</v>
      </c>
      <c r="J1166" s="53" t="s">
        <v>392</v>
      </c>
      <c r="K1166" s="60"/>
      <c r="L1166" s="60"/>
      <c r="M1166" s="64" t="s">
        <v>396</v>
      </c>
      <c r="N1166" s="65" t="s">
        <v>397</v>
      </c>
      <c r="O1166" s="65" t="s">
        <v>398</v>
      </c>
      <c r="P1166" s="65" t="s">
        <v>399</v>
      </c>
      <c r="Q1166" s="65" t="s">
        <v>400</v>
      </c>
      <c r="R1166" s="66" t="s">
        <v>401</v>
      </c>
      <c r="S1166" s="47"/>
      <c r="T1166" s="47"/>
    </row>
    <row r="1167" s="27" customFormat="1" ht="18" customHeight="1" spans="1:20">
      <c r="A1167" s="34"/>
      <c r="B1167" s="48">
        <v>4</v>
      </c>
      <c r="C1167" s="48" t="s">
        <v>402</v>
      </c>
      <c r="D1167" s="67" t="s">
        <v>403</v>
      </c>
      <c r="E1167" s="67"/>
      <c r="F1167" s="50"/>
      <c r="G1167" s="67"/>
      <c r="H1167" s="68"/>
      <c r="I1167" s="52">
        <f>SUM(I1164:I1166)</f>
        <v>1268.63711887212</v>
      </c>
      <c r="J1167" s="53" t="s">
        <v>392</v>
      </c>
      <c r="K1167" s="60"/>
      <c r="L1167" s="69" t="s">
        <v>427</v>
      </c>
      <c r="M1167" s="70" t="s">
        <v>1007</v>
      </c>
      <c r="N1167" s="34">
        <v>3.111</v>
      </c>
      <c r="O1167" s="34">
        <f>P1164</f>
        <v>0.62</v>
      </c>
      <c r="P1167" s="34">
        <v>8</v>
      </c>
      <c r="Q1167" s="44">
        <f t="shared" ref="Q1167:Q1178" si="183">+P1167*O1167*N1167</f>
        <v>15.43056</v>
      </c>
      <c r="R1167" s="71">
        <f>+Q1167/R1164</f>
        <v>1.54296342219467</v>
      </c>
      <c r="S1167" s="47"/>
      <c r="T1167" s="47"/>
    </row>
    <row r="1168" s="27" customFormat="1" ht="28" customHeight="1" spans="1:20">
      <c r="A1168" s="34"/>
      <c r="B1168" s="48">
        <v>5</v>
      </c>
      <c r="C1168" s="72" t="s">
        <v>406</v>
      </c>
      <c r="D1168" s="48" t="s">
        <v>407</v>
      </c>
      <c r="E1168" s="48"/>
      <c r="F1168" s="50"/>
      <c r="G1168" s="48"/>
      <c r="H1168" s="73">
        <f>+'材料表 '!$E$178</f>
        <v>0</v>
      </c>
      <c r="I1168" s="52">
        <f>H1168*I1167</f>
        <v>0</v>
      </c>
      <c r="J1168" s="53" t="s">
        <v>392</v>
      </c>
      <c r="K1168" s="60"/>
      <c r="L1168" s="69" t="s">
        <v>429</v>
      </c>
      <c r="M1168" s="70" t="s">
        <v>1037</v>
      </c>
      <c r="N1168" s="34">
        <v>3.063</v>
      </c>
      <c r="O1168" s="100">
        <f>O1167/0.3*0.1</f>
        <v>0.206666666666667</v>
      </c>
      <c r="P1168" s="34">
        <f>P1167</f>
        <v>8</v>
      </c>
      <c r="Q1168" s="44">
        <f t="shared" si="183"/>
        <v>5.06416</v>
      </c>
      <c r="R1168" s="71">
        <f>+Q1168/R1164</f>
        <v>0.506385616862988</v>
      </c>
      <c r="S1168" s="47"/>
      <c r="T1168" s="47"/>
    </row>
    <row r="1169" s="27" customFormat="1" ht="18" customHeight="1" spans="1:21">
      <c r="A1169" s="34"/>
      <c r="B1169" s="48">
        <v>6</v>
      </c>
      <c r="C1169" s="48" t="s">
        <v>409</v>
      </c>
      <c r="D1169" s="48" t="s">
        <v>410</v>
      </c>
      <c r="E1169" s="48"/>
      <c r="F1169" s="50"/>
      <c r="G1169" s="48"/>
      <c r="H1169" s="73">
        <f>+'材料表 '!$E$179</f>
        <v>0</v>
      </c>
      <c r="I1169" s="52">
        <f>H1169*I1167</f>
        <v>0</v>
      </c>
      <c r="J1169" s="74" t="s">
        <v>392</v>
      </c>
      <c r="K1169" s="75"/>
      <c r="L1169" s="69" t="s">
        <v>447</v>
      </c>
      <c r="M1169" s="70" t="s">
        <v>1038</v>
      </c>
      <c r="N1169" s="34">
        <f>1.041+0.104</f>
        <v>1.145</v>
      </c>
      <c r="O1169" s="34">
        <f>O1167</f>
        <v>0.62</v>
      </c>
      <c r="P1169" s="34">
        <f>P1167</f>
        <v>8</v>
      </c>
      <c r="Q1169" s="44">
        <f t="shared" si="183"/>
        <v>5.6792</v>
      </c>
      <c r="R1169" s="71">
        <f>+Q1169/R1164</f>
        <v>0.567885926844389</v>
      </c>
      <c r="S1169" s="47">
        <v>0.172</v>
      </c>
      <c r="T1169" s="47">
        <f>O1169*P1169*S1169</f>
        <v>0.85312</v>
      </c>
      <c r="U1169" s="76">
        <f>T1169/R1164</f>
        <v>0.0853068815871047</v>
      </c>
    </row>
    <row r="1170" s="27" customFormat="1" ht="18" customHeight="1" spans="1:21">
      <c r="A1170" s="34"/>
      <c r="B1170" s="48">
        <v>7</v>
      </c>
      <c r="C1170" s="48" t="s">
        <v>412</v>
      </c>
      <c r="D1170" s="72" t="s">
        <v>413</v>
      </c>
      <c r="E1170" s="72"/>
      <c r="F1170" s="77"/>
      <c r="G1170" s="72"/>
      <c r="H1170" s="73">
        <f>+'材料表 '!$E$180</f>
        <v>0.09</v>
      </c>
      <c r="I1170" s="52">
        <f>(I1167+I1168+I1169)*H1170</f>
        <v>114.177340698491</v>
      </c>
      <c r="J1170" s="74" t="s">
        <v>392</v>
      </c>
      <c r="K1170" s="75"/>
      <c r="L1170" s="69" t="s">
        <v>429</v>
      </c>
      <c r="M1170" s="70" t="s">
        <v>1010</v>
      </c>
      <c r="N1170" s="102">
        <f>2.9</f>
        <v>2.9</v>
      </c>
      <c r="O1170" s="34">
        <v>0.2</v>
      </c>
      <c r="P1170" s="34">
        <f>P1167</f>
        <v>8</v>
      </c>
      <c r="Q1170" s="44">
        <f t="shared" si="183"/>
        <v>4.64</v>
      </c>
      <c r="R1170" s="71">
        <f>+Q1170/R1164</f>
        <v>0.4639721616703</v>
      </c>
      <c r="S1170" s="47"/>
      <c r="T1170" s="47"/>
    </row>
    <row r="1171" s="27" customFormat="1" ht="18" customHeight="1" spans="1:21">
      <c r="A1171" s="78" t="s">
        <v>266</v>
      </c>
      <c r="B1171" s="48">
        <v>8</v>
      </c>
      <c r="C1171" s="48" t="s">
        <v>363</v>
      </c>
      <c r="D1171" s="72" t="s">
        <v>415</v>
      </c>
      <c r="E1171" s="72"/>
      <c r="F1171" s="77"/>
      <c r="G1171" s="72"/>
      <c r="H1171" s="51"/>
      <c r="I1171" s="74">
        <f>SUM(I1167:I1170)</f>
        <v>1382.81445957062</v>
      </c>
      <c r="J1171" s="74" t="s">
        <v>416</v>
      </c>
      <c r="K1171" s="75"/>
      <c r="L1171" s="69" t="s">
        <v>429</v>
      </c>
      <c r="M1171" s="70" t="s">
        <v>1040</v>
      </c>
      <c r="N1171" s="34">
        <v>0.733</v>
      </c>
      <c r="O1171" s="100">
        <f>O1168*2</f>
        <v>0.413333333333333</v>
      </c>
      <c r="P1171" s="34">
        <f>P1167</f>
        <v>8</v>
      </c>
      <c r="Q1171" s="44">
        <f t="shared" si="183"/>
        <v>2.42378666666667</v>
      </c>
      <c r="R1171" s="71">
        <f>+Q1171/R1164</f>
        <v>0.242364124819177</v>
      </c>
      <c r="S1171" s="79"/>
      <c r="T1171" s="47"/>
    </row>
    <row r="1172" s="27" customFormat="1" ht="18" customHeight="1" spans="1:21">
      <c r="A1172" s="34"/>
      <c r="B1172" s="48" t="s">
        <v>418</v>
      </c>
      <c r="C1172" s="48"/>
      <c r="D1172" s="48"/>
      <c r="E1172" s="48"/>
      <c r="F1172" s="48"/>
      <c r="G1172" s="48"/>
      <c r="H1172" s="48"/>
      <c r="I1172" s="48"/>
      <c r="J1172" s="48"/>
      <c r="K1172" s="80"/>
      <c r="L1172" s="69" t="s">
        <v>404</v>
      </c>
      <c r="M1172" s="70" t="s">
        <v>1041</v>
      </c>
      <c r="N1172" s="34">
        <v>3.727</v>
      </c>
      <c r="O1172" s="34">
        <f>O1164</f>
        <v>16.13</v>
      </c>
      <c r="P1172" s="34">
        <v>1.5</v>
      </c>
      <c r="Q1172" s="44">
        <f t="shared" si="183"/>
        <v>90.174765</v>
      </c>
      <c r="R1172" s="71">
        <f>+Q1172/R1164</f>
        <v>9.01693548387097</v>
      </c>
      <c r="S1172" s="47"/>
      <c r="T1172" s="47"/>
      <c r="U1172" s="76"/>
    </row>
    <row r="1173" s="27" customFormat="1" ht="18" customHeight="1" spans="1:21">
      <c r="A1173" s="34"/>
      <c r="B1173" s="48">
        <v>1</v>
      </c>
      <c r="C1173" s="48" t="s">
        <v>391</v>
      </c>
      <c r="D1173" s="48" t="s">
        <v>396</v>
      </c>
      <c r="E1173" s="48" t="s">
        <v>37</v>
      </c>
      <c r="F1173" s="50"/>
      <c r="G1173" s="48"/>
      <c r="H1173" s="51" t="s">
        <v>399</v>
      </c>
      <c r="I1173" s="51" t="s">
        <v>420</v>
      </c>
      <c r="J1173" s="51" t="s">
        <v>421</v>
      </c>
      <c r="K1173" s="43"/>
      <c r="L1173" s="69" t="s">
        <v>429</v>
      </c>
      <c r="M1173" s="81" t="s">
        <v>1027</v>
      </c>
      <c r="N1173" s="82">
        <v>0.735</v>
      </c>
      <c r="O1173" s="34">
        <f>O1172</f>
        <v>16.13</v>
      </c>
      <c r="P1173" s="34">
        <f>P1172</f>
        <v>1.5</v>
      </c>
      <c r="Q1173" s="44">
        <f t="shared" si="183"/>
        <v>17.783325</v>
      </c>
      <c r="R1173" s="71">
        <f>+Q1173/R1164</f>
        <v>1.77822580645161</v>
      </c>
      <c r="S1173" s="47"/>
      <c r="T1173" s="47"/>
    </row>
    <row r="1174" s="27" customFormat="1" ht="18" customHeight="1" spans="1:21">
      <c r="A1174" s="34"/>
      <c r="B1174" s="48">
        <v>2</v>
      </c>
      <c r="C1174" s="48"/>
      <c r="D1174" s="48" t="s">
        <v>967</v>
      </c>
      <c r="E1174" s="72" t="s">
        <v>423</v>
      </c>
      <c r="F1174" s="50"/>
      <c r="G1174" s="48"/>
      <c r="H1174" s="51">
        <v>1</v>
      </c>
      <c r="I1174" s="51">
        <f>+辅材及安装费!$G$19</f>
        <v>170</v>
      </c>
      <c r="J1174" s="51">
        <f t="shared" ref="J1174:J1182" si="184">H1174*I1174</f>
        <v>170</v>
      </c>
      <c r="K1174" s="43"/>
      <c r="L1174" s="69" t="s">
        <v>447</v>
      </c>
      <c r="M1174" s="70" t="s">
        <v>1038</v>
      </c>
      <c r="N1174" s="83">
        <v>0.977</v>
      </c>
      <c r="O1174" s="34">
        <f>O1172</f>
        <v>16.13</v>
      </c>
      <c r="P1174" s="34">
        <v>0.5</v>
      </c>
      <c r="Q1174" s="44">
        <f t="shared" si="183"/>
        <v>7.879505</v>
      </c>
      <c r="R1174" s="84">
        <f>+Q1174/R1164</f>
        <v>0.787903225806452</v>
      </c>
      <c r="S1174" s="47">
        <v>0.185</v>
      </c>
      <c r="T1174" s="47">
        <f t="shared" ref="T1174:T1177" si="185">O1174*P1174*S1174</f>
        <v>1.492025</v>
      </c>
      <c r="U1174" s="103">
        <f>T1174/R1164</f>
        <v>0.149193548387097</v>
      </c>
    </row>
    <row r="1175" s="27" customFormat="1" ht="18" customHeight="1" spans="1:21">
      <c r="A1175" s="34"/>
      <c r="B1175" s="48">
        <v>3</v>
      </c>
      <c r="C1175" s="48"/>
      <c r="D1175" s="48"/>
      <c r="E1175" s="72"/>
      <c r="F1175" s="50"/>
      <c r="G1175" s="48"/>
      <c r="H1175" s="51"/>
      <c r="I1175" s="51"/>
      <c r="J1175" s="51"/>
      <c r="K1175" s="43"/>
      <c r="L1175" s="69" t="s">
        <v>429</v>
      </c>
      <c r="M1175" s="81" t="s">
        <v>1042</v>
      </c>
      <c r="N1175" s="82">
        <v>0.687</v>
      </c>
      <c r="O1175" s="44">
        <f>0.1</f>
        <v>0.1</v>
      </c>
      <c r="P1175" s="34">
        <f>7*2</f>
        <v>14</v>
      </c>
      <c r="Q1175" s="44">
        <f t="shared" si="183"/>
        <v>0.9618</v>
      </c>
      <c r="R1175" s="84">
        <f>+Q1175/R1164</f>
        <v>0.0961742295462272</v>
      </c>
      <c r="S1175" s="47"/>
      <c r="T1175" s="47"/>
    </row>
    <row r="1176" s="27" customFormat="1" ht="18" customHeight="1" spans="1:21">
      <c r="A1176" s="34"/>
      <c r="B1176" s="48">
        <v>4</v>
      </c>
      <c r="C1176" s="48"/>
      <c r="D1176" s="85" t="s">
        <v>426</v>
      </c>
      <c r="E1176" s="48" t="s">
        <v>392</v>
      </c>
      <c r="F1176" s="50"/>
      <c r="G1176" s="48"/>
      <c r="H1176" s="86"/>
      <c r="I1176" s="86"/>
      <c r="J1176" s="51">
        <f>SUM(J1174:J1174)</f>
        <v>170</v>
      </c>
      <c r="K1176" s="75"/>
      <c r="L1176" s="69" t="s">
        <v>447</v>
      </c>
      <c r="M1176" s="70" t="s">
        <v>1038</v>
      </c>
      <c r="N1176" s="34">
        <f>0.668*2.71+0.022*2.71</f>
        <v>1.8699</v>
      </c>
      <c r="O1176" s="34">
        <f>O1164</f>
        <v>16.13</v>
      </c>
      <c r="P1176" s="34">
        <v>1</v>
      </c>
      <c r="Q1176" s="44">
        <f t="shared" si="183"/>
        <v>30.161487</v>
      </c>
      <c r="R1176" s="71">
        <f>+Q1176/R1164</f>
        <v>3.01596774193548</v>
      </c>
      <c r="S1176" s="47">
        <v>0.31</v>
      </c>
      <c r="T1176" s="47">
        <f t="shared" si="185"/>
        <v>5.0003</v>
      </c>
      <c r="U1176" s="76">
        <f>T1176/R1164</f>
        <v>0.5</v>
      </c>
    </row>
    <row r="1177" s="27" customFormat="1" ht="23" customHeight="1" spans="1:21">
      <c r="A1177" s="34"/>
      <c r="B1177" s="48">
        <v>1</v>
      </c>
      <c r="C1177" s="48" t="s">
        <v>394</v>
      </c>
      <c r="D1177" s="88" t="s">
        <v>427</v>
      </c>
      <c r="E1177" s="72" t="str">
        <f>+VLOOKUP(D1177,'材料表 '!C:F,2,0)</f>
        <v>kg</v>
      </c>
      <c r="F1177" s="77">
        <f>+SUMIF($L$1164:$L$1204,D1177,$R$1164:$R$1204)</f>
        <v>1.54296342219467</v>
      </c>
      <c r="G1177" s="89">
        <f>+VLOOKUP(D1177,'材料表 '!C:F,4,0)</f>
        <v>0.03</v>
      </c>
      <c r="H1177" s="74">
        <f t="shared" ref="H1177:H1182" si="186">F1177*(G1177+1)</f>
        <v>1.58925232486051</v>
      </c>
      <c r="I1177" s="74">
        <f>+VLOOKUP(D1177,'材料表 '!C:F,3,0)</f>
        <v>25.8495575221239</v>
      </c>
      <c r="J1177" s="51">
        <f t="shared" si="184"/>
        <v>41.0814693886509</v>
      </c>
      <c r="K1177" s="75">
        <f ca="1">H1177*K1163</f>
        <v>55.109867168258</v>
      </c>
      <c r="L1177" s="69" t="s">
        <v>447</v>
      </c>
      <c r="M1177" s="70" t="s">
        <v>1049</v>
      </c>
      <c r="N1177" s="34">
        <f>0.074*2.71</f>
        <v>0.20054</v>
      </c>
      <c r="O1177" s="83">
        <f>O1164</f>
        <v>16.13</v>
      </c>
      <c r="P1177" s="34">
        <v>1</v>
      </c>
      <c r="Q1177" s="44">
        <f t="shared" si="183"/>
        <v>3.2347102</v>
      </c>
      <c r="R1177" s="71">
        <f>+Q1177/R1164</f>
        <v>0.323451612903226</v>
      </c>
      <c r="S1177" s="47">
        <f>0.048</f>
        <v>0.048</v>
      </c>
      <c r="T1177" s="47">
        <f t="shared" si="185"/>
        <v>0.77424</v>
      </c>
      <c r="U1177" s="76">
        <f>T1177/R1164</f>
        <v>0.0774193548387097</v>
      </c>
    </row>
    <row r="1178" s="27" customFormat="1" ht="18" customHeight="1" spans="1:21">
      <c r="A1178" s="34"/>
      <c r="B1178" s="48">
        <v>2</v>
      </c>
      <c r="C1178" s="48"/>
      <c r="D1178" s="88" t="s">
        <v>404</v>
      </c>
      <c r="E1178" s="72" t="str">
        <f>+VLOOKUP(D1178,'材料表 '!C:F,2,0)</f>
        <v>kg</v>
      </c>
      <c r="F1178" s="77">
        <f t="shared" ref="F1178:F1190" si="187">+SUMIF($L$1164:$L$1204,D1178,$R$1164:$R$1204)</f>
        <v>10.7952287862728</v>
      </c>
      <c r="G1178" s="89">
        <f>+VLOOKUP(D1178,'材料表 '!C:F,4,0)</f>
        <v>0.03</v>
      </c>
      <c r="H1178" s="74">
        <f t="shared" si="186"/>
        <v>11.119085649861</v>
      </c>
      <c r="I1178" s="74">
        <f>+VLOOKUP(D1178,'材料表 '!C:F,3,0)</f>
        <v>25.6725663716814</v>
      </c>
      <c r="J1178" s="51">
        <f t="shared" si="184"/>
        <v>285.455464338466</v>
      </c>
      <c r="K1178" s="75">
        <f ca="1">H1178*K1163</f>
        <v>385.57208544597</v>
      </c>
      <c r="L1178" s="69" t="s">
        <v>404</v>
      </c>
      <c r="M1178" s="70" t="s">
        <v>1050</v>
      </c>
      <c r="N1178" s="83">
        <f>1.8</f>
        <v>1.8</v>
      </c>
      <c r="O1178" s="83">
        <f>(1.85*2+0.62*2)</f>
        <v>4.94</v>
      </c>
      <c r="P1178" s="34">
        <v>2</v>
      </c>
      <c r="Q1178" s="44">
        <f t="shared" si="183"/>
        <v>17.784</v>
      </c>
      <c r="R1178" s="71">
        <f>+Q1178/R1164</f>
        <v>1.77829330240186</v>
      </c>
      <c r="S1178" s="47"/>
      <c r="T1178" s="34"/>
    </row>
    <row r="1179" s="27" customFormat="1" ht="18" customHeight="1" spans="1:21">
      <c r="A1179" s="34"/>
      <c r="B1179" s="48">
        <v>3</v>
      </c>
      <c r="C1179" s="48"/>
      <c r="D1179" s="88" t="s">
        <v>433</v>
      </c>
      <c r="E1179" s="72" t="str">
        <f>+VLOOKUP(D1179,'材料表 '!C:F,2,0)</f>
        <v>kg</v>
      </c>
      <c r="F1179" s="77">
        <f t="shared" si="187"/>
        <v>0</v>
      </c>
      <c r="G1179" s="89">
        <f>+VLOOKUP(D1179,'材料表 '!C:F,4,0)</f>
        <v>0.03</v>
      </c>
      <c r="H1179" s="74">
        <f t="shared" si="186"/>
        <v>0</v>
      </c>
      <c r="I1179" s="74">
        <f>+VLOOKUP(D1179,'材料表 '!C:F,3,0)</f>
        <v>26.1150442477876</v>
      </c>
      <c r="J1179" s="51">
        <f t="shared" si="184"/>
        <v>0</v>
      </c>
      <c r="K1179" s="75">
        <f ca="1">H1179*K1163</f>
        <v>0</v>
      </c>
      <c r="L1179" s="69"/>
      <c r="N1179" s="83"/>
      <c r="O1179" s="83"/>
      <c r="P1179" s="83"/>
      <c r="Q1179" s="83"/>
      <c r="R1179" s="87"/>
      <c r="S1179" s="47"/>
      <c r="T1179" s="47"/>
    </row>
    <row r="1180" s="27" customFormat="1" ht="18" customHeight="1" spans="1:21">
      <c r="A1180" s="34"/>
      <c r="B1180" s="48">
        <v>4</v>
      </c>
      <c r="C1180" s="48"/>
      <c r="D1180" s="88" t="s">
        <v>429</v>
      </c>
      <c r="E1180" s="72" t="str">
        <f>+VLOOKUP(D1180,'材料表 '!C:F,2,0)</f>
        <v>kg</v>
      </c>
      <c r="F1180" s="77">
        <f t="shared" si="187"/>
        <v>3.08712193935031</v>
      </c>
      <c r="G1180" s="89">
        <f>+VLOOKUP(D1180,'材料表 '!C:F,4,0)</f>
        <v>0.03</v>
      </c>
      <c r="H1180" s="74">
        <f t="shared" si="186"/>
        <v>3.17973559753082</v>
      </c>
      <c r="I1180" s="74">
        <f>+VLOOKUP(D1180,'材料表 '!C:F,3,0)</f>
        <v>26.1150442477876</v>
      </c>
      <c r="J1180" s="51">
        <f t="shared" si="184"/>
        <v>83.0389358257827</v>
      </c>
      <c r="K1180" s="75">
        <f ca="1">H1180*K1163</f>
        <v>110.262419421337</v>
      </c>
      <c r="L1180" s="90" t="s">
        <v>707</v>
      </c>
      <c r="M1180" s="44"/>
      <c r="N1180" s="82"/>
      <c r="O1180" s="44">
        <f>O1172*P1172</f>
        <v>24.195</v>
      </c>
      <c r="P1180" s="44">
        <v>1</v>
      </c>
      <c r="Q1180" s="44">
        <f>+P1180*O1180</f>
        <v>24.195</v>
      </c>
      <c r="R1180" s="84">
        <f>+Q1180/R1164</f>
        <v>2.41935483870968</v>
      </c>
      <c r="S1180" s="47"/>
      <c r="T1180" s="47"/>
    </row>
    <row r="1181" s="27" customFormat="1" ht="18" customHeight="1" spans="1:21">
      <c r="A1181" s="34"/>
      <c r="B1181" s="48">
        <v>5</v>
      </c>
      <c r="C1181" s="48"/>
      <c r="D1181" s="88" t="s">
        <v>447</v>
      </c>
      <c r="E1181" s="72" t="str">
        <f>+VLOOKUP(D1181,'材料表 '!C:F,2,0)</f>
        <v>kg</v>
      </c>
      <c r="F1181" s="77">
        <f t="shared" si="187"/>
        <v>4.69520850748955</v>
      </c>
      <c r="G1181" s="89">
        <f>+VLOOKUP(D1181,'材料表 '!C:F,4,0)</f>
        <v>0.03</v>
      </c>
      <c r="H1181" s="74">
        <f t="shared" si="186"/>
        <v>4.83606476271424</v>
      </c>
      <c r="I1181" s="74">
        <f>+VLOOKUP(D1181,'材料表 '!C:F,3,0)</f>
        <v>24.4336283185841</v>
      </c>
      <c r="J1181" s="51">
        <f t="shared" si="184"/>
        <v>118.162608936761</v>
      </c>
      <c r="K1181" s="43">
        <f ca="1">H1181*K1163</f>
        <v>167.698283350737</v>
      </c>
      <c r="L1181" s="90" t="s">
        <v>435</v>
      </c>
      <c r="M1181" s="44"/>
      <c r="N1181" s="82">
        <f>0.073*1.2</f>
        <v>0.0876</v>
      </c>
      <c r="O1181" s="44">
        <f>O1167*P1167*3+O1172*P1172*4</f>
        <v>111.66</v>
      </c>
      <c r="P1181" s="44">
        <v>1</v>
      </c>
      <c r="Q1181" s="44">
        <f>+P1181*O1181</f>
        <v>111.66</v>
      </c>
      <c r="R1181" s="84">
        <f>+Q1181/R1164</f>
        <v>11.1653300801952</v>
      </c>
      <c r="S1181" s="47"/>
      <c r="T1181" s="47"/>
    </row>
    <row r="1182" s="27" customFormat="1" ht="18" customHeight="1" spans="1:21">
      <c r="A1182" s="34"/>
      <c r="B1182" s="48">
        <v>6</v>
      </c>
      <c r="C1182" s="48"/>
      <c r="D1182" s="88" t="s">
        <v>434</v>
      </c>
      <c r="E1182" s="72" t="str">
        <f>+VLOOKUP(D1182,'材料表 '!C:F,2,0)</f>
        <v>m2</v>
      </c>
      <c r="F1182" s="77">
        <f>U1169+U1174+U1176+U1177</f>
        <v>0.811919784812911</v>
      </c>
      <c r="G1182" s="89">
        <f>+VLOOKUP(D1182,'材料表 '!C:F,4,0)</f>
        <v>0</v>
      </c>
      <c r="H1182" s="74">
        <f t="shared" si="186"/>
        <v>0.811919784812911</v>
      </c>
      <c r="I1182" s="74">
        <f>+VLOOKUP(D1182,'材料表 '!C:F,3,0)</f>
        <v>49.5575221238938</v>
      </c>
      <c r="J1182" s="51">
        <f t="shared" si="184"/>
        <v>40.2367326986929</v>
      </c>
      <c r="K1182" s="43">
        <f ca="1">H1182*K1163</f>
        <v>28.1546176100434</v>
      </c>
      <c r="L1182" s="90" t="s">
        <v>463</v>
      </c>
      <c r="M1182" s="91" t="s">
        <v>1012</v>
      </c>
      <c r="N1182" s="82">
        <f>0.32*0.3*8*7.85</f>
        <v>6.0288</v>
      </c>
      <c r="O1182" s="44">
        <v>0.5</v>
      </c>
      <c r="P1182" s="44">
        <f>P1167</f>
        <v>8</v>
      </c>
      <c r="Q1182" s="44">
        <f t="shared" ref="Q1182:Q1186" si="188">+P1182*O1182*N1182</f>
        <v>24.1152</v>
      </c>
      <c r="R1182" s="84">
        <f>+Q1182/R1164</f>
        <v>2.41137531748095</v>
      </c>
      <c r="S1182" s="47"/>
      <c r="T1182" s="47"/>
    </row>
    <row r="1183" s="27" customFormat="1" ht="18" customHeight="1" spans="1:21">
      <c r="A1183" s="34"/>
      <c r="B1183" s="48">
        <v>7</v>
      </c>
      <c r="C1183" s="48"/>
      <c r="D1183" s="88"/>
      <c r="E1183" s="72"/>
      <c r="F1183" s="77">
        <f t="shared" si="187"/>
        <v>0</v>
      </c>
      <c r="G1183" s="89"/>
      <c r="H1183" s="74"/>
      <c r="I1183" s="74"/>
      <c r="J1183" s="51"/>
      <c r="K1183" s="43">
        <f ca="1">H1183*K1163</f>
        <v>0</v>
      </c>
      <c r="L1183" s="69" t="s">
        <v>465</v>
      </c>
      <c r="M1183" s="81" t="s">
        <v>1013</v>
      </c>
      <c r="N1183" s="34">
        <v>9.88</v>
      </c>
      <c r="O1183" s="34">
        <f>0.13</f>
        <v>0.13</v>
      </c>
      <c r="P1183" s="34">
        <f>2*P1182*O1182</f>
        <v>8</v>
      </c>
      <c r="Q1183" s="44">
        <f t="shared" si="188"/>
        <v>10.2752</v>
      </c>
      <c r="R1183" s="84">
        <f>Q1183/R1164</f>
        <v>1.02745835249885</v>
      </c>
      <c r="S1183" s="47"/>
      <c r="T1183" s="47"/>
    </row>
    <row r="1184" s="27" customFormat="1" ht="18" customHeight="1" spans="1:21">
      <c r="A1184" s="34"/>
      <c r="B1184" s="48">
        <v>8</v>
      </c>
      <c r="C1184" s="48"/>
      <c r="D1184" s="88" t="s">
        <v>431</v>
      </c>
      <c r="E1184" s="72" t="str">
        <f>+VLOOKUP(D1184,'材料表 '!C:F,2,0)</f>
        <v>kg</v>
      </c>
      <c r="F1184" s="77">
        <f t="shared" si="187"/>
        <v>0</v>
      </c>
      <c r="G1184" s="89">
        <f>+VLOOKUP(D1184,'材料表 '!C:F,4,0)</f>
        <v>0.03</v>
      </c>
      <c r="H1184" s="74">
        <f t="shared" ref="H1184:H1197" si="189">F1184*(G1184+1)</f>
        <v>0</v>
      </c>
      <c r="I1184" s="74">
        <f>+VLOOKUP(D1184,'材料表 '!C:F,3,0)</f>
        <v>3.80530973451327</v>
      </c>
      <c r="J1184" s="51">
        <f t="shared" ref="J1184:J1197" si="190">H1184*I1184</f>
        <v>0</v>
      </c>
      <c r="K1184" s="43">
        <f ca="1">H1184*K1163</f>
        <v>0</v>
      </c>
      <c r="L1184" s="90" t="s">
        <v>474</v>
      </c>
      <c r="M1184" s="44"/>
      <c r="N1184" s="82"/>
      <c r="O1184" s="44">
        <v>4</v>
      </c>
      <c r="P1184" s="44">
        <f>O1182*P1182</f>
        <v>4</v>
      </c>
      <c r="Q1184" s="44">
        <f>O1184*P1184</f>
        <v>16</v>
      </c>
      <c r="R1184" s="84">
        <f>Q1184/R1164</f>
        <v>1.59990400575965</v>
      </c>
      <c r="S1184" s="47"/>
      <c r="T1184" s="47"/>
    </row>
    <row r="1185" s="27" customFormat="1" ht="18" customHeight="1" spans="1:20">
      <c r="A1185" s="34"/>
      <c r="B1185" s="48">
        <v>9</v>
      </c>
      <c r="C1185" s="48"/>
      <c r="D1185" s="88" t="s">
        <v>461</v>
      </c>
      <c r="E1185" s="72" t="str">
        <f>+VLOOKUP(D1185,'材料表 '!C:F,2,0)</f>
        <v>kg</v>
      </c>
      <c r="F1185" s="77">
        <f t="shared" si="187"/>
        <v>0</v>
      </c>
      <c r="G1185" s="89">
        <f>+VLOOKUP(D1185,'材料表 '!C:F,4,0)</f>
        <v>0.03</v>
      </c>
      <c r="H1185" s="74">
        <f t="shared" si="189"/>
        <v>0</v>
      </c>
      <c r="I1185" s="74">
        <f>+VLOOKUP(D1185,'材料表 '!C:F,3,0)</f>
        <v>3.53982300884956</v>
      </c>
      <c r="J1185" s="51">
        <f t="shared" si="190"/>
        <v>0</v>
      </c>
      <c r="K1185" s="43">
        <f ca="1">H1185*K1163</f>
        <v>0</v>
      </c>
      <c r="L1185" s="90" t="s">
        <v>472</v>
      </c>
      <c r="M1185" s="91"/>
      <c r="N1185" s="82"/>
      <c r="O1185" s="44">
        <v>2</v>
      </c>
      <c r="P1185" s="44">
        <f>O1182*P1182</f>
        <v>4</v>
      </c>
      <c r="Q1185" s="44">
        <f>O1185*P1185</f>
        <v>8</v>
      </c>
      <c r="R1185" s="84">
        <f>Q1185/R1164</f>
        <v>0.799952002879827</v>
      </c>
      <c r="S1185" s="47"/>
      <c r="T1185" s="47"/>
    </row>
    <row r="1186" s="27" customFormat="1" ht="18" customHeight="1" spans="1:20">
      <c r="A1186" s="34"/>
      <c r="B1186" s="48">
        <v>10</v>
      </c>
      <c r="C1186" s="48"/>
      <c r="D1186" s="88" t="s">
        <v>435</v>
      </c>
      <c r="E1186" s="72" t="str">
        <f>+VLOOKUP(D1186,'材料表 '!C:F,2,0)</f>
        <v>kg</v>
      </c>
      <c r="F1186" s="77">
        <f t="shared" si="187"/>
        <v>11.1653300801952</v>
      </c>
      <c r="G1186" s="89">
        <f>+VLOOKUP(D1186,'材料表 '!C:F,4,0)</f>
        <v>0.03</v>
      </c>
      <c r="H1186" s="74">
        <f t="shared" si="189"/>
        <v>11.5002899826011</v>
      </c>
      <c r="I1186" s="74">
        <f>+VLOOKUP(D1186,'材料表 '!C:F,3,0)</f>
        <v>19.4690265486726</v>
      </c>
      <c r="J1186" s="51">
        <f t="shared" si="190"/>
        <v>223.899450988694</v>
      </c>
      <c r="K1186" s="43">
        <f ca="1">H1186*K1163</f>
        <v>398.790955610665</v>
      </c>
      <c r="L1186" s="69" t="s">
        <v>465</v>
      </c>
      <c r="M1186" s="91"/>
      <c r="N1186" s="82">
        <f>(0.058+0.04*2)*5*7.85</f>
        <v>5.4165</v>
      </c>
      <c r="O1186" s="44">
        <v>0</v>
      </c>
      <c r="P1186" s="44">
        <v>1</v>
      </c>
      <c r="Q1186" s="44">
        <f t="shared" si="188"/>
        <v>0</v>
      </c>
      <c r="R1186" s="84">
        <f>+Q1186/R1164</f>
        <v>0</v>
      </c>
      <c r="S1186" s="47"/>
      <c r="T1186" s="47"/>
    </row>
    <row r="1187" s="27" customFormat="1" ht="18" customHeight="1" spans="1:20">
      <c r="A1187" s="34"/>
      <c r="B1187" s="48">
        <v>11</v>
      </c>
      <c r="C1187" s="48"/>
      <c r="D1187" s="88" t="s">
        <v>463</v>
      </c>
      <c r="E1187" s="72" t="str">
        <f>+VLOOKUP(D1187,'材料表 '!C:F,2,0)</f>
        <v>kg</v>
      </c>
      <c r="F1187" s="77">
        <f t="shared" si="187"/>
        <v>2.41137531748095</v>
      </c>
      <c r="G1187" s="89">
        <f>+VLOOKUP(D1187,'材料表 '!C:F,4,0)</f>
        <v>0.03</v>
      </c>
      <c r="H1187" s="74">
        <f t="shared" si="189"/>
        <v>2.48371657700538</v>
      </c>
      <c r="I1187" s="74">
        <f>+VLOOKUP(D1187,'材料表 '!C:F,3,0)</f>
        <v>6.01769911504425</v>
      </c>
      <c r="J1187" s="51">
        <f t="shared" si="190"/>
        <v>14.946259047466</v>
      </c>
      <c r="K1187" s="43">
        <f ca="1">H1187*K1163</f>
        <v>86.1268462541848</v>
      </c>
      <c r="L1187" s="69" t="s">
        <v>461</v>
      </c>
      <c r="N1187" s="83"/>
      <c r="O1187" s="83"/>
      <c r="P1187" s="83"/>
      <c r="Q1187" s="83"/>
      <c r="R1187" s="84"/>
      <c r="S1187" s="47"/>
      <c r="T1187" s="47"/>
    </row>
    <row r="1188" s="27" customFormat="1" ht="18" customHeight="1" spans="1:20">
      <c r="A1188" s="34"/>
      <c r="B1188" s="48">
        <v>12</v>
      </c>
      <c r="C1188" s="48"/>
      <c r="D1188" s="88" t="s">
        <v>465</v>
      </c>
      <c r="E1188" s="72" t="str">
        <f>+VLOOKUP(D1188,'材料表 '!C:F,2,0)</f>
        <v>kg</v>
      </c>
      <c r="F1188" s="77">
        <f t="shared" si="187"/>
        <v>1.02745835249885</v>
      </c>
      <c r="G1188" s="89">
        <f>+VLOOKUP(D1188,'材料表 '!C:F,4,0)</f>
        <v>0.03</v>
      </c>
      <c r="H1188" s="74">
        <f t="shared" si="189"/>
        <v>1.05828210307382</v>
      </c>
      <c r="I1188" s="74">
        <f>+VLOOKUP(D1188,'材料表 '!C:F,3,0)</f>
        <v>6.01769911504425</v>
      </c>
      <c r="J1188" s="51">
        <f t="shared" si="190"/>
        <v>6.36842327513447</v>
      </c>
      <c r="K1188" s="43">
        <f ca="1">H1188*K1163</f>
        <v>36.6976251754496</v>
      </c>
      <c r="L1188" s="90"/>
      <c r="M1188" s="44"/>
      <c r="N1188" s="82"/>
      <c r="O1188" s="44"/>
      <c r="P1188" s="44"/>
      <c r="Q1188" s="44"/>
      <c r="R1188" s="84"/>
      <c r="S1188" s="47"/>
      <c r="T1188" s="47"/>
    </row>
    <row r="1189" s="27" customFormat="1" ht="18" customHeight="1" spans="1:20">
      <c r="A1189" s="34"/>
      <c r="B1189" s="48">
        <v>13</v>
      </c>
      <c r="C1189" s="48"/>
      <c r="D1189" s="88" t="s">
        <v>474</v>
      </c>
      <c r="E1189" s="72" t="str">
        <f>+VLOOKUP(D1189,'材料表 '!C:F,2,0)</f>
        <v>套</v>
      </c>
      <c r="F1189" s="77">
        <f t="shared" si="187"/>
        <v>1.59990400575965</v>
      </c>
      <c r="G1189" s="89">
        <f>+VLOOKUP(D1189,'材料表 '!C:F,4,0)</f>
        <v>0</v>
      </c>
      <c r="H1189" s="74">
        <f t="shared" si="189"/>
        <v>1.59990400575965</v>
      </c>
      <c r="I1189" s="74">
        <f>+VLOOKUP(D1189,'材料表 '!C:F,3,0)</f>
        <v>2.21238938053097</v>
      </c>
      <c r="J1189" s="51">
        <f t="shared" si="190"/>
        <v>3.53961063221161</v>
      </c>
      <c r="K1189" s="43">
        <f ca="1">H1189*K1163</f>
        <v>55.4792312461251</v>
      </c>
      <c r="L1189" s="90"/>
      <c r="M1189" s="44"/>
      <c r="N1189" s="82"/>
      <c r="O1189" s="44"/>
      <c r="P1189" s="44"/>
      <c r="Q1189" s="44"/>
      <c r="R1189" s="84"/>
      <c r="S1189" s="47"/>
      <c r="T1189" s="47"/>
    </row>
    <row r="1190" s="27" customFormat="1" ht="18" customHeight="1" spans="1:20">
      <c r="A1190" s="34"/>
      <c r="B1190" s="48">
        <v>14</v>
      </c>
      <c r="C1190" s="48"/>
      <c r="D1190" s="88" t="s">
        <v>472</v>
      </c>
      <c r="E1190" s="72" t="str">
        <f>+VLOOKUP(D1190,'材料表 '!C:F,2,0)</f>
        <v>套</v>
      </c>
      <c r="F1190" s="77">
        <f t="shared" si="187"/>
        <v>0.799952002879827</v>
      </c>
      <c r="G1190" s="89">
        <f>+VLOOKUP(D1190,'材料表 '!C:F,4,0)</f>
        <v>0</v>
      </c>
      <c r="H1190" s="74">
        <f t="shared" si="189"/>
        <v>0.799952002879827</v>
      </c>
      <c r="I1190" s="74">
        <f>+VLOOKUP(D1190,'材料表 '!C:F,3,0)</f>
        <v>2.47787610619469</v>
      </c>
      <c r="J1190" s="51">
        <f t="shared" si="190"/>
        <v>1.98218195403851</v>
      </c>
      <c r="K1190" s="43">
        <f ca="1">H1190*K1163</f>
        <v>27.7396156230626</v>
      </c>
      <c r="L1190" s="90"/>
      <c r="M1190" s="44"/>
      <c r="N1190" s="82"/>
      <c r="O1190" s="44"/>
      <c r="P1190" s="44"/>
      <c r="Q1190" s="44"/>
      <c r="R1190" s="84"/>
      <c r="S1190" s="47"/>
      <c r="T1190" s="47"/>
    </row>
    <row r="1191" s="27" customFormat="1" ht="18" customHeight="1" spans="1:20">
      <c r="A1191" s="34"/>
      <c r="B1191" s="48">
        <v>15</v>
      </c>
      <c r="C1191" s="48"/>
      <c r="D1191" s="88" t="s">
        <v>476</v>
      </c>
      <c r="E1191" s="72" t="str">
        <f>+VLOOKUP(D1191,'材料表 '!C:F,2,0)</f>
        <v>支</v>
      </c>
      <c r="F1191" s="77">
        <f>8*8*(O1172*P1172*2)/500/R1164+16*8*(O1167*P1167+O1172*P1172)/500/R1164</f>
        <v>1.36567805931644</v>
      </c>
      <c r="G1191" s="89">
        <f>+VLOOKUP(D1191,'材料表 '!C:F,4,0)</f>
        <v>0.15</v>
      </c>
      <c r="H1191" s="74">
        <f t="shared" si="189"/>
        <v>1.57052976821391</v>
      </c>
      <c r="I1191" s="74">
        <f>+VLOOKUP(D1191,'材料表 '!C:F,3,0)</f>
        <v>11.5044247787611</v>
      </c>
      <c r="J1191" s="51">
        <f t="shared" si="190"/>
        <v>18.068041581222</v>
      </c>
      <c r="K1191" s="43">
        <f ca="1">H1191*K1163</f>
        <v>54.4606325604465</v>
      </c>
      <c r="L1191" s="92"/>
      <c r="M1191" s="44"/>
      <c r="N1191" s="82"/>
      <c r="O1191" s="44"/>
      <c r="P1191" s="44"/>
      <c r="Q1191" s="44"/>
      <c r="R1191" s="84"/>
      <c r="S1191" s="47"/>
      <c r="T1191" s="47"/>
    </row>
    <row r="1192" s="27" customFormat="1" ht="18" customHeight="1" spans="1:20">
      <c r="A1192" s="34"/>
      <c r="B1192" s="48">
        <v>16</v>
      </c>
      <c r="C1192" s="48"/>
      <c r="D1192" s="88" t="s">
        <v>576</v>
      </c>
      <c r="E1192" s="72" t="str">
        <f>+VLOOKUP(D1192,'材料表 '!C:F,2,0)</f>
        <v>支</v>
      </c>
      <c r="F1192" s="77">
        <f>16*8*O1178/500/R1164</f>
        <v>0.126456412615243</v>
      </c>
      <c r="G1192" s="89">
        <f>+VLOOKUP(D1192,'材料表 '!C:F,4,0)</f>
        <v>0.15</v>
      </c>
      <c r="H1192" s="74">
        <f t="shared" si="189"/>
        <v>0.145424874507529</v>
      </c>
      <c r="I1192" s="74">
        <f>+VLOOKUP(D1192,'材料表 '!C:F,3,0)</f>
        <v>14.1592920353982</v>
      </c>
      <c r="J1192" s="51">
        <f t="shared" si="190"/>
        <v>2.05911326736324</v>
      </c>
      <c r="K1192" s="43">
        <f ca="1">H1192*K1163</f>
        <v>5.04284020334778</v>
      </c>
      <c r="L1192" s="92"/>
      <c r="M1192" s="44"/>
      <c r="N1192" s="82"/>
      <c r="O1192" s="44"/>
      <c r="P1192" s="44"/>
      <c r="Q1192" s="44"/>
      <c r="R1192" s="84"/>
      <c r="S1192" s="47"/>
      <c r="T1192" s="47"/>
    </row>
    <row r="1193" s="27" customFormat="1" ht="18" customHeight="1" spans="1:20">
      <c r="A1193" s="34"/>
      <c r="B1193" s="48">
        <v>17</v>
      </c>
      <c r="C1193" s="48"/>
      <c r="D1193" s="88" t="s">
        <v>479</v>
      </c>
      <c r="E1193" s="72" t="str">
        <f>+VLOOKUP(D1193,'材料表 '!C:F,2,0)</f>
        <v>kg</v>
      </c>
      <c r="F1193" s="77">
        <v>0</v>
      </c>
      <c r="G1193" s="89">
        <f>+VLOOKUP(D1193,'材料表 '!C:F,4,0)</f>
        <v>0.03</v>
      </c>
      <c r="H1193" s="74">
        <f t="shared" si="189"/>
        <v>0</v>
      </c>
      <c r="I1193" s="74">
        <f>+VLOOKUP(D1193,'材料表 '!C:F,3,0)</f>
        <v>14.1592920353982</v>
      </c>
      <c r="J1193" s="51">
        <f t="shared" si="190"/>
        <v>0</v>
      </c>
      <c r="K1193" s="43">
        <f ca="1">H1193*K1163</f>
        <v>0</v>
      </c>
      <c r="L1193" s="92"/>
      <c r="M1193" s="44"/>
      <c r="N1193" s="82"/>
      <c r="O1193" s="44"/>
      <c r="P1193" s="44"/>
      <c r="Q1193" s="44"/>
      <c r="R1193" s="84"/>
      <c r="S1193" s="47"/>
      <c r="T1193" s="47"/>
    </row>
    <row r="1194" s="27" customFormat="1" ht="18" customHeight="1" spans="1:20">
      <c r="A1194" s="34"/>
      <c r="B1194" s="48">
        <v>18</v>
      </c>
      <c r="C1194" s="48"/>
      <c r="D1194" s="88" t="s">
        <v>500</v>
      </c>
      <c r="E1194" s="72" t="str">
        <f>+VLOOKUP(D1194,'材料表 '!C:F,2,0)</f>
        <v>kg</v>
      </c>
      <c r="F1194" s="77">
        <v>0</v>
      </c>
      <c r="G1194" s="89">
        <f>+VLOOKUP(D1194,'材料表 '!C:F,4,0)</f>
        <v>0.03</v>
      </c>
      <c r="H1194" s="74">
        <f t="shared" si="189"/>
        <v>0</v>
      </c>
      <c r="I1194" s="74">
        <f>+VLOOKUP(D1194,'材料表 '!C:F,3,0)</f>
        <v>14.1592920353982</v>
      </c>
      <c r="J1194" s="51">
        <f t="shared" si="190"/>
        <v>0</v>
      </c>
      <c r="K1194" s="43">
        <f ca="1">H1194*K1163</f>
        <v>0</v>
      </c>
      <c r="L1194" s="92"/>
      <c r="M1194" s="44"/>
      <c r="N1194" s="82"/>
      <c r="O1194" s="44"/>
      <c r="P1194" s="44"/>
      <c r="Q1194" s="44"/>
      <c r="R1194" s="84"/>
      <c r="S1194" s="47"/>
      <c r="T1194" s="47"/>
    </row>
    <row r="1195" s="27" customFormat="1" ht="29" customHeight="1" spans="1:20">
      <c r="A1195" s="34"/>
      <c r="B1195" s="48">
        <v>19</v>
      </c>
      <c r="C1195" s="48"/>
      <c r="D1195" s="88" t="s">
        <v>647</v>
      </c>
      <c r="E1195" s="72" t="str">
        <f>+VLOOKUP(D1195,'材料表 '!C:F,2,0)</f>
        <v>m2</v>
      </c>
      <c r="F1195" s="77">
        <v>1</v>
      </c>
      <c r="G1195" s="89">
        <f>+VLOOKUP(D1195,'材料表 '!C:F,4,0)</f>
        <v>0.01</v>
      </c>
      <c r="H1195" s="74">
        <f t="shared" si="189"/>
        <v>1.01</v>
      </c>
      <c r="I1195" s="74">
        <f>+VLOOKUP(D1195,'材料表 '!C:F,3,0)</f>
        <v>135.398230088496</v>
      </c>
      <c r="J1195" s="51">
        <f t="shared" si="190"/>
        <v>136.752212389381</v>
      </c>
      <c r="K1195" s="43">
        <f ca="1">H1195*K1163</f>
        <v>35.023366</v>
      </c>
      <c r="L1195" s="90"/>
      <c r="M1195" s="44"/>
      <c r="N1195" s="82"/>
      <c r="O1195" s="44"/>
      <c r="P1195" s="44"/>
      <c r="Q1195" s="44"/>
      <c r="R1195" s="84"/>
      <c r="S1195" s="47"/>
      <c r="T1195" s="47"/>
    </row>
    <row r="1196" s="27" customFormat="1" ht="21" customHeight="1" spans="1:20">
      <c r="A1196" s="34"/>
      <c r="B1196" s="48">
        <v>20</v>
      </c>
      <c r="C1196" s="48"/>
      <c r="D1196" s="88" t="s">
        <v>1043</v>
      </c>
      <c r="E1196" s="72" t="str">
        <f>+VLOOKUP(D1196,'材料表 '!C:F,2,0)</f>
        <v>套</v>
      </c>
      <c r="F1196" s="77">
        <f>P1175/R1164</f>
        <v>1.3999160050397</v>
      </c>
      <c r="G1196" s="89">
        <f>+VLOOKUP(D1196,'材料表 '!C:F,4,0)</f>
        <v>0</v>
      </c>
      <c r="H1196" s="74">
        <f t="shared" si="189"/>
        <v>1.3999160050397</v>
      </c>
      <c r="I1196" s="74">
        <f>+VLOOKUP(D1196,'材料表 '!C:F,3,0)</f>
        <v>1.32743362831858</v>
      </c>
      <c r="J1196" s="51">
        <f t="shared" si="190"/>
        <v>1.8582955819111</v>
      </c>
      <c r="K1196" s="43">
        <f ca="1">H1196*K1163</f>
        <v>48.5443273403597</v>
      </c>
      <c r="L1196" s="90"/>
      <c r="M1196" s="44"/>
      <c r="N1196" s="82"/>
      <c r="O1196" s="44"/>
      <c r="P1196" s="44"/>
      <c r="Q1196" s="44"/>
      <c r="R1196" s="84"/>
      <c r="S1196" s="47"/>
      <c r="T1196" s="47"/>
    </row>
    <row r="1197" s="27" customFormat="1" ht="18" customHeight="1" spans="1:20">
      <c r="A1197" s="34"/>
      <c r="B1197" s="48">
        <v>21</v>
      </c>
      <c r="C1197" s="48"/>
      <c r="D1197" s="88" t="s">
        <v>583</v>
      </c>
      <c r="E1197" s="72" t="str">
        <f>+VLOOKUP(D1197,'材料表 '!C:F,2,0)</f>
        <v>套</v>
      </c>
      <c r="F1197" s="77">
        <f>1/R1164</f>
        <v>0.0999940003599784</v>
      </c>
      <c r="G1197" s="89">
        <f>+VLOOKUP(D1197,'材料表 '!C:F,4,0)</f>
        <v>0</v>
      </c>
      <c r="H1197" s="74">
        <f t="shared" si="189"/>
        <v>0.0999940003599784</v>
      </c>
      <c r="I1197" s="74">
        <f>+VLOOKUP(D1197,'材料表 '!C:F,3,0)</f>
        <v>1061.94690265487</v>
      </c>
      <c r="J1197" s="51">
        <f t="shared" si="190"/>
        <v>106.188318966349</v>
      </c>
      <c r="K1197" s="43">
        <f ca="1">H1197*K1163</f>
        <v>3.46745195288283</v>
      </c>
      <c r="L1197" s="92"/>
      <c r="M1197" s="44"/>
      <c r="N1197" s="82"/>
      <c r="O1197" s="44"/>
      <c r="P1197" s="44"/>
      <c r="Q1197" s="44"/>
      <c r="R1197" s="84"/>
      <c r="S1197" s="47"/>
      <c r="T1197" s="47"/>
    </row>
    <row r="1198" s="27" customFormat="1" ht="18" customHeight="1" spans="1:20">
      <c r="A1198" s="34"/>
      <c r="B1198" s="48">
        <v>22</v>
      </c>
      <c r="C1198" s="48"/>
      <c r="D1198" s="88"/>
      <c r="E1198" s="72"/>
      <c r="F1198" s="77"/>
      <c r="G1198" s="89"/>
      <c r="H1198" s="74"/>
      <c r="I1198" s="74"/>
      <c r="J1198" s="51"/>
      <c r="K1198" s="43">
        <f ca="1">H1198*K1163</f>
        <v>0</v>
      </c>
      <c r="L1198" s="92"/>
      <c r="M1198" s="44"/>
      <c r="N1198" s="44"/>
      <c r="O1198" s="44"/>
      <c r="P1198" s="44"/>
      <c r="Q1198" s="44"/>
      <c r="R1198" s="84"/>
      <c r="S1198" s="47"/>
      <c r="T1198" s="47"/>
    </row>
    <row r="1199" s="27" customFormat="1" ht="18" customHeight="1" spans="1:20">
      <c r="A1199" s="34"/>
      <c r="B1199" s="48">
        <v>23</v>
      </c>
      <c r="C1199" s="48"/>
      <c r="D1199" s="88"/>
      <c r="E1199" s="72"/>
      <c r="F1199" s="77"/>
      <c r="G1199" s="89"/>
      <c r="H1199" s="74"/>
      <c r="I1199" s="74"/>
      <c r="J1199" s="51"/>
      <c r="K1199" s="75">
        <f ca="1">H1199*K1163</f>
        <v>0</v>
      </c>
      <c r="L1199" s="92"/>
      <c r="M1199" s="44"/>
      <c r="N1199" s="44"/>
      <c r="O1199" s="44"/>
      <c r="P1199" s="44"/>
      <c r="Q1199" s="44"/>
      <c r="R1199" s="84"/>
      <c r="S1199" s="47"/>
      <c r="T1199" s="47"/>
    </row>
    <row r="1200" s="27" customFormat="1" ht="18" customHeight="1" spans="1:20">
      <c r="A1200" s="34"/>
      <c r="B1200" s="48">
        <v>24</v>
      </c>
      <c r="C1200" s="48"/>
      <c r="D1200" s="88"/>
      <c r="E1200" s="72"/>
      <c r="F1200" s="77"/>
      <c r="G1200" s="89"/>
      <c r="H1200" s="74"/>
      <c r="I1200" s="74"/>
      <c r="J1200" s="51"/>
      <c r="K1200" s="75">
        <f ca="1">H1200*K1163</f>
        <v>0</v>
      </c>
      <c r="L1200" s="92"/>
      <c r="M1200" s="44"/>
      <c r="N1200" s="44"/>
      <c r="O1200" s="44"/>
      <c r="P1200" s="44"/>
      <c r="Q1200" s="44"/>
      <c r="R1200" s="84"/>
      <c r="S1200" s="47"/>
      <c r="T1200" s="47"/>
    </row>
    <row r="1201" s="27" customFormat="1" ht="18" customHeight="1" spans="1:21">
      <c r="A1201" s="34"/>
      <c r="B1201" s="48">
        <v>25</v>
      </c>
      <c r="C1201" s="48"/>
      <c r="D1201" s="88"/>
      <c r="E1201" s="72"/>
      <c r="F1201" s="77"/>
      <c r="G1201" s="89"/>
      <c r="H1201" s="74"/>
      <c r="I1201" s="74"/>
      <c r="J1201" s="51"/>
      <c r="K1201" s="75"/>
      <c r="L1201" s="92"/>
      <c r="M1201" s="44"/>
      <c r="N1201" s="44"/>
      <c r="O1201" s="44"/>
      <c r="P1201" s="44"/>
      <c r="Q1201" s="44"/>
      <c r="R1201" s="84"/>
      <c r="S1201" s="47"/>
      <c r="T1201" s="47"/>
    </row>
    <row r="1202" s="27" customFormat="1" ht="18" customHeight="1" spans="1:21">
      <c r="A1202" s="34"/>
      <c r="B1202" s="48">
        <v>26</v>
      </c>
      <c r="C1202" s="48"/>
      <c r="D1202" s="88" t="s">
        <v>441</v>
      </c>
      <c r="E1202" s="72" t="s">
        <v>43</v>
      </c>
      <c r="F1202" s="77"/>
      <c r="G1202" s="72">
        <v>1</v>
      </c>
      <c r="H1202" s="74">
        <v>1</v>
      </c>
      <c r="I1202" s="74">
        <f>+辅材及安装费!$E$19</f>
        <v>10</v>
      </c>
      <c r="J1202" s="51">
        <f>H1202*I1202</f>
        <v>10</v>
      </c>
      <c r="K1202" s="75"/>
      <c r="L1202" s="92"/>
      <c r="M1202" s="44"/>
      <c r="N1202" s="44"/>
      <c r="O1202" s="44"/>
      <c r="P1202" s="44"/>
      <c r="Q1202" s="44"/>
      <c r="R1202" s="62"/>
      <c r="S1202" s="47"/>
      <c r="T1202" s="47"/>
    </row>
    <row r="1203" s="27" customFormat="1" ht="18" customHeight="1" spans="1:21">
      <c r="A1203" s="34"/>
      <c r="B1203" s="48">
        <v>27</v>
      </c>
      <c r="C1203" s="48"/>
      <c r="D1203" s="93" t="s">
        <v>442</v>
      </c>
      <c r="E1203" s="72"/>
      <c r="F1203" s="77"/>
      <c r="G1203" s="72"/>
      <c r="H1203" s="74"/>
      <c r="I1203" s="74"/>
      <c r="J1203" s="51">
        <f>SUM(J1177:J1202)</f>
        <v>1093.63711887212</v>
      </c>
      <c r="K1203" s="75"/>
      <c r="L1203" s="94"/>
      <c r="N1203" s="83"/>
      <c r="O1203" s="83"/>
      <c r="P1203" s="83"/>
      <c r="Q1203" s="83"/>
      <c r="R1203" s="87"/>
      <c r="S1203" s="47"/>
      <c r="T1203" s="47"/>
    </row>
    <row r="1204" s="27" customFormat="1" ht="18" customHeight="1" spans="1:21">
      <c r="A1204" s="34"/>
      <c r="B1204" s="48">
        <v>1</v>
      </c>
      <c r="C1204" s="48" t="s">
        <v>443</v>
      </c>
      <c r="D1204" s="48" t="s">
        <v>444</v>
      </c>
      <c r="E1204" s="72" t="s">
        <v>43</v>
      </c>
      <c r="F1204" s="50"/>
      <c r="G1204" s="48"/>
      <c r="H1204" s="51">
        <v>1</v>
      </c>
      <c r="I1204" s="74">
        <f>+辅材及安装费!$F$19</f>
        <v>5</v>
      </c>
      <c r="J1204" s="95">
        <f>H1204*I1204</f>
        <v>5</v>
      </c>
      <c r="K1204" s="60"/>
      <c r="L1204" s="96"/>
      <c r="M1204" s="97"/>
      <c r="N1204" s="98"/>
      <c r="O1204" s="98"/>
      <c r="P1204" s="98"/>
      <c r="Q1204" s="98"/>
      <c r="R1204" s="99"/>
      <c r="S1204" s="47"/>
      <c r="T1204" s="47"/>
    </row>
    <row r="1205" s="26" customFormat="1" ht="30" customHeight="1" spans="1:21">
      <c r="A1205" s="28"/>
      <c r="B1205" s="29" t="s">
        <v>386</v>
      </c>
      <c r="C1205" s="29"/>
      <c r="D1205" s="29"/>
      <c r="E1205" s="29"/>
      <c r="F1205" s="29"/>
      <c r="G1205" s="29"/>
      <c r="H1205" s="29"/>
      <c r="I1205" s="29"/>
      <c r="J1205" s="29"/>
      <c r="K1205" s="29"/>
      <c r="L1205" s="30"/>
      <c r="M1205" s="31"/>
      <c r="N1205" s="31"/>
      <c r="O1205" s="31"/>
      <c r="P1205" s="31"/>
      <c r="Q1205" s="31"/>
      <c r="R1205" s="32"/>
      <c r="S1205" s="33"/>
      <c r="T1205" s="33"/>
    </row>
    <row r="1206" s="27" customFormat="1" ht="41" customHeight="1" spans="1:21">
      <c r="A1206" s="34">
        <v>29</v>
      </c>
      <c r="B1206" s="35" t="s">
        <v>1</v>
      </c>
      <c r="C1206" s="35" t="s">
        <v>387</v>
      </c>
      <c r="D1206" s="36" t="str">
        <f>+A1214</f>
        <v>二层明框玻璃幕墙（6Low-E(双银)+12A+6㎜全超白钢化中空玻璃）（直+弯弧+直）（直段宽度210㎜+弧长1414㎜+直段宽度210㎜，圆弧半径900㎜，高620㎜）</v>
      </c>
      <c r="E1206" s="37"/>
      <c r="F1206" s="38" t="s">
        <v>225</v>
      </c>
      <c r="G1206" s="39"/>
      <c r="H1206" s="35" t="s">
        <v>388</v>
      </c>
      <c r="I1206" s="40" t="s">
        <v>389</v>
      </c>
      <c r="J1206" s="41" t="s">
        <v>37</v>
      </c>
      <c r="K1206" s="42">
        <f ca="1">VLOOKUP(A1206,'商业工程量清单 '!$A$4:$D$44,4,FALSE)</f>
        <v>8.89886</v>
      </c>
      <c r="L1206" s="43"/>
      <c r="M1206" s="44"/>
      <c r="N1206" s="44"/>
      <c r="O1206" s="44"/>
      <c r="P1206" s="45"/>
      <c r="Q1206" s="44"/>
      <c r="R1206" s="46"/>
      <c r="S1206" s="47"/>
      <c r="T1206" s="47"/>
    </row>
    <row r="1207" s="27" customFormat="1" ht="25" customHeight="1" spans="1:21">
      <c r="A1207" s="34"/>
      <c r="B1207" s="48">
        <v>1</v>
      </c>
      <c r="C1207" s="49" t="s">
        <v>390</v>
      </c>
      <c r="D1207" s="48" t="s">
        <v>391</v>
      </c>
      <c r="E1207" s="48"/>
      <c r="F1207" s="50"/>
      <c r="G1207" s="48"/>
      <c r="H1207" s="51"/>
      <c r="I1207" s="52">
        <f>J1219</f>
        <v>170</v>
      </c>
      <c r="J1207" s="53" t="s">
        <v>392</v>
      </c>
      <c r="K1207" s="54"/>
      <c r="L1207" s="55" t="s">
        <v>1036</v>
      </c>
      <c r="M1207" s="56"/>
      <c r="N1207" s="57"/>
      <c r="O1207" s="57">
        <f>0.21*2+1.414</f>
        <v>1.834</v>
      </c>
      <c r="P1207" s="57">
        <v>0.62</v>
      </c>
      <c r="Q1207" s="57">
        <v>1</v>
      </c>
      <c r="R1207" s="58">
        <f>+Q1207*P1207*O1207</f>
        <v>1.13708</v>
      </c>
      <c r="S1207" s="47"/>
      <c r="T1207" s="47"/>
    </row>
    <row r="1208" s="27" customFormat="1" ht="18" customHeight="1" spans="1:21">
      <c r="A1208" s="34"/>
      <c r="B1208" s="48">
        <v>2</v>
      </c>
      <c r="C1208" s="59"/>
      <c r="D1208" s="48" t="s">
        <v>394</v>
      </c>
      <c r="E1208" s="48"/>
      <c r="F1208" s="50"/>
      <c r="G1208" s="48"/>
      <c r="H1208" s="51"/>
      <c r="I1208" s="52">
        <f>J1246</f>
        <v>1923.15924299217</v>
      </c>
      <c r="J1208" s="53" t="s">
        <v>392</v>
      </c>
      <c r="K1208" s="60"/>
      <c r="L1208" s="61"/>
      <c r="M1208" s="44"/>
      <c r="N1208" s="44"/>
      <c r="O1208" s="44"/>
      <c r="P1208" s="44"/>
      <c r="Q1208" s="44"/>
      <c r="R1208" s="62"/>
      <c r="S1208" s="47"/>
      <c r="T1208" s="47"/>
    </row>
    <row r="1209" s="27" customFormat="1" ht="18" customHeight="1" spans="1:21">
      <c r="A1209" s="34"/>
      <c r="B1209" s="48">
        <v>3</v>
      </c>
      <c r="C1209" s="63"/>
      <c r="D1209" s="48" t="s">
        <v>395</v>
      </c>
      <c r="E1209" s="48"/>
      <c r="F1209" s="50"/>
      <c r="G1209" s="48"/>
      <c r="H1209" s="51"/>
      <c r="I1209" s="52">
        <f>J1247</f>
        <v>5</v>
      </c>
      <c r="J1209" s="53" t="s">
        <v>392</v>
      </c>
      <c r="K1209" s="60"/>
      <c r="L1209" s="60"/>
      <c r="M1209" s="64" t="s">
        <v>396</v>
      </c>
      <c r="N1209" s="65" t="s">
        <v>397</v>
      </c>
      <c r="O1209" s="65" t="s">
        <v>398</v>
      </c>
      <c r="P1209" s="65" t="s">
        <v>399</v>
      </c>
      <c r="Q1209" s="65" t="s">
        <v>400</v>
      </c>
      <c r="R1209" s="66" t="s">
        <v>401</v>
      </c>
      <c r="S1209" s="47"/>
      <c r="T1209" s="47"/>
    </row>
    <row r="1210" s="27" customFormat="1" ht="18" customHeight="1" spans="1:21">
      <c r="A1210" s="34"/>
      <c r="B1210" s="48">
        <v>4</v>
      </c>
      <c r="C1210" s="48" t="s">
        <v>402</v>
      </c>
      <c r="D1210" s="67" t="s">
        <v>403</v>
      </c>
      <c r="E1210" s="67"/>
      <c r="F1210" s="50"/>
      <c r="G1210" s="67"/>
      <c r="H1210" s="68"/>
      <c r="I1210" s="52">
        <f>SUM(I1207:I1209)</f>
        <v>2098.15924299217</v>
      </c>
      <c r="J1210" s="53" t="s">
        <v>392</v>
      </c>
      <c r="K1210" s="60"/>
      <c r="L1210" s="69" t="s">
        <v>427</v>
      </c>
      <c r="M1210" s="70" t="s">
        <v>1007</v>
      </c>
      <c r="N1210" s="34">
        <v>3.111</v>
      </c>
      <c r="O1210" s="34">
        <f>P1207</f>
        <v>0.62</v>
      </c>
      <c r="P1210" s="34">
        <v>1</v>
      </c>
      <c r="Q1210" s="44">
        <f t="shared" ref="Q1210:Q1220" si="191">+P1210*O1210*N1210</f>
        <v>1.92882</v>
      </c>
      <c r="R1210" s="71">
        <f>+Q1210/R1207</f>
        <v>1.69629225736096</v>
      </c>
      <c r="S1210" s="47"/>
      <c r="T1210" s="47"/>
    </row>
    <row r="1211" s="27" customFormat="1" ht="28" customHeight="1" spans="1:21">
      <c r="A1211" s="34"/>
      <c r="B1211" s="48">
        <v>5</v>
      </c>
      <c r="C1211" s="72" t="s">
        <v>406</v>
      </c>
      <c r="D1211" s="48" t="s">
        <v>407</v>
      </c>
      <c r="E1211" s="48"/>
      <c r="F1211" s="50"/>
      <c r="G1211" s="48"/>
      <c r="H1211" s="73">
        <f>+'材料表 '!$E$178</f>
        <v>0</v>
      </c>
      <c r="I1211" s="52">
        <f>H1211*I1210</f>
        <v>0</v>
      </c>
      <c r="J1211" s="53" t="s">
        <v>392</v>
      </c>
      <c r="K1211" s="60"/>
      <c r="L1211" s="69" t="s">
        <v>429</v>
      </c>
      <c r="M1211" s="70" t="s">
        <v>1037</v>
      </c>
      <c r="N1211" s="34">
        <v>3.063</v>
      </c>
      <c r="O1211" s="100">
        <f>O1210/0.3*0.1</f>
        <v>0.206666666666667</v>
      </c>
      <c r="P1211" s="34">
        <f>P1210</f>
        <v>1</v>
      </c>
      <c r="Q1211" s="44">
        <f t="shared" si="191"/>
        <v>0.63302</v>
      </c>
      <c r="R1211" s="71">
        <f>+Q1211/R1207</f>
        <v>0.5567066521265</v>
      </c>
      <c r="S1211" s="47"/>
      <c r="T1211" s="47"/>
    </row>
    <row r="1212" s="27" customFormat="1" ht="18" customHeight="1" spans="1:21">
      <c r="A1212" s="34"/>
      <c r="B1212" s="48">
        <v>6</v>
      </c>
      <c r="C1212" s="48" t="s">
        <v>409</v>
      </c>
      <c r="D1212" s="48" t="s">
        <v>410</v>
      </c>
      <c r="E1212" s="48"/>
      <c r="F1212" s="50"/>
      <c r="G1212" s="48"/>
      <c r="H1212" s="73">
        <f>+'材料表 '!$E$179</f>
        <v>0</v>
      </c>
      <c r="I1212" s="52">
        <f>H1212*I1210</f>
        <v>0</v>
      </c>
      <c r="J1212" s="74" t="s">
        <v>392</v>
      </c>
      <c r="K1212" s="75"/>
      <c r="L1212" s="69" t="s">
        <v>447</v>
      </c>
      <c r="M1212" s="70" t="s">
        <v>1038</v>
      </c>
      <c r="N1212" s="34">
        <f>1.041+0.104</f>
        <v>1.145</v>
      </c>
      <c r="O1212" s="34">
        <f>O1210</f>
        <v>0.62</v>
      </c>
      <c r="P1212" s="34">
        <f>P1210</f>
        <v>1</v>
      </c>
      <c r="Q1212" s="44">
        <f t="shared" si="191"/>
        <v>0.7099</v>
      </c>
      <c r="R1212" s="71">
        <f>+Q1212/R1207</f>
        <v>0.624318429661941</v>
      </c>
      <c r="S1212" s="47">
        <v>0.172</v>
      </c>
      <c r="T1212" s="47">
        <f>O1212*P1212*S1212</f>
        <v>0.10664</v>
      </c>
      <c r="U1212" s="76">
        <f>T1212/R1207</f>
        <v>0.0937840785169029</v>
      </c>
    </row>
    <row r="1213" s="27" customFormat="1" ht="18" customHeight="1" spans="1:21">
      <c r="A1213" s="34"/>
      <c r="B1213" s="48">
        <v>7</v>
      </c>
      <c r="C1213" s="48" t="s">
        <v>412</v>
      </c>
      <c r="D1213" s="72" t="s">
        <v>413</v>
      </c>
      <c r="E1213" s="72"/>
      <c r="F1213" s="77"/>
      <c r="G1213" s="72"/>
      <c r="H1213" s="73">
        <f>+'材料表 '!$E$180</f>
        <v>0.09</v>
      </c>
      <c r="I1213" s="52">
        <f>(I1210+I1211+I1212)*H1213</f>
        <v>188.834331869295</v>
      </c>
      <c r="J1213" s="74" t="s">
        <v>392</v>
      </c>
      <c r="K1213" s="75"/>
      <c r="L1213" s="69" t="s">
        <v>429</v>
      </c>
      <c r="M1213" s="70" t="s">
        <v>1010</v>
      </c>
      <c r="N1213" s="102">
        <f>2.9</f>
        <v>2.9</v>
      </c>
      <c r="O1213" s="34">
        <v>0.2</v>
      </c>
      <c r="P1213" s="34">
        <f>P1210</f>
        <v>1</v>
      </c>
      <c r="Q1213" s="44">
        <f t="shared" si="191"/>
        <v>0.58</v>
      </c>
      <c r="R1213" s="71">
        <f>+Q1213/R1207</f>
        <v>0.510078446547297</v>
      </c>
      <c r="S1213" s="47"/>
      <c r="T1213" s="47"/>
    </row>
    <row r="1214" s="27" customFormat="1" ht="18" customHeight="1" spans="1:21">
      <c r="A1214" s="78" t="s">
        <v>268</v>
      </c>
      <c r="B1214" s="48">
        <v>8</v>
      </c>
      <c r="C1214" s="48" t="s">
        <v>363</v>
      </c>
      <c r="D1214" s="72" t="s">
        <v>415</v>
      </c>
      <c r="E1214" s="72"/>
      <c r="F1214" s="77"/>
      <c r="G1214" s="72"/>
      <c r="H1214" s="51"/>
      <c r="I1214" s="74">
        <f>SUM(I1210:I1213)</f>
        <v>2286.99357486146</v>
      </c>
      <c r="J1214" s="74" t="s">
        <v>416</v>
      </c>
      <c r="K1214" s="75"/>
      <c r="L1214" s="69" t="s">
        <v>429</v>
      </c>
      <c r="M1214" s="70" t="s">
        <v>1040</v>
      </c>
      <c r="N1214" s="34">
        <v>0.733</v>
      </c>
      <c r="O1214" s="100">
        <f>O1211*2</f>
        <v>0.413333333333333</v>
      </c>
      <c r="P1214" s="34">
        <f>P1210</f>
        <v>1</v>
      </c>
      <c r="Q1214" s="44">
        <f t="shared" si="191"/>
        <v>0.302973333333333</v>
      </c>
      <c r="R1214" s="71">
        <f>+Q1214/R1207</f>
        <v>0.266448564158488</v>
      </c>
      <c r="S1214" s="79"/>
      <c r="T1214" s="47"/>
    </row>
    <row r="1215" s="27" customFormat="1" ht="18" customHeight="1" spans="1:21">
      <c r="A1215" s="34"/>
      <c r="B1215" s="48" t="s">
        <v>418</v>
      </c>
      <c r="C1215" s="48"/>
      <c r="D1215" s="48"/>
      <c r="E1215" s="48"/>
      <c r="F1215" s="48"/>
      <c r="G1215" s="48"/>
      <c r="H1215" s="48"/>
      <c r="I1215" s="48"/>
      <c r="J1215" s="48"/>
      <c r="K1215" s="80"/>
      <c r="L1215" s="69" t="s">
        <v>404</v>
      </c>
      <c r="M1215" s="70" t="s">
        <v>1041</v>
      </c>
      <c r="N1215" s="34">
        <v>3.727</v>
      </c>
      <c r="O1215" s="34">
        <f>O1207</f>
        <v>1.834</v>
      </c>
      <c r="P1215" s="34">
        <v>1.5</v>
      </c>
      <c r="Q1215" s="44">
        <f t="shared" si="191"/>
        <v>10.252977</v>
      </c>
      <c r="R1215" s="71">
        <f>+Q1215/R1207</f>
        <v>9.01693548387097</v>
      </c>
      <c r="S1215" s="47"/>
      <c r="T1215" s="47"/>
      <c r="U1215" s="76"/>
    </row>
    <row r="1216" s="27" customFormat="1" ht="18" customHeight="1" spans="1:21">
      <c r="A1216" s="34"/>
      <c r="B1216" s="48">
        <v>1</v>
      </c>
      <c r="C1216" s="48" t="s">
        <v>391</v>
      </c>
      <c r="D1216" s="48" t="s">
        <v>396</v>
      </c>
      <c r="E1216" s="48" t="s">
        <v>37</v>
      </c>
      <c r="F1216" s="50"/>
      <c r="G1216" s="48"/>
      <c r="H1216" s="51" t="s">
        <v>399</v>
      </c>
      <c r="I1216" s="51" t="s">
        <v>420</v>
      </c>
      <c r="J1216" s="51" t="s">
        <v>421</v>
      </c>
      <c r="K1216" s="43"/>
      <c r="L1216" s="69" t="s">
        <v>429</v>
      </c>
      <c r="M1216" s="81" t="s">
        <v>1027</v>
      </c>
      <c r="N1216" s="82">
        <v>0.735</v>
      </c>
      <c r="O1216" s="34">
        <f>O1215</f>
        <v>1.834</v>
      </c>
      <c r="P1216" s="34">
        <f>P1215</f>
        <v>1.5</v>
      </c>
      <c r="Q1216" s="44">
        <f t="shared" si="191"/>
        <v>2.021985</v>
      </c>
      <c r="R1216" s="71">
        <f>+Q1216/R1207</f>
        <v>1.77822580645161</v>
      </c>
      <c r="S1216" s="47"/>
      <c r="T1216" s="47"/>
    </row>
    <row r="1217" s="27" customFormat="1" ht="18" customHeight="1" spans="1:21">
      <c r="A1217" s="34"/>
      <c r="B1217" s="48">
        <v>2</v>
      </c>
      <c r="C1217" s="48"/>
      <c r="D1217" s="48" t="s">
        <v>967</v>
      </c>
      <c r="E1217" s="72" t="s">
        <v>423</v>
      </c>
      <c r="F1217" s="50"/>
      <c r="G1217" s="48"/>
      <c r="H1217" s="51">
        <v>1</v>
      </c>
      <c r="I1217" s="51">
        <f>+辅材及安装费!$G$19</f>
        <v>170</v>
      </c>
      <c r="J1217" s="51">
        <f t="shared" ref="J1217:J1225" si="192">H1217*I1217</f>
        <v>170</v>
      </c>
      <c r="K1217" s="43"/>
      <c r="L1217" s="69" t="s">
        <v>447</v>
      </c>
      <c r="M1217" s="70" t="s">
        <v>1038</v>
      </c>
      <c r="N1217" s="83">
        <v>0.977</v>
      </c>
      <c r="O1217" s="34">
        <f>O1215</f>
        <v>1.834</v>
      </c>
      <c r="P1217" s="34">
        <v>0.5</v>
      </c>
      <c r="Q1217" s="44">
        <f t="shared" si="191"/>
        <v>0.895909</v>
      </c>
      <c r="R1217" s="84">
        <f>+Q1217/R1207</f>
        <v>0.787903225806452</v>
      </c>
      <c r="S1217" s="47">
        <v>0.185</v>
      </c>
      <c r="T1217" s="47">
        <f t="shared" ref="T1217:T1220" si="193">O1217*P1217*S1217</f>
        <v>0.169645</v>
      </c>
      <c r="U1217" s="103">
        <f>T1217/R1207</f>
        <v>0.149193548387097</v>
      </c>
    </row>
    <row r="1218" s="27" customFormat="1" ht="18" customHeight="1" spans="1:21">
      <c r="A1218" s="34"/>
      <c r="B1218" s="48">
        <v>3</v>
      </c>
      <c r="C1218" s="48"/>
      <c r="D1218" s="48"/>
      <c r="E1218" s="72"/>
      <c r="F1218" s="50"/>
      <c r="G1218" s="48"/>
      <c r="H1218" s="51"/>
      <c r="I1218" s="51"/>
      <c r="J1218" s="51"/>
      <c r="K1218" s="43"/>
      <c r="L1218" s="69" t="s">
        <v>429</v>
      </c>
      <c r="M1218" s="81" t="s">
        <v>1042</v>
      </c>
      <c r="N1218" s="82">
        <v>0.687</v>
      </c>
      <c r="O1218" s="44">
        <f>0.1</f>
        <v>0.1</v>
      </c>
      <c r="P1218" s="34">
        <f>7*2</f>
        <v>14</v>
      </c>
      <c r="Q1218" s="44">
        <f t="shared" si="191"/>
        <v>0.9618</v>
      </c>
      <c r="R1218" s="84">
        <f>+Q1218/R1207</f>
        <v>0.845850775671017</v>
      </c>
      <c r="S1218" s="47"/>
      <c r="T1218" s="47"/>
    </row>
    <row r="1219" s="27" customFormat="1" ht="18" customHeight="1" spans="1:21">
      <c r="A1219" s="34"/>
      <c r="B1219" s="48">
        <v>4</v>
      </c>
      <c r="C1219" s="48"/>
      <c r="D1219" s="85" t="s">
        <v>426</v>
      </c>
      <c r="E1219" s="48" t="s">
        <v>392</v>
      </c>
      <c r="F1219" s="50"/>
      <c r="G1219" s="48"/>
      <c r="H1219" s="86"/>
      <c r="I1219" s="86"/>
      <c r="J1219" s="51">
        <f>SUM(J1217:J1217)</f>
        <v>170</v>
      </c>
      <c r="K1219" s="75"/>
      <c r="L1219" s="69" t="s">
        <v>447</v>
      </c>
      <c r="M1219" s="70" t="s">
        <v>1038</v>
      </c>
      <c r="N1219" s="34">
        <f>0.668*2.71+0.022*2.71</f>
        <v>1.8699</v>
      </c>
      <c r="O1219" s="34">
        <f>O1207</f>
        <v>1.834</v>
      </c>
      <c r="P1219" s="34">
        <v>1</v>
      </c>
      <c r="Q1219" s="44">
        <f t="shared" si="191"/>
        <v>3.4293966</v>
      </c>
      <c r="R1219" s="71">
        <f>+Q1219/R1207</f>
        <v>3.01596774193548</v>
      </c>
      <c r="S1219" s="47">
        <v>0.31</v>
      </c>
      <c r="T1219" s="47">
        <f t="shared" si="193"/>
        <v>0.56854</v>
      </c>
      <c r="U1219" s="76">
        <f>T1219/R1207</f>
        <v>0.5</v>
      </c>
    </row>
    <row r="1220" s="27" customFormat="1" ht="23" customHeight="1" spans="1:21">
      <c r="A1220" s="34"/>
      <c r="B1220" s="48">
        <v>1</v>
      </c>
      <c r="C1220" s="48" t="s">
        <v>394</v>
      </c>
      <c r="D1220" s="88" t="s">
        <v>427</v>
      </c>
      <c r="E1220" s="72" t="str">
        <f>+VLOOKUP(D1220,'材料表 '!C:F,2,0)</f>
        <v>kg</v>
      </c>
      <c r="F1220" s="77">
        <f>+SUMIF($L$1207:$L$1247,D1220,$R$1207:$R$1247)</f>
        <v>1.69629225736096</v>
      </c>
      <c r="G1220" s="89">
        <f>+VLOOKUP(D1220,'材料表 '!C:F,4,0)</f>
        <v>0.03</v>
      </c>
      <c r="H1220" s="74">
        <f t="shared" ref="H1220:H1225" si="194">F1220*(G1220+1)</f>
        <v>1.74718102508179</v>
      </c>
      <c r="I1220" s="74">
        <f>+VLOOKUP(D1220,'材料表 '!C:F,3,0)</f>
        <v>25.8495575221239</v>
      </c>
      <c r="J1220" s="51">
        <f t="shared" si="192"/>
        <v>45.1638564094151</v>
      </c>
      <c r="K1220" s="75">
        <f ca="1">H1220*K1206</f>
        <v>15.5479193368593</v>
      </c>
      <c r="L1220" s="69" t="s">
        <v>447</v>
      </c>
      <c r="M1220" s="70" t="s">
        <v>1049</v>
      </c>
      <c r="N1220" s="34">
        <f>0.074*2.71</f>
        <v>0.20054</v>
      </c>
      <c r="O1220" s="34">
        <f>O1207</f>
        <v>1.834</v>
      </c>
      <c r="P1220" s="34">
        <v>1</v>
      </c>
      <c r="Q1220" s="44">
        <f t="shared" si="191"/>
        <v>0.36779036</v>
      </c>
      <c r="R1220" s="71">
        <f>+Q1220/R1207</f>
        <v>0.323451612903226</v>
      </c>
      <c r="S1220" s="47">
        <f>0.048</f>
        <v>0.048</v>
      </c>
      <c r="T1220" s="47">
        <f t="shared" si="193"/>
        <v>0.088032</v>
      </c>
      <c r="U1220" s="76">
        <f>T1220/R1207</f>
        <v>0.0774193548387097</v>
      </c>
    </row>
    <row r="1221" s="27" customFormat="1" ht="18" customHeight="1" spans="1:21">
      <c r="A1221" s="34"/>
      <c r="B1221" s="48">
        <v>2</v>
      </c>
      <c r="C1221" s="48"/>
      <c r="D1221" s="88" t="s">
        <v>404</v>
      </c>
      <c r="E1221" s="72" t="str">
        <f>+VLOOKUP(D1221,'材料表 '!C:F,2,0)</f>
        <v>kg</v>
      </c>
      <c r="F1221" s="77">
        <f>+SUMIF($L$1207:$L$1247,D1221,$R$1207:$R$1247)</f>
        <v>9.01693548387097</v>
      </c>
      <c r="G1221" s="89">
        <f>+VLOOKUP(D1221,'材料表 '!C:F,4,0)</f>
        <v>0.03</v>
      </c>
      <c r="H1221" s="74">
        <f t="shared" si="194"/>
        <v>9.2874435483871</v>
      </c>
      <c r="I1221" s="74">
        <f>+VLOOKUP(D1221,'材料表 '!C:F,3,0)</f>
        <v>25.6725663716814</v>
      </c>
      <c r="J1221" s="51">
        <f t="shared" si="192"/>
        <v>238.432510919212</v>
      </c>
      <c r="K1221" s="75">
        <f ca="1">H1221*K1206</f>
        <v>82.647659895</v>
      </c>
      <c r="L1221" s="69"/>
      <c r="M1221" s="70"/>
      <c r="N1221" s="83"/>
      <c r="O1221" s="83"/>
      <c r="P1221" s="83"/>
      <c r="Q1221" s="83"/>
      <c r="R1221" s="87"/>
      <c r="S1221" s="47"/>
      <c r="T1221" s="34"/>
    </row>
    <row r="1222" s="27" customFormat="1" ht="18" customHeight="1" spans="1:21">
      <c r="A1222" s="34"/>
      <c r="B1222" s="48">
        <v>3</v>
      </c>
      <c r="C1222" s="48"/>
      <c r="D1222" s="88" t="s">
        <v>433</v>
      </c>
      <c r="E1222" s="72" t="str">
        <f>+VLOOKUP(D1222,'材料表 '!C:F,2,0)</f>
        <v>kg</v>
      </c>
      <c r="F1222" s="77">
        <f>+SUMIF($L$1207:$L$1247,D1222,$R$1207:$R$1247)</f>
        <v>0</v>
      </c>
      <c r="G1222" s="89">
        <f>+VLOOKUP(D1222,'材料表 '!C:F,4,0)</f>
        <v>0.03</v>
      </c>
      <c r="H1222" s="74">
        <f t="shared" si="194"/>
        <v>0</v>
      </c>
      <c r="I1222" s="74">
        <f>+VLOOKUP(D1222,'材料表 '!C:F,3,0)</f>
        <v>26.1150442477876</v>
      </c>
      <c r="J1222" s="51">
        <f t="shared" si="192"/>
        <v>0</v>
      </c>
      <c r="K1222" s="75">
        <f ca="1">H1222*K1206</f>
        <v>0</v>
      </c>
      <c r="L1222" s="69"/>
      <c r="N1222" s="83"/>
      <c r="O1222" s="83"/>
      <c r="P1222" s="83"/>
      <c r="Q1222" s="83"/>
      <c r="R1222" s="87"/>
      <c r="S1222" s="47"/>
      <c r="T1222" s="47"/>
    </row>
    <row r="1223" s="27" customFormat="1" ht="18" customHeight="1" spans="1:21">
      <c r="A1223" s="34"/>
      <c r="B1223" s="48">
        <v>4</v>
      </c>
      <c r="C1223" s="48"/>
      <c r="D1223" s="88" t="s">
        <v>429</v>
      </c>
      <c r="E1223" s="72" t="str">
        <f>+VLOOKUP(D1223,'材料表 '!C:F,2,0)</f>
        <v>kg</v>
      </c>
      <c r="F1223" s="77">
        <f>+SUMIF($L$1207:$L$1247,D1223,$R$1207:$R$1247)</f>
        <v>3.95731024495491</v>
      </c>
      <c r="G1223" s="89">
        <f>+VLOOKUP(D1223,'材料表 '!C:F,4,0)</f>
        <v>0.03</v>
      </c>
      <c r="H1223" s="74">
        <f t="shared" si="194"/>
        <v>4.07602955230356</v>
      </c>
      <c r="I1223" s="74">
        <f>+VLOOKUP(D1223,'材料表 '!C:F,3,0)</f>
        <v>26.1150442477876</v>
      </c>
      <c r="J1223" s="51">
        <f t="shared" si="192"/>
        <v>106.445692113697</v>
      </c>
      <c r="K1223" s="75">
        <f ca="1">H1223*K1206</f>
        <v>36.2720163418121</v>
      </c>
      <c r="L1223" s="90" t="s">
        <v>707</v>
      </c>
      <c r="M1223" s="44"/>
      <c r="N1223" s="82"/>
      <c r="O1223" s="44">
        <f>O1215*P1215</f>
        <v>2.751</v>
      </c>
      <c r="P1223" s="44">
        <v>1</v>
      </c>
      <c r="Q1223" s="44">
        <f>+P1223*O1223</f>
        <v>2.751</v>
      </c>
      <c r="R1223" s="84">
        <f>+Q1223/R1207</f>
        <v>2.41935483870968</v>
      </c>
      <c r="S1223" s="47"/>
      <c r="T1223" s="47"/>
    </row>
    <row r="1224" s="27" customFormat="1" ht="18" customHeight="1" spans="1:21">
      <c r="A1224" s="34"/>
      <c r="B1224" s="48">
        <v>5</v>
      </c>
      <c r="C1224" s="48"/>
      <c r="D1224" s="88" t="s">
        <v>447</v>
      </c>
      <c r="E1224" s="72" t="str">
        <f>+VLOOKUP(D1224,'材料表 '!C:F,2,0)</f>
        <v>kg</v>
      </c>
      <c r="F1224" s="77">
        <f>+SUMIF($L$1207:$L$1247,D1224,$R$1207:$R$1247)</f>
        <v>4.7516410103071</v>
      </c>
      <c r="G1224" s="89">
        <f>+VLOOKUP(D1224,'材料表 '!C:F,4,0)</f>
        <v>0.03</v>
      </c>
      <c r="H1224" s="74">
        <f t="shared" si="194"/>
        <v>4.89419024061631</v>
      </c>
      <c r="I1224" s="74">
        <f>+VLOOKUP(D1224,'材料表 '!C:F,3,0)</f>
        <v>24.4336283185841</v>
      </c>
      <c r="J1224" s="51">
        <f t="shared" si="192"/>
        <v>119.582825259661</v>
      </c>
      <c r="K1224" s="43">
        <f ca="1">H1224*K1206</f>
        <v>43.5527137646108</v>
      </c>
      <c r="L1224" s="90" t="s">
        <v>435</v>
      </c>
      <c r="M1224" s="44"/>
      <c r="N1224" s="82">
        <f>0.073*1.2</f>
        <v>0.0876</v>
      </c>
      <c r="O1224" s="44">
        <f>O1210*P1210*3+O1215*P1215*4</f>
        <v>12.864</v>
      </c>
      <c r="P1224" s="44">
        <v>1</v>
      </c>
      <c r="Q1224" s="44">
        <f>+P1224*O1224</f>
        <v>12.864</v>
      </c>
      <c r="R1224" s="84">
        <f>+Q1224/R1207</f>
        <v>11.31318816618</v>
      </c>
      <c r="S1224" s="47"/>
      <c r="T1224" s="47"/>
    </row>
    <row r="1225" s="27" customFormat="1" ht="18" customHeight="1" spans="1:21">
      <c r="A1225" s="34"/>
      <c r="B1225" s="48">
        <v>6</v>
      </c>
      <c r="C1225" s="48"/>
      <c r="D1225" s="88" t="s">
        <v>434</v>
      </c>
      <c r="E1225" s="72" t="str">
        <f>+VLOOKUP(D1225,'材料表 '!C:F,2,0)</f>
        <v>m2</v>
      </c>
      <c r="F1225" s="77">
        <f>U1212+U1217+U1219+U1220</f>
        <v>0.820396981742709</v>
      </c>
      <c r="G1225" s="89">
        <f>+VLOOKUP(D1225,'材料表 '!C:F,4,0)</f>
        <v>0</v>
      </c>
      <c r="H1225" s="74">
        <f t="shared" si="194"/>
        <v>0.820396981742709</v>
      </c>
      <c r="I1225" s="74">
        <f>+VLOOKUP(D1225,'材料表 '!C:F,3,0)</f>
        <v>49.5575221238938</v>
      </c>
      <c r="J1225" s="51">
        <f t="shared" si="192"/>
        <v>40.65684157309</v>
      </c>
      <c r="K1225" s="43">
        <f ca="1">H1225*K1206</f>
        <v>7.30059788495092</v>
      </c>
      <c r="L1225" s="90" t="s">
        <v>463</v>
      </c>
      <c r="M1225" s="91" t="s">
        <v>1012</v>
      </c>
      <c r="N1225" s="82">
        <f>0.32*0.3*8*7.85</f>
        <v>6.0288</v>
      </c>
      <c r="O1225" s="44">
        <v>0.5</v>
      </c>
      <c r="P1225" s="44">
        <f>P1210</f>
        <v>1</v>
      </c>
      <c r="Q1225" s="44">
        <f t="shared" ref="Q1225:Q1229" si="195">+P1225*O1225*N1225</f>
        <v>3.0144</v>
      </c>
      <c r="R1225" s="84">
        <f>+Q1225/R1207</f>
        <v>2.65100080908995</v>
      </c>
      <c r="S1225" s="47"/>
      <c r="T1225" s="47"/>
    </row>
    <row r="1226" s="27" customFormat="1" ht="18" customHeight="1" spans="1:21">
      <c r="A1226" s="34"/>
      <c r="B1226" s="48">
        <v>7</v>
      </c>
      <c r="C1226" s="48"/>
      <c r="D1226" s="88"/>
      <c r="E1226" s="72"/>
      <c r="F1226" s="77">
        <f t="shared" ref="F1221:F1233" si="196">+SUMIF($L$1207:$L$1247,D1226,$R$1207:$R$1247)</f>
        <v>0</v>
      </c>
      <c r="G1226" s="89"/>
      <c r="H1226" s="74"/>
      <c r="I1226" s="74"/>
      <c r="J1226" s="51"/>
      <c r="K1226" s="43">
        <f ca="1">H1226*K1206</f>
        <v>0</v>
      </c>
      <c r="L1226" s="69" t="s">
        <v>465</v>
      </c>
      <c r="M1226" s="81" t="s">
        <v>1013</v>
      </c>
      <c r="N1226" s="34">
        <v>9.88</v>
      </c>
      <c r="O1226" s="34">
        <f>0.13</f>
        <v>0.13</v>
      </c>
      <c r="P1226" s="34">
        <f>2*P1225*O1225</f>
        <v>1</v>
      </c>
      <c r="Q1226" s="44">
        <f t="shared" si="195"/>
        <v>1.2844</v>
      </c>
      <c r="R1226" s="84">
        <f>Q1226/R1207</f>
        <v>1.12955992542301</v>
      </c>
      <c r="S1226" s="47"/>
      <c r="T1226" s="47"/>
    </row>
    <row r="1227" s="27" customFormat="1" ht="18" customHeight="1" spans="1:21">
      <c r="A1227" s="34"/>
      <c r="B1227" s="48">
        <v>8</v>
      </c>
      <c r="C1227" s="48"/>
      <c r="D1227" s="88" t="s">
        <v>431</v>
      </c>
      <c r="E1227" s="72" t="str">
        <f>+VLOOKUP(D1227,'材料表 '!C:F,2,0)</f>
        <v>kg</v>
      </c>
      <c r="F1227" s="77">
        <f t="shared" si="196"/>
        <v>0</v>
      </c>
      <c r="G1227" s="89">
        <f>+VLOOKUP(D1227,'材料表 '!C:F,4,0)</f>
        <v>0.03</v>
      </c>
      <c r="H1227" s="74">
        <f t="shared" ref="H1227:H1239" si="197">F1227*(G1227+1)</f>
        <v>0</v>
      </c>
      <c r="I1227" s="74">
        <f>+VLOOKUP(D1227,'材料表 '!C:F,3,0)</f>
        <v>3.80530973451327</v>
      </c>
      <c r="J1227" s="51">
        <f t="shared" ref="J1227:J1239" si="198">H1227*I1227</f>
        <v>0</v>
      </c>
      <c r="K1227" s="43">
        <f ca="1">H1227*K1206</f>
        <v>0</v>
      </c>
      <c r="L1227" s="90" t="s">
        <v>474</v>
      </c>
      <c r="M1227" s="44"/>
      <c r="N1227" s="82"/>
      <c r="O1227" s="44">
        <v>4</v>
      </c>
      <c r="P1227" s="44">
        <f>O1225*P1225</f>
        <v>0.5</v>
      </c>
      <c r="Q1227" s="44">
        <f>O1227*P1227</f>
        <v>2</v>
      </c>
      <c r="R1227" s="84">
        <f>Q1227/R1207</f>
        <v>1.75889119499068</v>
      </c>
      <c r="S1227" s="47"/>
      <c r="T1227" s="47"/>
    </row>
    <row r="1228" s="27" customFormat="1" ht="18" customHeight="1" spans="1:21">
      <c r="A1228" s="34"/>
      <c r="B1228" s="48">
        <v>9</v>
      </c>
      <c r="C1228" s="48"/>
      <c r="D1228" s="88" t="s">
        <v>461</v>
      </c>
      <c r="E1228" s="72" t="str">
        <f>+VLOOKUP(D1228,'材料表 '!C:F,2,0)</f>
        <v>kg</v>
      </c>
      <c r="F1228" s="77">
        <f t="shared" si="196"/>
        <v>0</v>
      </c>
      <c r="G1228" s="89">
        <f>+VLOOKUP(D1228,'材料表 '!C:F,4,0)</f>
        <v>0.03</v>
      </c>
      <c r="H1228" s="74">
        <f t="shared" si="197"/>
        <v>0</v>
      </c>
      <c r="I1228" s="74">
        <f>+VLOOKUP(D1228,'材料表 '!C:F,3,0)</f>
        <v>3.53982300884956</v>
      </c>
      <c r="J1228" s="51">
        <f t="shared" si="198"/>
        <v>0</v>
      </c>
      <c r="K1228" s="43">
        <f ca="1">H1228*K1206</f>
        <v>0</v>
      </c>
      <c r="L1228" s="90" t="s">
        <v>472</v>
      </c>
      <c r="M1228" s="91"/>
      <c r="N1228" s="82"/>
      <c r="O1228" s="44">
        <v>2</v>
      </c>
      <c r="P1228" s="44">
        <f>O1225*P1225</f>
        <v>0.5</v>
      </c>
      <c r="Q1228" s="44">
        <f>O1228*P1228</f>
        <v>1</v>
      </c>
      <c r="R1228" s="84">
        <f>Q1228/R1207</f>
        <v>0.879445597495339</v>
      </c>
      <c r="S1228" s="47"/>
      <c r="T1228" s="47"/>
    </row>
    <row r="1229" s="27" customFormat="1" ht="18" customHeight="1" spans="1:21">
      <c r="A1229" s="34"/>
      <c r="B1229" s="48">
        <v>10</v>
      </c>
      <c r="C1229" s="48"/>
      <c r="D1229" s="88" t="s">
        <v>435</v>
      </c>
      <c r="E1229" s="72" t="str">
        <f>+VLOOKUP(D1229,'材料表 '!C:F,2,0)</f>
        <v>kg</v>
      </c>
      <c r="F1229" s="77">
        <f t="shared" si="196"/>
        <v>11.31318816618</v>
      </c>
      <c r="G1229" s="89">
        <f>+VLOOKUP(D1229,'材料表 '!C:F,4,0)</f>
        <v>0.03</v>
      </c>
      <c r="H1229" s="74">
        <f t="shared" si="197"/>
        <v>11.6525838111654</v>
      </c>
      <c r="I1229" s="74">
        <f>+VLOOKUP(D1229,'材料表 '!C:F,3,0)</f>
        <v>19.4690265486726</v>
      </c>
      <c r="J1229" s="51">
        <f t="shared" si="198"/>
        <v>226.864463580212</v>
      </c>
      <c r="K1229" s="43">
        <f ca="1">H1229*K1206</f>
        <v>103.694711973827</v>
      </c>
      <c r="L1229" s="69" t="s">
        <v>465</v>
      </c>
      <c r="M1229" s="91"/>
      <c r="N1229" s="82">
        <f>(0.058+0.04*2)*5*7.85</f>
        <v>5.4165</v>
      </c>
      <c r="O1229" s="44">
        <v>0</v>
      </c>
      <c r="P1229" s="44">
        <v>1</v>
      </c>
      <c r="Q1229" s="44">
        <f t="shared" si="195"/>
        <v>0</v>
      </c>
      <c r="R1229" s="84">
        <f>+Q1229/R1207</f>
        <v>0</v>
      </c>
      <c r="S1229" s="47"/>
      <c r="T1229" s="47"/>
    </row>
    <row r="1230" s="27" customFormat="1" ht="18" customHeight="1" spans="1:21">
      <c r="A1230" s="34"/>
      <c r="B1230" s="48">
        <v>11</v>
      </c>
      <c r="C1230" s="48"/>
      <c r="D1230" s="88" t="s">
        <v>463</v>
      </c>
      <c r="E1230" s="72" t="str">
        <f>+VLOOKUP(D1230,'材料表 '!C:F,2,0)</f>
        <v>kg</v>
      </c>
      <c r="F1230" s="77">
        <f t="shared" si="196"/>
        <v>2.65100080908995</v>
      </c>
      <c r="G1230" s="89">
        <f>+VLOOKUP(D1230,'材料表 '!C:F,4,0)</f>
        <v>0.03</v>
      </c>
      <c r="H1230" s="74">
        <f t="shared" si="197"/>
        <v>2.73053083336265</v>
      </c>
      <c r="I1230" s="74">
        <f>+VLOOKUP(D1230,'材料表 '!C:F,3,0)</f>
        <v>6.01769911504425</v>
      </c>
      <c r="J1230" s="51">
        <f t="shared" si="198"/>
        <v>16.4315129795274</v>
      </c>
      <c r="K1230" s="43">
        <f ca="1">H1230*K1206</f>
        <v>24.2986116117775</v>
      </c>
      <c r="L1230" s="69" t="s">
        <v>461</v>
      </c>
      <c r="N1230" s="83"/>
      <c r="O1230" s="83"/>
      <c r="P1230" s="83"/>
      <c r="Q1230" s="83"/>
      <c r="R1230" s="84"/>
      <c r="S1230" s="47"/>
      <c r="T1230" s="47"/>
    </row>
    <row r="1231" s="27" customFormat="1" ht="18" customHeight="1" spans="1:21">
      <c r="A1231" s="34"/>
      <c r="B1231" s="48">
        <v>12</v>
      </c>
      <c r="C1231" s="48"/>
      <c r="D1231" s="88" t="s">
        <v>465</v>
      </c>
      <c r="E1231" s="72" t="str">
        <f>+VLOOKUP(D1231,'材料表 '!C:F,2,0)</f>
        <v>kg</v>
      </c>
      <c r="F1231" s="77">
        <f t="shared" si="196"/>
        <v>1.12955992542301</v>
      </c>
      <c r="G1231" s="89">
        <f>+VLOOKUP(D1231,'材料表 '!C:F,4,0)</f>
        <v>0.03</v>
      </c>
      <c r="H1231" s="74">
        <f t="shared" si="197"/>
        <v>1.1634467231857</v>
      </c>
      <c r="I1231" s="74">
        <f>+VLOOKUP(D1231,'材料表 '!C:F,3,0)</f>
        <v>6.01769911504425</v>
      </c>
      <c r="J1231" s="51">
        <f t="shared" si="198"/>
        <v>7.00127231651572</v>
      </c>
      <c r="K1231" s="43">
        <f ca="1">H1231*K1206</f>
        <v>10.3533495070883</v>
      </c>
      <c r="L1231" s="90"/>
      <c r="M1231" s="44"/>
      <c r="N1231" s="82"/>
      <c r="O1231" s="44"/>
      <c r="P1231" s="44"/>
      <c r="Q1231" s="44"/>
      <c r="R1231" s="84"/>
      <c r="S1231" s="47"/>
      <c r="T1231" s="47"/>
    </row>
    <row r="1232" s="27" customFormat="1" ht="18" customHeight="1" spans="1:21">
      <c r="A1232" s="34"/>
      <c r="B1232" s="48">
        <v>13</v>
      </c>
      <c r="C1232" s="48"/>
      <c r="D1232" s="88" t="s">
        <v>474</v>
      </c>
      <c r="E1232" s="72" t="str">
        <f>+VLOOKUP(D1232,'材料表 '!C:F,2,0)</f>
        <v>套</v>
      </c>
      <c r="F1232" s="77">
        <f t="shared" si="196"/>
        <v>1.75889119499068</v>
      </c>
      <c r="G1232" s="89">
        <f>+VLOOKUP(D1232,'材料表 '!C:F,4,0)</f>
        <v>0</v>
      </c>
      <c r="H1232" s="74">
        <f t="shared" si="197"/>
        <v>1.75889119499068</v>
      </c>
      <c r="I1232" s="74">
        <f>+VLOOKUP(D1232,'材料表 '!C:F,3,0)</f>
        <v>2.21238938053097</v>
      </c>
      <c r="J1232" s="51">
        <f t="shared" si="198"/>
        <v>3.89135220130681</v>
      </c>
      <c r="K1232" s="43">
        <f ca="1">H1232*K1206</f>
        <v>15.6521264994548</v>
      </c>
      <c r="L1232" s="90"/>
      <c r="M1232" s="44"/>
      <c r="N1232" s="82"/>
      <c r="O1232" s="44"/>
      <c r="P1232" s="44"/>
      <c r="Q1232" s="44"/>
      <c r="R1232" s="84"/>
      <c r="S1232" s="47"/>
      <c r="T1232" s="47"/>
    </row>
    <row r="1233" s="27" customFormat="1" ht="18" customHeight="1" spans="1:20">
      <c r="A1233" s="34"/>
      <c r="B1233" s="48">
        <v>14</v>
      </c>
      <c r="C1233" s="48"/>
      <c r="D1233" s="88" t="s">
        <v>472</v>
      </c>
      <c r="E1233" s="72" t="str">
        <f>+VLOOKUP(D1233,'材料表 '!C:F,2,0)</f>
        <v>套</v>
      </c>
      <c r="F1233" s="77">
        <f t="shared" si="196"/>
        <v>0.879445597495339</v>
      </c>
      <c r="G1233" s="89">
        <f>+VLOOKUP(D1233,'材料表 '!C:F,4,0)</f>
        <v>0</v>
      </c>
      <c r="H1233" s="74">
        <f t="shared" si="197"/>
        <v>0.879445597495339</v>
      </c>
      <c r="I1233" s="74">
        <f>+VLOOKUP(D1233,'材料表 '!C:F,3,0)</f>
        <v>2.47787610619469</v>
      </c>
      <c r="J1233" s="51">
        <f t="shared" si="198"/>
        <v>2.17915723273181</v>
      </c>
      <c r="K1233" s="43">
        <f ca="1">H1233*K1206</f>
        <v>7.82606324972737</v>
      </c>
      <c r="L1233" s="90"/>
      <c r="M1233" s="44"/>
      <c r="N1233" s="82"/>
      <c r="O1233" s="44"/>
      <c r="P1233" s="44"/>
      <c r="Q1233" s="44"/>
      <c r="R1233" s="84"/>
      <c r="S1233" s="47"/>
      <c r="T1233" s="47"/>
    </row>
    <row r="1234" s="27" customFormat="1" ht="18" customHeight="1" spans="1:20">
      <c r="A1234" s="34"/>
      <c r="B1234" s="48">
        <v>15</v>
      </c>
      <c r="C1234" s="48"/>
      <c r="D1234" s="88" t="s">
        <v>476</v>
      </c>
      <c r="E1234" s="72" t="str">
        <f>+VLOOKUP(D1234,'材料表 '!C:F,2,0)</f>
        <v>支</v>
      </c>
      <c r="F1234" s="77">
        <f>8*8*(O1215*P1215*2)/500/R1207+16*8*(O1210*P1210+O1215*P1215)/500/R1207</f>
        <v>1.37829528265382</v>
      </c>
      <c r="G1234" s="89">
        <f>+VLOOKUP(D1234,'材料表 '!C:F,4,0)</f>
        <v>0.15</v>
      </c>
      <c r="H1234" s="74">
        <f t="shared" si="197"/>
        <v>1.58503957505189</v>
      </c>
      <c r="I1234" s="74">
        <f>+VLOOKUP(D1234,'材料表 '!C:F,3,0)</f>
        <v>11.5044247787611</v>
      </c>
      <c r="J1234" s="51">
        <f t="shared" si="198"/>
        <v>18.234968562544</v>
      </c>
      <c r="K1234" s="43">
        <f ca="1">H1234*K1206</f>
        <v>14.1050452728463</v>
      </c>
      <c r="L1234" s="92"/>
      <c r="M1234" s="44"/>
      <c r="N1234" s="82"/>
      <c r="O1234" s="44"/>
      <c r="P1234" s="44"/>
      <c r="Q1234" s="44"/>
      <c r="R1234" s="84"/>
      <c r="S1234" s="47"/>
      <c r="T1234" s="47"/>
    </row>
    <row r="1235" s="27" customFormat="1" ht="18" customHeight="1" spans="1:20">
      <c r="A1235" s="34"/>
      <c r="B1235" s="48">
        <v>16</v>
      </c>
      <c r="C1235" s="48"/>
      <c r="D1235" s="88" t="s">
        <v>576</v>
      </c>
      <c r="E1235" s="72" t="str">
        <f>+VLOOKUP(D1235,'材料表 '!C:F,2,0)</f>
        <v>支</v>
      </c>
      <c r="F1235" s="77">
        <v>0</v>
      </c>
      <c r="G1235" s="89">
        <f>+VLOOKUP(D1235,'材料表 '!C:F,4,0)</f>
        <v>0.15</v>
      </c>
      <c r="H1235" s="74">
        <f t="shared" si="197"/>
        <v>0</v>
      </c>
      <c r="I1235" s="74">
        <f>+VLOOKUP(D1235,'材料表 '!C:F,3,0)</f>
        <v>14.1592920353982</v>
      </c>
      <c r="J1235" s="51">
        <f t="shared" si="198"/>
        <v>0</v>
      </c>
      <c r="K1235" s="43">
        <f ca="1">H1235*K1206</f>
        <v>0</v>
      </c>
      <c r="L1235" s="92"/>
      <c r="M1235" s="44"/>
      <c r="N1235" s="82"/>
      <c r="O1235" s="44"/>
      <c r="P1235" s="44"/>
      <c r="Q1235" s="44"/>
      <c r="R1235" s="84"/>
      <c r="S1235" s="47"/>
      <c r="T1235" s="47"/>
    </row>
    <row r="1236" s="27" customFormat="1" ht="18" customHeight="1" spans="1:20">
      <c r="A1236" s="34"/>
      <c r="B1236" s="48">
        <v>17</v>
      </c>
      <c r="C1236" s="48"/>
      <c r="D1236" s="88" t="s">
        <v>479</v>
      </c>
      <c r="E1236" s="72" t="str">
        <f>+VLOOKUP(D1236,'材料表 '!C:F,2,0)</f>
        <v>kg</v>
      </c>
      <c r="F1236" s="77">
        <v>0</v>
      </c>
      <c r="G1236" s="89">
        <f>+VLOOKUP(D1236,'材料表 '!C:F,4,0)</f>
        <v>0.03</v>
      </c>
      <c r="H1236" s="74">
        <f t="shared" si="197"/>
        <v>0</v>
      </c>
      <c r="I1236" s="74">
        <f>+VLOOKUP(D1236,'材料表 '!C:F,3,0)</f>
        <v>14.1592920353982</v>
      </c>
      <c r="J1236" s="51">
        <f t="shared" si="198"/>
        <v>0</v>
      </c>
      <c r="K1236" s="43">
        <f ca="1">H1236*K1206</f>
        <v>0</v>
      </c>
      <c r="L1236" s="92"/>
      <c r="M1236" s="44"/>
      <c r="N1236" s="82"/>
      <c r="O1236" s="44"/>
      <c r="P1236" s="44"/>
      <c r="Q1236" s="44"/>
      <c r="R1236" s="84"/>
      <c r="S1236" s="47"/>
      <c r="T1236" s="47"/>
    </row>
    <row r="1237" s="27" customFormat="1" ht="18" customHeight="1" spans="1:20">
      <c r="A1237" s="34"/>
      <c r="B1237" s="48">
        <v>18</v>
      </c>
      <c r="C1237" s="48"/>
      <c r="D1237" s="88" t="s">
        <v>500</v>
      </c>
      <c r="E1237" s="72" t="str">
        <f>+VLOOKUP(D1237,'材料表 '!C:F,2,0)</f>
        <v>kg</v>
      </c>
      <c r="F1237" s="77">
        <f>R1215+R1216+R1217+R1218+R1219+R1220</f>
        <v>15.7683346466388</v>
      </c>
      <c r="G1237" s="89">
        <f>+VLOOKUP(D1237,'材料表 '!C:F,4,0)</f>
        <v>0.03</v>
      </c>
      <c r="H1237" s="74">
        <f t="shared" si="197"/>
        <v>16.241384686038</v>
      </c>
      <c r="I1237" s="74">
        <f>+VLOOKUP(D1237,'材料表 '!C:F,3,0)</f>
        <v>14.1592920353982</v>
      </c>
      <c r="J1237" s="51">
        <f t="shared" si="198"/>
        <v>229.966508828856</v>
      </c>
      <c r="K1237" s="43">
        <f ca="1">H1237*K1206</f>
        <v>144.529808527196</v>
      </c>
      <c r="L1237" s="92"/>
      <c r="M1237" s="44"/>
      <c r="N1237" s="82"/>
      <c r="O1237" s="44"/>
      <c r="P1237" s="44"/>
      <c r="Q1237" s="44"/>
      <c r="R1237" s="84"/>
      <c r="S1237" s="47"/>
      <c r="T1237" s="47"/>
    </row>
    <row r="1238" s="27" customFormat="1" ht="50" customHeight="1" spans="1:20">
      <c r="A1238" s="34"/>
      <c r="B1238" s="48">
        <v>19</v>
      </c>
      <c r="C1238" s="48"/>
      <c r="D1238" s="88" t="s">
        <v>670</v>
      </c>
      <c r="E1238" s="72" t="str">
        <f>+VLOOKUP(D1238,'材料表 '!C:F,2,0)</f>
        <v>m2</v>
      </c>
      <c r="F1238" s="77">
        <v>1</v>
      </c>
      <c r="G1238" s="89">
        <f>+VLOOKUP(D1238,'材料表 '!C:F,4,0)</f>
        <v>0.01</v>
      </c>
      <c r="H1238" s="74">
        <f t="shared" si="197"/>
        <v>1.01</v>
      </c>
      <c r="I1238" s="74">
        <f>+VLOOKUP(D1238,'材料表 '!C:F,3,0)</f>
        <v>833.628318584071</v>
      </c>
      <c r="J1238" s="51">
        <f t="shared" si="198"/>
        <v>841.964601769911</v>
      </c>
      <c r="K1238" s="43">
        <f ca="1">H1238*K1206</f>
        <v>8.9878486</v>
      </c>
      <c r="L1238" s="90"/>
      <c r="M1238" s="44"/>
      <c r="N1238" s="82"/>
      <c r="O1238" s="44"/>
      <c r="P1238" s="44"/>
      <c r="Q1238" s="44"/>
      <c r="R1238" s="84"/>
      <c r="S1238" s="47"/>
      <c r="T1238" s="47"/>
    </row>
    <row r="1239" s="27" customFormat="1" ht="21" customHeight="1" spans="1:20">
      <c r="A1239" s="34"/>
      <c r="B1239" s="48">
        <v>20</v>
      </c>
      <c r="C1239" s="48"/>
      <c r="D1239" s="88" t="s">
        <v>1043</v>
      </c>
      <c r="E1239" s="72" t="str">
        <f>+VLOOKUP(D1239,'材料表 '!C:F,2,0)</f>
        <v>套</v>
      </c>
      <c r="F1239" s="77">
        <f>P1218/R1207</f>
        <v>12.3122383649347</v>
      </c>
      <c r="G1239" s="89">
        <f>+VLOOKUP(D1239,'材料表 '!C:F,4,0)</f>
        <v>0</v>
      </c>
      <c r="H1239" s="74">
        <f t="shared" si="197"/>
        <v>12.3122383649347</v>
      </c>
      <c r="I1239" s="74">
        <f>+VLOOKUP(D1239,'材料表 '!C:F,3,0)</f>
        <v>1.32743362831858</v>
      </c>
      <c r="J1239" s="51">
        <f t="shared" si="198"/>
        <v>16.3436792454885</v>
      </c>
      <c r="K1239" s="43">
        <f ca="1">H1239*K1206</f>
        <v>109.564885496183</v>
      </c>
      <c r="L1239" s="90"/>
      <c r="M1239" s="44"/>
      <c r="N1239" s="82"/>
      <c r="O1239" s="44"/>
      <c r="P1239" s="44"/>
      <c r="Q1239" s="44"/>
      <c r="R1239" s="84"/>
      <c r="S1239" s="47"/>
      <c r="T1239" s="47"/>
    </row>
    <row r="1240" s="27" customFormat="1" ht="18" customHeight="1" spans="1:20">
      <c r="A1240" s="34"/>
      <c r="B1240" s="48">
        <v>21</v>
      </c>
      <c r="C1240" s="48"/>
      <c r="D1240" s="88"/>
      <c r="E1240" s="72"/>
      <c r="F1240" s="77"/>
      <c r="G1240" s="89"/>
      <c r="H1240" s="74"/>
      <c r="I1240" s="74"/>
      <c r="J1240" s="51"/>
      <c r="K1240" s="43">
        <f ca="1">H1240*K1206</f>
        <v>0</v>
      </c>
      <c r="L1240" s="92"/>
      <c r="M1240" s="44"/>
      <c r="N1240" s="82"/>
      <c r="O1240" s="44"/>
      <c r="P1240" s="44"/>
      <c r="Q1240" s="44"/>
      <c r="R1240" s="84"/>
      <c r="S1240" s="47"/>
      <c r="T1240" s="47"/>
    </row>
    <row r="1241" s="27" customFormat="1" ht="18" customHeight="1" spans="1:20">
      <c r="A1241" s="34"/>
      <c r="B1241" s="48">
        <v>22</v>
      </c>
      <c r="C1241" s="48"/>
      <c r="D1241" s="88"/>
      <c r="E1241" s="72"/>
      <c r="F1241" s="77"/>
      <c r="G1241" s="89"/>
      <c r="H1241" s="74"/>
      <c r="I1241" s="74"/>
      <c r="J1241" s="51"/>
      <c r="K1241" s="43">
        <f ca="1">H1241*K1206</f>
        <v>0</v>
      </c>
      <c r="L1241" s="92"/>
      <c r="M1241" s="44"/>
      <c r="N1241" s="44"/>
      <c r="O1241" s="44"/>
      <c r="P1241" s="44"/>
      <c r="Q1241" s="44"/>
      <c r="R1241" s="84"/>
      <c r="S1241" s="47"/>
      <c r="T1241" s="47"/>
    </row>
    <row r="1242" s="27" customFormat="1" ht="18" customHeight="1" spans="1:20">
      <c r="A1242" s="34"/>
      <c r="B1242" s="48">
        <v>23</v>
      </c>
      <c r="C1242" s="48"/>
      <c r="D1242" s="88"/>
      <c r="E1242" s="72"/>
      <c r="F1242" s="77"/>
      <c r="G1242" s="89"/>
      <c r="H1242" s="74"/>
      <c r="I1242" s="74"/>
      <c r="J1242" s="51"/>
      <c r="K1242" s="75">
        <f ca="1">H1242*K1206</f>
        <v>0</v>
      </c>
      <c r="L1242" s="92"/>
      <c r="M1242" s="44"/>
      <c r="N1242" s="44"/>
      <c r="O1242" s="44"/>
      <c r="P1242" s="44"/>
      <c r="Q1242" s="44"/>
      <c r="R1242" s="84"/>
      <c r="S1242" s="47"/>
      <c r="T1242" s="47"/>
    </row>
    <row r="1243" s="27" customFormat="1" ht="18" customHeight="1" spans="1:20">
      <c r="A1243" s="34"/>
      <c r="B1243" s="48">
        <v>24</v>
      </c>
      <c r="C1243" s="48"/>
      <c r="D1243" s="88"/>
      <c r="E1243" s="72"/>
      <c r="F1243" s="77"/>
      <c r="G1243" s="89"/>
      <c r="H1243" s="74"/>
      <c r="I1243" s="74"/>
      <c r="J1243" s="51"/>
      <c r="K1243" s="75">
        <f ca="1">H1243*K1206</f>
        <v>0</v>
      </c>
      <c r="L1243" s="92"/>
      <c r="M1243" s="44"/>
      <c r="N1243" s="44"/>
      <c r="O1243" s="44"/>
      <c r="P1243" s="44"/>
      <c r="Q1243" s="44"/>
      <c r="R1243" s="84"/>
      <c r="S1243" s="47"/>
      <c r="T1243" s="47"/>
    </row>
    <row r="1244" s="27" customFormat="1" ht="18" customHeight="1" spans="1:20">
      <c r="A1244" s="34"/>
      <c r="B1244" s="48">
        <v>25</v>
      </c>
      <c r="C1244" s="48"/>
      <c r="D1244" s="88"/>
      <c r="E1244" s="72"/>
      <c r="F1244" s="77"/>
      <c r="G1244" s="89"/>
      <c r="H1244" s="74"/>
      <c r="I1244" s="74"/>
      <c r="J1244" s="51"/>
      <c r="K1244" s="75"/>
      <c r="L1244" s="92"/>
      <c r="M1244" s="44"/>
      <c r="N1244" s="44"/>
      <c r="O1244" s="44"/>
      <c r="P1244" s="44"/>
      <c r="Q1244" s="44"/>
      <c r="R1244" s="84"/>
      <c r="S1244" s="47"/>
      <c r="T1244" s="47"/>
    </row>
    <row r="1245" s="27" customFormat="1" ht="18" customHeight="1" spans="1:20">
      <c r="A1245" s="34"/>
      <c r="B1245" s="48">
        <v>26</v>
      </c>
      <c r="C1245" s="48"/>
      <c r="D1245" s="88" t="s">
        <v>441</v>
      </c>
      <c r="E1245" s="72" t="s">
        <v>43</v>
      </c>
      <c r="F1245" s="77"/>
      <c r="G1245" s="72">
        <v>1</v>
      </c>
      <c r="H1245" s="74">
        <v>1</v>
      </c>
      <c r="I1245" s="74">
        <f>+辅材及安装费!$E$19</f>
        <v>10</v>
      </c>
      <c r="J1245" s="51">
        <f>H1245*I1245</f>
        <v>10</v>
      </c>
      <c r="K1245" s="75"/>
      <c r="L1245" s="92"/>
      <c r="M1245" s="44"/>
      <c r="N1245" s="44"/>
      <c r="O1245" s="44"/>
      <c r="P1245" s="44"/>
      <c r="Q1245" s="44"/>
      <c r="R1245" s="62"/>
      <c r="S1245" s="47"/>
      <c r="T1245" s="47"/>
    </row>
    <row r="1246" s="27" customFormat="1" ht="18" customHeight="1" spans="1:20">
      <c r="A1246" s="34"/>
      <c r="B1246" s="48">
        <v>27</v>
      </c>
      <c r="C1246" s="48"/>
      <c r="D1246" s="93" t="s">
        <v>442</v>
      </c>
      <c r="E1246" s="72"/>
      <c r="F1246" s="77"/>
      <c r="G1246" s="72"/>
      <c r="H1246" s="74"/>
      <c r="I1246" s="74"/>
      <c r="J1246" s="51">
        <f>SUM(J1220:J1245)</f>
        <v>1923.15924299217</v>
      </c>
      <c r="K1246" s="75"/>
      <c r="L1246" s="94"/>
      <c r="N1246" s="83"/>
      <c r="O1246" s="83"/>
      <c r="P1246" s="83"/>
      <c r="Q1246" s="83"/>
      <c r="R1246" s="87"/>
      <c r="S1246" s="47"/>
      <c r="T1246" s="47"/>
    </row>
    <row r="1247" s="27" customFormat="1" ht="18" customHeight="1" spans="1:20">
      <c r="A1247" s="34"/>
      <c r="B1247" s="48">
        <v>1</v>
      </c>
      <c r="C1247" s="48" t="s">
        <v>443</v>
      </c>
      <c r="D1247" s="48" t="s">
        <v>444</v>
      </c>
      <c r="E1247" s="72" t="s">
        <v>43</v>
      </c>
      <c r="F1247" s="50"/>
      <c r="G1247" s="48"/>
      <c r="H1247" s="51">
        <v>1</v>
      </c>
      <c r="I1247" s="74">
        <f>+辅材及安装费!$F$19</f>
        <v>5</v>
      </c>
      <c r="J1247" s="95">
        <f>H1247*I1247</f>
        <v>5</v>
      </c>
      <c r="K1247" s="60"/>
      <c r="L1247" s="96"/>
      <c r="M1247" s="97"/>
      <c r="N1247" s="98"/>
      <c r="O1247" s="98"/>
      <c r="P1247" s="98"/>
      <c r="Q1247" s="98"/>
      <c r="R1247" s="99"/>
      <c r="S1247" s="47"/>
      <c r="T1247" s="47"/>
    </row>
    <row r="1248" s="26" customFormat="1" ht="30" customHeight="1" spans="1:20">
      <c r="A1248" s="28"/>
      <c r="B1248" s="29" t="s">
        <v>386</v>
      </c>
      <c r="C1248" s="29"/>
      <c r="D1248" s="29"/>
      <c r="E1248" s="29"/>
      <c r="F1248" s="29"/>
      <c r="G1248" s="29"/>
      <c r="H1248" s="29"/>
      <c r="I1248" s="29"/>
      <c r="J1248" s="29"/>
      <c r="K1248" s="29"/>
      <c r="L1248" s="30"/>
      <c r="M1248" s="31"/>
      <c r="N1248" s="31"/>
      <c r="O1248" s="31"/>
      <c r="P1248" s="31"/>
      <c r="Q1248" s="31"/>
      <c r="R1248" s="32"/>
      <c r="S1248" s="33"/>
      <c r="T1248" s="33"/>
    </row>
    <row r="1249" s="27" customFormat="1" ht="41" customHeight="1" spans="1:21">
      <c r="A1249" s="34">
        <v>30</v>
      </c>
      <c r="B1249" s="35" t="s">
        <v>1</v>
      </c>
      <c r="C1249" s="35" t="s">
        <v>387</v>
      </c>
      <c r="D1249" s="36" t="str">
        <f>+A1257</f>
        <v>二层明框玻璃幕墙（10Low-E(双银)+12A+10㎜全超白钢化中空玻璃）</v>
      </c>
      <c r="E1249" s="37"/>
      <c r="F1249" s="38" t="s">
        <v>225</v>
      </c>
      <c r="G1249" s="39"/>
      <c r="H1249" s="35" t="s">
        <v>388</v>
      </c>
      <c r="I1249" s="40" t="s">
        <v>389</v>
      </c>
      <c r="J1249" s="41" t="s">
        <v>37</v>
      </c>
      <c r="K1249" s="42">
        <f ca="1">VLOOKUP(A1249,'商业工程量清单 '!$A$4:$D$44,4,FALSE)</f>
        <v>105.82985</v>
      </c>
      <c r="L1249" s="43"/>
      <c r="M1249" s="44"/>
      <c r="N1249" s="44"/>
      <c r="O1249" s="44"/>
      <c r="P1249" s="45"/>
      <c r="Q1249" s="44"/>
      <c r="R1249" s="46"/>
      <c r="S1249" s="47"/>
      <c r="T1249" s="47"/>
    </row>
    <row r="1250" s="27" customFormat="1" ht="25" customHeight="1" spans="1:21">
      <c r="A1250" s="34"/>
      <c r="B1250" s="48">
        <v>1</v>
      </c>
      <c r="C1250" s="49" t="s">
        <v>390</v>
      </c>
      <c r="D1250" s="48" t="s">
        <v>391</v>
      </c>
      <c r="E1250" s="48"/>
      <c r="F1250" s="50"/>
      <c r="G1250" s="48"/>
      <c r="H1250" s="51"/>
      <c r="I1250" s="52">
        <f>J1262</f>
        <v>170</v>
      </c>
      <c r="J1250" s="53" t="s">
        <v>392</v>
      </c>
      <c r="K1250" s="54"/>
      <c r="L1250" s="55" t="s">
        <v>1036</v>
      </c>
      <c r="M1250" s="56"/>
      <c r="N1250" s="57"/>
      <c r="O1250" s="57">
        <f>11.4-1.8+1.85+1.08</f>
        <v>12.53</v>
      </c>
      <c r="P1250" s="57">
        <v>2.345</v>
      </c>
      <c r="Q1250" s="57">
        <v>1</v>
      </c>
      <c r="R1250" s="58">
        <f>+Q1250*P1250*O1250</f>
        <v>29.38285</v>
      </c>
      <c r="S1250" s="47"/>
      <c r="T1250" s="47"/>
    </row>
    <row r="1251" s="27" customFormat="1" ht="18" customHeight="1" spans="1:21">
      <c r="A1251" s="34"/>
      <c r="B1251" s="48">
        <v>2</v>
      </c>
      <c r="C1251" s="59"/>
      <c r="D1251" s="48" t="s">
        <v>394</v>
      </c>
      <c r="E1251" s="48"/>
      <c r="F1251" s="50"/>
      <c r="G1251" s="48"/>
      <c r="H1251" s="51"/>
      <c r="I1251" s="52">
        <f>J1289</f>
        <v>507.067934361853</v>
      </c>
      <c r="J1251" s="53" t="s">
        <v>392</v>
      </c>
      <c r="K1251" s="60"/>
      <c r="L1251" s="61"/>
      <c r="M1251" s="44"/>
      <c r="N1251" s="44"/>
      <c r="O1251" s="44"/>
      <c r="P1251" s="44"/>
      <c r="Q1251" s="44"/>
      <c r="R1251" s="62"/>
      <c r="S1251" s="47"/>
      <c r="T1251" s="47"/>
    </row>
    <row r="1252" s="27" customFormat="1" ht="18" customHeight="1" spans="1:21">
      <c r="A1252" s="34"/>
      <c r="B1252" s="48">
        <v>3</v>
      </c>
      <c r="C1252" s="63"/>
      <c r="D1252" s="48" t="s">
        <v>395</v>
      </c>
      <c r="E1252" s="48"/>
      <c r="F1252" s="50"/>
      <c r="G1252" s="48"/>
      <c r="H1252" s="51"/>
      <c r="I1252" s="52">
        <f>J1290</f>
        <v>5</v>
      </c>
      <c r="J1252" s="53" t="s">
        <v>392</v>
      </c>
      <c r="K1252" s="60"/>
      <c r="L1252" s="60"/>
      <c r="M1252" s="64" t="s">
        <v>396</v>
      </c>
      <c r="N1252" s="65" t="s">
        <v>397</v>
      </c>
      <c r="O1252" s="65" t="s">
        <v>398</v>
      </c>
      <c r="P1252" s="65" t="s">
        <v>399</v>
      </c>
      <c r="Q1252" s="65" t="s">
        <v>400</v>
      </c>
      <c r="R1252" s="66" t="s">
        <v>401</v>
      </c>
      <c r="S1252" s="47"/>
      <c r="T1252" s="47"/>
    </row>
    <row r="1253" s="27" customFormat="1" ht="18" customHeight="1" spans="1:21">
      <c r="A1253" s="34"/>
      <c r="B1253" s="48">
        <v>4</v>
      </c>
      <c r="C1253" s="48" t="s">
        <v>402</v>
      </c>
      <c r="D1253" s="67" t="s">
        <v>403</v>
      </c>
      <c r="E1253" s="67"/>
      <c r="F1253" s="50"/>
      <c r="G1253" s="67"/>
      <c r="H1253" s="68"/>
      <c r="I1253" s="52">
        <f>SUM(I1250:I1252)</f>
        <v>682.067934361853</v>
      </c>
      <c r="J1253" s="53" t="s">
        <v>392</v>
      </c>
      <c r="K1253" s="60"/>
      <c r="L1253" s="69" t="s">
        <v>427</v>
      </c>
      <c r="M1253" s="70" t="s">
        <v>1007</v>
      </c>
      <c r="N1253" s="34">
        <v>3.111</v>
      </c>
      <c r="O1253" s="34">
        <f>P1250</f>
        <v>2.345</v>
      </c>
      <c r="P1253" s="34">
        <v>7</v>
      </c>
      <c r="Q1253" s="44">
        <f t="shared" ref="Q1253:Q1263" si="199">+P1253*O1253*N1253</f>
        <v>51.067065</v>
      </c>
      <c r="R1253" s="71">
        <f>+Q1253/R1250</f>
        <v>1.73798882681564</v>
      </c>
      <c r="S1253" s="47"/>
      <c r="T1253" s="47"/>
    </row>
    <row r="1254" s="27" customFormat="1" ht="28" customHeight="1" spans="1:21">
      <c r="A1254" s="34"/>
      <c r="B1254" s="48">
        <v>5</v>
      </c>
      <c r="C1254" s="72" t="s">
        <v>406</v>
      </c>
      <c r="D1254" s="48" t="s">
        <v>407</v>
      </c>
      <c r="E1254" s="48"/>
      <c r="F1254" s="50"/>
      <c r="G1254" s="48"/>
      <c r="H1254" s="73">
        <f>+'材料表 '!$E$178</f>
        <v>0</v>
      </c>
      <c r="I1254" s="52">
        <f>H1254*I1253</f>
        <v>0</v>
      </c>
      <c r="J1254" s="53" t="s">
        <v>392</v>
      </c>
      <c r="K1254" s="60"/>
      <c r="L1254" s="69" t="s">
        <v>429</v>
      </c>
      <c r="M1254" s="70" t="s">
        <v>1037</v>
      </c>
      <c r="N1254" s="34">
        <v>3.063</v>
      </c>
      <c r="O1254" s="100">
        <f>O1253/0.3*0.1</f>
        <v>0.781666666666667</v>
      </c>
      <c r="P1254" s="34">
        <f>P1253</f>
        <v>7</v>
      </c>
      <c r="Q1254" s="44">
        <f t="shared" si="199"/>
        <v>16.759715</v>
      </c>
      <c r="R1254" s="71">
        <f>+Q1254/R1250</f>
        <v>0.570391061452514</v>
      </c>
      <c r="S1254" s="47"/>
      <c r="T1254" s="47"/>
    </row>
    <row r="1255" s="27" customFormat="1" ht="18" customHeight="1" spans="1:21">
      <c r="A1255" s="34"/>
      <c r="B1255" s="48">
        <v>6</v>
      </c>
      <c r="C1255" s="48" t="s">
        <v>409</v>
      </c>
      <c r="D1255" s="48" t="s">
        <v>410</v>
      </c>
      <c r="E1255" s="48"/>
      <c r="F1255" s="50"/>
      <c r="G1255" s="48"/>
      <c r="H1255" s="73">
        <f>+'材料表 '!$E$179</f>
        <v>0</v>
      </c>
      <c r="I1255" s="52">
        <f>H1255*I1253</f>
        <v>0</v>
      </c>
      <c r="J1255" s="74" t="s">
        <v>392</v>
      </c>
      <c r="K1255" s="75"/>
      <c r="L1255" s="69" t="s">
        <v>447</v>
      </c>
      <c r="M1255" s="70" t="s">
        <v>1038</v>
      </c>
      <c r="N1255" s="34">
        <f>1.041+0.104</f>
        <v>1.145</v>
      </c>
      <c r="O1255" s="34">
        <f>O1253</f>
        <v>2.345</v>
      </c>
      <c r="P1255" s="34">
        <f>P1253</f>
        <v>7</v>
      </c>
      <c r="Q1255" s="44">
        <f t="shared" si="199"/>
        <v>18.795175</v>
      </c>
      <c r="R1255" s="71">
        <f>+Q1255/R1250</f>
        <v>0.639664804469274</v>
      </c>
      <c r="S1255" s="47">
        <v>0.172</v>
      </c>
      <c r="T1255" s="47">
        <f>O1255*P1255*S1255</f>
        <v>2.82338</v>
      </c>
      <c r="U1255" s="76">
        <f>T1255/R1250</f>
        <v>0.0960893854748603</v>
      </c>
    </row>
    <row r="1256" s="27" customFormat="1" ht="18" customHeight="1" spans="1:21">
      <c r="A1256" s="34"/>
      <c r="B1256" s="48">
        <v>7</v>
      </c>
      <c r="C1256" s="48" t="s">
        <v>412</v>
      </c>
      <c r="D1256" s="72" t="s">
        <v>413</v>
      </c>
      <c r="E1256" s="72"/>
      <c r="F1256" s="77"/>
      <c r="G1256" s="72"/>
      <c r="H1256" s="73">
        <f>+'材料表 '!$E$180</f>
        <v>0.09</v>
      </c>
      <c r="I1256" s="52">
        <f>(I1253+I1254+I1255)*H1256</f>
        <v>61.3861140925667</v>
      </c>
      <c r="J1256" s="74" t="s">
        <v>392</v>
      </c>
      <c r="K1256" s="75"/>
      <c r="L1256" s="69" t="s">
        <v>429</v>
      </c>
      <c r="M1256" s="70" t="s">
        <v>1010</v>
      </c>
      <c r="N1256" s="102">
        <f>2.9</f>
        <v>2.9</v>
      </c>
      <c r="O1256" s="34">
        <v>0.2</v>
      </c>
      <c r="P1256" s="34">
        <f>P1253</f>
        <v>7</v>
      </c>
      <c r="Q1256" s="44">
        <f t="shared" si="199"/>
        <v>4.06</v>
      </c>
      <c r="R1256" s="71">
        <f>+Q1256/R1250</f>
        <v>0.138175840668962</v>
      </c>
      <c r="S1256" s="47"/>
      <c r="T1256" s="47"/>
    </row>
    <row r="1257" s="27" customFormat="1" ht="18" customHeight="1" spans="1:21">
      <c r="A1257" s="78" t="s">
        <v>269</v>
      </c>
      <c r="B1257" s="48">
        <v>8</v>
      </c>
      <c r="C1257" s="48" t="s">
        <v>363</v>
      </c>
      <c r="D1257" s="72" t="s">
        <v>415</v>
      </c>
      <c r="E1257" s="72"/>
      <c r="F1257" s="77"/>
      <c r="G1257" s="72"/>
      <c r="H1257" s="51"/>
      <c r="I1257" s="74">
        <f>SUM(I1253:I1256)</f>
        <v>743.45404845442</v>
      </c>
      <c r="J1257" s="74" t="s">
        <v>416</v>
      </c>
      <c r="K1257" s="75"/>
      <c r="L1257" s="69" t="s">
        <v>429</v>
      </c>
      <c r="M1257" s="70" t="s">
        <v>1040</v>
      </c>
      <c r="N1257" s="34">
        <v>0.733</v>
      </c>
      <c r="O1257" s="100">
        <f>O1254*2</f>
        <v>1.56333333333333</v>
      </c>
      <c r="P1257" s="34">
        <f>P1253</f>
        <v>7</v>
      </c>
      <c r="Q1257" s="44">
        <f t="shared" si="199"/>
        <v>8.02146333333333</v>
      </c>
      <c r="R1257" s="71">
        <f>+Q1257/R1250</f>
        <v>0.272998137802607</v>
      </c>
      <c r="S1257" s="79"/>
      <c r="T1257" s="47"/>
    </row>
    <row r="1258" s="27" customFormat="1" ht="18" customHeight="1" spans="1:21">
      <c r="A1258" s="34"/>
      <c r="B1258" s="48" t="s">
        <v>418</v>
      </c>
      <c r="C1258" s="48"/>
      <c r="D1258" s="48"/>
      <c r="E1258" s="48"/>
      <c r="F1258" s="48"/>
      <c r="G1258" s="48"/>
      <c r="H1258" s="48"/>
      <c r="I1258" s="48"/>
      <c r="J1258" s="48"/>
      <c r="K1258" s="80"/>
      <c r="L1258" s="69" t="s">
        <v>404</v>
      </c>
      <c r="M1258" s="70" t="s">
        <v>1041</v>
      </c>
      <c r="N1258" s="34">
        <v>3.727</v>
      </c>
      <c r="O1258" s="34">
        <f>O1250</f>
        <v>12.53</v>
      </c>
      <c r="P1258" s="34">
        <v>1.5</v>
      </c>
      <c r="Q1258" s="44">
        <f t="shared" si="199"/>
        <v>70.048965</v>
      </c>
      <c r="R1258" s="71">
        <f>+Q1258/R1250</f>
        <v>2.38400852878465</v>
      </c>
      <c r="S1258" s="47"/>
      <c r="T1258" s="47"/>
      <c r="U1258" s="76"/>
    </row>
    <row r="1259" s="27" customFormat="1" ht="18" customHeight="1" spans="1:21">
      <c r="A1259" s="34"/>
      <c r="B1259" s="48">
        <v>1</v>
      </c>
      <c r="C1259" s="48" t="s">
        <v>391</v>
      </c>
      <c r="D1259" s="48" t="s">
        <v>396</v>
      </c>
      <c r="E1259" s="48" t="s">
        <v>37</v>
      </c>
      <c r="F1259" s="50"/>
      <c r="G1259" s="48"/>
      <c r="H1259" s="51" t="s">
        <v>399</v>
      </c>
      <c r="I1259" s="51" t="s">
        <v>420</v>
      </c>
      <c r="J1259" s="51" t="s">
        <v>421</v>
      </c>
      <c r="K1259" s="43"/>
      <c r="L1259" s="69" t="s">
        <v>429</v>
      </c>
      <c r="M1259" s="81" t="s">
        <v>1027</v>
      </c>
      <c r="N1259" s="82">
        <v>0.604</v>
      </c>
      <c r="O1259" s="34">
        <f>O1258</f>
        <v>12.53</v>
      </c>
      <c r="P1259" s="34">
        <f>P1258</f>
        <v>1.5</v>
      </c>
      <c r="Q1259" s="44">
        <f t="shared" si="199"/>
        <v>11.35218</v>
      </c>
      <c r="R1259" s="71">
        <f>+Q1259/R1250</f>
        <v>0.3863539445629</v>
      </c>
      <c r="S1259" s="47"/>
      <c r="T1259" s="47"/>
    </row>
    <row r="1260" s="27" customFormat="1" ht="18" customHeight="1" spans="1:21">
      <c r="A1260" s="34"/>
      <c r="B1260" s="48">
        <v>2</v>
      </c>
      <c r="C1260" s="48"/>
      <c r="D1260" s="48" t="s">
        <v>967</v>
      </c>
      <c r="E1260" s="72" t="s">
        <v>423</v>
      </c>
      <c r="F1260" s="50"/>
      <c r="G1260" s="48"/>
      <c r="H1260" s="51">
        <v>1</v>
      </c>
      <c r="I1260" s="51">
        <f>+辅材及安装费!$G$19</f>
        <v>170</v>
      </c>
      <c r="J1260" s="51">
        <f t="shared" ref="J1260:J1268" si="200">H1260*I1260</f>
        <v>170</v>
      </c>
      <c r="K1260" s="43"/>
      <c r="L1260" s="69" t="s">
        <v>447</v>
      </c>
      <c r="M1260" s="70" t="s">
        <v>1038</v>
      </c>
      <c r="N1260" s="83">
        <v>0.977</v>
      </c>
      <c r="O1260" s="34">
        <f>O1258</f>
        <v>12.53</v>
      </c>
      <c r="P1260" s="34">
        <v>0.5</v>
      </c>
      <c r="Q1260" s="44">
        <f t="shared" si="199"/>
        <v>6.120905</v>
      </c>
      <c r="R1260" s="84">
        <f>+Q1260/R1250</f>
        <v>0.208315565031983</v>
      </c>
      <c r="S1260" s="47">
        <v>0.185</v>
      </c>
      <c r="T1260" s="47">
        <f t="shared" ref="T1260:T1263" si="201">O1260*P1260*S1260</f>
        <v>1.159025</v>
      </c>
      <c r="U1260" s="103">
        <f>T1260/R1250</f>
        <v>0.0394456289978678</v>
      </c>
    </row>
    <row r="1261" s="27" customFormat="1" ht="18" customHeight="1" spans="1:21">
      <c r="A1261" s="34"/>
      <c r="B1261" s="48">
        <v>3</v>
      </c>
      <c r="C1261" s="48"/>
      <c r="D1261" s="48"/>
      <c r="E1261" s="72"/>
      <c r="F1261" s="50"/>
      <c r="G1261" s="48"/>
      <c r="H1261" s="51"/>
      <c r="I1261" s="51"/>
      <c r="J1261" s="51"/>
      <c r="K1261" s="43"/>
      <c r="L1261" s="69" t="s">
        <v>429</v>
      </c>
      <c r="M1261" s="81" t="s">
        <v>1042</v>
      </c>
      <c r="N1261" s="82">
        <v>0.687</v>
      </c>
      <c r="O1261" s="44">
        <f>0.1</f>
        <v>0.1</v>
      </c>
      <c r="P1261" s="34">
        <f>6*2</f>
        <v>12</v>
      </c>
      <c r="Q1261" s="44">
        <f t="shared" si="199"/>
        <v>0.8244</v>
      </c>
      <c r="R1261" s="84">
        <f>+Q1261/R1250</f>
        <v>0.0280571830166236</v>
      </c>
      <c r="S1261" s="47"/>
      <c r="T1261" s="47"/>
    </row>
    <row r="1262" s="27" customFormat="1" ht="18" customHeight="1" spans="1:21">
      <c r="A1262" s="34"/>
      <c r="B1262" s="48">
        <v>4</v>
      </c>
      <c r="C1262" s="48"/>
      <c r="D1262" s="85" t="s">
        <v>426</v>
      </c>
      <c r="E1262" s="48" t="s">
        <v>392</v>
      </c>
      <c r="F1262" s="50"/>
      <c r="G1262" s="48"/>
      <c r="H1262" s="86"/>
      <c r="I1262" s="86"/>
      <c r="J1262" s="51">
        <f>SUM(J1260:J1260)</f>
        <v>170</v>
      </c>
      <c r="K1262" s="75"/>
      <c r="L1262" s="69" t="s">
        <v>447</v>
      </c>
      <c r="M1262" s="70" t="s">
        <v>1038</v>
      </c>
      <c r="N1262" s="34">
        <f>0.624*2.71+0.022*2.71</f>
        <v>1.75066</v>
      </c>
      <c r="O1262" s="34">
        <f>O1250</f>
        <v>12.53</v>
      </c>
      <c r="P1262" s="34">
        <v>1</v>
      </c>
      <c r="Q1262" s="44">
        <f t="shared" si="199"/>
        <v>21.9357698</v>
      </c>
      <c r="R1262" s="71">
        <f>+Q1262/R1250</f>
        <v>0.746550106609808</v>
      </c>
      <c r="S1262" s="47">
        <f>0.251+0.045</f>
        <v>0.296</v>
      </c>
      <c r="T1262" s="47">
        <f t="shared" si="201"/>
        <v>3.70888</v>
      </c>
      <c r="U1262" s="76">
        <f>T1262/R1250</f>
        <v>0.126226012793177</v>
      </c>
    </row>
    <row r="1263" s="27" customFormat="1" ht="23" customHeight="1" spans="1:21">
      <c r="A1263" s="34"/>
      <c r="B1263" s="48">
        <v>1</v>
      </c>
      <c r="C1263" s="48" t="s">
        <v>394</v>
      </c>
      <c r="D1263" s="88" t="s">
        <v>427</v>
      </c>
      <c r="E1263" s="72" t="str">
        <f>+VLOOKUP(D1263,'材料表 '!C:F,2,0)</f>
        <v>kg</v>
      </c>
      <c r="F1263" s="77">
        <f>+SUMIF($L$1250:$L$1290,D1263,$R$1250:$R$1290)</f>
        <v>1.73798882681564</v>
      </c>
      <c r="G1263" s="89">
        <f>+VLOOKUP(D1263,'材料表 '!C:F,4,0)</f>
        <v>0.03</v>
      </c>
      <c r="H1263" s="74">
        <f t="shared" ref="H1263:H1268" si="202">F1263*(G1263+1)</f>
        <v>1.79012849162011</v>
      </c>
      <c r="I1263" s="74">
        <f>+VLOOKUP(D1263,'材料表 '!C:F,3,0)</f>
        <v>25.8495575221239</v>
      </c>
      <c r="J1263" s="51">
        <f t="shared" si="200"/>
        <v>46.2740294161269</v>
      </c>
      <c r="K1263" s="75">
        <f ca="1">H1263*K1249</f>
        <v>189.449029748883</v>
      </c>
      <c r="L1263" s="69" t="s">
        <v>447</v>
      </c>
      <c r="M1263" s="70" t="s">
        <v>1049</v>
      </c>
      <c r="N1263" s="34">
        <f>0.074*2.71</f>
        <v>0.20054</v>
      </c>
      <c r="O1263" s="34">
        <v>0</v>
      </c>
      <c r="P1263" s="34">
        <v>1</v>
      </c>
      <c r="Q1263" s="44">
        <f t="shared" si="199"/>
        <v>0</v>
      </c>
      <c r="R1263" s="71">
        <f>+Q1263/R1250</f>
        <v>0</v>
      </c>
      <c r="S1263" s="47">
        <f>0.048</f>
        <v>0.048</v>
      </c>
      <c r="T1263" s="47">
        <f t="shared" si="201"/>
        <v>0</v>
      </c>
      <c r="U1263" s="76">
        <f>T1263/R1250</f>
        <v>0</v>
      </c>
    </row>
    <row r="1264" s="27" customFormat="1" ht="18" customHeight="1" spans="1:21">
      <c r="A1264" s="34"/>
      <c r="B1264" s="48">
        <v>2</v>
      </c>
      <c r="C1264" s="48"/>
      <c r="D1264" s="88" t="s">
        <v>404</v>
      </c>
      <c r="E1264" s="72" t="str">
        <f>+VLOOKUP(D1264,'材料表 '!C:F,2,0)</f>
        <v>kg</v>
      </c>
      <c r="F1264" s="77">
        <f t="shared" ref="F1264:F1276" si="203">+SUMIF($L$1250:$L$1290,D1264,$R$1250:$R$1290)</f>
        <v>2.38400852878465</v>
      </c>
      <c r="G1264" s="89">
        <f>+VLOOKUP(D1264,'材料表 '!C:F,4,0)</f>
        <v>0.03</v>
      </c>
      <c r="H1264" s="74">
        <f t="shared" si="202"/>
        <v>2.45552878464819</v>
      </c>
      <c r="I1264" s="74">
        <f>+VLOOKUP(D1264,'材料表 '!C:F,3,0)</f>
        <v>25.6725663716814</v>
      </c>
      <c r="J1264" s="51">
        <f t="shared" si="200"/>
        <v>63.0397257014548</v>
      </c>
      <c r="K1264" s="75">
        <f ca="1">H1264*K1249</f>
        <v>259.86824295</v>
      </c>
      <c r="L1264" s="69"/>
      <c r="M1264" s="70"/>
      <c r="N1264" s="83"/>
      <c r="O1264" s="83"/>
      <c r="P1264" s="83"/>
      <c r="Q1264" s="83"/>
      <c r="R1264" s="87"/>
      <c r="S1264" s="47"/>
      <c r="T1264" s="34"/>
    </row>
    <row r="1265" s="27" customFormat="1" ht="18" customHeight="1" spans="1:20">
      <c r="A1265" s="34"/>
      <c r="B1265" s="48">
        <v>3</v>
      </c>
      <c r="C1265" s="48"/>
      <c r="D1265" s="88" t="s">
        <v>433</v>
      </c>
      <c r="E1265" s="72" t="str">
        <f>+VLOOKUP(D1265,'材料表 '!C:F,2,0)</f>
        <v>kg</v>
      </c>
      <c r="F1265" s="77">
        <f t="shared" si="203"/>
        <v>0</v>
      </c>
      <c r="G1265" s="89">
        <f>+VLOOKUP(D1265,'材料表 '!C:F,4,0)</f>
        <v>0.03</v>
      </c>
      <c r="H1265" s="74">
        <f t="shared" si="202"/>
        <v>0</v>
      </c>
      <c r="I1265" s="74">
        <f>+VLOOKUP(D1265,'材料表 '!C:F,3,0)</f>
        <v>26.1150442477876</v>
      </c>
      <c r="J1265" s="51">
        <f t="shared" si="200"/>
        <v>0</v>
      </c>
      <c r="K1265" s="75">
        <f ca="1">H1265*K1249</f>
        <v>0</v>
      </c>
      <c r="L1265" s="69"/>
      <c r="N1265" s="83"/>
      <c r="O1265" s="83"/>
      <c r="P1265" s="83"/>
      <c r="Q1265" s="83"/>
      <c r="R1265" s="87"/>
      <c r="S1265" s="47"/>
      <c r="T1265" s="47"/>
    </row>
    <row r="1266" s="27" customFormat="1" ht="18" customHeight="1" spans="1:20">
      <c r="A1266" s="34"/>
      <c r="B1266" s="48">
        <v>4</v>
      </c>
      <c r="C1266" s="48"/>
      <c r="D1266" s="88" t="s">
        <v>429</v>
      </c>
      <c r="E1266" s="72" t="str">
        <f>+VLOOKUP(D1266,'材料表 '!C:F,2,0)</f>
        <v>kg</v>
      </c>
      <c r="F1266" s="77">
        <f t="shared" si="203"/>
        <v>1.39597616750361</v>
      </c>
      <c r="G1266" s="89">
        <f>+VLOOKUP(D1266,'材料表 '!C:F,4,0)</f>
        <v>0.03</v>
      </c>
      <c r="H1266" s="74">
        <f t="shared" si="202"/>
        <v>1.43785545252872</v>
      </c>
      <c r="I1266" s="74">
        <f>+VLOOKUP(D1266,'材料表 '!C:F,3,0)</f>
        <v>26.1150442477876</v>
      </c>
      <c r="J1266" s="51">
        <f t="shared" si="200"/>
        <v>37.5496587647101</v>
      </c>
      <c r="K1266" s="75">
        <f ca="1">H1266*K1249</f>
        <v>152.168026862797</v>
      </c>
      <c r="L1266" s="90" t="s">
        <v>707</v>
      </c>
      <c r="M1266" s="44"/>
      <c r="N1266" s="82"/>
      <c r="O1266" s="44">
        <f>O1258*P1258</f>
        <v>18.795</v>
      </c>
      <c r="P1266" s="44">
        <v>1</v>
      </c>
      <c r="Q1266" s="44">
        <f>+P1266*O1266</f>
        <v>18.795</v>
      </c>
      <c r="R1266" s="84">
        <f>+Q1266/R1250</f>
        <v>0.639658848614072</v>
      </c>
      <c r="S1266" s="47"/>
      <c r="T1266" s="47"/>
    </row>
    <row r="1267" s="27" customFormat="1" ht="18" customHeight="1" spans="1:20">
      <c r="A1267" s="34"/>
      <c r="B1267" s="48">
        <v>5</v>
      </c>
      <c r="C1267" s="48"/>
      <c r="D1267" s="88" t="s">
        <v>447</v>
      </c>
      <c r="E1267" s="72" t="str">
        <f>+VLOOKUP(D1267,'材料表 '!C:F,2,0)</f>
        <v>kg</v>
      </c>
      <c r="F1267" s="77">
        <f t="shared" si="203"/>
        <v>1.59453047611106</v>
      </c>
      <c r="G1267" s="89">
        <f>+VLOOKUP(D1267,'材料表 '!C:F,4,0)</f>
        <v>0.03</v>
      </c>
      <c r="H1267" s="74">
        <f t="shared" si="202"/>
        <v>1.64236639039439</v>
      </c>
      <c r="I1267" s="74">
        <f>+VLOOKUP(D1267,'材料表 '!C:F,3,0)</f>
        <v>24.4336283185841</v>
      </c>
      <c r="J1267" s="51">
        <f t="shared" si="200"/>
        <v>40.1289699458312</v>
      </c>
      <c r="K1267" s="43">
        <f ca="1">H1267*K1249</f>
        <v>173.81138874048</v>
      </c>
      <c r="L1267" s="90" t="s">
        <v>435</v>
      </c>
      <c r="M1267" s="44"/>
      <c r="N1267" s="82">
        <f>0.073*1.2</f>
        <v>0.0876</v>
      </c>
      <c r="O1267" s="44">
        <f>O1253*P1253*3+O1258*P1258*4</f>
        <v>124.425</v>
      </c>
      <c r="P1267" s="44">
        <v>1</v>
      </c>
      <c r="Q1267" s="44">
        <f>+P1267*O1267</f>
        <v>124.425</v>
      </c>
      <c r="R1267" s="84">
        <f>+Q1267/R1250</f>
        <v>4.23461304808757</v>
      </c>
      <c r="S1267" s="47"/>
      <c r="T1267" s="47"/>
    </row>
    <row r="1268" s="27" customFormat="1" ht="18" customHeight="1" spans="1:20">
      <c r="A1268" s="34"/>
      <c r="B1268" s="48">
        <v>6</v>
      </c>
      <c r="C1268" s="48"/>
      <c r="D1268" s="88" t="s">
        <v>434</v>
      </c>
      <c r="E1268" s="72" t="str">
        <f>+VLOOKUP(D1268,'材料表 '!C:F,2,0)</f>
        <v>m2</v>
      </c>
      <c r="F1268" s="77">
        <f>U1255+U1260+U1262+U1263</f>
        <v>0.261761027265905</v>
      </c>
      <c r="G1268" s="89">
        <f>+VLOOKUP(D1268,'材料表 '!C:F,4,0)</f>
        <v>0</v>
      </c>
      <c r="H1268" s="74">
        <f t="shared" si="202"/>
        <v>0.261761027265905</v>
      </c>
      <c r="I1268" s="74">
        <f>+VLOOKUP(D1268,'材料表 '!C:F,3,0)</f>
        <v>49.5575221238938</v>
      </c>
      <c r="J1268" s="51">
        <f t="shared" si="200"/>
        <v>12.9722278999033</v>
      </c>
      <c r="K1268" s="43">
        <f ca="1">H1268*K1249</f>
        <v>27.7021302513966</v>
      </c>
      <c r="L1268" s="90" t="s">
        <v>463</v>
      </c>
      <c r="M1268" s="91" t="s">
        <v>1012</v>
      </c>
      <c r="N1268" s="82">
        <f>0.32*0.3*8*7.85</f>
        <v>6.0288</v>
      </c>
      <c r="O1268" s="44">
        <v>1.5</v>
      </c>
      <c r="P1268" s="44">
        <f>P1253</f>
        <v>7</v>
      </c>
      <c r="Q1268" s="44">
        <f t="shared" ref="Q1268:Q1272" si="204">+P1268*O1268*N1268</f>
        <v>63.3024</v>
      </c>
      <c r="R1268" s="84">
        <f>+Q1268/R1250</f>
        <v>2.15439959023716</v>
      </c>
      <c r="S1268" s="47"/>
      <c r="T1268" s="47"/>
    </row>
    <row r="1269" s="27" customFormat="1" ht="18" customHeight="1" spans="1:20">
      <c r="A1269" s="34"/>
      <c r="B1269" s="48">
        <v>7</v>
      </c>
      <c r="C1269" s="48"/>
      <c r="D1269" s="88"/>
      <c r="E1269" s="72"/>
      <c r="F1269" s="77">
        <f t="shared" si="203"/>
        <v>0</v>
      </c>
      <c r="G1269" s="89"/>
      <c r="H1269" s="74"/>
      <c r="I1269" s="74"/>
      <c r="J1269" s="51"/>
      <c r="K1269" s="43">
        <f ca="1">H1269*K1249</f>
        <v>0</v>
      </c>
      <c r="L1269" s="69" t="s">
        <v>465</v>
      </c>
      <c r="M1269" s="81" t="s">
        <v>1013</v>
      </c>
      <c r="N1269" s="34">
        <v>9.88</v>
      </c>
      <c r="O1269" s="34">
        <f>0.13</f>
        <v>0.13</v>
      </c>
      <c r="P1269" s="34">
        <f>2*P1268*O1268</f>
        <v>21</v>
      </c>
      <c r="Q1269" s="44">
        <f t="shared" si="204"/>
        <v>26.9724</v>
      </c>
      <c r="R1269" s="84">
        <f>Q1269/R1250</f>
        <v>0.917964050458005</v>
      </c>
      <c r="S1269" s="47"/>
      <c r="T1269" s="47"/>
    </row>
    <row r="1270" s="27" customFormat="1" ht="18" customHeight="1" spans="1:20">
      <c r="A1270" s="34"/>
      <c r="B1270" s="48">
        <v>8</v>
      </c>
      <c r="C1270" s="48"/>
      <c r="D1270" s="88" t="s">
        <v>431</v>
      </c>
      <c r="E1270" s="72" t="str">
        <f>+VLOOKUP(D1270,'材料表 '!C:F,2,0)</f>
        <v>kg</v>
      </c>
      <c r="F1270" s="77">
        <f t="shared" si="203"/>
        <v>0</v>
      </c>
      <c r="G1270" s="89">
        <f>+VLOOKUP(D1270,'材料表 '!C:F,4,0)</f>
        <v>0.03</v>
      </c>
      <c r="H1270" s="74">
        <f t="shared" ref="H1270:H1282" si="205">F1270*(G1270+1)</f>
        <v>0</v>
      </c>
      <c r="I1270" s="74">
        <f>+VLOOKUP(D1270,'材料表 '!C:F,3,0)</f>
        <v>3.80530973451327</v>
      </c>
      <c r="J1270" s="51">
        <f t="shared" ref="J1270:J1282" si="206">H1270*I1270</f>
        <v>0</v>
      </c>
      <c r="K1270" s="43">
        <f ca="1">H1270*K1249</f>
        <v>0</v>
      </c>
      <c r="L1270" s="90" t="s">
        <v>474</v>
      </c>
      <c r="M1270" s="44"/>
      <c r="N1270" s="82"/>
      <c r="O1270" s="44">
        <v>4</v>
      </c>
      <c r="P1270" s="44">
        <f>O1268*P1268</f>
        <v>10.5</v>
      </c>
      <c r="Q1270" s="44">
        <f>O1270*P1270</f>
        <v>42</v>
      </c>
      <c r="R1270" s="84">
        <f>Q1270/R1250</f>
        <v>1.4294052482996</v>
      </c>
      <c r="S1270" s="47"/>
      <c r="T1270" s="47"/>
    </row>
    <row r="1271" s="27" customFormat="1" ht="18" customHeight="1" spans="1:20">
      <c r="A1271" s="34"/>
      <c r="B1271" s="48">
        <v>9</v>
      </c>
      <c r="C1271" s="48"/>
      <c r="D1271" s="88" t="s">
        <v>461</v>
      </c>
      <c r="E1271" s="72" t="str">
        <f>+VLOOKUP(D1271,'材料表 '!C:F,2,0)</f>
        <v>kg</v>
      </c>
      <c r="F1271" s="77">
        <f t="shared" si="203"/>
        <v>0</v>
      </c>
      <c r="G1271" s="89">
        <f>+VLOOKUP(D1271,'材料表 '!C:F,4,0)</f>
        <v>0.03</v>
      </c>
      <c r="H1271" s="74">
        <f t="shared" si="205"/>
        <v>0</v>
      </c>
      <c r="I1271" s="74">
        <f>+VLOOKUP(D1271,'材料表 '!C:F,3,0)</f>
        <v>3.53982300884956</v>
      </c>
      <c r="J1271" s="51">
        <f t="shared" si="206"/>
        <v>0</v>
      </c>
      <c r="K1271" s="43">
        <f ca="1">H1271*K1249</f>
        <v>0</v>
      </c>
      <c r="L1271" s="90" t="s">
        <v>472</v>
      </c>
      <c r="M1271" s="91"/>
      <c r="N1271" s="82"/>
      <c r="O1271" s="44">
        <v>2</v>
      </c>
      <c r="P1271" s="44">
        <f>O1268*P1268</f>
        <v>10.5</v>
      </c>
      <c r="Q1271" s="44">
        <f>O1271*P1271</f>
        <v>21</v>
      </c>
      <c r="R1271" s="84">
        <f>Q1271/R1250</f>
        <v>0.714702624149802</v>
      </c>
      <c r="S1271" s="47"/>
      <c r="T1271" s="47"/>
    </row>
    <row r="1272" s="27" customFormat="1" ht="18" customHeight="1" spans="1:20">
      <c r="A1272" s="34"/>
      <c r="B1272" s="48">
        <v>10</v>
      </c>
      <c r="C1272" s="48"/>
      <c r="D1272" s="88" t="s">
        <v>435</v>
      </c>
      <c r="E1272" s="72" t="str">
        <f>+VLOOKUP(D1272,'材料表 '!C:F,2,0)</f>
        <v>kg</v>
      </c>
      <c r="F1272" s="77">
        <f t="shared" si="203"/>
        <v>4.23461304808757</v>
      </c>
      <c r="G1272" s="89">
        <f>+VLOOKUP(D1272,'材料表 '!C:F,4,0)</f>
        <v>0.03</v>
      </c>
      <c r="H1272" s="74">
        <f t="shared" si="205"/>
        <v>4.3616514395302</v>
      </c>
      <c r="I1272" s="74">
        <f>+VLOOKUP(D1272,'材料表 '!C:F,3,0)</f>
        <v>19.4690265486726</v>
      </c>
      <c r="J1272" s="51">
        <f t="shared" si="206"/>
        <v>84.9171076722695</v>
      </c>
      <c r="K1272" s="43">
        <f ca="1">H1272*K1249</f>
        <v>461.592917597765</v>
      </c>
      <c r="L1272" s="69" t="s">
        <v>465</v>
      </c>
      <c r="M1272" s="91"/>
      <c r="N1272" s="82">
        <f>(0.058+0.04*2)*5*7.85</f>
        <v>5.4165</v>
      </c>
      <c r="O1272" s="44">
        <v>0</v>
      </c>
      <c r="P1272" s="44">
        <v>1</v>
      </c>
      <c r="Q1272" s="44">
        <f t="shared" si="204"/>
        <v>0</v>
      </c>
      <c r="R1272" s="84">
        <f>+Q1272/R1250</f>
        <v>0</v>
      </c>
      <c r="S1272" s="47"/>
      <c r="T1272" s="47"/>
    </row>
    <row r="1273" s="27" customFormat="1" ht="18" customHeight="1" spans="1:20">
      <c r="A1273" s="34"/>
      <c r="B1273" s="48">
        <v>11</v>
      </c>
      <c r="C1273" s="48"/>
      <c r="D1273" s="88" t="s">
        <v>463</v>
      </c>
      <c r="E1273" s="72" t="str">
        <f>+VLOOKUP(D1273,'材料表 '!C:F,2,0)</f>
        <v>kg</v>
      </c>
      <c r="F1273" s="77">
        <f t="shared" si="203"/>
        <v>2.15439959023716</v>
      </c>
      <c r="G1273" s="89">
        <f>+VLOOKUP(D1273,'材料表 '!C:F,4,0)</f>
        <v>0.03</v>
      </c>
      <c r="H1273" s="74">
        <f t="shared" si="205"/>
        <v>2.21903157794427</v>
      </c>
      <c r="I1273" s="74">
        <f>+VLOOKUP(D1273,'材料表 '!C:F,3,0)</f>
        <v>6.01769911504425</v>
      </c>
      <c r="J1273" s="51">
        <f t="shared" si="206"/>
        <v>13.3534643628505</v>
      </c>
      <c r="K1273" s="43">
        <f ca="1">H1273*K1249</f>
        <v>234.839779039105</v>
      </c>
      <c r="L1273" s="69" t="s">
        <v>461</v>
      </c>
      <c r="N1273" s="83"/>
      <c r="O1273" s="83"/>
      <c r="P1273" s="83"/>
      <c r="Q1273" s="83"/>
      <c r="R1273" s="84"/>
      <c r="S1273" s="47"/>
      <c r="T1273" s="47"/>
    </row>
    <row r="1274" s="27" customFormat="1" ht="18" customHeight="1" spans="1:20">
      <c r="A1274" s="34"/>
      <c r="B1274" s="48">
        <v>12</v>
      </c>
      <c r="C1274" s="48"/>
      <c r="D1274" s="88" t="s">
        <v>465</v>
      </c>
      <c r="E1274" s="72" t="str">
        <f>+VLOOKUP(D1274,'材料表 '!C:F,2,0)</f>
        <v>kg</v>
      </c>
      <c r="F1274" s="77">
        <f t="shared" si="203"/>
        <v>0.917964050458005</v>
      </c>
      <c r="G1274" s="89">
        <f>+VLOOKUP(D1274,'材料表 '!C:F,4,0)</f>
        <v>0.03</v>
      </c>
      <c r="H1274" s="74">
        <f t="shared" si="205"/>
        <v>0.945502971971745</v>
      </c>
      <c r="I1274" s="74">
        <f>+VLOOKUP(D1274,'材料表 '!C:F,3,0)</f>
        <v>6.01769911504425</v>
      </c>
      <c r="J1274" s="51">
        <f t="shared" si="206"/>
        <v>5.68975239770608</v>
      </c>
      <c r="K1274" s="43">
        <f ca="1">H1274*K1249</f>
        <v>100.062437698324</v>
      </c>
      <c r="L1274" s="90"/>
      <c r="M1274" s="44"/>
      <c r="N1274" s="82"/>
      <c r="O1274" s="44"/>
      <c r="P1274" s="44"/>
      <c r="Q1274" s="44"/>
      <c r="R1274" s="84"/>
      <c r="S1274" s="47"/>
      <c r="T1274" s="47"/>
    </row>
    <row r="1275" s="27" customFormat="1" ht="18" customHeight="1" spans="1:20">
      <c r="A1275" s="34"/>
      <c r="B1275" s="48">
        <v>13</v>
      </c>
      <c r="C1275" s="48"/>
      <c r="D1275" s="88" t="s">
        <v>474</v>
      </c>
      <c r="E1275" s="72" t="str">
        <f>+VLOOKUP(D1275,'材料表 '!C:F,2,0)</f>
        <v>套</v>
      </c>
      <c r="F1275" s="77">
        <f t="shared" si="203"/>
        <v>1.4294052482996</v>
      </c>
      <c r="G1275" s="89">
        <f>+VLOOKUP(D1275,'材料表 '!C:F,4,0)</f>
        <v>0</v>
      </c>
      <c r="H1275" s="74">
        <f t="shared" si="205"/>
        <v>1.4294052482996</v>
      </c>
      <c r="I1275" s="74">
        <f>+VLOOKUP(D1275,'材料表 '!C:F,3,0)</f>
        <v>2.21238938053097</v>
      </c>
      <c r="J1275" s="51">
        <f t="shared" si="206"/>
        <v>3.16240099181327</v>
      </c>
      <c r="K1275" s="43">
        <f ca="1">H1275*K1249</f>
        <v>151.273743016759</v>
      </c>
      <c r="L1275" s="90"/>
      <c r="M1275" s="44"/>
      <c r="N1275" s="82"/>
      <c r="O1275" s="44"/>
      <c r="P1275" s="44"/>
      <c r="Q1275" s="44"/>
      <c r="R1275" s="84"/>
      <c r="S1275" s="47"/>
      <c r="T1275" s="47"/>
    </row>
    <row r="1276" s="27" customFormat="1" ht="18" customHeight="1" spans="1:20">
      <c r="A1276" s="34"/>
      <c r="B1276" s="48">
        <v>14</v>
      </c>
      <c r="C1276" s="48"/>
      <c r="D1276" s="88" t="s">
        <v>472</v>
      </c>
      <c r="E1276" s="72" t="str">
        <f>+VLOOKUP(D1276,'材料表 '!C:F,2,0)</f>
        <v>套</v>
      </c>
      <c r="F1276" s="77">
        <f t="shared" si="203"/>
        <v>0.714702624149802</v>
      </c>
      <c r="G1276" s="89">
        <f>+VLOOKUP(D1276,'材料表 '!C:F,4,0)</f>
        <v>0</v>
      </c>
      <c r="H1276" s="74">
        <f t="shared" si="205"/>
        <v>0.714702624149802</v>
      </c>
      <c r="I1276" s="74">
        <f>+VLOOKUP(D1276,'材料表 '!C:F,3,0)</f>
        <v>2.47787610619469</v>
      </c>
      <c r="J1276" s="51">
        <f t="shared" si="206"/>
        <v>1.77094455541544</v>
      </c>
      <c r="K1276" s="43">
        <f ca="1">H1276*K1249</f>
        <v>75.6368715083799</v>
      </c>
      <c r="L1276" s="90"/>
      <c r="M1276" s="44"/>
      <c r="N1276" s="82"/>
      <c r="O1276" s="44"/>
      <c r="P1276" s="44"/>
      <c r="Q1276" s="44"/>
      <c r="R1276" s="84"/>
      <c r="S1276" s="47"/>
      <c r="T1276" s="47"/>
    </row>
    <row r="1277" s="27" customFormat="1" ht="18" customHeight="1" spans="1:20">
      <c r="A1277" s="34"/>
      <c r="B1277" s="48">
        <v>15</v>
      </c>
      <c r="C1277" s="48"/>
      <c r="D1277" s="88" t="s">
        <v>476</v>
      </c>
      <c r="E1277" s="72" t="str">
        <f>+VLOOKUP(D1277,'材料表 '!C:F,2,0)</f>
        <v>支</v>
      </c>
      <c r="F1277" s="77">
        <f>8*8*(O1258*P1258*2)/500/R1250+16*8*(O1253*P1253+O1258*P1258)/500/R1250</f>
        <v>0.470522090266941</v>
      </c>
      <c r="G1277" s="89">
        <f>+VLOOKUP(D1277,'材料表 '!C:F,4,0)</f>
        <v>0.15</v>
      </c>
      <c r="H1277" s="74">
        <f t="shared" si="205"/>
        <v>0.541100403806982</v>
      </c>
      <c r="I1277" s="74">
        <f>+VLOOKUP(D1277,'材料表 '!C:F,3,0)</f>
        <v>11.5044247787611</v>
      </c>
      <c r="J1277" s="51">
        <f t="shared" si="206"/>
        <v>6.22504889335468</v>
      </c>
      <c r="K1277" s="43">
        <f ca="1">H1277*K1249</f>
        <v>57.2645745698323</v>
      </c>
      <c r="L1277" s="92"/>
      <c r="M1277" s="44"/>
      <c r="N1277" s="82"/>
      <c r="O1277" s="44"/>
      <c r="P1277" s="44"/>
      <c r="Q1277" s="44"/>
      <c r="R1277" s="84"/>
      <c r="S1277" s="47"/>
      <c r="T1277" s="47"/>
    </row>
    <row r="1278" s="27" customFormat="1" ht="18" customHeight="1" spans="1:20">
      <c r="A1278" s="34"/>
      <c r="B1278" s="48">
        <v>16</v>
      </c>
      <c r="C1278" s="48"/>
      <c r="D1278" s="88" t="s">
        <v>576</v>
      </c>
      <c r="E1278" s="72" t="str">
        <f>+VLOOKUP(D1278,'材料表 '!C:F,2,0)</f>
        <v>支</v>
      </c>
      <c r="F1278" s="77">
        <v>0</v>
      </c>
      <c r="G1278" s="89">
        <f>+VLOOKUP(D1278,'材料表 '!C:F,4,0)</f>
        <v>0.15</v>
      </c>
      <c r="H1278" s="74">
        <f t="shared" si="205"/>
        <v>0</v>
      </c>
      <c r="I1278" s="74">
        <f>+VLOOKUP(D1278,'材料表 '!C:F,3,0)</f>
        <v>14.1592920353982</v>
      </c>
      <c r="J1278" s="51">
        <f t="shared" si="206"/>
        <v>0</v>
      </c>
      <c r="K1278" s="43">
        <f ca="1">H1278*K1249</f>
        <v>0</v>
      </c>
      <c r="L1278" s="92"/>
      <c r="M1278" s="44"/>
      <c r="N1278" s="82"/>
      <c r="O1278" s="44"/>
      <c r="P1278" s="44"/>
      <c r="Q1278" s="44"/>
      <c r="R1278" s="84"/>
      <c r="S1278" s="47"/>
      <c r="T1278" s="47"/>
    </row>
    <row r="1279" s="27" customFormat="1" ht="18" customHeight="1" spans="1:20">
      <c r="A1279" s="34"/>
      <c r="B1279" s="48">
        <v>17</v>
      </c>
      <c r="C1279" s="48"/>
      <c r="D1279" s="88" t="s">
        <v>479</v>
      </c>
      <c r="E1279" s="72" t="str">
        <f>+VLOOKUP(D1279,'材料表 '!C:F,2,0)</f>
        <v>kg</v>
      </c>
      <c r="F1279" s="77">
        <v>0</v>
      </c>
      <c r="G1279" s="89">
        <f>+VLOOKUP(D1279,'材料表 '!C:F,4,0)</f>
        <v>0.03</v>
      </c>
      <c r="H1279" s="74">
        <f t="shared" si="205"/>
        <v>0</v>
      </c>
      <c r="I1279" s="74">
        <f>+VLOOKUP(D1279,'材料表 '!C:F,3,0)</f>
        <v>14.1592920353982</v>
      </c>
      <c r="J1279" s="51">
        <f t="shared" si="206"/>
        <v>0</v>
      </c>
      <c r="K1279" s="43">
        <f ca="1">H1279*K1249</f>
        <v>0</v>
      </c>
      <c r="L1279" s="92"/>
      <c r="M1279" s="44"/>
      <c r="N1279" s="82"/>
      <c r="O1279" s="44"/>
      <c r="P1279" s="44"/>
      <c r="Q1279" s="44"/>
      <c r="R1279" s="84"/>
      <c r="S1279" s="47"/>
      <c r="T1279" s="47"/>
    </row>
    <row r="1280" s="27" customFormat="1" ht="18" customHeight="1" spans="1:20">
      <c r="A1280" s="34"/>
      <c r="B1280" s="48">
        <v>18</v>
      </c>
      <c r="C1280" s="48"/>
      <c r="D1280" s="88" t="s">
        <v>500</v>
      </c>
      <c r="E1280" s="72" t="str">
        <f>+VLOOKUP(D1280,'材料表 '!C:F,2,0)</f>
        <v>kg</v>
      </c>
      <c r="F1280" s="77">
        <f>0</f>
        <v>0</v>
      </c>
      <c r="G1280" s="89">
        <f>+VLOOKUP(D1280,'材料表 '!C:F,4,0)</f>
        <v>0.03</v>
      </c>
      <c r="H1280" s="74">
        <f t="shared" si="205"/>
        <v>0</v>
      </c>
      <c r="I1280" s="74">
        <f>+VLOOKUP(D1280,'材料表 '!C:F,3,0)</f>
        <v>14.1592920353982</v>
      </c>
      <c r="J1280" s="51">
        <f t="shared" si="206"/>
        <v>0</v>
      </c>
      <c r="K1280" s="43">
        <f ca="1">H1280*K1249</f>
        <v>0</v>
      </c>
      <c r="L1280" s="92"/>
      <c r="M1280" s="44"/>
      <c r="N1280" s="82"/>
      <c r="O1280" s="44"/>
      <c r="P1280" s="44"/>
      <c r="Q1280" s="44"/>
      <c r="R1280" s="84"/>
      <c r="S1280" s="47"/>
      <c r="T1280" s="47"/>
    </row>
    <row r="1281" s="27" customFormat="1" ht="35" customHeight="1" spans="1:20">
      <c r="A1281" s="34"/>
      <c r="B1281" s="48">
        <v>19</v>
      </c>
      <c r="C1281" s="48"/>
      <c r="D1281" s="88" t="s">
        <v>649</v>
      </c>
      <c r="E1281" s="72" t="str">
        <f>+VLOOKUP(D1281,'材料表 '!C:F,2,0)</f>
        <v>m2</v>
      </c>
      <c r="F1281" s="77">
        <v>1</v>
      </c>
      <c r="G1281" s="89">
        <f>+VLOOKUP(D1281,'材料表 '!C:F,4,0)</f>
        <v>0.01</v>
      </c>
      <c r="H1281" s="74">
        <f t="shared" si="205"/>
        <v>1.01</v>
      </c>
      <c r="I1281" s="74">
        <f>+VLOOKUP(D1281,'材料表 '!C:F,3,0)</f>
        <v>179.646017699115</v>
      </c>
      <c r="J1281" s="51">
        <f t="shared" si="206"/>
        <v>181.442477876106</v>
      </c>
      <c r="K1281" s="43">
        <f ca="1">H1281*K1249</f>
        <v>106.8881485</v>
      </c>
      <c r="L1281" s="90"/>
      <c r="M1281" s="44"/>
      <c r="N1281" s="82"/>
      <c r="O1281" s="44"/>
      <c r="P1281" s="44"/>
      <c r="Q1281" s="44"/>
      <c r="R1281" s="84"/>
      <c r="S1281" s="47"/>
      <c r="T1281" s="47"/>
    </row>
    <row r="1282" s="27" customFormat="1" ht="21" customHeight="1" spans="1:20">
      <c r="A1282" s="34"/>
      <c r="B1282" s="48">
        <v>20</v>
      </c>
      <c r="C1282" s="48"/>
      <c r="D1282" s="88" t="s">
        <v>1043</v>
      </c>
      <c r="E1282" s="72" t="str">
        <f>+VLOOKUP(D1282,'材料表 '!C:F,2,0)</f>
        <v>套</v>
      </c>
      <c r="F1282" s="77">
        <f>P1261/R1250</f>
        <v>0.408401499514172</v>
      </c>
      <c r="G1282" s="89">
        <f>+VLOOKUP(D1282,'材料表 '!C:F,4,0)</f>
        <v>0</v>
      </c>
      <c r="H1282" s="74">
        <f t="shared" si="205"/>
        <v>0.408401499514172</v>
      </c>
      <c r="I1282" s="74">
        <f>+VLOOKUP(D1282,'材料表 '!C:F,3,0)</f>
        <v>1.32743362831858</v>
      </c>
      <c r="J1282" s="51">
        <f t="shared" si="206"/>
        <v>0.542125884310846</v>
      </c>
      <c r="K1282" s="43">
        <f ca="1">H1282*K1249</f>
        <v>43.2210694333599</v>
      </c>
      <c r="L1282" s="90"/>
      <c r="M1282" s="44"/>
      <c r="N1282" s="82"/>
      <c r="O1282" s="44"/>
      <c r="P1282" s="44"/>
      <c r="Q1282" s="44"/>
      <c r="R1282" s="84"/>
      <c r="S1282" s="47"/>
      <c r="T1282" s="47"/>
    </row>
    <row r="1283" s="27" customFormat="1" ht="18" customHeight="1" spans="1:20">
      <c r="A1283" s="34"/>
      <c r="B1283" s="48">
        <v>21</v>
      </c>
      <c r="C1283" s="48"/>
      <c r="D1283" s="88"/>
      <c r="E1283" s="72"/>
      <c r="F1283" s="77"/>
      <c r="G1283" s="89"/>
      <c r="H1283" s="74"/>
      <c r="I1283" s="74"/>
      <c r="J1283" s="51"/>
      <c r="K1283" s="43">
        <f ca="1">H1283*K1249</f>
        <v>0</v>
      </c>
      <c r="L1283" s="92"/>
      <c r="M1283" s="44"/>
      <c r="N1283" s="82"/>
      <c r="O1283" s="44"/>
      <c r="P1283" s="44"/>
      <c r="Q1283" s="44"/>
      <c r="R1283" s="84"/>
      <c r="S1283" s="47"/>
      <c r="T1283" s="47"/>
    </row>
    <row r="1284" s="27" customFormat="1" ht="18" customHeight="1" spans="1:20">
      <c r="A1284" s="34"/>
      <c r="B1284" s="48">
        <v>22</v>
      </c>
      <c r="C1284" s="48"/>
      <c r="D1284" s="88"/>
      <c r="E1284" s="72"/>
      <c r="F1284" s="77"/>
      <c r="G1284" s="89"/>
      <c r="H1284" s="74"/>
      <c r="I1284" s="74"/>
      <c r="J1284" s="51"/>
      <c r="K1284" s="43">
        <f ca="1">H1284*K1249</f>
        <v>0</v>
      </c>
      <c r="L1284" s="92"/>
      <c r="M1284" s="44"/>
      <c r="N1284" s="44"/>
      <c r="O1284" s="44"/>
      <c r="P1284" s="44"/>
      <c r="Q1284" s="44"/>
      <c r="R1284" s="84"/>
      <c r="S1284" s="47"/>
      <c r="T1284" s="47"/>
    </row>
    <row r="1285" s="27" customFormat="1" ht="18" customHeight="1" spans="1:20">
      <c r="A1285" s="34"/>
      <c r="B1285" s="48">
        <v>23</v>
      </c>
      <c r="C1285" s="48"/>
      <c r="D1285" s="88"/>
      <c r="E1285" s="72"/>
      <c r="F1285" s="77"/>
      <c r="G1285" s="89"/>
      <c r="H1285" s="74"/>
      <c r="I1285" s="74"/>
      <c r="J1285" s="51"/>
      <c r="K1285" s="75">
        <f ca="1">H1285*K1249</f>
        <v>0</v>
      </c>
      <c r="L1285" s="92"/>
      <c r="M1285" s="44"/>
      <c r="N1285" s="44"/>
      <c r="O1285" s="44"/>
      <c r="P1285" s="44"/>
      <c r="Q1285" s="44"/>
      <c r="R1285" s="84"/>
      <c r="S1285" s="47"/>
      <c r="T1285" s="47"/>
    </row>
    <row r="1286" s="27" customFormat="1" ht="18" customHeight="1" spans="1:20">
      <c r="A1286" s="34"/>
      <c r="B1286" s="48">
        <v>24</v>
      </c>
      <c r="C1286" s="48"/>
      <c r="D1286" s="88"/>
      <c r="E1286" s="72"/>
      <c r="F1286" s="77"/>
      <c r="G1286" s="89"/>
      <c r="H1286" s="74"/>
      <c r="I1286" s="74"/>
      <c r="J1286" s="51"/>
      <c r="K1286" s="75">
        <f ca="1">H1286*K1249</f>
        <v>0</v>
      </c>
      <c r="L1286" s="92"/>
      <c r="M1286" s="44"/>
      <c r="N1286" s="44"/>
      <c r="O1286" s="44"/>
      <c r="P1286" s="44"/>
      <c r="Q1286" s="44"/>
      <c r="R1286" s="84"/>
      <c r="S1286" s="47"/>
      <c r="T1286" s="47"/>
    </row>
    <row r="1287" s="27" customFormat="1" ht="18" customHeight="1" spans="1:20">
      <c r="A1287" s="34"/>
      <c r="B1287" s="48">
        <v>25</v>
      </c>
      <c r="C1287" s="48"/>
      <c r="D1287" s="88"/>
      <c r="E1287" s="72"/>
      <c r="F1287" s="77"/>
      <c r="G1287" s="89"/>
      <c r="H1287" s="74"/>
      <c r="I1287" s="74"/>
      <c r="J1287" s="51"/>
      <c r="K1287" s="75"/>
      <c r="L1287" s="92"/>
      <c r="M1287" s="44"/>
      <c r="N1287" s="44"/>
      <c r="O1287" s="44"/>
      <c r="P1287" s="44"/>
      <c r="Q1287" s="44"/>
      <c r="R1287" s="84"/>
      <c r="S1287" s="47"/>
      <c r="T1287" s="47"/>
    </row>
    <row r="1288" s="27" customFormat="1" ht="18" customHeight="1" spans="1:20">
      <c r="A1288" s="34"/>
      <c r="B1288" s="48">
        <v>26</v>
      </c>
      <c r="C1288" s="48"/>
      <c r="D1288" s="88" t="s">
        <v>441</v>
      </c>
      <c r="E1288" s="72" t="s">
        <v>43</v>
      </c>
      <c r="F1288" s="77"/>
      <c r="G1288" s="72">
        <v>1</v>
      </c>
      <c r="H1288" s="74">
        <v>1</v>
      </c>
      <c r="I1288" s="74">
        <f>+辅材及安装费!$E$19</f>
        <v>10</v>
      </c>
      <c r="J1288" s="51">
        <f>H1288*I1288</f>
        <v>10</v>
      </c>
      <c r="K1288" s="75"/>
      <c r="L1288" s="92"/>
      <c r="M1288" s="44"/>
      <c r="N1288" s="44"/>
      <c r="O1288" s="44"/>
      <c r="P1288" s="44"/>
      <c r="Q1288" s="44"/>
      <c r="R1288" s="62"/>
      <c r="S1288" s="47"/>
      <c r="T1288" s="47"/>
    </row>
    <row r="1289" s="27" customFormat="1" ht="18" customHeight="1" spans="1:20">
      <c r="A1289" s="34"/>
      <c r="B1289" s="48">
        <v>27</v>
      </c>
      <c r="C1289" s="48"/>
      <c r="D1289" s="93" t="s">
        <v>442</v>
      </c>
      <c r="E1289" s="72"/>
      <c r="F1289" s="77"/>
      <c r="G1289" s="72"/>
      <c r="H1289" s="74"/>
      <c r="I1289" s="74"/>
      <c r="J1289" s="51">
        <f>SUM(J1263:J1288)</f>
        <v>507.067934361853</v>
      </c>
      <c r="K1289" s="75"/>
      <c r="L1289" s="94"/>
      <c r="N1289" s="83"/>
      <c r="O1289" s="83"/>
      <c r="P1289" s="83"/>
      <c r="Q1289" s="83"/>
      <c r="R1289" s="87"/>
      <c r="S1289" s="47"/>
      <c r="T1289" s="47"/>
    </row>
    <row r="1290" s="27" customFormat="1" ht="18" customHeight="1" spans="1:20">
      <c r="A1290" s="34"/>
      <c r="B1290" s="48">
        <v>1</v>
      </c>
      <c r="C1290" s="48" t="s">
        <v>443</v>
      </c>
      <c r="D1290" s="48" t="s">
        <v>444</v>
      </c>
      <c r="E1290" s="72" t="s">
        <v>43</v>
      </c>
      <c r="F1290" s="50"/>
      <c r="G1290" s="48"/>
      <c r="H1290" s="51">
        <v>1</v>
      </c>
      <c r="I1290" s="74">
        <f>+辅材及安装费!$F$19</f>
        <v>5</v>
      </c>
      <c r="J1290" s="95">
        <f>H1290*I1290</f>
        <v>5</v>
      </c>
      <c r="K1290" s="60"/>
      <c r="L1290" s="96"/>
      <c r="M1290" s="97"/>
      <c r="N1290" s="98"/>
      <c r="O1290" s="98"/>
      <c r="P1290" s="98"/>
      <c r="Q1290" s="98"/>
      <c r="R1290" s="99"/>
      <c r="S1290" s="47"/>
      <c r="T1290" s="47"/>
    </row>
    <row r="1291" s="26" customFormat="1" ht="30" customHeight="1" spans="1:20">
      <c r="A1291" s="28"/>
      <c r="B1291" s="29" t="s">
        <v>386</v>
      </c>
      <c r="C1291" s="29"/>
      <c r="D1291" s="29"/>
      <c r="E1291" s="29"/>
      <c r="F1291" s="29"/>
      <c r="G1291" s="29"/>
      <c r="H1291" s="29"/>
      <c r="I1291" s="29"/>
      <c r="J1291" s="29"/>
      <c r="K1291" s="29"/>
      <c r="L1291" s="30"/>
      <c r="M1291" s="31"/>
      <c r="N1291" s="31"/>
      <c r="O1291" s="31"/>
      <c r="P1291" s="31"/>
      <c r="Q1291" s="31"/>
      <c r="R1291" s="32"/>
      <c r="S1291" s="33"/>
      <c r="T1291" s="33"/>
    </row>
    <row r="1292" s="27" customFormat="1" ht="41" customHeight="1" spans="1:20">
      <c r="A1292" s="34">
        <v>31</v>
      </c>
      <c r="B1292" s="35" t="s">
        <v>1</v>
      </c>
      <c r="C1292" s="35" t="s">
        <v>387</v>
      </c>
      <c r="D1292" s="36" t="str">
        <f>+A1300</f>
        <v>二层明框玻璃幕墙（10Low-E(双银)+12A+10㎜全超白钢化中空玻璃）（直+弯弧+直）（直段宽度210㎜+弧长1414㎜+直段宽度210㎜，圆弧半径900㎜，高2345㎜）</v>
      </c>
      <c r="E1292" s="37"/>
      <c r="F1292" s="38" t="s">
        <v>225</v>
      </c>
      <c r="G1292" s="39"/>
      <c r="H1292" s="35" t="s">
        <v>388</v>
      </c>
      <c r="I1292" s="40" t="s">
        <v>389</v>
      </c>
      <c r="J1292" s="41" t="s">
        <v>37</v>
      </c>
      <c r="K1292" s="42">
        <f ca="1">VLOOKUP(A1292,'商业工程量清单 '!$A$4:$D$44,4,FALSE)</f>
        <v>33.657785</v>
      </c>
      <c r="L1292" s="43"/>
      <c r="M1292" s="44"/>
      <c r="N1292" s="44"/>
      <c r="O1292" s="44"/>
      <c r="P1292" s="45"/>
      <c r="Q1292" s="44"/>
      <c r="R1292" s="46"/>
      <c r="S1292" s="47"/>
      <c r="T1292" s="47"/>
    </row>
    <row r="1293" s="27" customFormat="1" ht="25" customHeight="1" spans="1:20">
      <c r="A1293" s="34"/>
      <c r="B1293" s="48">
        <v>1</v>
      </c>
      <c r="C1293" s="49" t="s">
        <v>390</v>
      </c>
      <c r="D1293" s="48" t="s">
        <v>391</v>
      </c>
      <c r="E1293" s="48"/>
      <c r="F1293" s="50"/>
      <c r="G1293" s="48"/>
      <c r="H1293" s="51"/>
      <c r="I1293" s="52">
        <f>J1305</f>
        <v>170</v>
      </c>
      <c r="J1293" s="53" t="s">
        <v>392</v>
      </c>
      <c r="K1293" s="54"/>
      <c r="L1293" s="55" t="s">
        <v>1036</v>
      </c>
      <c r="M1293" s="56"/>
      <c r="N1293" s="57"/>
      <c r="O1293" s="57">
        <f>0.21*2+1.414</f>
        <v>1.834</v>
      </c>
      <c r="P1293" s="57">
        <v>2.345</v>
      </c>
      <c r="Q1293" s="57">
        <v>1</v>
      </c>
      <c r="R1293" s="58">
        <f>+Q1293*P1293*O1293</f>
        <v>4.30073</v>
      </c>
      <c r="S1293" s="47"/>
      <c r="T1293" s="47"/>
    </row>
    <row r="1294" s="27" customFormat="1" ht="18" customHeight="1" spans="1:20">
      <c r="A1294" s="34"/>
      <c r="B1294" s="48">
        <v>2</v>
      </c>
      <c r="C1294" s="59"/>
      <c r="D1294" s="48" t="s">
        <v>394</v>
      </c>
      <c r="E1294" s="48"/>
      <c r="F1294" s="50"/>
      <c r="G1294" s="48"/>
      <c r="H1294" s="51"/>
      <c r="I1294" s="52">
        <f>J1332</f>
        <v>1182.97308899152</v>
      </c>
      <c r="J1294" s="53" t="s">
        <v>392</v>
      </c>
      <c r="K1294" s="60"/>
      <c r="L1294" s="61"/>
      <c r="M1294" s="44"/>
      <c r="N1294" s="44"/>
      <c r="O1294" s="44"/>
      <c r="P1294" s="44"/>
      <c r="Q1294" s="44"/>
      <c r="R1294" s="62"/>
      <c r="S1294" s="47"/>
      <c r="T1294" s="47"/>
    </row>
    <row r="1295" s="27" customFormat="1" ht="18" customHeight="1" spans="1:20">
      <c r="A1295" s="34"/>
      <c r="B1295" s="48">
        <v>3</v>
      </c>
      <c r="C1295" s="63"/>
      <c r="D1295" s="48" t="s">
        <v>395</v>
      </c>
      <c r="E1295" s="48"/>
      <c r="F1295" s="50"/>
      <c r="G1295" s="48"/>
      <c r="H1295" s="51"/>
      <c r="I1295" s="52">
        <f>J1333</f>
        <v>5</v>
      </c>
      <c r="J1295" s="53" t="s">
        <v>392</v>
      </c>
      <c r="K1295" s="60"/>
      <c r="L1295" s="60"/>
      <c r="M1295" s="64" t="s">
        <v>396</v>
      </c>
      <c r="N1295" s="65" t="s">
        <v>397</v>
      </c>
      <c r="O1295" s="65" t="s">
        <v>398</v>
      </c>
      <c r="P1295" s="65" t="s">
        <v>399</v>
      </c>
      <c r="Q1295" s="65" t="s">
        <v>400</v>
      </c>
      <c r="R1295" s="66" t="s">
        <v>401</v>
      </c>
      <c r="S1295" s="47"/>
      <c r="T1295" s="47"/>
    </row>
    <row r="1296" s="27" customFormat="1" ht="18" customHeight="1" spans="1:20">
      <c r="A1296" s="34"/>
      <c r="B1296" s="48">
        <v>4</v>
      </c>
      <c r="C1296" s="48" t="s">
        <v>402</v>
      </c>
      <c r="D1296" s="67" t="s">
        <v>403</v>
      </c>
      <c r="E1296" s="67"/>
      <c r="F1296" s="50"/>
      <c r="G1296" s="67"/>
      <c r="H1296" s="68"/>
      <c r="I1296" s="52">
        <f>SUM(I1293:I1295)</f>
        <v>1357.97308899152</v>
      </c>
      <c r="J1296" s="53" t="s">
        <v>392</v>
      </c>
      <c r="K1296" s="60"/>
      <c r="L1296" s="69" t="s">
        <v>427</v>
      </c>
      <c r="M1296" s="70" t="s">
        <v>1007</v>
      </c>
      <c r="N1296" s="34">
        <v>3.111</v>
      </c>
      <c r="O1296" s="34">
        <f>P1293</f>
        <v>2.345</v>
      </c>
      <c r="P1296" s="34">
        <v>1</v>
      </c>
      <c r="Q1296" s="44">
        <f t="shared" ref="Q1296:Q1306" si="207">+P1296*O1296*N1296</f>
        <v>7.295295</v>
      </c>
      <c r="R1296" s="71">
        <f>+Q1296/R1293</f>
        <v>1.69629225736096</v>
      </c>
      <c r="S1296" s="47"/>
      <c r="T1296" s="47"/>
    </row>
    <row r="1297" s="27" customFormat="1" ht="28" customHeight="1" spans="1:21">
      <c r="A1297" s="34"/>
      <c r="B1297" s="48">
        <v>5</v>
      </c>
      <c r="C1297" s="72" t="s">
        <v>406</v>
      </c>
      <c r="D1297" s="48" t="s">
        <v>407</v>
      </c>
      <c r="E1297" s="48"/>
      <c r="F1297" s="50"/>
      <c r="G1297" s="48"/>
      <c r="H1297" s="73">
        <f>+'材料表 '!$E$178</f>
        <v>0</v>
      </c>
      <c r="I1297" s="52">
        <f>H1297*I1296</f>
        <v>0</v>
      </c>
      <c r="J1297" s="53" t="s">
        <v>392</v>
      </c>
      <c r="K1297" s="60"/>
      <c r="L1297" s="69" t="s">
        <v>429</v>
      </c>
      <c r="M1297" s="70" t="s">
        <v>1037</v>
      </c>
      <c r="N1297" s="34">
        <v>3.063</v>
      </c>
      <c r="O1297" s="100">
        <f>O1296/0.3*0.1</f>
        <v>0.781666666666667</v>
      </c>
      <c r="P1297" s="34">
        <f>P1296</f>
        <v>1</v>
      </c>
      <c r="Q1297" s="44">
        <f t="shared" si="207"/>
        <v>2.394245</v>
      </c>
      <c r="R1297" s="71">
        <f>+Q1297/R1293</f>
        <v>0.5567066521265</v>
      </c>
      <c r="S1297" s="47"/>
      <c r="T1297" s="47"/>
    </row>
    <row r="1298" s="27" customFormat="1" ht="18" customHeight="1" spans="1:21">
      <c r="A1298" s="34"/>
      <c r="B1298" s="48">
        <v>6</v>
      </c>
      <c r="C1298" s="48" t="s">
        <v>409</v>
      </c>
      <c r="D1298" s="48" t="s">
        <v>410</v>
      </c>
      <c r="E1298" s="48"/>
      <c r="F1298" s="50"/>
      <c r="G1298" s="48"/>
      <c r="H1298" s="73">
        <f>+'材料表 '!$E$179</f>
        <v>0</v>
      </c>
      <c r="I1298" s="52">
        <f>H1298*I1296</f>
        <v>0</v>
      </c>
      <c r="J1298" s="74" t="s">
        <v>392</v>
      </c>
      <c r="K1298" s="75"/>
      <c r="L1298" s="69" t="s">
        <v>447</v>
      </c>
      <c r="M1298" s="70" t="s">
        <v>1038</v>
      </c>
      <c r="N1298" s="34">
        <f>1.041+0.104</f>
        <v>1.145</v>
      </c>
      <c r="O1298" s="34">
        <f>O1296</f>
        <v>2.345</v>
      </c>
      <c r="P1298" s="34">
        <f>P1296</f>
        <v>1</v>
      </c>
      <c r="Q1298" s="44">
        <f t="shared" si="207"/>
        <v>2.685025</v>
      </c>
      <c r="R1298" s="71">
        <f>+Q1298/R1293</f>
        <v>0.624318429661941</v>
      </c>
      <c r="S1298" s="47">
        <v>0.172</v>
      </c>
      <c r="T1298" s="47">
        <f>O1298*P1298*S1298</f>
        <v>0.40334</v>
      </c>
      <c r="U1298" s="76">
        <f>T1298/R1293</f>
        <v>0.0937840785169029</v>
      </c>
    </row>
    <row r="1299" s="27" customFormat="1" ht="18" customHeight="1" spans="1:21">
      <c r="A1299" s="34"/>
      <c r="B1299" s="48">
        <v>7</v>
      </c>
      <c r="C1299" s="48" t="s">
        <v>412</v>
      </c>
      <c r="D1299" s="72" t="s">
        <v>413</v>
      </c>
      <c r="E1299" s="72"/>
      <c r="F1299" s="77"/>
      <c r="G1299" s="72"/>
      <c r="H1299" s="73">
        <f>+'材料表 '!$E$180</f>
        <v>0.09</v>
      </c>
      <c r="I1299" s="52">
        <f>(I1296+I1297+I1298)*H1299</f>
        <v>122.217578009237</v>
      </c>
      <c r="J1299" s="74" t="s">
        <v>392</v>
      </c>
      <c r="K1299" s="75"/>
      <c r="L1299" s="69" t="s">
        <v>429</v>
      </c>
      <c r="M1299" s="70" t="s">
        <v>1010</v>
      </c>
      <c r="N1299" s="102">
        <f>2.9</f>
        <v>2.9</v>
      </c>
      <c r="O1299" s="34">
        <v>0.2</v>
      </c>
      <c r="P1299" s="34">
        <f>P1296</f>
        <v>1</v>
      </c>
      <c r="Q1299" s="44">
        <f t="shared" si="207"/>
        <v>0.58</v>
      </c>
      <c r="R1299" s="71">
        <f>+Q1299/R1293</f>
        <v>0.134860825952803</v>
      </c>
      <c r="S1299" s="47"/>
      <c r="T1299" s="47"/>
    </row>
    <row r="1300" s="27" customFormat="1" ht="18" customHeight="1" spans="1:21">
      <c r="A1300" s="78" t="s">
        <v>270</v>
      </c>
      <c r="B1300" s="48">
        <v>8</v>
      </c>
      <c r="C1300" s="48" t="s">
        <v>363</v>
      </c>
      <c r="D1300" s="72" t="s">
        <v>415</v>
      </c>
      <c r="E1300" s="72"/>
      <c r="F1300" s="77"/>
      <c r="G1300" s="72"/>
      <c r="H1300" s="51"/>
      <c r="I1300" s="74">
        <f>SUM(I1296:I1299)</f>
        <v>1480.19066700076</v>
      </c>
      <c r="J1300" s="74" t="s">
        <v>416</v>
      </c>
      <c r="K1300" s="75"/>
      <c r="L1300" s="69" t="s">
        <v>429</v>
      </c>
      <c r="M1300" s="70" t="s">
        <v>1040</v>
      </c>
      <c r="N1300" s="34">
        <v>0.733</v>
      </c>
      <c r="O1300" s="100">
        <f>O1297*2</f>
        <v>1.56333333333333</v>
      </c>
      <c r="P1300" s="34">
        <f>P1296</f>
        <v>1</v>
      </c>
      <c r="Q1300" s="44">
        <f t="shared" si="207"/>
        <v>1.14592333333333</v>
      </c>
      <c r="R1300" s="71">
        <f>+Q1300/R1293</f>
        <v>0.266448564158488</v>
      </c>
      <c r="S1300" s="79"/>
      <c r="T1300" s="47"/>
    </row>
    <row r="1301" s="27" customFormat="1" ht="18" customHeight="1" spans="1:21">
      <c r="A1301" s="34"/>
      <c r="B1301" s="48" t="s">
        <v>418</v>
      </c>
      <c r="C1301" s="48"/>
      <c r="D1301" s="48"/>
      <c r="E1301" s="48"/>
      <c r="F1301" s="48"/>
      <c r="G1301" s="48"/>
      <c r="H1301" s="48"/>
      <c r="I1301" s="48"/>
      <c r="J1301" s="48"/>
      <c r="K1301" s="80"/>
      <c r="L1301" s="69" t="s">
        <v>404</v>
      </c>
      <c r="M1301" s="70" t="s">
        <v>1041</v>
      </c>
      <c r="N1301" s="34">
        <v>3.727</v>
      </c>
      <c r="O1301" s="34">
        <f>O1293</f>
        <v>1.834</v>
      </c>
      <c r="P1301" s="34">
        <v>1.5</v>
      </c>
      <c r="Q1301" s="44">
        <f t="shared" si="207"/>
        <v>10.252977</v>
      </c>
      <c r="R1301" s="71">
        <f>+Q1301/R1293</f>
        <v>2.38400852878465</v>
      </c>
      <c r="S1301" s="47"/>
      <c r="T1301" s="47"/>
      <c r="U1301" s="76"/>
    </row>
    <row r="1302" s="27" customFormat="1" ht="18" customHeight="1" spans="1:21">
      <c r="A1302" s="34"/>
      <c r="B1302" s="48">
        <v>1</v>
      </c>
      <c r="C1302" s="48" t="s">
        <v>391</v>
      </c>
      <c r="D1302" s="48" t="s">
        <v>396</v>
      </c>
      <c r="E1302" s="48" t="s">
        <v>37</v>
      </c>
      <c r="F1302" s="50"/>
      <c r="G1302" s="48"/>
      <c r="H1302" s="51" t="s">
        <v>399</v>
      </c>
      <c r="I1302" s="51" t="s">
        <v>420</v>
      </c>
      <c r="J1302" s="51" t="s">
        <v>421</v>
      </c>
      <c r="K1302" s="43"/>
      <c r="L1302" s="69" t="s">
        <v>429</v>
      </c>
      <c r="M1302" s="81" t="s">
        <v>1027</v>
      </c>
      <c r="N1302" s="82">
        <v>0.604</v>
      </c>
      <c r="O1302" s="34">
        <f>O1301</f>
        <v>1.834</v>
      </c>
      <c r="P1302" s="34">
        <f>P1301</f>
        <v>1.5</v>
      </c>
      <c r="Q1302" s="44">
        <f t="shared" si="207"/>
        <v>1.661604</v>
      </c>
      <c r="R1302" s="71">
        <f>+Q1302/R1293</f>
        <v>0.3863539445629</v>
      </c>
      <c r="S1302" s="47"/>
      <c r="T1302" s="47"/>
    </row>
    <row r="1303" s="27" customFormat="1" ht="18" customHeight="1" spans="1:21">
      <c r="A1303" s="34"/>
      <c r="B1303" s="48">
        <v>2</v>
      </c>
      <c r="C1303" s="48"/>
      <c r="D1303" s="48" t="s">
        <v>967</v>
      </c>
      <c r="E1303" s="72" t="s">
        <v>423</v>
      </c>
      <c r="F1303" s="50"/>
      <c r="G1303" s="48"/>
      <c r="H1303" s="51">
        <v>1</v>
      </c>
      <c r="I1303" s="51">
        <f>+辅材及安装费!$G$19</f>
        <v>170</v>
      </c>
      <c r="J1303" s="51">
        <f t="shared" ref="J1303:J1311" si="208">H1303*I1303</f>
        <v>170</v>
      </c>
      <c r="K1303" s="43"/>
      <c r="L1303" s="69" t="s">
        <v>447</v>
      </c>
      <c r="M1303" s="70" t="s">
        <v>1038</v>
      </c>
      <c r="N1303" s="83">
        <v>0.977</v>
      </c>
      <c r="O1303" s="34">
        <f>O1301</f>
        <v>1.834</v>
      </c>
      <c r="P1303" s="34">
        <v>0.5</v>
      </c>
      <c r="Q1303" s="44">
        <f t="shared" si="207"/>
        <v>0.895909</v>
      </c>
      <c r="R1303" s="84">
        <f>+Q1303/R1293</f>
        <v>0.208315565031983</v>
      </c>
      <c r="S1303" s="47">
        <v>0.185</v>
      </c>
      <c r="T1303" s="47">
        <f t="shared" ref="T1303:T1306" si="209">O1303*P1303*S1303</f>
        <v>0.169645</v>
      </c>
      <c r="U1303" s="103">
        <f>T1303/R1293</f>
        <v>0.0394456289978678</v>
      </c>
    </row>
    <row r="1304" s="27" customFormat="1" ht="18" customHeight="1" spans="1:21">
      <c r="A1304" s="34"/>
      <c r="B1304" s="48">
        <v>3</v>
      </c>
      <c r="C1304" s="48"/>
      <c r="D1304" s="48"/>
      <c r="E1304" s="72"/>
      <c r="F1304" s="50"/>
      <c r="G1304" s="48"/>
      <c r="H1304" s="51"/>
      <c r="I1304" s="51"/>
      <c r="J1304" s="51"/>
      <c r="K1304" s="43"/>
      <c r="L1304" s="69" t="s">
        <v>429</v>
      </c>
      <c r="M1304" s="81" t="s">
        <v>1042</v>
      </c>
      <c r="N1304" s="82">
        <v>0.687</v>
      </c>
      <c r="O1304" s="44">
        <f>0.1</f>
        <v>0.1</v>
      </c>
      <c r="P1304" s="34">
        <f>1*2</f>
        <v>2</v>
      </c>
      <c r="Q1304" s="44">
        <f t="shared" si="207"/>
        <v>0.1374</v>
      </c>
      <c r="R1304" s="84">
        <f>+Q1304/R1293</f>
        <v>0.0319480646308882</v>
      </c>
      <c r="S1304" s="47"/>
      <c r="T1304" s="47"/>
    </row>
    <row r="1305" s="27" customFormat="1" ht="18" customHeight="1" spans="1:21">
      <c r="A1305" s="34"/>
      <c r="B1305" s="48">
        <v>4</v>
      </c>
      <c r="C1305" s="48"/>
      <c r="D1305" s="85" t="s">
        <v>426</v>
      </c>
      <c r="E1305" s="48" t="s">
        <v>392</v>
      </c>
      <c r="F1305" s="50"/>
      <c r="G1305" s="48"/>
      <c r="H1305" s="86"/>
      <c r="I1305" s="86"/>
      <c r="J1305" s="51">
        <f>SUM(J1303:J1303)</f>
        <v>170</v>
      </c>
      <c r="K1305" s="75"/>
      <c r="L1305" s="69" t="s">
        <v>447</v>
      </c>
      <c r="M1305" s="70" t="s">
        <v>1038</v>
      </c>
      <c r="N1305" s="34">
        <f>0.624*2.71+0.022*2.71</f>
        <v>1.75066</v>
      </c>
      <c r="O1305" s="34">
        <f>O1293</f>
        <v>1.834</v>
      </c>
      <c r="P1305" s="34">
        <v>1</v>
      </c>
      <c r="Q1305" s="44">
        <f t="shared" si="207"/>
        <v>3.21071044</v>
      </c>
      <c r="R1305" s="71">
        <f>+Q1305/R1293</f>
        <v>0.746550106609808</v>
      </c>
      <c r="S1305" s="47">
        <f>0.251+0.045</f>
        <v>0.296</v>
      </c>
      <c r="T1305" s="47">
        <f t="shared" si="209"/>
        <v>0.542864</v>
      </c>
      <c r="U1305" s="76">
        <f>T1305/R1293</f>
        <v>0.126226012793177</v>
      </c>
    </row>
    <row r="1306" s="27" customFormat="1" ht="23" customHeight="1" spans="1:21">
      <c r="A1306" s="34"/>
      <c r="B1306" s="48">
        <v>1</v>
      </c>
      <c r="C1306" s="48" t="s">
        <v>394</v>
      </c>
      <c r="D1306" s="88" t="s">
        <v>427</v>
      </c>
      <c r="E1306" s="72" t="str">
        <f>+VLOOKUP(D1306,'材料表 '!C:F,2,0)</f>
        <v>kg</v>
      </c>
      <c r="F1306" s="77">
        <f t="shared" ref="F1306:F1310" si="210">+SUMIF($L$1250:$L$1290,D1306,$R$1250:$R$1290)</f>
        <v>1.73798882681564</v>
      </c>
      <c r="G1306" s="89">
        <f>+VLOOKUP(D1306,'材料表 '!C:F,4,0)</f>
        <v>0.03</v>
      </c>
      <c r="H1306" s="74">
        <f t="shared" ref="H1306:H1311" si="211">F1306*(G1306+1)</f>
        <v>1.79012849162011</v>
      </c>
      <c r="I1306" s="74">
        <f>+VLOOKUP(D1306,'材料表 '!C:F,3,0)</f>
        <v>25.8495575221239</v>
      </c>
      <c r="J1306" s="51">
        <f t="shared" si="208"/>
        <v>46.2740294161269</v>
      </c>
      <c r="K1306" s="75">
        <f ca="1">H1306*K1292</f>
        <v>60.251759893324</v>
      </c>
      <c r="L1306" s="69" t="s">
        <v>447</v>
      </c>
      <c r="M1306" s="70" t="s">
        <v>1049</v>
      </c>
      <c r="N1306" s="34">
        <f>0.074*2.71</f>
        <v>0.20054</v>
      </c>
      <c r="O1306" s="34">
        <v>0</v>
      </c>
      <c r="P1306" s="34">
        <v>1</v>
      </c>
      <c r="Q1306" s="44">
        <f t="shared" si="207"/>
        <v>0</v>
      </c>
      <c r="R1306" s="71">
        <f>+Q1306/R1293</f>
        <v>0</v>
      </c>
      <c r="S1306" s="47">
        <f>0.048</f>
        <v>0.048</v>
      </c>
      <c r="T1306" s="47">
        <f t="shared" si="209"/>
        <v>0</v>
      </c>
      <c r="U1306" s="76">
        <f>T1306/R1293</f>
        <v>0</v>
      </c>
    </row>
    <row r="1307" s="27" customFormat="1" ht="18" customHeight="1" spans="1:21">
      <c r="A1307" s="34"/>
      <c r="B1307" s="48">
        <v>2</v>
      </c>
      <c r="C1307" s="48"/>
      <c r="D1307" s="88" t="s">
        <v>404</v>
      </c>
      <c r="E1307" s="72" t="str">
        <f>+VLOOKUP(D1307,'材料表 '!C:F,2,0)</f>
        <v>kg</v>
      </c>
      <c r="F1307" s="77">
        <f t="shared" si="210"/>
        <v>2.38400852878465</v>
      </c>
      <c r="G1307" s="89">
        <f>+VLOOKUP(D1307,'材料表 '!C:F,4,0)</f>
        <v>0.03</v>
      </c>
      <c r="H1307" s="74">
        <f t="shared" si="211"/>
        <v>2.45552878464819</v>
      </c>
      <c r="I1307" s="74">
        <f>+VLOOKUP(D1307,'材料表 '!C:F,3,0)</f>
        <v>25.6725663716814</v>
      </c>
      <c r="J1307" s="51">
        <f t="shared" si="208"/>
        <v>63.0397257014548</v>
      </c>
      <c r="K1307" s="75">
        <f ca="1">H1307*K1292</f>
        <v>82.6476598950001</v>
      </c>
      <c r="L1307" s="69"/>
      <c r="M1307" s="70"/>
      <c r="N1307" s="83"/>
      <c r="O1307" s="83"/>
      <c r="P1307" s="83"/>
      <c r="Q1307" s="83"/>
      <c r="R1307" s="87"/>
      <c r="S1307" s="47"/>
      <c r="T1307" s="34"/>
    </row>
    <row r="1308" s="27" customFormat="1" ht="18" customHeight="1" spans="1:21">
      <c r="A1308" s="34"/>
      <c r="B1308" s="48">
        <v>3</v>
      </c>
      <c r="C1308" s="48"/>
      <c r="D1308" s="88" t="s">
        <v>433</v>
      </c>
      <c r="E1308" s="72" t="str">
        <f>+VLOOKUP(D1308,'材料表 '!C:F,2,0)</f>
        <v>kg</v>
      </c>
      <c r="F1308" s="77">
        <f t="shared" si="210"/>
        <v>0</v>
      </c>
      <c r="G1308" s="89">
        <f>+VLOOKUP(D1308,'材料表 '!C:F,4,0)</f>
        <v>0.03</v>
      </c>
      <c r="H1308" s="74">
        <f t="shared" si="211"/>
        <v>0</v>
      </c>
      <c r="I1308" s="74">
        <f>+VLOOKUP(D1308,'材料表 '!C:F,3,0)</f>
        <v>26.1150442477876</v>
      </c>
      <c r="J1308" s="51">
        <f t="shared" si="208"/>
        <v>0</v>
      </c>
      <c r="K1308" s="75">
        <f ca="1">H1308*K1292</f>
        <v>0</v>
      </c>
      <c r="L1308" s="69"/>
      <c r="N1308" s="83"/>
      <c r="O1308" s="83"/>
      <c r="P1308" s="83"/>
      <c r="Q1308" s="83"/>
      <c r="R1308" s="87"/>
      <c r="S1308" s="47"/>
      <c r="T1308" s="47"/>
    </row>
    <row r="1309" s="27" customFormat="1" ht="18" customHeight="1" spans="1:21">
      <c r="A1309" s="34"/>
      <c r="B1309" s="48">
        <v>4</v>
      </c>
      <c r="C1309" s="48"/>
      <c r="D1309" s="88" t="s">
        <v>429</v>
      </c>
      <c r="E1309" s="72" t="str">
        <f>+VLOOKUP(D1309,'材料表 '!C:F,2,0)</f>
        <v>kg</v>
      </c>
      <c r="F1309" s="77">
        <f t="shared" si="210"/>
        <v>1.39597616750361</v>
      </c>
      <c r="G1309" s="89">
        <f>+VLOOKUP(D1309,'材料表 '!C:F,4,0)</f>
        <v>0.03</v>
      </c>
      <c r="H1309" s="74">
        <f t="shared" si="211"/>
        <v>1.43785545252872</v>
      </c>
      <c r="I1309" s="74">
        <f>+VLOOKUP(D1309,'材料表 '!C:F,3,0)</f>
        <v>26.1150442477876</v>
      </c>
      <c r="J1309" s="51">
        <f t="shared" si="208"/>
        <v>37.5496587647101</v>
      </c>
      <c r="K1309" s="75">
        <f ca="1">H1309*K1292</f>
        <v>48.3950296822894</v>
      </c>
      <c r="L1309" s="90" t="s">
        <v>707</v>
      </c>
      <c r="M1309" s="44"/>
      <c r="N1309" s="82"/>
      <c r="O1309" s="44">
        <f>O1301*P1301</f>
        <v>2.751</v>
      </c>
      <c r="P1309" s="44">
        <v>1</v>
      </c>
      <c r="Q1309" s="44">
        <f>+P1309*O1309</f>
        <v>2.751</v>
      </c>
      <c r="R1309" s="84">
        <f>+Q1309/R1293</f>
        <v>0.639658848614073</v>
      </c>
      <c r="S1309" s="47"/>
      <c r="T1309" s="47"/>
    </row>
    <row r="1310" s="27" customFormat="1" ht="18" customHeight="1" spans="1:21">
      <c r="A1310" s="34"/>
      <c r="B1310" s="48">
        <v>5</v>
      </c>
      <c r="C1310" s="48"/>
      <c r="D1310" s="88" t="s">
        <v>447</v>
      </c>
      <c r="E1310" s="72" t="str">
        <f>+VLOOKUP(D1310,'材料表 '!C:F,2,0)</f>
        <v>kg</v>
      </c>
      <c r="F1310" s="77">
        <f t="shared" si="210"/>
        <v>1.59453047611106</v>
      </c>
      <c r="G1310" s="89">
        <f>+VLOOKUP(D1310,'材料表 '!C:F,4,0)</f>
        <v>0.03</v>
      </c>
      <c r="H1310" s="74">
        <f t="shared" si="211"/>
        <v>1.64236639039439</v>
      </c>
      <c r="I1310" s="74">
        <f>+VLOOKUP(D1310,'材料表 '!C:F,3,0)</f>
        <v>24.4336283185841</v>
      </c>
      <c r="J1310" s="51">
        <f t="shared" si="208"/>
        <v>40.1289699458312</v>
      </c>
      <c r="K1310" s="43">
        <f ca="1">H1310*K1292</f>
        <v>55.2784148591204</v>
      </c>
      <c r="L1310" s="90" t="s">
        <v>435</v>
      </c>
      <c r="M1310" s="44"/>
      <c r="N1310" s="82">
        <f>0.073*1.2</f>
        <v>0.0876</v>
      </c>
      <c r="O1310" s="44">
        <f>O1296*P1296*3+O1301*P1301*4</f>
        <v>18.039</v>
      </c>
      <c r="P1310" s="44">
        <v>1</v>
      </c>
      <c r="Q1310" s="44">
        <f>+P1310*O1310</f>
        <v>18.039</v>
      </c>
      <c r="R1310" s="84">
        <f>+Q1310/R1293</f>
        <v>4.19440420579762</v>
      </c>
      <c r="S1310" s="47"/>
      <c r="T1310" s="47"/>
    </row>
    <row r="1311" s="27" customFormat="1" ht="18" customHeight="1" spans="1:21">
      <c r="A1311" s="34"/>
      <c r="B1311" s="48">
        <v>6</v>
      </c>
      <c r="C1311" s="48"/>
      <c r="D1311" s="88" t="s">
        <v>434</v>
      </c>
      <c r="E1311" s="72" t="str">
        <f>+VLOOKUP(D1311,'材料表 '!C:F,2,0)</f>
        <v>m2</v>
      </c>
      <c r="F1311" s="77">
        <f>U1298+U1303+U1305+U1306</f>
        <v>0.259455720307948</v>
      </c>
      <c r="G1311" s="89">
        <f>+VLOOKUP(D1311,'材料表 '!C:F,4,0)</f>
        <v>0</v>
      </c>
      <c r="H1311" s="74">
        <f t="shared" si="211"/>
        <v>0.259455720307948</v>
      </c>
      <c r="I1311" s="74">
        <f>+VLOOKUP(D1311,'材料表 '!C:F,3,0)</f>
        <v>49.5575221238938</v>
      </c>
      <c r="J1311" s="51">
        <f t="shared" si="208"/>
        <v>12.8579825993319</v>
      </c>
      <c r="K1311" s="43">
        <f ca="1">H1311*K1292</f>
        <v>8.73270485114505</v>
      </c>
      <c r="L1311" s="90" t="s">
        <v>463</v>
      </c>
      <c r="M1311" s="91" t="s">
        <v>1012</v>
      </c>
      <c r="N1311" s="82">
        <f>0.32*0.3*8*7.85</f>
        <v>6.0288</v>
      </c>
      <c r="O1311" s="44">
        <v>1.5</v>
      </c>
      <c r="P1311" s="44">
        <f>P1296</f>
        <v>1</v>
      </c>
      <c r="Q1311" s="44">
        <f t="shared" ref="Q1311:Q1315" si="212">+P1311*O1311*N1311</f>
        <v>9.0432</v>
      </c>
      <c r="R1311" s="84">
        <f>+Q1311/R1293</f>
        <v>2.10271279526964</v>
      </c>
      <c r="S1311" s="47"/>
      <c r="T1311" s="47"/>
    </row>
    <row r="1312" s="27" customFormat="1" ht="18" customHeight="1" spans="1:21">
      <c r="A1312" s="34"/>
      <c r="B1312" s="48">
        <v>7</v>
      </c>
      <c r="C1312" s="48"/>
      <c r="D1312" s="88"/>
      <c r="E1312" s="72"/>
      <c r="F1312" s="77">
        <f t="shared" ref="F1312:F1319" si="213">+SUMIF($L$1250:$L$1290,D1312,$R$1250:$R$1290)</f>
        <v>0</v>
      </c>
      <c r="G1312" s="89"/>
      <c r="H1312" s="74"/>
      <c r="I1312" s="74"/>
      <c r="J1312" s="51"/>
      <c r="K1312" s="43">
        <f ca="1">H1312*K1292</f>
        <v>0</v>
      </c>
      <c r="L1312" s="69" t="s">
        <v>465</v>
      </c>
      <c r="M1312" s="81" t="s">
        <v>1013</v>
      </c>
      <c r="N1312" s="34">
        <v>9.88</v>
      </c>
      <c r="O1312" s="34">
        <f>0.13</f>
        <v>0.13</v>
      </c>
      <c r="P1312" s="34">
        <f>2*P1311*O1311</f>
        <v>3</v>
      </c>
      <c r="Q1312" s="44">
        <f t="shared" si="212"/>
        <v>3.8532</v>
      </c>
      <c r="R1312" s="84">
        <f>Q1312/R1293</f>
        <v>0.895940921657486</v>
      </c>
      <c r="S1312" s="47"/>
      <c r="T1312" s="47"/>
    </row>
    <row r="1313" s="27" customFormat="1" ht="18" customHeight="1" spans="1:20">
      <c r="A1313" s="34"/>
      <c r="B1313" s="48">
        <v>8</v>
      </c>
      <c r="C1313" s="48"/>
      <c r="D1313" s="88" t="s">
        <v>431</v>
      </c>
      <c r="E1313" s="72" t="str">
        <f>+VLOOKUP(D1313,'材料表 '!C:F,2,0)</f>
        <v>kg</v>
      </c>
      <c r="F1313" s="77">
        <f t="shared" si="213"/>
        <v>0</v>
      </c>
      <c r="G1313" s="89">
        <f>+VLOOKUP(D1313,'材料表 '!C:F,4,0)</f>
        <v>0.03</v>
      </c>
      <c r="H1313" s="74">
        <f t="shared" ref="H1313:H1325" si="214">F1313*(G1313+1)</f>
        <v>0</v>
      </c>
      <c r="I1313" s="74">
        <f>+VLOOKUP(D1313,'材料表 '!C:F,3,0)</f>
        <v>3.80530973451327</v>
      </c>
      <c r="J1313" s="51">
        <f t="shared" ref="J1313:J1325" si="215">H1313*I1313</f>
        <v>0</v>
      </c>
      <c r="K1313" s="43">
        <f ca="1">H1313*K1292</f>
        <v>0</v>
      </c>
      <c r="L1313" s="90" t="s">
        <v>474</v>
      </c>
      <c r="M1313" s="44"/>
      <c r="N1313" s="82"/>
      <c r="O1313" s="44">
        <v>4</v>
      </c>
      <c r="P1313" s="44">
        <f>O1311*P1311</f>
        <v>1.5</v>
      </c>
      <c r="Q1313" s="44">
        <f>O1313*P1313</f>
        <v>6</v>
      </c>
      <c r="R1313" s="84">
        <f>Q1313/R1293</f>
        <v>1.39511199261521</v>
      </c>
      <c r="S1313" s="47"/>
      <c r="T1313" s="47"/>
    </row>
    <row r="1314" s="27" customFormat="1" ht="18" customHeight="1" spans="1:20">
      <c r="A1314" s="34"/>
      <c r="B1314" s="48">
        <v>9</v>
      </c>
      <c r="C1314" s="48"/>
      <c r="D1314" s="88" t="s">
        <v>461</v>
      </c>
      <c r="E1314" s="72" t="str">
        <f>+VLOOKUP(D1314,'材料表 '!C:F,2,0)</f>
        <v>kg</v>
      </c>
      <c r="F1314" s="77">
        <f t="shared" si="213"/>
        <v>0</v>
      </c>
      <c r="G1314" s="89">
        <f>+VLOOKUP(D1314,'材料表 '!C:F,4,0)</f>
        <v>0.03</v>
      </c>
      <c r="H1314" s="74">
        <f t="shared" si="214"/>
        <v>0</v>
      </c>
      <c r="I1314" s="74">
        <f>+VLOOKUP(D1314,'材料表 '!C:F,3,0)</f>
        <v>3.53982300884956</v>
      </c>
      <c r="J1314" s="51">
        <f t="shared" si="215"/>
        <v>0</v>
      </c>
      <c r="K1314" s="43">
        <f ca="1">H1314*K1292</f>
        <v>0</v>
      </c>
      <c r="L1314" s="90" t="s">
        <v>472</v>
      </c>
      <c r="M1314" s="91"/>
      <c r="N1314" s="82"/>
      <c r="O1314" s="44">
        <v>2</v>
      </c>
      <c r="P1314" s="44">
        <f>O1311*P1311</f>
        <v>1.5</v>
      </c>
      <c r="Q1314" s="44">
        <f>O1314*P1314</f>
        <v>3</v>
      </c>
      <c r="R1314" s="84">
        <f>Q1314/R1293</f>
        <v>0.697555996307604</v>
      </c>
      <c r="S1314" s="47"/>
      <c r="T1314" s="47"/>
    </row>
    <row r="1315" s="27" customFormat="1" ht="18" customHeight="1" spans="1:20">
      <c r="A1315" s="34"/>
      <c r="B1315" s="48">
        <v>10</v>
      </c>
      <c r="C1315" s="48"/>
      <c r="D1315" s="88" t="s">
        <v>435</v>
      </c>
      <c r="E1315" s="72" t="str">
        <f>+VLOOKUP(D1315,'材料表 '!C:F,2,0)</f>
        <v>kg</v>
      </c>
      <c r="F1315" s="77">
        <f t="shared" si="213"/>
        <v>4.23461304808757</v>
      </c>
      <c r="G1315" s="89">
        <f>+VLOOKUP(D1315,'材料表 '!C:F,4,0)</f>
        <v>0.03</v>
      </c>
      <c r="H1315" s="74">
        <f t="shared" si="214"/>
        <v>4.3616514395302</v>
      </c>
      <c r="I1315" s="74">
        <f>+VLOOKUP(D1315,'材料表 '!C:F,3,0)</f>
        <v>19.4690265486726</v>
      </c>
      <c r="J1315" s="51">
        <f t="shared" si="215"/>
        <v>84.9171076722695</v>
      </c>
      <c r="K1315" s="43">
        <f ca="1">H1315*K1292</f>
        <v>146.803526396648</v>
      </c>
      <c r="L1315" s="69" t="s">
        <v>465</v>
      </c>
      <c r="M1315" s="91"/>
      <c r="N1315" s="82">
        <f>(0.058+0.04*2)*5*7.85</f>
        <v>5.4165</v>
      </c>
      <c r="O1315" s="44">
        <v>0</v>
      </c>
      <c r="P1315" s="44">
        <v>1</v>
      </c>
      <c r="Q1315" s="44">
        <f t="shared" si="212"/>
        <v>0</v>
      </c>
      <c r="R1315" s="84">
        <f>+Q1315/R1293</f>
        <v>0</v>
      </c>
      <c r="S1315" s="47"/>
      <c r="T1315" s="47"/>
    </row>
    <row r="1316" s="27" customFormat="1" ht="18" customHeight="1" spans="1:20">
      <c r="A1316" s="34"/>
      <c r="B1316" s="48">
        <v>11</v>
      </c>
      <c r="C1316" s="48"/>
      <c r="D1316" s="88" t="s">
        <v>463</v>
      </c>
      <c r="E1316" s="72" t="str">
        <f>+VLOOKUP(D1316,'材料表 '!C:F,2,0)</f>
        <v>kg</v>
      </c>
      <c r="F1316" s="77">
        <f t="shared" si="213"/>
        <v>2.15439959023716</v>
      </c>
      <c r="G1316" s="89">
        <f>+VLOOKUP(D1316,'材料表 '!C:F,4,0)</f>
        <v>0.03</v>
      </c>
      <c r="H1316" s="74">
        <f t="shared" si="214"/>
        <v>2.21903157794427</v>
      </c>
      <c r="I1316" s="74">
        <f>+VLOOKUP(D1316,'材料表 '!C:F,3,0)</f>
        <v>6.01769911504425</v>
      </c>
      <c r="J1316" s="51">
        <f t="shared" si="215"/>
        <v>13.3534643628505</v>
      </c>
      <c r="K1316" s="43">
        <f ca="1">H1316*K1292</f>
        <v>74.687687758659</v>
      </c>
      <c r="L1316" s="69" t="s">
        <v>461</v>
      </c>
      <c r="N1316" s="83"/>
      <c r="O1316" s="83"/>
      <c r="P1316" s="83"/>
      <c r="Q1316" s="83"/>
      <c r="R1316" s="84"/>
      <c r="S1316" s="47"/>
      <c r="T1316" s="47"/>
    </row>
    <row r="1317" s="27" customFormat="1" ht="18" customHeight="1" spans="1:20">
      <c r="A1317" s="34"/>
      <c r="B1317" s="48">
        <v>12</v>
      </c>
      <c r="C1317" s="48"/>
      <c r="D1317" s="88" t="s">
        <v>465</v>
      </c>
      <c r="E1317" s="72" t="str">
        <f>+VLOOKUP(D1317,'材料表 '!C:F,2,0)</f>
        <v>kg</v>
      </c>
      <c r="F1317" s="77">
        <f t="shared" si="213"/>
        <v>0.917964050458005</v>
      </c>
      <c r="G1317" s="89">
        <f>+VLOOKUP(D1317,'材料表 '!C:F,4,0)</f>
        <v>0.03</v>
      </c>
      <c r="H1317" s="74">
        <f t="shared" si="214"/>
        <v>0.945502971971745</v>
      </c>
      <c r="I1317" s="74">
        <f>+VLOOKUP(D1317,'材料表 '!C:F,3,0)</f>
        <v>6.01769911504425</v>
      </c>
      <c r="J1317" s="51">
        <f t="shared" si="215"/>
        <v>5.68975239770608</v>
      </c>
      <c r="K1317" s="43">
        <f ca="1">H1317*K1292</f>
        <v>31.823535747486</v>
      </c>
      <c r="L1317" s="90"/>
      <c r="M1317" s="44"/>
      <c r="N1317" s="82"/>
      <c r="O1317" s="44"/>
      <c r="P1317" s="44"/>
      <c r="Q1317" s="44"/>
      <c r="R1317" s="84"/>
      <c r="S1317" s="47"/>
      <c r="T1317" s="47"/>
    </row>
    <row r="1318" s="27" customFormat="1" ht="18" customHeight="1" spans="1:20">
      <c r="A1318" s="34"/>
      <c r="B1318" s="48">
        <v>13</v>
      </c>
      <c r="C1318" s="48"/>
      <c r="D1318" s="88" t="s">
        <v>474</v>
      </c>
      <c r="E1318" s="72" t="str">
        <f>+VLOOKUP(D1318,'材料表 '!C:F,2,0)</f>
        <v>套</v>
      </c>
      <c r="F1318" s="77">
        <f t="shared" si="213"/>
        <v>1.4294052482996</v>
      </c>
      <c r="G1318" s="89">
        <f>+VLOOKUP(D1318,'材料表 '!C:F,4,0)</f>
        <v>0</v>
      </c>
      <c r="H1318" s="74">
        <f t="shared" si="214"/>
        <v>1.4294052482996</v>
      </c>
      <c r="I1318" s="74">
        <f>+VLOOKUP(D1318,'材料表 '!C:F,3,0)</f>
        <v>2.21238938053097</v>
      </c>
      <c r="J1318" s="51">
        <f t="shared" si="215"/>
        <v>3.16240099181327</v>
      </c>
      <c r="K1318" s="43">
        <f ca="1">H1318*K1292</f>
        <v>48.1106145251396</v>
      </c>
      <c r="L1318" s="90"/>
      <c r="M1318" s="44"/>
      <c r="N1318" s="82"/>
      <c r="O1318" s="44"/>
      <c r="P1318" s="44"/>
      <c r="Q1318" s="44"/>
      <c r="R1318" s="84"/>
      <c r="S1318" s="47"/>
      <c r="T1318" s="47"/>
    </row>
    <row r="1319" s="27" customFormat="1" ht="18" customHeight="1" spans="1:20">
      <c r="A1319" s="34"/>
      <c r="B1319" s="48">
        <v>14</v>
      </c>
      <c r="C1319" s="48"/>
      <c r="D1319" s="88" t="s">
        <v>472</v>
      </c>
      <c r="E1319" s="72" t="str">
        <f>+VLOOKUP(D1319,'材料表 '!C:F,2,0)</f>
        <v>套</v>
      </c>
      <c r="F1319" s="77">
        <f t="shared" si="213"/>
        <v>0.714702624149802</v>
      </c>
      <c r="G1319" s="89">
        <f>+VLOOKUP(D1319,'材料表 '!C:F,4,0)</f>
        <v>0</v>
      </c>
      <c r="H1319" s="74">
        <f t="shared" si="214"/>
        <v>0.714702624149802</v>
      </c>
      <c r="I1319" s="74">
        <f>+VLOOKUP(D1319,'材料表 '!C:F,3,0)</f>
        <v>2.47787610619469</v>
      </c>
      <c r="J1319" s="51">
        <f t="shared" si="215"/>
        <v>1.77094455541544</v>
      </c>
      <c r="K1319" s="43">
        <f ca="1">H1319*K1292</f>
        <v>24.0553072625698</v>
      </c>
      <c r="L1319" s="90"/>
      <c r="M1319" s="44"/>
      <c r="N1319" s="82"/>
      <c r="O1319" s="44"/>
      <c r="P1319" s="44"/>
      <c r="Q1319" s="44"/>
      <c r="R1319" s="84"/>
      <c r="S1319" s="47"/>
      <c r="T1319" s="47"/>
    </row>
    <row r="1320" s="27" customFormat="1" ht="18" customHeight="1" spans="1:20">
      <c r="A1320" s="34"/>
      <c r="B1320" s="48">
        <v>15</v>
      </c>
      <c r="C1320" s="48"/>
      <c r="D1320" s="88" t="s">
        <v>476</v>
      </c>
      <c r="E1320" s="72" t="str">
        <f>+VLOOKUP(D1320,'材料表 '!C:F,2,0)</f>
        <v>支</v>
      </c>
      <c r="F1320" s="77">
        <f>8*8*(O1301*P1301*2)/500/R1293+16*8*(O1296*P1296+O1301*P1301)/500/R1293</f>
        <v>0.467090935724865</v>
      </c>
      <c r="G1320" s="89">
        <f>+VLOOKUP(D1320,'材料表 '!C:F,4,0)</f>
        <v>0.15</v>
      </c>
      <c r="H1320" s="74">
        <f t="shared" si="214"/>
        <v>0.537154576083595</v>
      </c>
      <c r="I1320" s="74">
        <f>+VLOOKUP(D1320,'材料表 '!C:F,3,0)</f>
        <v>11.5044247787611</v>
      </c>
      <c r="J1320" s="51">
        <f t="shared" si="215"/>
        <v>6.17965441512102</v>
      </c>
      <c r="K1320" s="43">
        <f ca="1">H1320*K1292</f>
        <v>18.0794332335878</v>
      </c>
      <c r="L1320" s="92"/>
      <c r="M1320" s="44"/>
      <c r="N1320" s="82"/>
      <c r="O1320" s="44"/>
      <c r="P1320" s="44"/>
      <c r="Q1320" s="44"/>
      <c r="R1320" s="84"/>
      <c r="S1320" s="47"/>
      <c r="T1320" s="47"/>
    </row>
    <row r="1321" s="27" customFormat="1" ht="18" customHeight="1" spans="1:20">
      <c r="A1321" s="34"/>
      <c r="B1321" s="48">
        <v>16</v>
      </c>
      <c r="C1321" s="48"/>
      <c r="D1321" s="88" t="s">
        <v>576</v>
      </c>
      <c r="E1321" s="72" t="str">
        <f>+VLOOKUP(D1321,'材料表 '!C:F,2,0)</f>
        <v>支</v>
      </c>
      <c r="F1321" s="77">
        <v>0</v>
      </c>
      <c r="G1321" s="89">
        <f>+VLOOKUP(D1321,'材料表 '!C:F,4,0)</f>
        <v>0.15</v>
      </c>
      <c r="H1321" s="74">
        <f t="shared" si="214"/>
        <v>0</v>
      </c>
      <c r="I1321" s="74">
        <f>+VLOOKUP(D1321,'材料表 '!C:F,3,0)</f>
        <v>14.1592920353982</v>
      </c>
      <c r="J1321" s="51">
        <f t="shared" si="215"/>
        <v>0</v>
      </c>
      <c r="K1321" s="43">
        <f ca="1">H1321*K1292</f>
        <v>0</v>
      </c>
      <c r="L1321" s="92"/>
      <c r="M1321" s="44"/>
      <c r="N1321" s="82"/>
      <c r="O1321" s="44"/>
      <c r="P1321" s="44"/>
      <c r="Q1321" s="44"/>
      <c r="R1321" s="84"/>
      <c r="S1321" s="47"/>
      <c r="T1321" s="47"/>
    </row>
    <row r="1322" s="27" customFormat="1" ht="18" customHeight="1" spans="1:20">
      <c r="A1322" s="34"/>
      <c r="B1322" s="48">
        <v>17</v>
      </c>
      <c r="C1322" s="48"/>
      <c r="D1322" s="88" t="s">
        <v>479</v>
      </c>
      <c r="E1322" s="72" t="str">
        <f>+VLOOKUP(D1322,'材料表 '!C:F,2,0)</f>
        <v>kg</v>
      </c>
      <c r="F1322" s="77">
        <v>0</v>
      </c>
      <c r="G1322" s="89">
        <f>+VLOOKUP(D1322,'材料表 '!C:F,4,0)</f>
        <v>0.03</v>
      </c>
      <c r="H1322" s="74">
        <f t="shared" si="214"/>
        <v>0</v>
      </c>
      <c r="I1322" s="74">
        <f>+VLOOKUP(D1322,'材料表 '!C:F,3,0)</f>
        <v>14.1592920353982</v>
      </c>
      <c r="J1322" s="51">
        <f t="shared" si="215"/>
        <v>0</v>
      </c>
      <c r="K1322" s="43">
        <f ca="1">H1322*K1292</f>
        <v>0</v>
      </c>
      <c r="L1322" s="92"/>
      <c r="M1322" s="44"/>
      <c r="N1322" s="82"/>
      <c r="O1322" s="44"/>
      <c r="P1322" s="44"/>
      <c r="Q1322" s="44"/>
      <c r="R1322" s="84"/>
      <c r="S1322" s="47"/>
      <c r="T1322" s="47"/>
    </row>
    <row r="1323" s="27" customFormat="1" ht="18" customHeight="1" spans="1:20">
      <c r="A1323" s="34"/>
      <c r="B1323" s="48">
        <v>18</v>
      </c>
      <c r="C1323" s="48"/>
      <c r="D1323" s="88" t="s">
        <v>500</v>
      </c>
      <c r="E1323" s="72" t="str">
        <f>+VLOOKUP(D1323,'材料表 '!C:F,2,0)</f>
        <v>kg</v>
      </c>
      <c r="F1323" s="77">
        <f>R1301+R1302+R1303+R1304+R1305+R1306</f>
        <v>3.75717620962023</v>
      </c>
      <c r="G1323" s="89">
        <f>+VLOOKUP(D1323,'材料表 '!C:F,4,0)</f>
        <v>0.03</v>
      </c>
      <c r="H1323" s="74">
        <f t="shared" si="214"/>
        <v>3.86989149590884</v>
      </c>
      <c r="I1323" s="74">
        <f>+VLOOKUP(D1323,'材料表 '!C:F,3,0)</f>
        <v>14.1592920353982</v>
      </c>
      <c r="J1323" s="51">
        <f t="shared" si="215"/>
        <v>54.7949238358772</v>
      </c>
      <c r="K1323" s="43">
        <f ca="1">H1323*K1292</f>
        <v>130.251975942628</v>
      </c>
      <c r="L1323" s="92"/>
      <c r="M1323" s="44"/>
      <c r="N1323" s="82"/>
      <c r="O1323" s="44"/>
      <c r="P1323" s="44"/>
      <c r="Q1323" s="44"/>
      <c r="R1323" s="84"/>
      <c r="S1323" s="47"/>
      <c r="T1323" s="47"/>
    </row>
    <row r="1324" s="27" customFormat="1" ht="35" customHeight="1" spans="1:20">
      <c r="A1324" s="34"/>
      <c r="B1324" s="48">
        <v>19</v>
      </c>
      <c r="C1324" s="48"/>
      <c r="D1324" s="88" t="s">
        <v>691</v>
      </c>
      <c r="E1324" s="72" t="str">
        <f>+VLOOKUP(D1324,'材料表 '!C:F,2,0)</f>
        <v>m2</v>
      </c>
      <c r="F1324" s="77">
        <v>1</v>
      </c>
      <c r="G1324" s="89">
        <f>+VLOOKUP(D1324,'材料表 '!C:F,4,0)</f>
        <v>0.01</v>
      </c>
      <c r="H1324" s="74">
        <f t="shared" si="214"/>
        <v>1.01</v>
      </c>
      <c r="I1324" s="74">
        <f>+VLOOKUP(D1324,'材料表 '!C:F,3,0)</f>
        <v>794.690265486726</v>
      </c>
      <c r="J1324" s="51">
        <f t="shared" si="215"/>
        <v>802.637168141593</v>
      </c>
      <c r="K1324" s="43">
        <f ca="1">H1324*K1292</f>
        <v>33.99436285</v>
      </c>
      <c r="L1324" s="90"/>
      <c r="M1324" s="44"/>
      <c r="N1324" s="82"/>
      <c r="O1324" s="44"/>
      <c r="P1324" s="44"/>
      <c r="Q1324" s="44"/>
      <c r="R1324" s="84"/>
      <c r="S1324" s="47"/>
      <c r="T1324" s="47"/>
    </row>
    <row r="1325" s="27" customFormat="1" ht="21" customHeight="1" spans="1:20">
      <c r="A1325" s="34"/>
      <c r="B1325" s="48">
        <v>20</v>
      </c>
      <c r="C1325" s="48"/>
      <c r="D1325" s="88" t="s">
        <v>1043</v>
      </c>
      <c r="E1325" s="72" t="str">
        <f>+VLOOKUP(D1325,'材料表 '!C:F,2,0)</f>
        <v>套</v>
      </c>
      <c r="F1325" s="77">
        <f>P1304/R1293</f>
        <v>0.465037330871736</v>
      </c>
      <c r="G1325" s="89">
        <f>+VLOOKUP(D1325,'材料表 '!C:F,4,0)</f>
        <v>0</v>
      </c>
      <c r="H1325" s="74">
        <f t="shared" si="214"/>
        <v>0.465037330871736</v>
      </c>
      <c r="I1325" s="74">
        <f>+VLOOKUP(D1325,'材料表 '!C:F,3,0)</f>
        <v>1.32743362831858</v>
      </c>
      <c r="J1325" s="51">
        <f t="shared" si="215"/>
        <v>0.617306191422656</v>
      </c>
      <c r="K1325" s="43">
        <f ca="1">H1325*K1292</f>
        <v>15.6521264994548</v>
      </c>
      <c r="L1325" s="90"/>
      <c r="M1325" s="44"/>
      <c r="N1325" s="82"/>
      <c r="O1325" s="44"/>
      <c r="P1325" s="44"/>
      <c r="Q1325" s="44"/>
      <c r="R1325" s="84"/>
      <c r="S1325" s="47"/>
      <c r="T1325" s="47"/>
    </row>
    <row r="1326" s="27" customFormat="1" ht="18" customHeight="1" spans="1:20">
      <c r="A1326" s="34"/>
      <c r="B1326" s="48">
        <v>21</v>
      </c>
      <c r="C1326" s="48"/>
      <c r="D1326" s="88"/>
      <c r="E1326" s="72"/>
      <c r="F1326" s="77"/>
      <c r="G1326" s="89"/>
      <c r="H1326" s="74"/>
      <c r="I1326" s="74"/>
      <c r="J1326" s="51"/>
      <c r="K1326" s="43">
        <f ca="1">H1326*K1292</f>
        <v>0</v>
      </c>
      <c r="L1326" s="92"/>
      <c r="M1326" s="44"/>
      <c r="N1326" s="82"/>
      <c r="O1326" s="44"/>
      <c r="P1326" s="44"/>
      <c r="Q1326" s="44"/>
      <c r="R1326" s="84"/>
      <c r="S1326" s="47"/>
      <c r="T1326" s="47"/>
    </row>
    <row r="1327" s="27" customFormat="1" ht="18" customHeight="1" spans="1:20">
      <c r="A1327" s="34"/>
      <c r="B1327" s="48">
        <v>22</v>
      </c>
      <c r="C1327" s="48"/>
      <c r="D1327" s="88"/>
      <c r="E1327" s="72"/>
      <c r="F1327" s="77"/>
      <c r="G1327" s="89"/>
      <c r="H1327" s="74"/>
      <c r="I1327" s="74"/>
      <c r="J1327" s="51"/>
      <c r="K1327" s="43">
        <f ca="1">H1327*K1292</f>
        <v>0</v>
      </c>
      <c r="L1327" s="92"/>
      <c r="M1327" s="44"/>
      <c r="N1327" s="44"/>
      <c r="O1327" s="44"/>
      <c r="P1327" s="44"/>
      <c r="Q1327" s="44"/>
      <c r="R1327" s="84"/>
      <c r="S1327" s="47"/>
      <c r="T1327" s="47"/>
    </row>
    <row r="1328" s="27" customFormat="1" ht="18" customHeight="1" spans="1:20">
      <c r="A1328" s="34"/>
      <c r="B1328" s="48">
        <v>23</v>
      </c>
      <c r="C1328" s="48"/>
      <c r="D1328" s="88"/>
      <c r="E1328" s="72"/>
      <c r="F1328" s="77"/>
      <c r="G1328" s="89"/>
      <c r="H1328" s="74"/>
      <c r="I1328" s="74"/>
      <c r="J1328" s="51"/>
      <c r="K1328" s="75">
        <f ca="1">H1328*K1292</f>
        <v>0</v>
      </c>
      <c r="L1328" s="92"/>
      <c r="M1328" s="44"/>
      <c r="N1328" s="44"/>
      <c r="O1328" s="44"/>
      <c r="P1328" s="44"/>
      <c r="Q1328" s="44"/>
      <c r="R1328" s="84"/>
      <c r="S1328" s="47"/>
      <c r="T1328" s="47"/>
    </row>
    <row r="1329" s="27" customFormat="1" ht="18" customHeight="1" spans="1:21">
      <c r="A1329" s="34"/>
      <c r="B1329" s="48">
        <v>24</v>
      </c>
      <c r="C1329" s="48"/>
      <c r="D1329" s="88"/>
      <c r="E1329" s="72"/>
      <c r="F1329" s="77"/>
      <c r="G1329" s="89"/>
      <c r="H1329" s="74"/>
      <c r="I1329" s="74"/>
      <c r="J1329" s="51"/>
      <c r="K1329" s="75">
        <f ca="1">H1329*K1292</f>
        <v>0</v>
      </c>
      <c r="L1329" s="92"/>
      <c r="M1329" s="44"/>
      <c r="N1329" s="44"/>
      <c r="O1329" s="44"/>
      <c r="P1329" s="44"/>
      <c r="Q1329" s="44"/>
      <c r="R1329" s="84"/>
      <c r="S1329" s="47"/>
      <c r="T1329" s="47"/>
    </row>
    <row r="1330" s="27" customFormat="1" ht="18" customHeight="1" spans="1:21">
      <c r="A1330" s="34"/>
      <c r="B1330" s="48">
        <v>25</v>
      </c>
      <c r="C1330" s="48"/>
      <c r="D1330" s="88"/>
      <c r="E1330" s="72"/>
      <c r="F1330" s="77"/>
      <c r="G1330" s="89"/>
      <c r="H1330" s="74"/>
      <c r="I1330" s="74"/>
      <c r="J1330" s="51"/>
      <c r="K1330" s="75"/>
      <c r="L1330" s="92"/>
      <c r="M1330" s="44"/>
      <c r="N1330" s="44"/>
      <c r="O1330" s="44"/>
      <c r="P1330" s="44"/>
      <c r="Q1330" s="44"/>
      <c r="R1330" s="84"/>
      <c r="S1330" s="47"/>
      <c r="T1330" s="47"/>
    </row>
    <row r="1331" s="27" customFormat="1" ht="18" customHeight="1" spans="1:21">
      <c r="A1331" s="34"/>
      <c r="B1331" s="48">
        <v>26</v>
      </c>
      <c r="C1331" s="48"/>
      <c r="D1331" s="88" t="s">
        <v>441</v>
      </c>
      <c r="E1331" s="72" t="s">
        <v>43</v>
      </c>
      <c r="F1331" s="77"/>
      <c r="G1331" s="72">
        <v>1</v>
      </c>
      <c r="H1331" s="74">
        <v>1</v>
      </c>
      <c r="I1331" s="74">
        <f>+辅材及安装费!$E$19</f>
        <v>10</v>
      </c>
      <c r="J1331" s="51">
        <f>H1331*I1331</f>
        <v>10</v>
      </c>
      <c r="K1331" s="75"/>
      <c r="L1331" s="92"/>
      <c r="M1331" s="44"/>
      <c r="N1331" s="44"/>
      <c r="O1331" s="44"/>
      <c r="P1331" s="44"/>
      <c r="Q1331" s="44"/>
      <c r="R1331" s="62"/>
      <c r="S1331" s="47"/>
      <c r="T1331" s="47"/>
    </row>
    <row r="1332" s="27" customFormat="1" ht="18" customHeight="1" spans="1:21">
      <c r="A1332" s="34"/>
      <c r="B1332" s="48">
        <v>27</v>
      </c>
      <c r="C1332" s="48"/>
      <c r="D1332" s="93" t="s">
        <v>442</v>
      </c>
      <c r="E1332" s="72"/>
      <c r="F1332" s="77"/>
      <c r="G1332" s="72"/>
      <c r="H1332" s="74"/>
      <c r="I1332" s="74"/>
      <c r="J1332" s="51">
        <f>SUM(J1306:J1331)</f>
        <v>1182.97308899152</v>
      </c>
      <c r="K1332" s="75"/>
      <c r="L1332" s="94"/>
      <c r="N1332" s="83"/>
      <c r="O1332" s="83"/>
      <c r="P1332" s="83"/>
      <c r="Q1332" s="83"/>
      <c r="R1332" s="87"/>
      <c r="S1332" s="47"/>
      <c r="T1332" s="47"/>
    </row>
    <row r="1333" s="27" customFormat="1" ht="18" customHeight="1" spans="1:21">
      <c r="A1333" s="34"/>
      <c r="B1333" s="48">
        <v>1</v>
      </c>
      <c r="C1333" s="48" t="s">
        <v>443</v>
      </c>
      <c r="D1333" s="48" t="s">
        <v>444</v>
      </c>
      <c r="E1333" s="72" t="s">
        <v>43</v>
      </c>
      <c r="F1333" s="50"/>
      <c r="G1333" s="48"/>
      <c r="H1333" s="51">
        <v>1</v>
      </c>
      <c r="I1333" s="74">
        <f>+辅材及安装费!$F$19</f>
        <v>5</v>
      </c>
      <c r="J1333" s="95">
        <f>H1333*I1333</f>
        <v>5</v>
      </c>
      <c r="K1333" s="60"/>
      <c r="L1333" s="96"/>
      <c r="M1333" s="97"/>
      <c r="N1333" s="98"/>
      <c r="O1333" s="98"/>
      <c r="P1333" s="98"/>
      <c r="Q1333" s="98"/>
      <c r="R1333" s="99"/>
      <c r="S1333" s="47"/>
      <c r="T1333" s="47"/>
    </row>
    <row r="1334" s="26" customFormat="1" ht="30" customHeight="1" spans="1:21">
      <c r="A1334" s="28"/>
      <c r="B1334" s="29" t="s">
        <v>386</v>
      </c>
      <c r="C1334" s="29"/>
      <c r="D1334" s="29"/>
      <c r="E1334" s="29"/>
      <c r="F1334" s="29"/>
      <c r="G1334" s="29"/>
      <c r="H1334" s="29"/>
      <c r="I1334" s="29"/>
      <c r="J1334" s="29"/>
      <c r="K1334" s="29"/>
      <c r="L1334" s="30"/>
      <c r="M1334" s="31"/>
      <c r="N1334" s="31"/>
      <c r="O1334" s="31"/>
      <c r="P1334" s="31"/>
      <c r="Q1334" s="31"/>
      <c r="R1334" s="32"/>
      <c r="S1334" s="33"/>
      <c r="T1334" s="33"/>
    </row>
    <row r="1335" s="27" customFormat="1" ht="41" customHeight="1" spans="1:21">
      <c r="A1335" s="34">
        <v>32</v>
      </c>
      <c r="B1335" s="35" t="s">
        <v>1</v>
      </c>
      <c r="C1335" s="35" t="s">
        <v>387</v>
      </c>
      <c r="D1335" s="36" t="str">
        <f>+A1343</f>
        <v>二层明框玻璃幕墙（6+1.52PVB+6Low-E(双银)+12A+6㎜全超白钢化夹层中空玻璃）</v>
      </c>
      <c r="E1335" s="37"/>
      <c r="F1335" s="38" t="s">
        <v>225</v>
      </c>
      <c r="G1335" s="39"/>
      <c r="H1335" s="35" t="s">
        <v>388</v>
      </c>
      <c r="I1335" s="40" t="s">
        <v>389</v>
      </c>
      <c r="J1335" s="41" t="s">
        <v>37</v>
      </c>
      <c r="K1335" s="42">
        <f ca="1">VLOOKUP(A1335,'商业工程量清单 '!$A$4:$D$44,4,FALSE)</f>
        <v>30.36055</v>
      </c>
      <c r="L1335" s="43"/>
      <c r="M1335" s="44"/>
      <c r="N1335" s="44"/>
      <c r="O1335" s="44"/>
      <c r="P1335" s="45"/>
      <c r="Q1335" s="44"/>
      <c r="R1335" s="46"/>
      <c r="S1335" s="47"/>
      <c r="T1335" s="47"/>
    </row>
    <row r="1336" s="27" customFormat="1" ht="25" customHeight="1" spans="1:21">
      <c r="A1336" s="34"/>
      <c r="B1336" s="48">
        <v>1</v>
      </c>
      <c r="C1336" s="49" t="s">
        <v>390</v>
      </c>
      <c r="D1336" s="48" t="s">
        <v>391</v>
      </c>
      <c r="E1336" s="48"/>
      <c r="F1336" s="50"/>
      <c r="G1336" s="48"/>
      <c r="H1336" s="51"/>
      <c r="I1336" s="52">
        <f>J1348</f>
        <v>170</v>
      </c>
      <c r="J1336" s="53" t="s">
        <v>392</v>
      </c>
      <c r="K1336" s="54"/>
      <c r="L1336" s="55" t="s">
        <v>1036</v>
      </c>
      <c r="M1336" s="56"/>
      <c r="N1336" s="57"/>
      <c r="O1336" s="57">
        <f>11.605+1.4</f>
        <v>13.005</v>
      </c>
      <c r="P1336" s="57">
        <v>0.62</v>
      </c>
      <c r="Q1336" s="57">
        <v>1</v>
      </c>
      <c r="R1336" s="58">
        <f>+Q1336*P1336*O1336</f>
        <v>8.0631</v>
      </c>
      <c r="S1336" s="47"/>
      <c r="T1336" s="47"/>
    </row>
    <row r="1337" s="27" customFormat="1" ht="18" customHeight="1" spans="1:21">
      <c r="A1337" s="34"/>
      <c r="B1337" s="48">
        <v>2</v>
      </c>
      <c r="C1337" s="59"/>
      <c r="D1337" s="48" t="s">
        <v>394</v>
      </c>
      <c r="E1337" s="48"/>
      <c r="F1337" s="50"/>
      <c r="G1337" s="48"/>
      <c r="H1337" s="51"/>
      <c r="I1337" s="52">
        <f>J1375</f>
        <v>1194.96523035791</v>
      </c>
      <c r="J1337" s="53" t="s">
        <v>392</v>
      </c>
      <c r="K1337" s="60"/>
      <c r="L1337" s="61"/>
      <c r="M1337" s="44"/>
      <c r="N1337" s="44"/>
      <c r="O1337" s="44"/>
      <c r="P1337" s="44"/>
      <c r="Q1337" s="44"/>
      <c r="R1337" s="62"/>
      <c r="S1337" s="47"/>
      <c r="T1337" s="47"/>
    </row>
    <row r="1338" s="27" customFormat="1" ht="18" customHeight="1" spans="1:21">
      <c r="A1338" s="34"/>
      <c r="B1338" s="48">
        <v>3</v>
      </c>
      <c r="C1338" s="63"/>
      <c r="D1338" s="48" t="s">
        <v>395</v>
      </c>
      <c r="E1338" s="48"/>
      <c r="F1338" s="50"/>
      <c r="G1338" s="48"/>
      <c r="H1338" s="51"/>
      <c r="I1338" s="52">
        <f>J1376</f>
        <v>5</v>
      </c>
      <c r="J1338" s="53" t="s">
        <v>392</v>
      </c>
      <c r="K1338" s="60"/>
      <c r="L1338" s="60"/>
      <c r="M1338" s="64" t="s">
        <v>396</v>
      </c>
      <c r="N1338" s="65" t="s">
        <v>397</v>
      </c>
      <c r="O1338" s="65" t="s">
        <v>398</v>
      </c>
      <c r="P1338" s="65" t="s">
        <v>399</v>
      </c>
      <c r="Q1338" s="65" t="s">
        <v>400</v>
      </c>
      <c r="R1338" s="66" t="s">
        <v>401</v>
      </c>
      <c r="S1338" s="47"/>
      <c r="T1338" s="47"/>
    </row>
    <row r="1339" s="27" customFormat="1" ht="18" customHeight="1" spans="1:21">
      <c r="A1339" s="34"/>
      <c r="B1339" s="48">
        <v>4</v>
      </c>
      <c r="C1339" s="48" t="s">
        <v>402</v>
      </c>
      <c r="D1339" s="67" t="s">
        <v>403</v>
      </c>
      <c r="E1339" s="67"/>
      <c r="F1339" s="50"/>
      <c r="G1339" s="67"/>
      <c r="H1339" s="68"/>
      <c r="I1339" s="52">
        <f>SUM(I1336:I1338)</f>
        <v>1369.96523035791</v>
      </c>
      <c r="J1339" s="53" t="s">
        <v>392</v>
      </c>
      <c r="K1339" s="60"/>
      <c r="L1339" s="69" t="s">
        <v>427</v>
      </c>
      <c r="M1339" s="70" t="s">
        <v>1007</v>
      </c>
      <c r="N1339" s="34">
        <v>3.111</v>
      </c>
      <c r="O1339" s="34">
        <f>P1336</f>
        <v>0.62</v>
      </c>
      <c r="P1339" s="34">
        <v>8</v>
      </c>
      <c r="Q1339" s="44">
        <f t="shared" ref="Q1339:Q1349" si="216">+P1339*O1339*N1339</f>
        <v>15.43056</v>
      </c>
      <c r="R1339" s="71">
        <f>+Q1339/R1336</f>
        <v>1.91372549019608</v>
      </c>
      <c r="S1339" s="47"/>
      <c r="T1339" s="47"/>
    </row>
    <row r="1340" s="27" customFormat="1" ht="28" customHeight="1" spans="1:21">
      <c r="A1340" s="34"/>
      <c r="B1340" s="48">
        <v>5</v>
      </c>
      <c r="C1340" s="72" t="s">
        <v>406</v>
      </c>
      <c r="D1340" s="48" t="s">
        <v>407</v>
      </c>
      <c r="E1340" s="48"/>
      <c r="F1340" s="50"/>
      <c r="G1340" s="48"/>
      <c r="H1340" s="73">
        <f>+'材料表 '!$E$178</f>
        <v>0</v>
      </c>
      <c r="I1340" s="52">
        <f>H1340*I1339</f>
        <v>0</v>
      </c>
      <c r="J1340" s="53" t="s">
        <v>392</v>
      </c>
      <c r="K1340" s="60"/>
      <c r="L1340" s="69" t="s">
        <v>429</v>
      </c>
      <c r="M1340" s="70" t="s">
        <v>1037</v>
      </c>
      <c r="N1340" s="34">
        <v>3.063</v>
      </c>
      <c r="O1340" s="100">
        <f>O1339/0.3*0.1</f>
        <v>0.206666666666667</v>
      </c>
      <c r="P1340" s="34">
        <f>P1339</f>
        <v>8</v>
      </c>
      <c r="Q1340" s="44">
        <f t="shared" si="216"/>
        <v>5.06416</v>
      </c>
      <c r="R1340" s="71">
        <f>+Q1340/R1336</f>
        <v>0.628066128412149</v>
      </c>
      <c r="S1340" s="47"/>
      <c r="T1340" s="47"/>
    </row>
    <row r="1341" s="27" customFormat="1" ht="18" customHeight="1" spans="1:21">
      <c r="A1341" s="34"/>
      <c r="B1341" s="48">
        <v>6</v>
      </c>
      <c r="C1341" s="48" t="s">
        <v>409</v>
      </c>
      <c r="D1341" s="48" t="s">
        <v>410</v>
      </c>
      <c r="E1341" s="48"/>
      <c r="F1341" s="50"/>
      <c r="G1341" s="48"/>
      <c r="H1341" s="73">
        <f>+'材料表 '!$E$179</f>
        <v>0</v>
      </c>
      <c r="I1341" s="52">
        <f>H1341*I1339</f>
        <v>0</v>
      </c>
      <c r="J1341" s="74" t="s">
        <v>392</v>
      </c>
      <c r="K1341" s="75"/>
      <c r="L1341" s="69" t="s">
        <v>447</v>
      </c>
      <c r="M1341" s="70" t="s">
        <v>1038</v>
      </c>
      <c r="N1341" s="34">
        <f>1.041+0.104</f>
        <v>1.145</v>
      </c>
      <c r="O1341" s="34">
        <f>O1339</f>
        <v>0.62</v>
      </c>
      <c r="P1341" s="34">
        <f>P1339</f>
        <v>8</v>
      </c>
      <c r="Q1341" s="44">
        <f t="shared" si="216"/>
        <v>5.6792</v>
      </c>
      <c r="R1341" s="71">
        <f>+Q1341/R1336</f>
        <v>0.704344482891196</v>
      </c>
      <c r="S1341" s="47">
        <v>0.172</v>
      </c>
      <c r="T1341" s="47">
        <f>O1341*P1341*S1341</f>
        <v>0.85312</v>
      </c>
      <c r="U1341" s="76">
        <f>T1341/R1336</f>
        <v>0.105805459438677</v>
      </c>
    </row>
    <row r="1342" s="27" customFormat="1" ht="18" customHeight="1" spans="1:21">
      <c r="A1342" s="34"/>
      <c r="B1342" s="48">
        <v>7</v>
      </c>
      <c r="C1342" s="48" t="s">
        <v>412</v>
      </c>
      <c r="D1342" s="72" t="s">
        <v>413</v>
      </c>
      <c r="E1342" s="72"/>
      <c r="F1342" s="77"/>
      <c r="G1342" s="72"/>
      <c r="H1342" s="73">
        <f>+'材料表 '!$E$180</f>
        <v>0.09</v>
      </c>
      <c r="I1342" s="52">
        <f>(I1339+I1340+I1341)*H1342</f>
        <v>123.296870732212</v>
      </c>
      <c r="J1342" s="74" t="s">
        <v>392</v>
      </c>
      <c r="K1342" s="75"/>
      <c r="L1342" s="69" t="s">
        <v>429</v>
      </c>
      <c r="M1342" s="70" t="s">
        <v>1010</v>
      </c>
      <c r="N1342" s="102">
        <f>2.9</f>
        <v>2.9</v>
      </c>
      <c r="O1342" s="34">
        <v>0.2</v>
      </c>
      <c r="P1342" s="34">
        <f>P1339</f>
        <v>8</v>
      </c>
      <c r="Q1342" s="44">
        <f t="shared" si="216"/>
        <v>4.64</v>
      </c>
      <c r="R1342" s="71">
        <f>+Q1342/R1336</f>
        <v>0.575461050960549</v>
      </c>
      <c r="S1342" s="47"/>
      <c r="T1342" s="47"/>
    </row>
    <row r="1343" s="27" customFormat="1" ht="18" customHeight="1" spans="1:21">
      <c r="A1343" s="78" t="s">
        <v>272</v>
      </c>
      <c r="B1343" s="48">
        <v>8</v>
      </c>
      <c r="C1343" s="48" t="s">
        <v>363</v>
      </c>
      <c r="D1343" s="72" t="s">
        <v>415</v>
      </c>
      <c r="E1343" s="72"/>
      <c r="F1343" s="77"/>
      <c r="G1343" s="72"/>
      <c r="H1343" s="51"/>
      <c r="I1343" s="74">
        <f>SUM(I1339:I1342)</f>
        <v>1493.26210109012</v>
      </c>
      <c r="J1343" s="74" t="s">
        <v>416</v>
      </c>
      <c r="K1343" s="75"/>
      <c r="L1343" s="69" t="s">
        <v>429</v>
      </c>
      <c r="M1343" s="70" t="s">
        <v>1040</v>
      </c>
      <c r="N1343" s="34">
        <v>0.733</v>
      </c>
      <c r="O1343" s="100">
        <f>O1340*2</f>
        <v>0.413333333333333</v>
      </c>
      <c r="P1343" s="34">
        <f>P1339</f>
        <v>8</v>
      </c>
      <c r="Q1343" s="44">
        <f t="shared" si="216"/>
        <v>2.42378666666667</v>
      </c>
      <c r="R1343" s="71">
        <f>+Q1343/R1336</f>
        <v>0.300602332436243</v>
      </c>
      <c r="S1343" s="79"/>
      <c r="T1343" s="47"/>
    </row>
    <row r="1344" s="27" customFormat="1" ht="18" customHeight="1" spans="1:21">
      <c r="A1344" s="34"/>
      <c r="B1344" s="48" t="s">
        <v>418</v>
      </c>
      <c r="C1344" s="48"/>
      <c r="D1344" s="48"/>
      <c r="E1344" s="48"/>
      <c r="F1344" s="48"/>
      <c r="G1344" s="48"/>
      <c r="H1344" s="48"/>
      <c r="I1344" s="48"/>
      <c r="J1344" s="48"/>
      <c r="K1344" s="80"/>
      <c r="L1344" s="69" t="s">
        <v>404</v>
      </c>
      <c r="M1344" s="70" t="s">
        <v>1041</v>
      </c>
      <c r="N1344" s="34">
        <v>3.727</v>
      </c>
      <c r="O1344" s="34">
        <f>O1336</f>
        <v>13.005</v>
      </c>
      <c r="P1344" s="34">
        <v>1.5</v>
      </c>
      <c r="Q1344" s="44">
        <f t="shared" si="216"/>
        <v>72.7044525</v>
      </c>
      <c r="R1344" s="71">
        <f>+Q1344/R1336</f>
        <v>9.01693548387097</v>
      </c>
      <c r="S1344" s="47"/>
      <c r="T1344" s="47"/>
      <c r="U1344" s="76"/>
    </row>
    <row r="1345" s="27" customFormat="1" ht="18" customHeight="1" spans="1:21">
      <c r="A1345" s="34"/>
      <c r="B1345" s="48">
        <v>1</v>
      </c>
      <c r="C1345" s="48" t="s">
        <v>391</v>
      </c>
      <c r="D1345" s="48" t="s">
        <v>396</v>
      </c>
      <c r="E1345" s="48" t="s">
        <v>37</v>
      </c>
      <c r="F1345" s="50"/>
      <c r="G1345" s="48"/>
      <c r="H1345" s="51" t="s">
        <v>399</v>
      </c>
      <c r="I1345" s="51" t="s">
        <v>420</v>
      </c>
      <c r="J1345" s="51" t="s">
        <v>421</v>
      </c>
      <c r="K1345" s="43"/>
      <c r="L1345" s="69" t="s">
        <v>429</v>
      </c>
      <c r="M1345" s="81" t="s">
        <v>1027</v>
      </c>
      <c r="N1345" s="82">
        <v>0.735</v>
      </c>
      <c r="O1345" s="34">
        <f>O1344</f>
        <v>13.005</v>
      </c>
      <c r="P1345" s="34">
        <f>P1344</f>
        <v>1.5</v>
      </c>
      <c r="Q1345" s="44">
        <f t="shared" si="216"/>
        <v>14.3380125</v>
      </c>
      <c r="R1345" s="71">
        <f>+Q1345/R1336</f>
        <v>1.77822580645161</v>
      </c>
      <c r="S1345" s="47"/>
      <c r="T1345" s="47"/>
    </row>
    <row r="1346" s="27" customFormat="1" ht="18" customHeight="1" spans="1:21">
      <c r="A1346" s="34"/>
      <c r="B1346" s="48">
        <v>2</v>
      </c>
      <c r="C1346" s="48"/>
      <c r="D1346" s="48" t="s">
        <v>967</v>
      </c>
      <c r="E1346" s="72" t="s">
        <v>423</v>
      </c>
      <c r="F1346" s="50"/>
      <c r="G1346" s="48"/>
      <c r="H1346" s="51">
        <v>1</v>
      </c>
      <c r="I1346" s="51">
        <f>+辅材及安装费!$G$19</f>
        <v>170</v>
      </c>
      <c r="J1346" s="51">
        <f t="shared" ref="J1346:J1354" si="217">H1346*I1346</f>
        <v>170</v>
      </c>
      <c r="K1346" s="43"/>
      <c r="L1346" s="69" t="s">
        <v>447</v>
      </c>
      <c r="M1346" s="70" t="s">
        <v>1038</v>
      </c>
      <c r="N1346" s="83">
        <v>0.977</v>
      </c>
      <c r="O1346" s="34">
        <f>O1344</f>
        <v>13.005</v>
      </c>
      <c r="P1346" s="34">
        <v>0.5</v>
      </c>
      <c r="Q1346" s="44">
        <f t="shared" si="216"/>
        <v>6.3529425</v>
      </c>
      <c r="R1346" s="84">
        <f>+Q1346/R1336</f>
        <v>0.787903225806452</v>
      </c>
      <c r="S1346" s="47">
        <v>0.185</v>
      </c>
      <c r="T1346" s="47">
        <f t="shared" ref="T1346:T1349" si="218">O1346*P1346*S1346</f>
        <v>1.2029625</v>
      </c>
      <c r="U1346" s="103">
        <f>T1346/R1336</f>
        <v>0.149193548387097</v>
      </c>
    </row>
    <row r="1347" s="27" customFormat="1" ht="18" customHeight="1" spans="1:21">
      <c r="A1347" s="34"/>
      <c r="B1347" s="48">
        <v>3</v>
      </c>
      <c r="C1347" s="48"/>
      <c r="D1347" s="48"/>
      <c r="E1347" s="72"/>
      <c r="F1347" s="50"/>
      <c r="G1347" s="48"/>
      <c r="H1347" s="51"/>
      <c r="I1347" s="51"/>
      <c r="J1347" s="51"/>
      <c r="K1347" s="43"/>
      <c r="L1347" s="69" t="s">
        <v>429</v>
      </c>
      <c r="M1347" s="81" t="s">
        <v>1042</v>
      </c>
      <c r="N1347" s="82">
        <v>0.687</v>
      </c>
      <c r="O1347" s="44">
        <f>0.1</f>
        <v>0.1</v>
      </c>
      <c r="P1347" s="34">
        <f>7*2</f>
        <v>14</v>
      </c>
      <c r="Q1347" s="44">
        <f t="shared" si="216"/>
        <v>0.9618</v>
      </c>
      <c r="R1347" s="84">
        <f>+Q1347/R1336</f>
        <v>0.11928414629609</v>
      </c>
      <c r="S1347" s="47"/>
      <c r="T1347" s="47"/>
    </row>
    <row r="1348" s="27" customFormat="1" ht="18" customHeight="1" spans="1:21">
      <c r="A1348" s="34"/>
      <c r="B1348" s="48">
        <v>4</v>
      </c>
      <c r="C1348" s="48"/>
      <c r="D1348" s="85" t="s">
        <v>426</v>
      </c>
      <c r="E1348" s="48" t="s">
        <v>392</v>
      </c>
      <c r="F1348" s="50"/>
      <c r="G1348" s="48"/>
      <c r="H1348" s="86"/>
      <c r="I1348" s="86"/>
      <c r="J1348" s="51">
        <f>SUM(J1346:J1346)</f>
        <v>170</v>
      </c>
      <c r="K1348" s="75"/>
      <c r="L1348" s="69" t="s">
        <v>447</v>
      </c>
      <c r="M1348" s="70" t="s">
        <v>1038</v>
      </c>
      <c r="N1348" s="34">
        <f>0.668*2.71+0.022*2.71</f>
        <v>1.8699</v>
      </c>
      <c r="O1348" s="34">
        <f>O1336</f>
        <v>13.005</v>
      </c>
      <c r="P1348" s="34">
        <v>1</v>
      </c>
      <c r="Q1348" s="44">
        <f t="shared" si="216"/>
        <v>24.3180495</v>
      </c>
      <c r="R1348" s="71">
        <f>+Q1348/R1336</f>
        <v>3.01596774193548</v>
      </c>
      <c r="S1348" s="47">
        <v>0.31</v>
      </c>
      <c r="T1348" s="47">
        <f t="shared" si="218"/>
        <v>4.03155</v>
      </c>
      <c r="U1348" s="76">
        <f>T1348/R1336</f>
        <v>0.5</v>
      </c>
    </row>
    <row r="1349" s="27" customFormat="1" ht="23" customHeight="1" spans="1:21">
      <c r="A1349" s="34"/>
      <c r="B1349" s="48">
        <v>1</v>
      </c>
      <c r="C1349" s="48" t="s">
        <v>394</v>
      </c>
      <c r="D1349" s="88" t="s">
        <v>427</v>
      </c>
      <c r="E1349" s="72" t="str">
        <f>+VLOOKUP(D1349,'材料表 '!C:F,2,0)</f>
        <v>kg</v>
      </c>
      <c r="F1349" s="77">
        <f t="shared" ref="F1349:F1353" si="219">+SUMIF($L$1207:$L$1247,D1349,$R$1207:$R$1247)</f>
        <v>1.69629225736096</v>
      </c>
      <c r="G1349" s="89">
        <f>+VLOOKUP(D1349,'材料表 '!C:F,4,0)</f>
        <v>0.03</v>
      </c>
      <c r="H1349" s="74">
        <f t="shared" ref="H1349:H1354" si="220">F1349*(G1349+1)</f>
        <v>1.74718102508179</v>
      </c>
      <c r="I1349" s="74">
        <f>+VLOOKUP(D1349,'材料表 '!C:F,3,0)</f>
        <v>25.8495575221239</v>
      </c>
      <c r="J1349" s="51">
        <f t="shared" si="217"/>
        <v>45.1638564094151</v>
      </c>
      <c r="K1349" s="75">
        <f ca="1">H1349*K1335</f>
        <v>53.0453768710469</v>
      </c>
      <c r="L1349" s="69" t="s">
        <v>447</v>
      </c>
      <c r="M1349" s="70" t="s">
        <v>1049</v>
      </c>
      <c r="N1349" s="34">
        <f>0.074*2.71</f>
        <v>0.20054</v>
      </c>
      <c r="O1349" s="34">
        <f>O1336</f>
        <v>13.005</v>
      </c>
      <c r="P1349" s="34">
        <v>1</v>
      </c>
      <c r="Q1349" s="44">
        <f t="shared" si="216"/>
        <v>2.6080227</v>
      </c>
      <c r="R1349" s="71">
        <f>+Q1349/R1336</f>
        <v>0.323451612903226</v>
      </c>
      <c r="S1349" s="47">
        <f>0.048</f>
        <v>0.048</v>
      </c>
      <c r="T1349" s="47">
        <f t="shared" si="218"/>
        <v>0.62424</v>
      </c>
      <c r="U1349" s="76">
        <f>T1349/R1336</f>
        <v>0.0774193548387097</v>
      </c>
    </row>
    <row r="1350" s="27" customFormat="1" ht="18" customHeight="1" spans="1:21">
      <c r="A1350" s="34"/>
      <c r="B1350" s="48">
        <v>2</v>
      </c>
      <c r="C1350" s="48"/>
      <c r="D1350" s="88" t="s">
        <v>404</v>
      </c>
      <c r="E1350" s="72" t="str">
        <f>+VLOOKUP(D1350,'材料表 '!C:F,2,0)</f>
        <v>kg</v>
      </c>
      <c r="F1350" s="77">
        <f t="shared" si="219"/>
        <v>9.01693548387097</v>
      </c>
      <c r="G1350" s="89">
        <f>+VLOOKUP(D1350,'材料表 '!C:F,4,0)</f>
        <v>0.03</v>
      </c>
      <c r="H1350" s="74">
        <f t="shared" si="220"/>
        <v>9.2874435483871</v>
      </c>
      <c r="I1350" s="74">
        <f>+VLOOKUP(D1350,'材料表 '!C:F,3,0)</f>
        <v>25.6725663716814</v>
      </c>
      <c r="J1350" s="51">
        <f t="shared" si="217"/>
        <v>238.432510919212</v>
      </c>
      <c r="K1350" s="75">
        <f ca="1">H1350*K1335</f>
        <v>281.971894222984</v>
      </c>
      <c r="L1350" s="69"/>
      <c r="M1350" s="70"/>
      <c r="N1350" s="83"/>
      <c r="O1350" s="83"/>
      <c r="P1350" s="83"/>
      <c r="Q1350" s="83"/>
      <c r="R1350" s="87"/>
      <c r="S1350" s="47"/>
      <c r="T1350" s="34"/>
    </row>
    <row r="1351" s="27" customFormat="1" ht="18" customHeight="1" spans="1:21">
      <c r="A1351" s="34"/>
      <c r="B1351" s="48">
        <v>3</v>
      </c>
      <c r="C1351" s="48"/>
      <c r="D1351" s="88" t="s">
        <v>433</v>
      </c>
      <c r="E1351" s="72" t="str">
        <f>+VLOOKUP(D1351,'材料表 '!C:F,2,0)</f>
        <v>kg</v>
      </c>
      <c r="F1351" s="77">
        <f t="shared" si="219"/>
        <v>0</v>
      </c>
      <c r="G1351" s="89">
        <f>+VLOOKUP(D1351,'材料表 '!C:F,4,0)</f>
        <v>0.03</v>
      </c>
      <c r="H1351" s="74">
        <f t="shared" si="220"/>
        <v>0</v>
      </c>
      <c r="I1351" s="74">
        <f>+VLOOKUP(D1351,'材料表 '!C:F,3,0)</f>
        <v>26.1150442477876</v>
      </c>
      <c r="J1351" s="51">
        <f t="shared" si="217"/>
        <v>0</v>
      </c>
      <c r="K1351" s="75">
        <f ca="1">H1351*K1335</f>
        <v>0</v>
      </c>
      <c r="L1351" s="69"/>
      <c r="M1351" s="27"/>
      <c r="N1351" s="83"/>
      <c r="O1351" s="83"/>
      <c r="P1351" s="83"/>
      <c r="Q1351" s="83"/>
      <c r="R1351" s="87"/>
      <c r="S1351" s="47"/>
      <c r="T1351" s="47"/>
    </row>
    <row r="1352" s="27" customFormat="1" ht="18" customHeight="1" spans="1:21">
      <c r="A1352" s="34"/>
      <c r="B1352" s="48">
        <v>4</v>
      </c>
      <c r="C1352" s="48"/>
      <c r="D1352" s="88" t="s">
        <v>429</v>
      </c>
      <c r="E1352" s="72" t="str">
        <f>+VLOOKUP(D1352,'材料表 '!C:F,2,0)</f>
        <v>kg</v>
      </c>
      <c r="F1352" s="77">
        <f t="shared" si="219"/>
        <v>3.95731024495491</v>
      </c>
      <c r="G1352" s="89">
        <f>+VLOOKUP(D1352,'材料表 '!C:F,4,0)</f>
        <v>0.03</v>
      </c>
      <c r="H1352" s="74">
        <f t="shared" si="220"/>
        <v>4.07602955230356</v>
      </c>
      <c r="I1352" s="74">
        <f>+VLOOKUP(D1352,'材料表 '!C:F,3,0)</f>
        <v>26.1150442477876</v>
      </c>
      <c r="J1352" s="51">
        <f t="shared" si="217"/>
        <v>106.445692113697</v>
      </c>
      <c r="K1352" s="75">
        <f ca="1">H1352*K1335</f>
        <v>123.75049902419</v>
      </c>
      <c r="L1352" s="90" t="s">
        <v>707</v>
      </c>
      <c r="M1352" s="44"/>
      <c r="N1352" s="82"/>
      <c r="O1352" s="44">
        <f>O1344*P1344</f>
        <v>19.5075</v>
      </c>
      <c r="P1352" s="44">
        <v>1</v>
      </c>
      <c r="Q1352" s="44">
        <f>+P1352*O1352</f>
        <v>19.5075</v>
      </c>
      <c r="R1352" s="84">
        <f>+Q1352/R1336</f>
        <v>2.41935483870968</v>
      </c>
      <c r="S1352" s="47"/>
      <c r="T1352" s="47"/>
    </row>
    <row r="1353" s="27" customFormat="1" ht="18" customHeight="1" spans="1:21">
      <c r="A1353" s="34"/>
      <c r="B1353" s="48">
        <v>5</v>
      </c>
      <c r="C1353" s="48"/>
      <c r="D1353" s="88" t="s">
        <v>447</v>
      </c>
      <c r="E1353" s="72" t="str">
        <f>+VLOOKUP(D1353,'材料表 '!C:F,2,0)</f>
        <v>kg</v>
      </c>
      <c r="F1353" s="77">
        <f t="shared" si="219"/>
        <v>4.7516410103071</v>
      </c>
      <c r="G1353" s="89">
        <f>+VLOOKUP(D1353,'材料表 '!C:F,4,0)</f>
        <v>0.03</v>
      </c>
      <c r="H1353" s="74">
        <f t="shared" si="220"/>
        <v>4.89419024061631</v>
      </c>
      <c r="I1353" s="74">
        <f>+VLOOKUP(D1353,'材料表 '!C:F,3,0)</f>
        <v>24.4336283185841</v>
      </c>
      <c r="J1353" s="51">
        <f t="shared" si="217"/>
        <v>119.582825259661</v>
      </c>
      <c r="K1353" s="43">
        <f ca="1">H1353*K1335</f>
        <v>148.590307509744</v>
      </c>
      <c r="L1353" s="90" t="s">
        <v>435</v>
      </c>
      <c r="M1353" s="44"/>
      <c r="N1353" s="82">
        <f>0.073*1.2</f>
        <v>0.0876</v>
      </c>
      <c r="O1353" s="44">
        <f>O1339*P1339*3+O1344*P1344*4</f>
        <v>92.91</v>
      </c>
      <c r="P1353" s="44">
        <v>1</v>
      </c>
      <c r="Q1353" s="44">
        <f>+P1353*O1353</f>
        <v>92.91</v>
      </c>
      <c r="R1353" s="84">
        <f>+Q1353/R1336</f>
        <v>11.5228634148156</v>
      </c>
      <c r="S1353" s="47"/>
      <c r="T1353" s="47"/>
    </row>
    <row r="1354" s="27" customFormat="1" ht="18" customHeight="1" spans="1:21">
      <c r="A1354" s="34"/>
      <c r="B1354" s="48">
        <v>6</v>
      </c>
      <c r="C1354" s="48"/>
      <c r="D1354" s="88" t="s">
        <v>434</v>
      </c>
      <c r="E1354" s="72" t="str">
        <f>+VLOOKUP(D1354,'材料表 '!C:F,2,0)</f>
        <v>m2</v>
      </c>
      <c r="F1354" s="77">
        <f>U1341+U1346+U1348+U1349</f>
        <v>0.832418362664484</v>
      </c>
      <c r="G1354" s="89">
        <f>+VLOOKUP(D1354,'材料表 '!C:F,4,0)</f>
        <v>0</v>
      </c>
      <c r="H1354" s="74">
        <f t="shared" si="220"/>
        <v>0.832418362664484</v>
      </c>
      <c r="I1354" s="74">
        <f>+VLOOKUP(D1354,'材料表 '!C:F,3,0)</f>
        <v>49.5575221238938</v>
      </c>
      <c r="J1354" s="51">
        <f t="shared" si="217"/>
        <v>41.2525914240806</v>
      </c>
      <c r="K1354" s="43">
        <f ca="1">H1354*K1335</f>
        <v>25.2726793205932</v>
      </c>
      <c r="L1354" s="90" t="s">
        <v>463</v>
      </c>
      <c r="M1354" s="91" t="s">
        <v>1012</v>
      </c>
      <c r="N1354" s="82">
        <f>0.32*0.3*8*7.85</f>
        <v>6.0288</v>
      </c>
      <c r="O1354" s="44">
        <v>0.5</v>
      </c>
      <c r="P1354" s="44">
        <f>P1339</f>
        <v>8</v>
      </c>
      <c r="Q1354" s="44">
        <f t="shared" ref="Q1354:Q1358" si="221">+P1354*O1354*N1354</f>
        <v>24.1152</v>
      </c>
      <c r="R1354" s="84">
        <f>+Q1354/R1336</f>
        <v>2.99080998623358</v>
      </c>
      <c r="S1354" s="47"/>
      <c r="T1354" s="47"/>
    </row>
    <row r="1355" s="27" customFormat="1" ht="18" customHeight="1" spans="1:21">
      <c r="A1355" s="34"/>
      <c r="B1355" s="48">
        <v>7</v>
      </c>
      <c r="C1355" s="48"/>
      <c r="D1355" s="88"/>
      <c r="E1355" s="72"/>
      <c r="F1355" s="77">
        <f t="shared" ref="F1355:F1362" si="222">+SUMIF($L$1207:$L$1247,D1355,$R$1207:$R$1247)</f>
        <v>0</v>
      </c>
      <c r="G1355" s="89"/>
      <c r="H1355" s="74"/>
      <c r="I1355" s="74"/>
      <c r="J1355" s="51"/>
      <c r="K1355" s="43">
        <f ca="1">H1355*K1335</f>
        <v>0</v>
      </c>
      <c r="L1355" s="69" t="s">
        <v>465</v>
      </c>
      <c r="M1355" s="81" t="s">
        <v>1013</v>
      </c>
      <c r="N1355" s="34">
        <v>9.88</v>
      </c>
      <c r="O1355" s="34">
        <f>0.13</f>
        <v>0.13</v>
      </c>
      <c r="P1355" s="34">
        <f>2*P1354*O1354</f>
        <v>8</v>
      </c>
      <c r="Q1355" s="44">
        <f t="shared" si="221"/>
        <v>10.2752</v>
      </c>
      <c r="R1355" s="84">
        <f>Q1355/R1336</f>
        <v>1.27434857560988</v>
      </c>
      <c r="S1355" s="47"/>
      <c r="T1355" s="47"/>
    </row>
    <row r="1356" s="27" customFormat="1" ht="18" customHeight="1" spans="1:21">
      <c r="A1356" s="34"/>
      <c r="B1356" s="48">
        <v>8</v>
      </c>
      <c r="C1356" s="48"/>
      <c r="D1356" s="88" t="s">
        <v>431</v>
      </c>
      <c r="E1356" s="72" t="str">
        <f>+VLOOKUP(D1356,'材料表 '!C:F,2,0)</f>
        <v>kg</v>
      </c>
      <c r="F1356" s="77">
        <f t="shared" si="222"/>
        <v>0</v>
      </c>
      <c r="G1356" s="89">
        <f>+VLOOKUP(D1356,'材料表 '!C:F,4,0)</f>
        <v>0.03</v>
      </c>
      <c r="H1356" s="74">
        <f t="shared" ref="H1356:H1369" si="223">F1356*(G1356+1)</f>
        <v>0</v>
      </c>
      <c r="I1356" s="74">
        <f>+VLOOKUP(D1356,'材料表 '!C:F,3,0)</f>
        <v>3.80530973451327</v>
      </c>
      <c r="J1356" s="51">
        <f t="shared" ref="J1356:J1369" si="224">H1356*I1356</f>
        <v>0</v>
      </c>
      <c r="K1356" s="43">
        <f ca="1">H1356*K1335</f>
        <v>0</v>
      </c>
      <c r="L1356" s="90" t="s">
        <v>474</v>
      </c>
      <c r="M1356" s="44"/>
      <c r="N1356" s="82"/>
      <c r="O1356" s="44">
        <v>4</v>
      </c>
      <c r="P1356" s="44">
        <f>O1354*P1354</f>
        <v>4</v>
      </c>
      <c r="Q1356" s="44">
        <f>O1356*P1356</f>
        <v>16</v>
      </c>
      <c r="R1356" s="84">
        <f>Q1356/R1336</f>
        <v>1.9843484515881</v>
      </c>
      <c r="S1356" s="47"/>
      <c r="T1356" s="47"/>
    </row>
    <row r="1357" s="27" customFormat="1" ht="18" customHeight="1" spans="1:21">
      <c r="A1357" s="34"/>
      <c r="B1357" s="48">
        <v>9</v>
      </c>
      <c r="C1357" s="48"/>
      <c r="D1357" s="88" t="s">
        <v>461</v>
      </c>
      <c r="E1357" s="72" t="str">
        <f>+VLOOKUP(D1357,'材料表 '!C:F,2,0)</f>
        <v>kg</v>
      </c>
      <c r="F1357" s="77">
        <f t="shared" si="222"/>
        <v>0</v>
      </c>
      <c r="G1357" s="89">
        <f>+VLOOKUP(D1357,'材料表 '!C:F,4,0)</f>
        <v>0.03</v>
      </c>
      <c r="H1357" s="74">
        <f t="shared" si="223"/>
        <v>0</v>
      </c>
      <c r="I1357" s="74">
        <f>+VLOOKUP(D1357,'材料表 '!C:F,3,0)</f>
        <v>3.53982300884956</v>
      </c>
      <c r="J1357" s="51">
        <f t="shared" si="224"/>
        <v>0</v>
      </c>
      <c r="K1357" s="43">
        <f ca="1">H1357*K1335</f>
        <v>0</v>
      </c>
      <c r="L1357" s="90" t="s">
        <v>472</v>
      </c>
      <c r="M1357" s="91"/>
      <c r="N1357" s="82"/>
      <c r="O1357" s="44">
        <v>2</v>
      </c>
      <c r="P1357" s="44">
        <f>O1354*P1354</f>
        <v>4</v>
      </c>
      <c r="Q1357" s="44">
        <f>O1357*P1357</f>
        <v>8</v>
      </c>
      <c r="R1357" s="84">
        <f>Q1357/R1336</f>
        <v>0.992174225794049</v>
      </c>
      <c r="S1357" s="47"/>
      <c r="T1357" s="47"/>
    </row>
    <row r="1358" s="27" customFormat="1" ht="18" customHeight="1" spans="1:21">
      <c r="A1358" s="34"/>
      <c r="B1358" s="48">
        <v>10</v>
      </c>
      <c r="C1358" s="48"/>
      <c r="D1358" s="88" t="s">
        <v>435</v>
      </c>
      <c r="E1358" s="72" t="str">
        <f>+VLOOKUP(D1358,'材料表 '!C:F,2,0)</f>
        <v>kg</v>
      </c>
      <c r="F1358" s="77">
        <f t="shared" si="222"/>
        <v>11.31318816618</v>
      </c>
      <c r="G1358" s="89">
        <f>+VLOOKUP(D1358,'材料表 '!C:F,4,0)</f>
        <v>0.03</v>
      </c>
      <c r="H1358" s="74">
        <f t="shared" si="223"/>
        <v>11.6525838111654</v>
      </c>
      <c r="I1358" s="74">
        <f>+VLOOKUP(D1358,'材料表 '!C:F,3,0)</f>
        <v>19.4690265486726</v>
      </c>
      <c r="J1358" s="51">
        <f t="shared" si="224"/>
        <v>226.864463580212</v>
      </c>
      <c r="K1358" s="43">
        <f ca="1">H1358*K1335</f>
        <v>353.778853428078</v>
      </c>
      <c r="L1358" s="69" t="s">
        <v>465</v>
      </c>
      <c r="M1358" s="91"/>
      <c r="N1358" s="82">
        <f>(0.058+0.04*2)*5*7.85</f>
        <v>5.4165</v>
      </c>
      <c r="O1358" s="44">
        <v>0</v>
      </c>
      <c r="P1358" s="44">
        <v>1</v>
      </c>
      <c r="Q1358" s="44">
        <f t="shared" si="221"/>
        <v>0</v>
      </c>
      <c r="R1358" s="84">
        <f>+Q1358/R1336</f>
        <v>0</v>
      </c>
      <c r="S1358" s="47"/>
      <c r="T1358" s="47"/>
    </row>
    <row r="1359" s="27" customFormat="1" ht="18" customHeight="1" spans="1:21">
      <c r="A1359" s="34"/>
      <c r="B1359" s="48">
        <v>11</v>
      </c>
      <c r="C1359" s="48"/>
      <c r="D1359" s="88" t="s">
        <v>463</v>
      </c>
      <c r="E1359" s="72" t="str">
        <f>+VLOOKUP(D1359,'材料表 '!C:F,2,0)</f>
        <v>kg</v>
      </c>
      <c r="F1359" s="77">
        <f t="shared" si="222"/>
        <v>2.65100080908995</v>
      </c>
      <c r="G1359" s="89">
        <f>+VLOOKUP(D1359,'材料表 '!C:F,4,0)</f>
        <v>0.03</v>
      </c>
      <c r="H1359" s="74">
        <f t="shared" si="223"/>
        <v>2.73053083336265</v>
      </c>
      <c r="I1359" s="74">
        <f>+VLOOKUP(D1359,'材料表 '!C:F,3,0)</f>
        <v>6.01769911504425</v>
      </c>
      <c r="J1359" s="51">
        <f t="shared" si="224"/>
        <v>16.4315129795274</v>
      </c>
      <c r="K1359" s="43">
        <f ca="1">H1359*K1335</f>
        <v>82.9004178928484</v>
      </c>
      <c r="L1359" s="69" t="s">
        <v>461</v>
      </c>
      <c r="M1359" s="27"/>
      <c r="N1359" s="83"/>
      <c r="O1359" s="83"/>
      <c r="P1359" s="83"/>
      <c r="Q1359" s="83"/>
      <c r="R1359" s="84"/>
      <c r="S1359" s="47"/>
      <c r="T1359" s="47"/>
    </row>
    <row r="1360" s="27" customFormat="1" ht="18" customHeight="1" spans="1:21">
      <c r="A1360" s="34"/>
      <c r="B1360" s="48">
        <v>12</v>
      </c>
      <c r="C1360" s="48"/>
      <c r="D1360" s="88" t="s">
        <v>465</v>
      </c>
      <c r="E1360" s="72" t="str">
        <f>+VLOOKUP(D1360,'材料表 '!C:F,2,0)</f>
        <v>kg</v>
      </c>
      <c r="F1360" s="77">
        <f t="shared" si="222"/>
        <v>1.12955992542301</v>
      </c>
      <c r="G1360" s="89">
        <f>+VLOOKUP(D1360,'材料表 '!C:F,4,0)</f>
        <v>0.03</v>
      </c>
      <c r="H1360" s="74">
        <f t="shared" si="223"/>
        <v>1.1634467231857</v>
      </c>
      <c r="I1360" s="74">
        <f>+VLOOKUP(D1360,'材料表 '!C:F,3,0)</f>
        <v>6.01769911504425</v>
      </c>
      <c r="J1360" s="51">
        <f t="shared" si="224"/>
        <v>7.00127231651572</v>
      </c>
      <c r="K1360" s="43">
        <f ca="1">H1360*K1335</f>
        <v>35.3228824116156</v>
      </c>
      <c r="L1360" s="90"/>
      <c r="M1360" s="44"/>
      <c r="N1360" s="82"/>
      <c r="O1360" s="44"/>
      <c r="P1360" s="44"/>
      <c r="Q1360" s="44"/>
      <c r="R1360" s="84"/>
      <c r="S1360" s="47"/>
      <c r="T1360" s="47"/>
    </row>
    <row r="1361" s="27" customFormat="1" ht="18" customHeight="1" spans="1:20">
      <c r="A1361" s="34"/>
      <c r="B1361" s="48">
        <v>13</v>
      </c>
      <c r="C1361" s="48"/>
      <c r="D1361" s="88" t="s">
        <v>474</v>
      </c>
      <c r="E1361" s="72" t="str">
        <f>+VLOOKUP(D1361,'材料表 '!C:F,2,0)</f>
        <v>套</v>
      </c>
      <c r="F1361" s="77">
        <f t="shared" si="222"/>
        <v>1.75889119499068</v>
      </c>
      <c r="G1361" s="89">
        <f>+VLOOKUP(D1361,'材料表 '!C:F,4,0)</f>
        <v>0</v>
      </c>
      <c r="H1361" s="74">
        <f t="shared" si="223"/>
        <v>1.75889119499068</v>
      </c>
      <c r="I1361" s="74">
        <f>+VLOOKUP(D1361,'材料表 '!C:F,3,0)</f>
        <v>2.21238938053097</v>
      </c>
      <c r="J1361" s="51">
        <f t="shared" si="224"/>
        <v>3.89135220130681</v>
      </c>
      <c r="K1361" s="43">
        <f ca="1">H1361*K1335</f>
        <v>53.4009040700743</v>
      </c>
      <c r="L1361" s="90"/>
      <c r="M1361" s="44"/>
      <c r="N1361" s="82"/>
      <c r="O1361" s="44"/>
      <c r="P1361" s="44"/>
      <c r="Q1361" s="44"/>
      <c r="R1361" s="84"/>
      <c r="S1361" s="47"/>
      <c r="T1361" s="47"/>
    </row>
    <row r="1362" s="27" customFormat="1" ht="18" customHeight="1" spans="1:20">
      <c r="A1362" s="34"/>
      <c r="B1362" s="48">
        <v>14</v>
      </c>
      <c r="C1362" s="48"/>
      <c r="D1362" s="88" t="s">
        <v>472</v>
      </c>
      <c r="E1362" s="72" t="str">
        <f>+VLOOKUP(D1362,'材料表 '!C:F,2,0)</f>
        <v>套</v>
      </c>
      <c r="F1362" s="77">
        <f t="shared" si="222"/>
        <v>0.879445597495339</v>
      </c>
      <c r="G1362" s="89">
        <f>+VLOOKUP(D1362,'材料表 '!C:F,4,0)</f>
        <v>0</v>
      </c>
      <c r="H1362" s="74">
        <f t="shared" si="223"/>
        <v>0.879445597495339</v>
      </c>
      <c r="I1362" s="74">
        <f>+VLOOKUP(D1362,'材料表 '!C:F,3,0)</f>
        <v>2.47787610619469</v>
      </c>
      <c r="J1362" s="51">
        <f t="shared" si="224"/>
        <v>2.17915723273181</v>
      </c>
      <c r="K1362" s="43">
        <f ca="1">H1362*K1335</f>
        <v>26.7004520350371</v>
      </c>
      <c r="L1362" s="90"/>
      <c r="M1362" s="44"/>
      <c r="N1362" s="82"/>
      <c r="O1362" s="44"/>
      <c r="P1362" s="44"/>
      <c r="Q1362" s="44"/>
      <c r="R1362" s="84"/>
      <c r="S1362" s="47"/>
      <c r="T1362" s="47"/>
    </row>
    <row r="1363" s="27" customFormat="1" ht="18" customHeight="1" spans="1:20">
      <c r="A1363" s="34"/>
      <c r="B1363" s="48">
        <v>15</v>
      </c>
      <c r="C1363" s="48"/>
      <c r="D1363" s="88" t="s">
        <v>476</v>
      </c>
      <c r="E1363" s="72" t="str">
        <f>+VLOOKUP(D1363,'材料表 '!C:F,2,0)</f>
        <v>支</v>
      </c>
      <c r="F1363" s="77">
        <f>8*8*(O1344*P1344*2)/500/R1336+16*8*(O1339*P1339+O1344*P1344)/500/R1336</f>
        <v>1.39618757053739</v>
      </c>
      <c r="G1363" s="89">
        <f>+VLOOKUP(D1363,'材料表 '!C:F,4,0)</f>
        <v>0.15</v>
      </c>
      <c r="H1363" s="74">
        <f t="shared" si="223"/>
        <v>1.605615706118</v>
      </c>
      <c r="I1363" s="74">
        <f>+VLOOKUP(D1363,'材料表 '!C:F,3,0)</f>
        <v>11.5044247787611</v>
      </c>
      <c r="J1363" s="51">
        <f t="shared" si="224"/>
        <v>18.4716851146319</v>
      </c>
      <c r="K1363" s="43">
        <f ca="1">H1363*K1335</f>
        <v>48.7473759263809</v>
      </c>
      <c r="L1363" s="92"/>
      <c r="M1363" s="44"/>
      <c r="N1363" s="82"/>
      <c r="O1363" s="44"/>
      <c r="P1363" s="44"/>
      <c r="Q1363" s="44"/>
      <c r="R1363" s="84"/>
      <c r="S1363" s="47"/>
      <c r="T1363" s="47"/>
    </row>
    <row r="1364" s="27" customFormat="1" ht="18" customHeight="1" spans="1:20">
      <c r="A1364" s="34"/>
      <c r="B1364" s="48">
        <v>16</v>
      </c>
      <c r="C1364" s="48"/>
      <c r="D1364" s="88" t="s">
        <v>576</v>
      </c>
      <c r="E1364" s="72" t="str">
        <f>+VLOOKUP(D1364,'材料表 '!C:F,2,0)</f>
        <v>支</v>
      </c>
      <c r="F1364" s="77">
        <v>0</v>
      </c>
      <c r="G1364" s="89">
        <f>+VLOOKUP(D1364,'材料表 '!C:F,4,0)</f>
        <v>0.15</v>
      </c>
      <c r="H1364" s="74">
        <f t="shared" si="223"/>
        <v>0</v>
      </c>
      <c r="I1364" s="74">
        <f>+VLOOKUP(D1364,'材料表 '!C:F,3,0)</f>
        <v>14.1592920353982</v>
      </c>
      <c r="J1364" s="51">
        <f t="shared" si="224"/>
        <v>0</v>
      </c>
      <c r="K1364" s="43">
        <f ca="1">H1364*K1335</f>
        <v>0</v>
      </c>
      <c r="L1364" s="92"/>
      <c r="M1364" s="44"/>
      <c r="N1364" s="82"/>
      <c r="O1364" s="44"/>
      <c r="P1364" s="44"/>
      <c r="Q1364" s="44"/>
      <c r="R1364" s="84"/>
      <c r="S1364" s="47"/>
      <c r="T1364" s="47"/>
    </row>
    <row r="1365" s="27" customFormat="1" ht="18" customHeight="1" spans="1:20">
      <c r="A1365" s="34"/>
      <c r="B1365" s="48">
        <v>17</v>
      </c>
      <c r="C1365" s="48"/>
      <c r="D1365" s="88" t="s">
        <v>479</v>
      </c>
      <c r="E1365" s="72" t="str">
        <f>+VLOOKUP(D1365,'材料表 '!C:F,2,0)</f>
        <v>kg</v>
      </c>
      <c r="F1365" s="77">
        <v>0</v>
      </c>
      <c r="G1365" s="89">
        <f>+VLOOKUP(D1365,'材料表 '!C:F,4,0)</f>
        <v>0.03</v>
      </c>
      <c r="H1365" s="74">
        <f t="shared" si="223"/>
        <v>0</v>
      </c>
      <c r="I1365" s="74">
        <f>+VLOOKUP(D1365,'材料表 '!C:F,3,0)</f>
        <v>14.1592920353982</v>
      </c>
      <c r="J1365" s="51">
        <f t="shared" si="224"/>
        <v>0</v>
      </c>
      <c r="K1365" s="43">
        <f ca="1">H1365*K1335</f>
        <v>0</v>
      </c>
      <c r="L1365" s="92"/>
      <c r="M1365" s="44"/>
      <c r="N1365" s="82"/>
      <c r="O1365" s="44"/>
      <c r="P1365" s="44"/>
      <c r="Q1365" s="44"/>
      <c r="R1365" s="84"/>
      <c r="S1365" s="47"/>
      <c r="T1365" s="47"/>
    </row>
    <row r="1366" s="27" customFormat="1" ht="18" customHeight="1" spans="1:20">
      <c r="A1366" s="34"/>
      <c r="B1366" s="48">
        <v>18</v>
      </c>
      <c r="C1366" s="48"/>
      <c r="D1366" s="88" t="s">
        <v>500</v>
      </c>
      <c r="E1366" s="72" t="str">
        <f>+VLOOKUP(D1366,'材料表 '!C:F,2,0)</f>
        <v>kg</v>
      </c>
      <c r="F1366" s="77">
        <v>0</v>
      </c>
      <c r="G1366" s="89">
        <f>+VLOOKUP(D1366,'材料表 '!C:F,4,0)</f>
        <v>0.03</v>
      </c>
      <c r="H1366" s="74">
        <f t="shared" si="223"/>
        <v>0</v>
      </c>
      <c r="I1366" s="74">
        <f>+VLOOKUP(D1366,'材料表 '!C:F,3,0)</f>
        <v>14.1592920353982</v>
      </c>
      <c r="J1366" s="51">
        <f t="shared" si="224"/>
        <v>0</v>
      </c>
      <c r="K1366" s="43">
        <f ca="1">H1366*K1335</f>
        <v>0</v>
      </c>
      <c r="L1366" s="92"/>
      <c r="M1366" s="44"/>
      <c r="N1366" s="82"/>
      <c r="O1366" s="44"/>
      <c r="P1366" s="44"/>
      <c r="Q1366" s="44"/>
      <c r="R1366" s="84"/>
      <c r="S1366" s="47"/>
      <c r="T1366" s="47"/>
    </row>
    <row r="1367" s="27" customFormat="1" ht="36" customHeight="1" spans="1:20">
      <c r="A1367" s="34"/>
      <c r="B1367" s="48">
        <v>19</v>
      </c>
      <c r="C1367" s="48"/>
      <c r="D1367" s="88" t="s">
        <v>1051</v>
      </c>
      <c r="E1367" s="72" t="str">
        <f>+VLOOKUP(D1367,'材料表 '!C:F,2,0)</f>
        <v>m2</v>
      </c>
      <c r="F1367" s="77">
        <v>1</v>
      </c>
      <c r="G1367" s="89">
        <f>+VLOOKUP(D1367,'材料表 '!C:F,4,0)</f>
        <v>0.01</v>
      </c>
      <c r="H1367" s="74">
        <f t="shared" si="223"/>
        <v>1.01</v>
      </c>
      <c r="I1367" s="74">
        <f>+VLOOKUP(D1367,'材料表 '!C:F,3,0)</f>
        <v>223.008849557522</v>
      </c>
      <c r="J1367" s="51">
        <f t="shared" si="224"/>
        <v>225.238938053097</v>
      </c>
      <c r="K1367" s="43">
        <f ca="1">H1367*K1335</f>
        <v>30.6641555</v>
      </c>
      <c r="L1367" s="90"/>
      <c r="M1367" s="44"/>
      <c r="N1367" s="82"/>
      <c r="O1367" s="44"/>
      <c r="P1367" s="44"/>
      <c r="Q1367" s="44"/>
      <c r="R1367" s="84"/>
      <c r="S1367" s="47"/>
      <c r="T1367" s="47"/>
    </row>
    <row r="1368" s="27" customFormat="1" ht="21" customHeight="1" spans="1:20">
      <c r="A1368" s="34"/>
      <c r="B1368" s="48">
        <v>20</v>
      </c>
      <c r="C1368" s="48"/>
      <c r="D1368" s="88" t="s">
        <v>1043</v>
      </c>
      <c r="E1368" s="72" t="str">
        <f>+VLOOKUP(D1368,'材料表 '!C:F,2,0)</f>
        <v>套</v>
      </c>
      <c r="F1368" s="77">
        <f>P1347/R1336</f>
        <v>1.73630489513959</v>
      </c>
      <c r="G1368" s="89">
        <f>+VLOOKUP(D1368,'材料表 '!C:F,4,0)</f>
        <v>0</v>
      </c>
      <c r="H1368" s="74">
        <f t="shared" si="223"/>
        <v>1.73630489513959</v>
      </c>
      <c r="I1368" s="74">
        <f>+VLOOKUP(D1368,'材料表 '!C:F,3,0)</f>
        <v>1.32743362831858</v>
      </c>
      <c r="J1368" s="51">
        <f t="shared" si="224"/>
        <v>2.30482950682246</v>
      </c>
      <c r="K1368" s="43">
        <f ca="1">H1368*K1335</f>
        <v>52.7151715841303</v>
      </c>
      <c r="L1368" s="90"/>
      <c r="M1368" s="44"/>
      <c r="N1368" s="82"/>
      <c r="O1368" s="44"/>
      <c r="P1368" s="44"/>
      <c r="Q1368" s="44"/>
      <c r="R1368" s="84"/>
      <c r="S1368" s="47"/>
      <c r="T1368" s="47"/>
    </row>
    <row r="1369" s="27" customFormat="1" ht="18" customHeight="1" spans="1:20">
      <c r="A1369" s="34"/>
      <c r="B1369" s="48">
        <v>21</v>
      </c>
      <c r="C1369" s="48"/>
      <c r="D1369" s="88" t="s">
        <v>583</v>
      </c>
      <c r="E1369" s="72" t="str">
        <f>+VLOOKUP(D1369,'材料表 '!C:F,2,0)</f>
        <v>套</v>
      </c>
      <c r="F1369" s="77">
        <f>1/R1336</f>
        <v>0.124021778224256</v>
      </c>
      <c r="G1369" s="89">
        <f>+VLOOKUP(D1369,'材料表 '!C:F,4,0)</f>
        <v>0</v>
      </c>
      <c r="H1369" s="74">
        <f t="shared" si="223"/>
        <v>0.124021778224256</v>
      </c>
      <c r="I1369" s="74">
        <f>+VLOOKUP(D1369,'材料表 '!C:F,3,0)</f>
        <v>1061.94690265487</v>
      </c>
      <c r="J1369" s="51">
        <f t="shared" si="224"/>
        <v>131.704543246998</v>
      </c>
      <c r="K1369" s="43">
        <f ca="1">H1369*K1335</f>
        <v>3.76536939886644</v>
      </c>
      <c r="L1369" s="92"/>
      <c r="M1369" s="44"/>
      <c r="N1369" s="82"/>
      <c r="O1369" s="44"/>
      <c r="P1369" s="44"/>
      <c r="Q1369" s="44"/>
      <c r="R1369" s="84"/>
      <c r="S1369" s="47"/>
      <c r="T1369" s="47"/>
    </row>
    <row r="1370" s="27" customFormat="1" ht="18" customHeight="1" spans="1:20">
      <c r="A1370" s="34"/>
      <c r="B1370" s="48">
        <v>22</v>
      </c>
      <c r="C1370" s="48"/>
      <c r="D1370" s="88"/>
      <c r="E1370" s="72"/>
      <c r="F1370" s="77"/>
      <c r="G1370" s="89"/>
      <c r="H1370" s="74"/>
      <c r="I1370" s="74"/>
      <c r="J1370" s="51"/>
      <c r="K1370" s="43">
        <f ca="1">H1370*K1335</f>
        <v>0</v>
      </c>
      <c r="L1370" s="92"/>
      <c r="M1370" s="44"/>
      <c r="N1370" s="44"/>
      <c r="O1370" s="44"/>
      <c r="P1370" s="44"/>
      <c r="Q1370" s="44"/>
      <c r="R1370" s="84"/>
      <c r="S1370" s="47"/>
      <c r="T1370" s="47"/>
    </row>
    <row r="1371" s="27" customFormat="1" ht="18" customHeight="1" spans="1:20">
      <c r="A1371" s="34"/>
      <c r="B1371" s="48">
        <v>23</v>
      </c>
      <c r="C1371" s="48"/>
      <c r="D1371" s="88"/>
      <c r="E1371" s="72"/>
      <c r="F1371" s="77"/>
      <c r="G1371" s="89"/>
      <c r="H1371" s="74"/>
      <c r="I1371" s="74"/>
      <c r="J1371" s="51"/>
      <c r="K1371" s="75">
        <f ca="1">H1371*K1335</f>
        <v>0</v>
      </c>
      <c r="L1371" s="92"/>
      <c r="M1371" s="44"/>
      <c r="N1371" s="44"/>
      <c r="O1371" s="44"/>
      <c r="P1371" s="44"/>
      <c r="Q1371" s="44"/>
      <c r="R1371" s="84"/>
      <c r="S1371" s="47"/>
      <c r="T1371" s="47"/>
    </row>
    <row r="1372" s="27" customFormat="1" ht="18" customHeight="1" spans="1:20">
      <c r="A1372" s="34"/>
      <c r="B1372" s="48">
        <v>24</v>
      </c>
      <c r="C1372" s="48"/>
      <c r="D1372" s="88"/>
      <c r="E1372" s="72"/>
      <c r="F1372" s="77"/>
      <c r="G1372" s="89"/>
      <c r="H1372" s="74"/>
      <c r="I1372" s="74"/>
      <c r="J1372" s="51"/>
      <c r="K1372" s="75">
        <f ca="1">H1372*K1335</f>
        <v>0</v>
      </c>
      <c r="L1372" s="92"/>
      <c r="M1372" s="44"/>
      <c r="N1372" s="44"/>
      <c r="O1372" s="44"/>
      <c r="P1372" s="44"/>
      <c r="Q1372" s="44"/>
      <c r="R1372" s="84"/>
      <c r="S1372" s="47"/>
      <c r="T1372" s="47"/>
    </row>
    <row r="1373" s="27" customFormat="1" ht="18" customHeight="1" spans="1:20">
      <c r="A1373" s="34"/>
      <c r="B1373" s="48">
        <v>25</v>
      </c>
      <c r="C1373" s="48"/>
      <c r="D1373" s="88"/>
      <c r="E1373" s="72"/>
      <c r="F1373" s="77"/>
      <c r="G1373" s="89"/>
      <c r="H1373" s="74"/>
      <c r="I1373" s="74"/>
      <c r="J1373" s="51"/>
      <c r="K1373" s="75"/>
      <c r="L1373" s="92"/>
      <c r="M1373" s="44"/>
      <c r="N1373" s="44"/>
      <c r="O1373" s="44"/>
      <c r="P1373" s="44"/>
      <c r="Q1373" s="44"/>
      <c r="R1373" s="84"/>
      <c r="S1373" s="47"/>
      <c r="T1373" s="47"/>
    </row>
    <row r="1374" s="27" customFormat="1" ht="18" customHeight="1" spans="1:20">
      <c r="A1374" s="34"/>
      <c r="B1374" s="48">
        <v>26</v>
      </c>
      <c r="C1374" s="48"/>
      <c r="D1374" s="88" t="s">
        <v>441</v>
      </c>
      <c r="E1374" s="72" t="s">
        <v>43</v>
      </c>
      <c r="F1374" s="77"/>
      <c r="G1374" s="72">
        <v>1</v>
      </c>
      <c r="H1374" s="74">
        <v>1</v>
      </c>
      <c r="I1374" s="74">
        <f>+辅材及安装费!$E$19</f>
        <v>10</v>
      </c>
      <c r="J1374" s="51">
        <f>H1374*I1374</f>
        <v>10</v>
      </c>
      <c r="K1374" s="75"/>
      <c r="L1374" s="92"/>
      <c r="M1374" s="44"/>
      <c r="N1374" s="44"/>
      <c r="O1374" s="44"/>
      <c r="P1374" s="44"/>
      <c r="Q1374" s="44"/>
      <c r="R1374" s="62"/>
      <c r="S1374" s="47"/>
      <c r="T1374" s="47"/>
    </row>
    <row r="1375" s="27" customFormat="1" ht="18" customHeight="1" spans="1:20">
      <c r="A1375" s="34"/>
      <c r="B1375" s="48">
        <v>27</v>
      </c>
      <c r="C1375" s="48"/>
      <c r="D1375" s="93" t="s">
        <v>442</v>
      </c>
      <c r="E1375" s="72"/>
      <c r="F1375" s="77"/>
      <c r="G1375" s="72"/>
      <c r="H1375" s="74"/>
      <c r="I1375" s="74"/>
      <c r="J1375" s="51">
        <f>SUM(J1349:J1374)</f>
        <v>1194.96523035791</v>
      </c>
      <c r="K1375" s="75"/>
      <c r="L1375" s="94"/>
      <c r="M1375" s="27"/>
      <c r="N1375" s="83"/>
      <c r="O1375" s="83"/>
      <c r="P1375" s="83"/>
      <c r="Q1375" s="83"/>
      <c r="R1375" s="87"/>
      <c r="S1375" s="47"/>
      <c r="T1375" s="47"/>
    </row>
    <row r="1376" s="27" customFormat="1" ht="18" customHeight="1" spans="1:20">
      <c r="A1376" s="34"/>
      <c r="B1376" s="48">
        <v>1</v>
      </c>
      <c r="C1376" s="48" t="s">
        <v>443</v>
      </c>
      <c r="D1376" s="48" t="s">
        <v>444</v>
      </c>
      <c r="E1376" s="72" t="s">
        <v>43</v>
      </c>
      <c r="F1376" s="50"/>
      <c r="G1376" s="48"/>
      <c r="H1376" s="51">
        <v>1</v>
      </c>
      <c r="I1376" s="74">
        <f>+辅材及安装费!$F$19</f>
        <v>5</v>
      </c>
      <c r="J1376" s="95">
        <f>H1376*I1376</f>
        <v>5</v>
      </c>
      <c r="K1376" s="60"/>
      <c r="L1376" s="96"/>
      <c r="M1376" s="97"/>
      <c r="N1376" s="98"/>
      <c r="O1376" s="98"/>
      <c r="P1376" s="98"/>
      <c r="Q1376" s="98"/>
      <c r="R1376" s="99"/>
      <c r="S1376" s="47"/>
      <c r="T1376" s="47"/>
    </row>
    <row r="1377" s="26" customFormat="1" ht="30" customHeight="1" spans="1:21">
      <c r="A1377" s="28"/>
      <c r="B1377" s="29" t="s">
        <v>386</v>
      </c>
      <c r="C1377" s="29"/>
      <c r="D1377" s="29"/>
      <c r="E1377" s="29"/>
      <c r="F1377" s="29"/>
      <c r="G1377" s="29"/>
      <c r="H1377" s="29"/>
      <c r="I1377" s="29"/>
      <c r="J1377" s="29"/>
      <c r="K1377" s="29"/>
      <c r="L1377" s="30"/>
      <c r="M1377" s="31"/>
      <c r="N1377" s="31"/>
      <c r="O1377" s="31"/>
      <c r="P1377" s="31"/>
      <c r="Q1377" s="31"/>
      <c r="R1377" s="32"/>
      <c r="S1377" s="33"/>
      <c r="T1377" s="33"/>
    </row>
    <row r="1378" s="27" customFormat="1" ht="41" customHeight="1" spans="1:21">
      <c r="A1378" s="34">
        <v>33</v>
      </c>
      <c r="B1378" s="35" t="s">
        <v>1</v>
      </c>
      <c r="C1378" s="35" t="s">
        <v>387</v>
      </c>
      <c r="D1378" s="36" t="str">
        <f>+A1386</f>
        <v>二层明框玻璃幕墙（6+1.52PVB+6Low-E(双银)+12A+6㎜全超白钢化夹层中空玻璃）（直+弯弧+直）（直段宽度210㎜+弧长1414㎜+直段宽度210㎜，圆弧半径900㎜，高620㎜）</v>
      </c>
      <c r="E1378" s="37"/>
      <c r="F1378" s="38" t="s">
        <v>225</v>
      </c>
      <c r="G1378" s="39"/>
      <c r="H1378" s="35" t="s">
        <v>388</v>
      </c>
      <c r="I1378" s="40" t="s">
        <v>389</v>
      </c>
      <c r="J1378" s="41" t="s">
        <v>37</v>
      </c>
      <c r="K1378" s="42">
        <f ca="1">VLOOKUP(A1378,'商业工程量清单 '!$A$4:$D$44,4,FALSE)</f>
        <v>4.54832</v>
      </c>
      <c r="L1378" s="43"/>
      <c r="M1378" s="44"/>
      <c r="N1378" s="44"/>
      <c r="O1378" s="44"/>
      <c r="P1378" s="45"/>
      <c r="Q1378" s="44"/>
      <c r="R1378" s="46"/>
      <c r="S1378" s="47"/>
      <c r="T1378" s="47"/>
    </row>
    <row r="1379" s="27" customFormat="1" ht="25" customHeight="1" spans="1:21">
      <c r="A1379" s="34"/>
      <c r="B1379" s="48">
        <v>1</v>
      </c>
      <c r="C1379" s="49" t="s">
        <v>390</v>
      </c>
      <c r="D1379" s="48" t="s">
        <v>391</v>
      </c>
      <c r="E1379" s="48"/>
      <c r="F1379" s="50"/>
      <c r="G1379" s="48"/>
      <c r="H1379" s="51"/>
      <c r="I1379" s="52">
        <f>J1391</f>
        <v>170</v>
      </c>
      <c r="J1379" s="53" t="s">
        <v>392</v>
      </c>
      <c r="K1379" s="54"/>
      <c r="L1379" s="55" t="s">
        <v>1036</v>
      </c>
      <c r="M1379" s="56"/>
      <c r="N1379" s="57"/>
      <c r="O1379" s="57">
        <f>0.21*2+1.414</f>
        <v>1.834</v>
      </c>
      <c r="P1379" s="57">
        <v>0.62</v>
      </c>
      <c r="Q1379" s="57">
        <v>1</v>
      </c>
      <c r="R1379" s="58">
        <f>+Q1379*P1379*O1379</f>
        <v>1.13708</v>
      </c>
      <c r="S1379" s="47"/>
      <c r="T1379" s="47"/>
    </row>
    <row r="1380" s="27" customFormat="1" ht="18" customHeight="1" spans="1:21">
      <c r="A1380" s="34"/>
      <c r="B1380" s="48">
        <v>2</v>
      </c>
      <c r="C1380" s="59"/>
      <c r="D1380" s="48" t="s">
        <v>394</v>
      </c>
      <c r="E1380" s="48"/>
      <c r="F1380" s="50"/>
      <c r="G1380" s="48"/>
      <c r="H1380" s="51"/>
      <c r="I1380" s="52">
        <f>J1418</f>
        <v>1957.61551658349</v>
      </c>
      <c r="J1380" s="53" t="s">
        <v>392</v>
      </c>
      <c r="K1380" s="60"/>
      <c r="L1380" s="61"/>
      <c r="M1380" s="44"/>
      <c r="N1380" s="44"/>
      <c r="O1380" s="44"/>
      <c r="P1380" s="44"/>
      <c r="Q1380" s="44"/>
      <c r="R1380" s="62"/>
      <c r="S1380" s="47"/>
      <c r="T1380" s="47"/>
    </row>
    <row r="1381" s="27" customFormat="1" ht="18" customHeight="1" spans="1:21">
      <c r="A1381" s="34"/>
      <c r="B1381" s="48">
        <v>3</v>
      </c>
      <c r="C1381" s="63"/>
      <c r="D1381" s="48" t="s">
        <v>395</v>
      </c>
      <c r="E1381" s="48"/>
      <c r="F1381" s="50"/>
      <c r="G1381" s="48"/>
      <c r="H1381" s="51"/>
      <c r="I1381" s="52">
        <f>J1419</f>
        <v>5</v>
      </c>
      <c r="J1381" s="53" t="s">
        <v>392</v>
      </c>
      <c r="K1381" s="60"/>
      <c r="L1381" s="60"/>
      <c r="M1381" s="64" t="s">
        <v>396</v>
      </c>
      <c r="N1381" s="65" t="s">
        <v>397</v>
      </c>
      <c r="O1381" s="65" t="s">
        <v>398</v>
      </c>
      <c r="P1381" s="65" t="s">
        <v>399</v>
      </c>
      <c r="Q1381" s="65" t="s">
        <v>400</v>
      </c>
      <c r="R1381" s="66" t="s">
        <v>401</v>
      </c>
      <c r="S1381" s="47"/>
      <c r="T1381" s="47"/>
    </row>
    <row r="1382" s="27" customFormat="1" ht="18" customHeight="1" spans="1:21">
      <c r="A1382" s="34"/>
      <c r="B1382" s="48">
        <v>4</v>
      </c>
      <c r="C1382" s="48" t="s">
        <v>402</v>
      </c>
      <c r="D1382" s="67" t="s">
        <v>403</v>
      </c>
      <c r="E1382" s="67"/>
      <c r="F1382" s="50"/>
      <c r="G1382" s="67"/>
      <c r="H1382" s="68"/>
      <c r="I1382" s="52">
        <f>SUM(I1379:I1381)</f>
        <v>2132.61551658349</v>
      </c>
      <c r="J1382" s="53" t="s">
        <v>392</v>
      </c>
      <c r="K1382" s="60"/>
      <c r="L1382" s="69" t="s">
        <v>427</v>
      </c>
      <c r="M1382" s="70" t="s">
        <v>1007</v>
      </c>
      <c r="N1382" s="34">
        <v>3.111</v>
      </c>
      <c r="O1382" s="34">
        <f>P1379</f>
        <v>0.62</v>
      </c>
      <c r="P1382" s="34">
        <v>1</v>
      </c>
      <c r="Q1382" s="44">
        <f t="shared" ref="Q1382:Q1392" si="225">+P1382*O1382*N1382</f>
        <v>1.92882</v>
      </c>
      <c r="R1382" s="71">
        <f>+Q1382/R1379</f>
        <v>1.69629225736096</v>
      </c>
      <c r="S1382" s="47"/>
      <c r="T1382" s="47"/>
    </row>
    <row r="1383" s="27" customFormat="1" ht="28" customHeight="1" spans="1:21">
      <c r="A1383" s="34"/>
      <c r="B1383" s="48">
        <v>5</v>
      </c>
      <c r="C1383" s="72" t="s">
        <v>406</v>
      </c>
      <c r="D1383" s="48" t="s">
        <v>407</v>
      </c>
      <c r="E1383" s="48"/>
      <c r="F1383" s="50"/>
      <c r="G1383" s="48"/>
      <c r="H1383" s="73">
        <f>+'材料表 '!$E$178</f>
        <v>0</v>
      </c>
      <c r="I1383" s="52">
        <f>H1383*I1382</f>
        <v>0</v>
      </c>
      <c r="J1383" s="53" t="s">
        <v>392</v>
      </c>
      <c r="K1383" s="60"/>
      <c r="L1383" s="69" t="s">
        <v>429</v>
      </c>
      <c r="M1383" s="70" t="s">
        <v>1037</v>
      </c>
      <c r="N1383" s="34">
        <v>3.063</v>
      </c>
      <c r="O1383" s="100">
        <f>O1382/0.3*0.1</f>
        <v>0.206666666666667</v>
      </c>
      <c r="P1383" s="34">
        <f>P1382</f>
        <v>1</v>
      </c>
      <c r="Q1383" s="44">
        <f t="shared" si="225"/>
        <v>0.63302</v>
      </c>
      <c r="R1383" s="71">
        <f>+Q1383/R1379</f>
        <v>0.5567066521265</v>
      </c>
      <c r="S1383" s="47"/>
      <c r="T1383" s="47"/>
    </row>
    <row r="1384" s="27" customFormat="1" ht="18" customHeight="1" spans="1:21">
      <c r="A1384" s="34"/>
      <c r="B1384" s="48">
        <v>6</v>
      </c>
      <c r="C1384" s="48" t="s">
        <v>409</v>
      </c>
      <c r="D1384" s="48" t="s">
        <v>410</v>
      </c>
      <c r="E1384" s="48"/>
      <c r="F1384" s="50"/>
      <c r="G1384" s="48"/>
      <c r="H1384" s="73">
        <f>+'材料表 '!$E$179</f>
        <v>0</v>
      </c>
      <c r="I1384" s="52">
        <f>H1384*I1382</f>
        <v>0</v>
      </c>
      <c r="J1384" s="74" t="s">
        <v>392</v>
      </c>
      <c r="K1384" s="75"/>
      <c r="L1384" s="69" t="s">
        <v>447</v>
      </c>
      <c r="M1384" s="70" t="s">
        <v>1038</v>
      </c>
      <c r="N1384" s="34">
        <f>1.041+0.104</f>
        <v>1.145</v>
      </c>
      <c r="O1384" s="34">
        <f>O1382</f>
        <v>0.62</v>
      </c>
      <c r="P1384" s="34">
        <f>P1382</f>
        <v>1</v>
      </c>
      <c r="Q1384" s="44">
        <f t="shared" si="225"/>
        <v>0.7099</v>
      </c>
      <c r="R1384" s="71">
        <f>+Q1384/R1379</f>
        <v>0.624318429661941</v>
      </c>
      <c r="S1384" s="47">
        <v>0.172</v>
      </c>
      <c r="T1384" s="47">
        <f>O1384*P1384*S1384</f>
        <v>0.10664</v>
      </c>
      <c r="U1384" s="76">
        <f>T1384/R1379</f>
        <v>0.0937840785169029</v>
      </c>
    </row>
    <row r="1385" s="27" customFormat="1" ht="18" customHeight="1" spans="1:21">
      <c r="A1385" s="34"/>
      <c r="B1385" s="48">
        <v>7</v>
      </c>
      <c r="C1385" s="48" t="s">
        <v>412</v>
      </c>
      <c r="D1385" s="72" t="s">
        <v>413</v>
      </c>
      <c r="E1385" s="72"/>
      <c r="F1385" s="77"/>
      <c r="G1385" s="72"/>
      <c r="H1385" s="73">
        <f>+'材料表 '!$E$180</f>
        <v>0.09</v>
      </c>
      <c r="I1385" s="52">
        <f>(I1382+I1383+I1384)*H1385</f>
        <v>191.935396492514</v>
      </c>
      <c r="J1385" s="74" t="s">
        <v>392</v>
      </c>
      <c r="K1385" s="75"/>
      <c r="L1385" s="69" t="s">
        <v>429</v>
      </c>
      <c r="M1385" s="70" t="s">
        <v>1010</v>
      </c>
      <c r="N1385" s="102">
        <f>2.9</f>
        <v>2.9</v>
      </c>
      <c r="O1385" s="34">
        <v>0.2</v>
      </c>
      <c r="P1385" s="34">
        <f>P1382</f>
        <v>1</v>
      </c>
      <c r="Q1385" s="44">
        <f t="shared" si="225"/>
        <v>0.58</v>
      </c>
      <c r="R1385" s="71">
        <f>+Q1385/R1379</f>
        <v>0.510078446547297</v>
      </c>
      <c r="S1385" s="47"/>
      <c r="T1385" s="47"/>
    </row>
    <row r="1386" s="27" customFormat="1" ht="20" customHeight="1" spans="1:21">
      <c r="A1386" s="78" t="s">
        <v>274</v>
      </c>
      <c r="B1386" s="48">
        <v>8</v>
      </c>
      <c r="C1386" s="48" t="s">
        <v>363</v>
      </c>
      <c r="D1386" s="72" t="s">
        <v>415</v>
      </c>
      <c r="E1386" s="72"/>
      <c r="F1386" s="77"/>
      <c r="G1386" s="72"/>
      <c r="H1386" s="51"/>
      <c r="I1386" s="74">
        <f>SUM(I1382:I1385)</f>
        <v>2324.550913076</v>
      </c>
      <c r="J1386" s="74" t="s">
        <v>416</v>
      </c>
      <c r="K1386" s="75"/>
      <c r="L1386" s="69" t="s">
        <v>429</v>
      </c>
      <c r="M1386" s="70" t="s">
        <v>1040</v>
      </c>
      <c r="N1386" s="34">
        <v>0.733</v>
      </c>
      <c r="O1386" s="100">
        <f>O1383*2</f>
        <v>0.413333333333333</v>
      </c>
      <c r="P1386" s="34">
        <f>P1382</f>
        <v>1</v>
      </c>
      <c r="Q1386" s="44">
        <f t="shared" si="225"/>
        <v>0.302973333333333</v>
      </c>
      <c r="R1386" s="71">
        <f>+Q1386/R1379</f>
        <v>0.266448564158488</v>
      </c>
      <c r="S1386" s="79"/>
      <c r="T1386" s="47"/>
    </row>
    <row r="1387" s="27" customFormat="1" ht="18" customHeight="1" spans="1:21">
      <c r="A1387" s="34"/>
      <c r="B1387" s="48" t="s">
        <v>418</v>
      </c>
      <c r="C1387" s="48"/>
      <c r="D1387" s="48"/>
      <c r="E1387" s="48"/>
      <c r="F1387" s="48"/>
      <c r="G1387" s="48"/>
      <c r="H1387" s="48"/>
      <c r="I1387" s="48"/>
      <c r="J1387" s="48"/>
      <c r="K1387" s="80"/>
      <c r="L1387" s="69" t="s">
        <v>404</v>
      </c>
      <c r="M1387" s="70" t="s">
        <v>1041</v>
      </c>
      <c r="N1387" s="34">
        <v>3.727</v>
      </c>
      <c r="O1387" s="34">
        <f>O1379</f>
        <v>1.834</v>
      </c>
      <c r="P1387" s="34">
        <v>1.5</v>
      </c>
      <c r="Q1387" s="44">
        <f t="shared" si="225"/>
        <v>10.252977</v>
      </c>
      <c r="R1387" s="71">
        <f>+Q1387/R1379</f>
        <v>9.01693548387097</v>
      </c>
      <c r="S1387" s="47"/>
      <c r="T1387" s="47"/>
      <c r="U1387" s="76"/>
    </row>
    <row r="1388" s="27" customFormat="1" ht="18" customHeight="1" spans="1:21">
      <c r="A1388" s="34"/>
      <c r="B1388" s="48">
        <v>1</v>
      </c>
      <c r="C1388" s="48" t="s">
        <v>391</v>
      </c>
      <c r="D1388" s="48" t="s">
        <v>396</v>
      </c>
      <c r="E1388" s="48" t="s">
        <v>37</v>
      </c>
      <c r="F1388" s="50"/>
      <c r="G1388" s="48"/>
      <c r="H1388" s="51" t="s">
        <v>399</v>
      </c>
      <c r="I1388" s="51" t="s">
        <v>420</v>
      </c>
      <c r="J1388" s="51" t="s">
        <v>421</v>
      </c>
      <c r="K1388" s="43"/>
      <c r="L1388" s="69" t="s">
        <v>429</v>
      </c>
      <c r="M1388" s="81" t="s">
        <v>1027</v>
      </c>
      <c r="N1388" s="82">
        <v>0.735</v>
      </c>
      <c r="O1388" s="34">
        <f>O1387</f>
        <v>1.834</v>
      </c>
      <c r="P1388" s="34">
        <f>P1387</f>
        <v>1.5</v>
      </c>
      <c r="Q1388" s="44">
        <f t="shared" si="225"/>
        <v>2.021985</v>
      </c>
      <c r="R1388" s="71">
        <f>+Q1388/R1379</f>
        <v>1.77822580645161</v>
      </c>
      <c r="S1388" s="47"/>
      <c r="T1388" s="47"/>
    </row>
    <row r="1389" s="27" customFormat="1" ht="18" customHeight="1" spans="1:21">
      <c r="A1389" s="34"/>
      <c r="B1389" s="48">
        <v>2</v>
      </c>
      <c r="C1389" s="48"/>
      <c r="D1389" s="48" t="s">
        <v>967</v>
      </c>
      <c r="E1389" s="72" t="s">
        <v>423</v>
      </c>
      <c r="F1389" s="50"/>
      <c r="G1389" s="48"/>
      <c r="H1389" s="51">
        <v>1</v>
      </c>
      <c r="I1389" s="51">
        <f>+辅材及安装费!$G$19</f>
        <v>170</v>
      </c>
      <c r="J1389" s="51">
        <f t="shared" ref="J1389:J1397" si="226">H1389*I1389</f>
        <v>170</v>
      </c>
      <c r="K1389" s="43"/>
      <c r="L1389" s="69" t="s">
        <v>447</v>
      </c>
      <c r="M1389" s="70" t="s">
        <v>1038</v>
      </c>
      <c r="N1389" s="83">
        <v>0.977</v>
      </c>
      <c r="O1389" s="34">
        <f>O1387</f>
        <v>1.834</v>
      </c>
      <c r="P1389" s="34">
        <v>0.5</v>
      </c>
      <c r="Q1389" s="44">
        <f t="shared" si="225"/>
        <v>0.895909</v>
      </c>
      <c r="R1389" s="84">
        <f>+Q1389/R1379</f>
        <v>0.787903225806452</v>
      </c>
      <c r="S1389" s="47">
        <v>0.185</v>
      </c>
      <c r="T1389" s="47">
        <f t="shared" ref="T1389:T1392" si="227">O1389*P1389*S1389</f>
        <v>0.169645</v>
      </c>
      <c r="U1389" s="103">
        <f>T1389/R1379</f>
        <v>0.149193548387097</v>
      </c>
    </row>
    <row r="1390" s="27" customFormat="1" ht="18" customHeight="1" spans="1:21">
      <c r="A1390" s="34"/>
      <c r="B1390" s="48">
        <v>3</v>
      </c>
      <c r="C1390" s="48"/>
      <c r="D1390" s="48"/>
      <c r="E1390" s="72"/>
      <c r="F1390" s="50"/>
      <c r="G1390" s="48"/>
      <c r="H1390" s="51"/>
      <c r="I1390" s="51"/>
      <c r="J1390" s="51"/>
      <c r="K1390" s="43"/>
      <c r="L1390" s="69" t="s">
        <v>429</v>
      </c>
      <c r="M1390" s="81" t="s">
        <v>1042</v>
      </c>
      <c r="N1390" s="82">
        <v>0.687</v>
      </c>
      <c r="O1390" s="44">
        <f>0.1</f>
        <v>0.1</v>
      </c>
      <c r="P1390" s="34">
        <f>1*2</f>
        <v>2</v>
      </c>
      <c r="Q1390" s="44">
        <f t="shared" si="225"/>
        <v>0.1374</v>
      </c>
      <c r="R1390" s="84">
        <f>+Q1390/R1379</f>
        <v>0.12083582509586</v>
      </c>
      <c r="S1390" s="47"/>
      <c r="T1390" s="47"/>
    </row>
    <row r="1391" s="27" customFormat="1" ht="18" customHeight="1" spans="1:21">
      <c r="A1391" s="34"/>
      <c r="B1391" s="48">
        <v>4</v>
      </c>
      <c r="C1391" s="48"/>
      <c r="D1391" s="85" t="s">
        <v>426</v>
      </c>
      <c r="E1391" s="48" t="s">
        <v>392</v>
      </c>
      <c r="F1391" s="50"/>
      <c r="G1391" s="48"/>
      <c r="H1391" s="86"/>
      <c r="I1391" s="86"/>
      <c r="J1391" s="51">
        <f>SUM(J1389:J1389)</f>
        <v>170</v>
      </c>
      <c r="K1391" s="75"/>
      <c r="L1391" s="69" t="s">
        <v>447</v>
      </c>
      <c r="M1391" s="70" t="s">
        <v>1038</v>
      </c>
      <c r="N1391" s="34">
        <f>0.668*2.71+0.022*2.71</f>
        <v>1.8699</v>
      </c>
      <c r="O1391" s="34">
        <f>O1379</f>
        <v>1.834</v>
      </c>
      <c r="P1391" s="34">
        <v>1</v>
      </c>
      <c r="Q1391" s="44">
        <f t="shared" si="225"/>
        <v>3.4293966</v>
      </c>
      <c r="R1391" s="71">
        <f>+Q1391/R1379</f>
        <v>3.01596774193548</v>
      </c>
      <c r="S1391" s="47">
        <v>0.31</v>
      </c>
      <c r="T1391" s="47">
        <f t="shared" si="227"/>
        <v>0.56854</v>
      </c>
      <c r="U1391" s="76">
        <f>T1391/R1379</f>
        <v>0.5</v>
      </c>
    </row>
    <row r="1392" s="27" customFormat="1" ht="23" customHeight="1" spans="1:21">
      <c r="A1392" s="34"/>
      <c r="B1392" s="48">
        <v>1</v>
      </c>
      <c r="C1392" s="48" t="s">
        <v>394</v>
      </c>
      <c r="D1392" s="88" t="s">
        <v>427</v>
      </c>
      <c r="E1392" s="72" t="str">
        <f>+VLOOKUP(D1392,'材料表 '!C:F,2,0)</f>
        <v>kg</v>
      </c>
      <c r="F1392" s="77">
        <f>+SUMIF($L$1379:$L$1419,D1392,$R$1379:$R$1419)</f>
        <v>1.69629225736096</v>
      </c>
      <c r="G1392" s="89">
        <f>+VLOOKUP(D1392,'材料表 '!C:F,4,0)</f>
        <v>0.03</v>
      </c>
      <c r="H1392" s="74">
        <f t="shared" ref="H1392:H1397" si="228">F1392*(G1392+1)</f>
        <v>1.74718102508179</v>
      </c>
      <c r="I1392" s="74">
        <f>+VLOOKUP(D1392,'材料表 '!C:F,3,0)</f>
        <v>25.8495575221239</v>
      </c>
      <c r="J1392" s="51">
        <f t="shared" si="226"/>
        <v>45.1638564094151</v>
      </c>
      <c r="K1392" s="75">
        <f ca="1">H1392*K1378</f>
        <v>7.94673840000001</v>
      </c>
      <c r="L1392" s="69" t="s">
        <v>447</v>
      </c>
      <c r="M1392" s="70" t="s">
        <v>1049</v>
      </c>
      <c r="N1392" s="34">
        <f>0.074*2.71</f>
        <v>0.20054</v>
      </c>
      <c r="O1392" s="34">
        <f>O1379</f>
        <v>1.834</v>
      </c>
      <c r="P1392" s="34">
        <v>1</v>
      </c>
      <c r="Q1392" s="44">
        <f t="shared" si="225"/>
        <v>0.36779036</v>
      </c>
      <c r="R1392" s="71">
        <f>+Q1392/R1379</f>
        <v>0.323451612903226</v>
      </c>
      <c r="S1392" s="47">
        <f>0.048</f>
        <v>0.048</v>
      </c>
      <c r="T1392" s="47">
        <f t="shared" si="227"/>
        <v>0.088032</v>
      </c>
      <c r="U1392" s="76">
        <f>T1392/R1379</f>
        <v>0.0774193548387097</v>
      </c>
    </row>
    <row r="1393" s="27" customFormat="1" ht="18" customHeight="1" spans="1:20">
      <c r="A1393" s="34"/>
      <c r="B1393" s="48">
        <v>2</v>
      </c>
      <c r="C1393" s="48"/>
      <c r="D1393" s="88" t="s">
        <v>404</v>
      </c>
      <c r="E1393" s="72" t="str">
        <f>+VLOOKUP(D1393,'材料表 '!C:F,2,0)</f>
        <v>kg</v>
      </c>
      <c r="F1393" s="77">
        <f>+SUMIF($L$1379:$L$1419,D1393,$R$1379:$R$1419)</f>
        <v>9.01693548387097</v>
      </c>
      <c r="G1393" s="89">
        <f>+VLOOKUP(D1393,'材料表 '!C:F,4,0)</f>
        <v>0.03</v>
      </c>
      <c r="H1393" s="74">
        <f t="shared" si="228"/>
        <v>9.2874435483871</v>
      </c>
      <c r="I1393" s="74">
        <f>+VLOOKUP(D1393,'材料表 '!C:F,3,0)</f>
        <v>25.6725663716814</v>
      </c>
      <c r="J1393" s="51">
        <f t="shared" si="226"/>
        <v>238.432510919212</v>
      </c>
      <c r="K1393" s="75">
        <f ca="1">H1393*K1378</f>
        <v>42.24226524</v>
      </c>
      <c r="L1393" s="69"/>
      <c r="M1393" s="70"/>
      <c r="N1393" s="83"/>
      <c r="O1393" s="83"/>
      <c r="P1393" s="83"/>
      <c r="Q1393" s="83"/>
      <c r="R1393" s="87"/>
      <c r="S1393" s="47"/>
      <c r="T1393" s="34"/>
    </row>
    <row r="1394" s="27" customFormat="1" ht="18" customHeight="1" spans="1:20">
      <c r="A1394" s="34"/>
      <c r="B1394" s="48">
        <v>3</v>
      </c>
      <c r="C1394" s="48"/>
      <c r="D1394" s="88" t="s">
        <v>433</v>
      </c>
      <c r="E1394" s="72" t="str">
        <f>+VLOOKUP(D1394,'材料表 '!C:F,2,0)</f>
        <v>kg</v>
      </c>
      <c r="F1394" s="77">
        <f>+SUMIF($L$1379:$L$1419,D1394,$R$1379:$R$1419)</f>
        <v>0</v>
      </c>
      <c r="G1394" s="89">
        <f>+VLOOKUP(D1394,'材料表 '!C:F,4,0)</f>
        <v>0.03</v>
      </c>
      <c r="H1394" s="74">
        <f t="shared" si="228"/>
        <v>0</v>
      </c>
      <c r="I1394" s="74">
        <f>+VLOOKUP(D1394,'材料表 '!C:F,3,0)</f>
        <v>26.1150442477876</v>
      </c>
      <c r="J1394" s="51">
        <f t="shared" si="226"/>
        <v>0</v>
      </c>
      <c r="K1394" s="75">
        <f ca="1">H1394*K1378</f>
        <v>0</v>
      </c>
      <c r="L1394" s="69"/>
      <c r="M1394" s="27"/>
      <c r="N1394" s="83"/>
      <c r="O1394" s="83"/>
      <c r="P1394" s="83"/>
      <c r="Q1394" s="83"/>
      <c r="R1394" s="87"/>
      <c r="S1394" s="47"/>
      <c r="T1394" s="47"/>
    </row>
    <row r="1395" s="27" customFormat="1" ht="18" customHeight="1" spans="1:20">
      <c r="A1395" s="34"/>
      <c r="B1395" s="48">
        <v>4</v>
      </c>
      <c r="C1395" s="48"/>
      <c r="D1395" s="88" t="s">
        <v>429</v>
      </c>
      <c r="E1395" s="72" t="str">
        <f>+VLOOKUP(D1395,'材料表 '!C:F,2,0)</f>
        <v>kg</v>
      </c>
      <c r="F1395" s="77">
        <f>+SUMIF($L$1379:$L$1419,D1395,$R$1379:$R$1419)</f>
        <v>3.23229529437976</v>
      </c>
      <c r="G1395" s="89">
        <f>+VLOOKUP(D1395,'材料表 '!C:F,4,0)</f>
        <v>0.03</v>
      </c>
      <c r="H1395" s="74">
        <f t="shared" si="228"/>
        <v>3.32926415321115</v>
      </c>
      <c r="I1395" s="74">
        <f>+VLOOKUP(D1395,'材料表 '!C:F,3,0)</f>
        <v>26.1150442477876</v>
      </c>
      <c r="J1395" s="51">
        <f t="shared" si="226"/>
        <v>86.9438806736824</v>
      </c>
      <c r="K1395" s="75">
        <f ca="1">H1395*K1378</f>
        <v>15.1425587333333</v>
      </c>
      <c r="L1395" s="90" t="s">
        <v>707</v>
      </c>
      <c r="M1395" s="44"/>
      <c r="N1395" s="82"/>
      <c r="O1395" s="44">
        <f>O1387*P1387</f>
        <v>2.751</v>
      </c>
      <c r="P1395" s="44">
        <v>1</v>
      </c>
      <c r="Q1395" s="44">
        <f>+P1395*O1395</f>
        <v>2.751</v>
      </c>
      <c r="R1395" s="84">
        <f>+Q1395/R1379</f>
        <v>2.41935483870968</v>
      </c>
      <c r="S1395" s="47"/>
      <c r="T1395" s="47"/>
    </row>
    <row r="1396" s="27" customFormat="1" ht="18" customHeight="1" spans="1:20">
      <c r="A1396" s="34"/>
      <c r="B1396" s="48">
        <v>5</v>
      </c>
      <c r="C1396" s="48"/>
      <c r="D1396" s="88" t="s">
        <v>447</v>
      </c>
      <c r="E1396" s="72" t="str">
        <f>+VLOOKUP(D1396,'材料表 '!C:F,2,0)</f>
        <v>kg</v>
      </c>
      <c r="F1396" s="77">
        <f>+SUMIF($L$1379:$L$1419,D1396,$R$1379:$R$1419)</f>
        <v>4.7516410103071</v>
      </c>
      <c r="G1396" s="89">
        <f>+VLOOKUP(D1396,'材料表 '!C:F,4,0)</f>
        <v>0.03</v>
      </c>
      <c r="H1396" s="74">
        <f t="shared" si="228"/>
        <v>4.89419024061631</v>
      </c>
      <c r="I1396" s="74">
        <f>+VLOOKUP(D1396,'材料表 '!C:F,3,0)</f>
        <v>24.4336283185841</v>
      </c>
      <c r="J1396" s="51">
        <f t="shared" si="226"/>
        <v>119.582825259661</v>
      </c>
      <c r="K1396" s="43">
        <f ca="1">H1396*K1378</f>
        <v>22.2603433552</v>
      </c>
      <c r="L1396" s="90" t="s">
        <v>435</v>
      </c>
      <c r="M1396" s="44"/>
      <c r="N1396" s="82">
        <f>0.073*1.2</f>
        <v>0.0876</v>
      </c>
      <c r="O1396" s="44">
        <f>O1382*P1382*3+O1387*P1387*4</f>
        <v>12.864</v>
      </c>
      <c r="P1396" s="44">
        <v>1</v>
      </c>
      <c r="Q1396" s="44">
        <f>+P1396*O1396</f>
        <v>12.864</v>
      </c>
      <c r="R1396" s="84">
        <f>+Q1396/R1379</f>
        <v>11.31318816618</v>
      </c>
      <c r="S1396" s="47"/>
      <c r="T1396" s="47"/>
    </row>
    <row r="1397" s="27" customFormat="1" ht="18" customHeight="1" spans="1:20">
      <c r="A1397" s="34"/>
      <c r="B1397" s="48">
        <v>6</v>
      </c>
      <c r="C1397" s="48"/>
      <c r="D1397" s="88" t="s">
        <v>434</v>
      </c>
      <c r="E1397" s="72" t="str">
        <f>+VLOOKUP(D1397,'材料表 '!C:F,2,0)</f>
        <v>m2</v>
      </c>
      <c r="F1397" s="77">
        <f>U1384+U1389+U1391+U1392</f>
        <v>0.820396981742709</v>
      </c>
      <c r="G1397" s="89">
        <f>+VLOOKUP(D1397,'材料表 '!C:F,4,0)</f>
        <v>0</v>
      </c>
      <c r="H1397" s="74">
        <f t="shared" si="228"/>
        <v>0.820396981742709</v>
      </c>
      <c r="I1397" s="74">
        <f>+VLOOKUP(D1397,'材料表 '!C:F,3,0)</f>
        <v>49.5575221238938</v>
      </c>
      <c r="J1397" s="51">
        <f t="shared" si="226"/>
        <v>40.65684157309</v>
      </c>
      <c r="K1397" s="43">
        <f ca="1">H1397*K1378</f>
        <v>3.731428</v>
      </c>
      <c r="L1397" s="90" t="s">
        <v>463</v>
      </c>
      <c r="M1397" s="91" t="s">
        <v>1012</v>
      </c>
      <c r="N1397" s="82">
        <f>0.32*0.3*8*7.85</f>
        <v>6.0288</v>
      </c>
      <c r="O1397" s="44">
        <v>0.5</v>
      </c>
      <c r="P1397" s="44">
        <f>P1382</f>
        <v>1</v>
      </c>
      <c r="Q1397" s="44">
        <f t="shared" ref="Q1397:Q1401" si="229">+P1397*O1397*N1397</f>
        <v>3.0144</v>
      </c>
      <c r="R1397" s="84">
        <f>+Q1397/R1379</f>
        <v>2.65100080908995</v>
      </c>
      <c r="S1397" s="47"/>
      <c r="T1397" s="47"/>
    </row>
    <row r="1398" s="27" customFormat="1" ht="18" customHeight="1" spans="1:20">
      <c r="A1398" s="34"/>
      <c r="B1398" s="48">
        <v>7</v>
      </c>
      <c r="C1398" s="48"/>
      <c r="D1398" s="88"/>
      <c r="E1398" s="72"/>
      <c r="F1398" s="77">
        <f t="shared" ref="F1393:F1405" si="230">+SUMIF($L$1379:$L$1419,D1398,$R$1379:$R$1419)</f>
        <v>0</v>
      </c>
      <c r="G1398" s="89"/>
      <c r="H1398" s="74"/>
      <c r="I1398" s="74"/>
      <c r="J1398" s="51"/>
      <c r="K1398" s="43">
        <f ca="1">H1398*K1378</f>
        <v>0</v>
      </c>
      <c r="L1398" s="69" t="s">
        <v>465</v>
      </c>
      <c r="M1398" s="81" t="s">
        <v>1013</v>
      </c>
      <c r="N1398" s="34">
        <v>9.88</v>
      </c>
      <c r="O1398" s="34">
        <f>0.13</f>
        <v>0.13</v>
      </c>
      <c r="P1398" s="34">
        <f>2*P1397*O1397</f>
        <v>1</v>
      </c>
      <c r="Q1398" s="44">
        <f t="shared" si="229"/>
        <v>1.2844</v>
      </c>
      <c r="R1398" s="84">
        <f>Q1398/R1379</f>
        <v>1.12955992542301</v>
      </c>
      <c r="S1398" s="47"/>
      <c r="T1398" s="47"/>
    </row>
    <row r="1399" s="27" customFormat="1" ht="18" customHeight="1" spans="1:20">
      <c r="A1399" s="34"/>
      <c r="B1399" s="48">
        <v>8</v>
      </c>
      <c r="C1399" s="48"/>
      <c r="D1399" s="88" t="s">
        <v>431</v>
      </c>
      <c r="E1399" s="72" t="str">
        <f>+VLOOKUP(D1399,'材料表 '!C:F,2,0)</f>
        <v>kg</v>
      </c>
      <c r="F1399" s="77">
        <f t="shared" si="230"/>
        <v>0</v>
      </c>
      <c r="G1399" s="89">
        <f>+VLOOKUP(D1399,'材料表 '!C:F,4,0)</f>
        <v>0.03</v>
      </c>
      <c r="H1399" s="74">
        <f t="shared" ref="H1399:H1411" si="231">F1399*(G1399+1)</f>
        <v>0</v>
      </c>
      <c r="I1399" s="74">
        <f>+VLOOKUP(D1399,'材料表 '!C:F,3,0)</f>
        <v>3.80530973451327</v>
      </c>
      <c r="J1399" s="51">
        <f t="shared" ref="J1399:J1411" si="232">H1399*I1399</f>
        <v>0</v>
      </c>
      <c r="K1399" s="43">
        <f ca="1">H1399*K1378</f>
        <v>0</v>
      </c>
      <c r="L1399" s="90" t="s">
        <v>474</v>
      </c>
      <c r="M1399" s="44"/>
      <c r="N1399" s="82"/>
      <c r="O1399" s="44">
        <v>4</v>
      </c>
      <c r="P1399" s="44">
        <f>O1397*P1397</f>
        <v>0.5</v>
      </c>
      <c r="Q1399" s="44">
        <f>O1399*P1399</f>
        <v>2</v>
      </c>
      <c r="R1399" s="84">
        <f>Q1399/R1379</f>
        <v>1.75889119499068</v>
      </c>
      <c r="S1399" s="47"/>
      <c r="T1399" s="47"/>
    </row>
    <row r="1400" s="27" customFormat="1" ht="18" customHeight="1" spans="1:20">
      <c r="A1400" s="34"/>
      <c r="B1400" s="48">
        <v>9</v>
      </c>
      <c r="C1400" s="48"/>
      <c r="D1400" s="88" t="s">
        <v>461</v>
      </c>
      <c r="E1400" s="72" t="str">
        <f>+VLOOKUP(D1400,'材料表 '!C:F,2,0)</f>
        <v>kg</v>
      </c>
      <c r="F1400" s="77">
        <f t="shared" si="230"/>
        <v>0</v>
      </c>
      <c r="G1400" s="89">
        <f>+VLOOKUP(D1400,'材料表 '!C:F,4,0)</f>
        <v>0.03</v>
      </c>
      <c r="H1400" s="74">
        <f t="shared" si="231"/>
        <v>0</v>
      </c>
      <c r="I1400" s="74">
        <f>+VLOOKUP(D1400,'材料表 '!C:F,3,0)</f>
        <v>3.53982300884956</v>
      </c>
      <c r="J1400" s="51">
        <f t="shared" si="232"/>
        <v>0</v>
      </c>
      <c r="K1400" s="43">
        <f ca="1">H1400*K1378</f>
        <v>0</v>
      </c>
      <c r="L1400" s="90" t="s">
        <v>472</v>
      </c>
      <c r="M1400" s="91"/>
      <c r="N1400" s="82"/>
      <c r="O1400" s="44">
        <v>2</v>
      </c>
      <c r="P1400" s="44">
        <f>O1397*P1397</f>
        <v>0.5</v>
      </c>
      <c r="Q1400" s="44">
        <f>O1400*P1400</f>
        <v>1</v>
      </c>
      <c r="R1400" s="84">
        <f>Q1400/R1379</f>
        <v>0.879445597495339</v>
      </c>
      <c r="S1400" s="47"/>
      <c r="T1400" s="47"/>
    </row>
    <row r="1401" s="27" customFormat="1" ht="18" customHeight="1" spans="1:20">
      <c r="A1401" s="34"/>
      <c r="B1401" s="48">
        <v>10</v>
      </c>
      <c r="C1401" s="48"/>
      <c r="D1401" s="88" t="s">
        <v>435</v>
      </c>
      <c r="E1401" s="72" t="str">
        <f>+VLOOKUP(D1401,'材料表 '!C:F,2,0)</f>
        <v>kg</v>
      </c>
      <c r="F1401" s="77">
        <f t="shared" si="230"/>
        <v>11.31318816618</v>
      </c>
      <c r="G1401" s="89">
        <f>+VLOOKUP(D1401,'材料表 '!C:F,4,0)</f>
        <v>0.03</v>
      </c>
      <c r="H1401" s="74">
        <f t="shared" si="231"/>
        <v>11.6525838111654</v>
      </c>
      <c r="I1401" s="74">
        <f>+VLOOKUP(D1401,'材料表 '!C:F,3,0)</f>
        <v>19.4690265486726</v>
      </c>
      <c r="J1401" s="51">
        <f t="shared" si="232"/>
        <v>226.864463580212</v>
      </c>
      <c r="K1401" s="43">
        <f ca="1">H1401*K1378</f>
        <v>52.9996799999998</v>
      </c>
      <c r="L1401" s="69" t="s">
        <v>465</v>
      </c>
      <c r="M1401" s="91"/>
      <c r="N1401" s="82">
        <f>(0.058+0.04*2)*5*7.85</f>
        <v>5.4165</v>
      </c>
      <c r="O1401" s="44">
        <v>0</v>
      </c>
      <c r="P1401" s="44">
        <v>1</v>
      </c>
      <c r="Q1401" s="44">
        <f t="shared" si="229"/>
        <v>0</v>
      </c>
      <c r="R1401" s="84">
        <f>+Q1401/R1379</f>
        <v>0</v>
      </c>
      <c r="S1401" s="47"/>
      <c r="T1401" s="47"/>
    </row>
    <row r="1402" s="27" customFormat="1" ht="18" customHeight="1" spans="1:20">
      <c r="A1402" s="34"/>
      <c r="B1402" s="48">
        <v>11</v>
      </c>
      <c r="C1402" s="48"/>
      <c r="D1402" s="88" t="s">
        <v>463</v>
      </c>
      <c r="E1402" s="72" t="str">
        <f>+VLOOKUP(D1402,'材料表 '!C:F,2,0)</f>
        <v>kg</v>
      </c>
      <c r="F1402" s="77">
        <f t="shared" si="230"/>
        <v>2.65100080908995</v>
      </c>
      <c r="G1402" s="89">
        <f>+VLOOKUP(D1402,'材料表 '!C:F,4,0)</f>
        <v>0.03</v>
      </c>
      <c r="H1402" s="74">
        <f t="shared" si="231"/>
        <v>2.73053083336265</v>
      </c>
      <c r="I1402" s="74">
        <f>+VLOOKUP(D1402,'材料表 '!C:F,3,0)</f>
        <v>6.01769911504425</v>
      </c>
      <c r="J1402" s="51">
        <f t="shared" si="232"/>
        <v>16.4315129795274</v>
      </c>
      <c r="K1402" s="43">
        <f ca="1">H1402*K1378</f>
        <v>12.419328</v>
      </c>
      <c r="L1402" s="69" t="s">
        <v>461</v>
      </c>
      <c r="M1402" s="27"/>
      <c r="N1402" s="83"/>
      <c r="O1402" s="83"/>
      <c r="P1402" s="83"/>
      <c r="Q1402" s="83"/>
      <c r="R1402" s="84"/>
      <c r="S1402" s="47"/>
      <c r="T1402" s="47"/>
    </row>
    <row r="1403" s="27" customFormat="1" ht="18" customHeight="1" spans="1:20">
      <c r="A1403" s="34"/>
      <c r="B1403" s="48">
        <v>12</v>
      </c>
      <c r="C1403" s="48"/>
      <c r="D1403" s="88" t="s">
        <v>465</v>
      </c>
      <c r="E1403" s="72" t="str">
        <f>+VLOOKUP(D1403,'材料表 '!C:F,2,0)</f>
        <v>kg</v>
      </c>
      <c r="F1403" s="77">
        <f t="shared" si="230"/>
        <v>1.12955992542301</v>
      </c>
      <c r="G1403" s="89">
        <f>+VLOOKUP(D1403,'材料表 '!C:F,4,0)</f>
        <v>0.03</v>
      </c>
      <c r="H1403" s="74">
        <f t="shared" si="231"/>
        <v>1.1634467231857</v>
      </c>
      <c r="I1403" s="74">
        <f>+VLOOKUP(D1403,'材料表 '!C:F,3,0)</f>
        <v>6.01769911504425</v>
      </c>
      <c r="J1403" s="51">
        <f t="shared" si="232"/>
        <v>7.00127231651572</v>
      </c>
      <c r="K1403" s="43">
        <f ca="1">H1403*K1378</f>
        <v>5.29172799999998</v>
      </c>
      <c r="L1403" s="90"/>
      <c r="M1403" s="44"/>
      <c r="N1403" s="82"/>
      <c r="O1403" s="44"/>
      <c r="P1403" s="44"/>
      <c r="Q1403" s="44"/>
      <c r="R1403" s="84"/>
      <c r="S1403" s="47"/>
      <c r="T1403" s="47"/>
    </row>
    <row r="1404" s="27" customFormat="1" ht="18" customHeight="1" spans="1:20">
      <c r="A1404" s="34"/>
      <c r="B1404" s="48">
        <v>13</v>
      </c>
      <c r="C1404" s="48"/>
      <c r="D1404" s="88" t="s">
        <v>474</v>
      </c>
      <c r="E1404" s="72" t="str">
        <f>+VLOOKUP(D1404,'材料表 '!C:F,2,0)</f>
        <v>套</v>
      </c>
      <c r="F1404" s="77">
        <f t="shared" si="230"/>
        <v>1.75889119499068</v>
      </c>
      <c r="G1404" s="89">
        <f>+VLOOKUP(D1404,'材料表 '!C:F,4,0)</f>
        <v>0</v>
      </c>
      <c r="H1404" s="74">
        <f t="shared" si="231"/>
        <v>1.75889119499068</v>
      </c>
      <c r="I1404" s="74">
        <f>+VLOOKUP(D1404,'材料表 '!C:F,3,0)</f>
        <v>2.21238938053097</v>
      </c>
      <c r="J1404" s="51">
        <f t="shared" si="232"/>
        <v>3.89135220130681</v>
      </c>
      <c r="K1404" s="43">
        <f ca="1">H1404*K1378</f>
        <v>8.00000000000001</v>
      </c>
      <c r="L1404" s="90"/>
      <c r="M1404" s="44"/>
      <c r="N1404" s="82"/>
      <c r="O1404" s="44"/>
      <c r="P1404" s="44"/>
      <c r="Q1404" s="44"/>
      <c r="R1404" s="84"/>
      <c r="S1404" s="47"/>
      <c r="T1404" s="47"/>
    </row>
    <row r="1405" s="27" customFormat="1" ht="18" customHeight="1" spans="1:20">
      <c r="A1405" s="34"/>
      <c r="B1405" s="48">
        <v>14</v>
      </c>
      <c r="C1405" s="48"/>
      <c r="D1405" s="88" t="s">
        <v>472</v>
      </c>
      <c r="E1405" s="72" t="str">
        <f>+VLOOKUP(D1405,'材料表 '!C:F,2,0)</f>
        <v>套</v>
      </c>
      <c r="F1405" s="77">
        <f t="shared" si="230"/>
        <v>0.879445597495339</v>
      </c>
      <c r="G1405" s="89">
        <f>+VLOOKUP(D1405,'材料表 '!C:F,4,0)</f>
        <v>0</v>
      </c>
      <c r="H1405" s="74">
        <f t="shared" si="231"/>
        <v>0.879445597495339</v>
      </c>
      <c r="I1405" s="74">
        <f>+VLOOKUP(D1405,'材料表 '!C:F,3,0)</f>
        <v>2.47787610619469</v>
      </c>
      <c r="J1405" s="51">
        <f t="shared" si="232"/>
        <v>2.17915723273181</v>
      </c>
      <c r="K1405" s="43">
        <f ca="1">H1405*K1378</f>
        <v>4</v>
      </c>
      <c r="L1405" s="90"/>
      <c r="M1405" s="44"/>
      <c r="N1405" s="82"/>
      <c r="O1405" s="44"/>
      <c r="P1405" s="44"/>
      <c r="Q1405" s="44"/>
      <c r="R1405" s="84"/>
      <c r="S1405" s="47"/>
      <c r="T1405" s="47"/>
    </row>
    <row r="1406" s="27" customFormat="1" ht="18" customHeight="1" spans="1:20">
      <c r="A1406" s="34"/>
      <c r="B1406" s="48">
        <v>15</v>
      </c>
      <c r="C1406" s="48"/>
      <c r="D1406" s="88" t="s">
        <v>476</v>
      </c>
      <c r="E1406" s="72" t="str">
        <f>+VLOOKUP(D1406,'材料表 '!C:F,2,0)</f>
        <v>支</v>
      </c>
      <c r="F1406" s="77">
        <f>8*8*(O1387*P1387*2)/500/R1379+16*8*(O1382*P1382+O1387*P1387)/500/R1379</f>
        <v>1.37829528265382</v>
      </c>
      <c r="G1406" s="89">
        <f>+VLOOKUP(D1406,'材料表 '!C:F,4,0)</f>
        <v>0.15</v>
      </c>
      <c r="H1406" s="74">
        <f t="shared" si="231"/>
        <v>1.58503957505189</v>
      </c>
      <c r="I1406" s="74">
        <f>+VLOOKUP(D1406,'材料表 '!C:F,3,0)</f>
        <v>11.5044247787611</v>
      </c>
      <c r="J1406" s="51">
        <f t="shared" si="232"/>
        <v>18.234968562544</v>
      </c>
      <c r="K1406" s="43">
        <f ca="1">H1406*K1378</f>
        <v>7.20926720000001</v>
      </c>
      <c r="L1406" s="92"/>
      <c r="M1406" s="44"/>
      <c r="N1406" s="82"/>
      <c r="O1406" s="44"/>
      <c r="P1406" s="44"/>
      <c r="Q1406" s="44"/>
      <c r="R1406" s="84"/>
      <c r="S1406" s="47"/>
      <c r="T1406" s="47"/>
    </row>
    <row r="1407" s="27" customFormat="1" ht="18" customHeight="1" spans="1:20">
      <c r="A1407" s="34"/>
      <c r="B1407" s="48">
        <v>16</v>
      </c>
      <c r="C1407" s="48"/>
      <c r="D1407" s="88" t="s">
        <v>576</v>
      </c>
      <c r="E1407" s="72" t="str">
        <f>+VLOOKUP(D1407,'材料表 '!C:F,2,0)</f>
        <v>支</v>
      </c>
      <c r="F1407" s="77">
        <v>0</v>
      </c>
      <c r="G1407" s="89">
        <f>+VLOOKUP(D1407,'材料表 '!C:F,4,0)</f>
        <v>0.15</v>
      </c>
      <c r="H1407" s="74">
        <f t="shared" si="231"/>
        <v>0</v>
      </c>
      <c r="I1407" s="74">
        <f>+VLOOKUP(D1407,'材料表 '!C:F,3,0)</f>
        <v>14.1592920353982</v>
      </c>
      <c r="J1407" s="51">
        <f t="shared" si="232"/>
        <v>0</v>
      </c>
      <c r="K1407" s="43">
        <f ca="1">H1407*K1378</f>
        <v>0</v>
      </c>
      <c r="L1407" s="92"/>
      <c r="M1407" s="44"/>
      <c r="N1407" s="82"/>
      <c r="O1407" s="44"/>
      <c r="P1407" s="44"/>
      <c r="Q1407" s="44"/>
      <c r="R1407" s="84"/>
      <c r="S1407" s="47"/>
      <c r="T1407" s="47"/>
    </row>
    <row r="1408" s="27" customFormat="1" ht="18" customHeight="1" spans="1:20">
      <c r="A1408" s="34"/>
      <c r="B1408" s="48">
        <v>17</v>
      </c>
      <c r="C1408" s="48"/>
      <c r="D1408" s="88" t="s">
        <v>479</v>
      </c>
      <c r="E1408" s="72" t="str">
        <f>+VLOOKUP(D1408,'材料表 '!C:F,2,0)</f>
        <v>kg</v>
      </c>
      <c r="F1408" s="77">
        <v>0</v>
      </c>
      <c r="G1408" s="89">
        <f>+VLOOKUP(D1408,'材料表 '!C:F,4,0)</f>
        <v>0.03</v>
      </c>
      <c r="H1408" s="74">
        <f t="shared" si="231"/>
        <v>0</v>
      </c>
      <c r="I1408" s="74">
        <f>+VLOOKUP(D1408,'材料表 '!C:F,3,0)</f>
        <v>14.1592920353982</v>
      </c>
      <c r="J1408" s="51">
        <f t="shared" si="232"/>
        <v>0</v>
      </c>
      <c r="K1408" s="43">
        <f ca="1">H1408*K1378</f>
        <v>0</v>
      </c>
      <c r="L1408" s="92"/>
      <c r="M1408" s="44"/>
      <c r="N1408" s="82"/>
      <c r="O1408" s="44"/>
      <c r="P1408" s="44"/>
      <c r="Q1408" s="44"/>
      <c r="R1408" s="84"/>
      <c r="S1408" s="47"/>
      <c r="T1408" s="47"/>
    </row>
    <row r="1409" s="27" customFormat="1" ht="18" customHeight="1" spans="1:20">
      <c r="A1409" s="34"/>
      <c r="B1409" s="48">
        <v>18</v>
      </c>
      <c r="C1409" s="48"/>
      <c r="D1409" s="88" t="s">
        <v>500</v>
      </c>
      <c r="E1409" s="72" t="str">
        <f>+VLOOKUP(D1409,'材料表 '!C:F,2,0)</f>
        <v>kg</v>
      </c>
      <c r="F1409" s="77">
        <f>R1388+R1389+R1390+R1391+R1392</f>
        <v>6.02638421219263</v>
      </c>
      <c r="G1409" s="89">
        <f>+VLOOKUP(D1409,'材料表 '!C:F,4,0)</f>
        <v>0.03</v>
      </c>
      <c r="H1409" s="74">
        <f t="shared" si="231"/>
        <v>6.20717573855841</v>
      </c>
      <c r="I1409" s="74">
        <f>+VLOOKUP(D1409,'材料表 '!C:F,3,0)</f>
        <v>14.1592920353982</v>
      </c>
      <c r="J1409" s="51">
        <f t="shared" si="232"/>
        <v>87.889213997287</v>
      </c>
      <c r="K1409" s="43">
        <f ca="1">H1409*K1378</f>
        <v>28.2322215552</v>
      </c>
      <c r="L1409" s="92"/>
      <c r="M1409" s="44"/>
      <c r="N1409" s="82"/>
      <c r="O1409" s="44"/>
      <c r="P1409" s="44"/>
      <c r="Q1409" s="44"/>
      <c r="R1409" s="84"/>
      <c r="S1409" s="47"/>
      <c r="T1409" s="47"/>
    </row>
    <row r="1410" s="27" customFormat="1" ht="36" customHeight="1" spans="1:20">
      <c r="A1410" s="34"/>
      <c r="B1410" s="48">
        <v>19</v>
      </c>
      <c r="C1410" s="48"/>
      <c r="D1410" s="88" t="s">
        <v>693</v>
      </c>
      <c r="E1410" s="72" t="str">
        <f>+VLOOKUP(D1410,'材料表 '!C:F,2,0)</f>
        <v>m2</v>
      </c>
      <c r="F1410" s="77">
        <v>1</v>
      </c>
      <c r="G1410" s="89">
        <f>+VLOOKUP(D1410,'材料表 '!C:F,4,0)</f>
        <v>0.01</v>
      </c>
      <c r="H1410" s="74">
        <f t="shared" si="231"/>
        <v>1.01</v>
      </c>
      <c r="I1410" s="74">
        <f>+VLOOKUP(D1410,'材料表 '!C:F,3,0)</f>
        <v>1041.59292035398</v>
      </c>
      <c r="J1410" s="51">
        <f t="shared" si="232"/>
        <v>1052.00884955752</v>
      </c>
      <c r="K1410" s="43">
        <f ca="1">H1410*K1378</f>
        <v>4.5938032</v>
      </c>
      <c r="L1410" s="90"/>
      <c r="M1410" s="44"/>
      <c r="N1410" s="82"/>
      <c r="O1410" s="44"/>
      <c r="P1410" s="44"/>
      <c r="Q1410" s="44"/>
      <c r="R1410" s="84"/>
      <c r="S1410" s="47"/>
      <c r="T1410" s="47"/>
    </row>
    <row r="1411" s="27" customFormat="1" ht="21" customHeight="1" spans="1:20">
      <c r="A1411" s="34"/>
      <c r="B1411" s="48">
        <v>20</v>
      </c>
      <c r="C1411" s="48"/>
      <c r="D1411" s="88" t="s">
        <v>1043</v>
      </c>
      <c r="E1411" s="72" t="str">
        <f>+VLOOKUP(D1411,'材料表 '!C:F,2,0)</f>
        <v>套</v>
      </c>
      <c r="F1411" s="77">
        <f>P1390/R1379</f>
        <v>1.75889119499068</v>
      </c>
      <c r="G1411" s="89">
        <f>+VLOOKUP(D1411,'材料表 '!C:F,4,0)</f>
        <v>0</v>
      </c>
      <c r="H1411" s="74">
        <f t="shared" si="231"/>
        <v>1.75889119499068</v>
      </c>
      <c r="I1411" s="74">
        <f>+VLOOKUP(D1411,'材料表 '!C:F,3,0)</f>
        <v>1.32743362831858</v>
      </c>
      <c r="J1411" s="51">
        <f t="shared" si="232"/>
        <v>2.33481132078408</v>
      </c>
      <c r="K1411" s="43">
        <f ca="1">H1411*K1378</f>
        <v>8.00000000000001</v>
      </c>
      <c r="L1411" s="90"/>
      <c r="M1411" s="44"/>
      <c r="N1411" s="82"/>
      <c r="O1411" s="44"/>
      <c r="P1411" s="44"/>
      <c r="Q1411" s="44"/>
      <c r="R1411" s="84"/>
      <c r="S1411" s="47"/>
      <c r="T1411" s="47"/>
    </row>
    <row r="1412" s="27" customFormat="1" ht="18" customHeight="1" spans="1:20">
      <c r="A1412" s="34"/>
      <c r="B1412" s="48">
        <v>21</v>
      </c>
      <c r="C1412" s="48"/>
      <c r="D1412" s="88"/>
      <c r="E1412" s="72"/>
      <c r="F1412" s="77"/>
      <c r="G1412" s="89"/>
      <c r="H1412" s="74"/>
      <c r="I1412" s="74"/>
      <c r="J1412" s="51"/>
      <c r="K1412" s="43">
        <f ca="1">H1412*K1378</f>
        <v>0</v>
      </c>
      <c r="L1412" s="92"/>
      <c r="M1412" s="44"/>
      <c r="N1412" s="82"/>
      <c r="O1412" s="44"/>
      <c r="P1412" s="44"/>
      <c r="Q1412" s="44"/>
      <c r="R1412" s="84"/>
      <c r="S1412" s="47"/>
      <c r="T1412" s="47"/>
    </row>
    <row r="1413" s="27" customFormat="1" ht="18" customHeight="1" spans="1:20">
      <c r="A1413" s="34"/>
      <c r="B1413" s="48">
        <v>22</v>
      </c>
      <c r="C1413" s="48"/>
      <c r="D1413" s="88"/>
      <c r="E1413" s="72"/>
      <c r="F1413" s="77"/>
      <c r="G1413" s="89"/>
      <c r="H1413" s="74"/>
      <c r="I1413" s="74"/>
      <c r="J1413" s="51"/>
      <c r="K1413" s="43">
        <f ca="1">H1413*K1378</f>
        <v>0</v>
      </c>
      <c r="L1413" s="92"/>
      <c r="M1413" s="44"/>
      <c r="N1413" s="44"/>
      <c r="O1413" s="44"/>
      <c r="P1413" s="44"/>
      <c r="Q1413" s="44"/>
      <c r="R1413" s="84"/>
      <c r="S1413" s="47"/>
      <c r="T1413" s="47"/>
    </row>
    <row r="1414" s="27" customFormat="1" ht="18" customHeight="1" spans="1:20">
      <c r="A1414" s="34"/>
      <c r="B1414" s="48">
        <v>23</v>
      </c>
      <c r="C1414" s="48"/>
      <c r="D1414" s="88"/>
      <c r="E1414" s="72"/>
      <c r="F1414" s="77"/>
      <c r="G1414" s="89"/>
      <c r="H1414" s="74"/>
      <c r="I1414" s="74"/>
      <c r="J1414" s="51"/>
      <c r="K1414" s="75">
        <f ca="1">H1414*K1378</f>
        <v>0</v>
      </c>
      <c r="L1414" s="92"/>
      <c r="M1414" s="44"/>
      <c r="N1414" s="44"/>
      <c r="O1414" s="44"/>
      <c r="P1414" s="44"/>
      <c r="Q1414" s="44"/>
      <c r="R1414" s="84"/>
      <c r="S1414" s="47"/>
      <c r="T1414" s="47"/>
    </row>
    <row r="1415" s="27" customFormat="1" ht="18" customHeight="1" spans="1:20">
      <c r="A1415" s="34"/>
      <c r="B1415" s="48">
        <v>24</v>
      </c>
      <c r="C1415" s="48"/>
      <c r="D1415" s="88"/>
      <c r="E1415" s="72"/>
      <c r="F1415" s="77"/>
      <c r="G1415" s="89"/>
      <c r="H1415" s="74"/>
      <c r="I1415" s="74"/>
      <c r="J1415" s="51"/>
      <c r="K1415" s="75">
        <f ca="1">H1415*K1378</f>
        <v>0</v>
      </c>
      <c r="L1415" s="92"/>
      <c r="M1415" s="44"/>
      <c r="N1415" s="44"/>
      <c r="O1415" s="44"/>
      <c r="P1415" s="44"/>
      <c r="Q1415" s="44"/>
      <c r="R1415" s="84"/>
      <c r="S1415" s="47"/>
      <c r="T1415" s="47"/>
    </row>
    <row r="1416" s="27" customFormat="1" ht="18" customHeight="1" spans="1:20">
      <c r="A1416" s="34"/>
      <c r="B1416" s="48">
        <v>25</v>
      </c>
      <c r="C1416" s="48"/>
      <c r="D1416" s="88"/>
      <c r="E1416" s="72"/>
      <c r="F1416" s="77"/>
      <c r="G1416" s="89"/>
      <c r="H1416" s="74"/>
      <c r="I1416" s="74"/>
      <c r="J1416" s="51"/>
      <c r="K1416" s="75"/>
      <c r="L1416" s="92"/>
      <c r="M1416" s="44"/>
      <c r="N1416" s="44"/>
      <c r="O1416" s="44"/>
      <c r="P1416" s="44"/>
      <c r="Q1416" s="44"/>
      <c r="R1416" s="84"/>
      <c r="S1416" s="47"/>
      <c r="T1416" s="47"/>
    </row>
    <row r="1417" s="27" customFormat="1" ht="18" customHeight="1" spans="1:20">
      <c r="A1417" s="34"/>
      <c r="B1417" s="48">
        <v>26</v>
      </c>
      <c r="C1417" s="48"/>
      <c r="D1417" s="88" t="s">
        <v>441</v>
      </c>
      <c r="E1417" s="72" t="s">
        <v>43</v>
      </c>
      <c r="F1417" s="77"/>
      <c r="G1417" s="72">
        <v>1</v>
      </c>
      <c r="H1417" s="74">
        <v>1</v>
      </c>
      <c r="I1417" s="74">
        <f>+辅材及安装费!$E$19</f>
        <v>10</v>
      </c>
      <c r="J1417" s="51">
        <f>H1417*I1417</f>
        <v>10</v>
      </c>
      <c r="K1417" s="75"/>
      <c r="L1417" s="92"/>
      <c r="M1417" s="44"/>
      <c r="N1417" s="44"/>
      <c r="O1417" s="44"/>
      <c r="P1417" s="44"/>
      <c r="Q1417" s="44"/>
      <c r="R1417" s="62"/>
      <c r="S1417" s="47"/>
      <c r="T1417" s="47"/>
    </row>
    <row r="1418" s="27" customFormat="1" ht="18" customHeight="1" spans="1:20">
      <c r="A1418" s="34"/>
      <c r="B1418" s="48">
        <v>27</v>
      </c>
      <c r="C1418" s="48"/>
      <c r="D1418" s="93" t="s">
        <v>442</v>
      </c>
      <c r="E1418" s="72"/>
      <c r="F1418" s="77"/>
      <c r="G1418" s="72"/>
      <c r="H1418" s="74"/>
      <c r="I1418" s="74"/>
      <c r="J1418" s="51">
        <f>SUM(J1392:J1417)</f>
        <v>1957.61551658349</v>
      </c>
      <c r="K1418" s="75"/>
      <c r="L1418" s="94"/>
      <c r="M1418" s="27"/>
      <c r="N1418" s="83"/>
      <c r="O1418" s="83"/>
      <c r="P1418" s="83"/>
      <c r="Q1418" s="83"/>
      <c r="R1418" s="87"/>
      <c r="S1418" s="47"/>
      <c r="T1418" s="47"/>
    </row>
    <row r="1419" s="27" customFormat="1" ht="18" customHeight="1" spans="1:20">
      <c r="A1419" s="34"/>
      <c r="B1419" s="48">
        <v>1</v>
      </c>
      <c r="C1419" s="48" t="s">
        <v>443</v>
      </c>
      <c r="D1419" s="48" t="s">
        <v>444</v>
      </c>
      <c r="E1419" s="72" t="s">
        <v>43</v>
      </c>
      <c r="F1419" s="50"/>
      <c r="G1419" s="48"/>
      <c r="H1419" s="51">
        <v>1</v>
      </c>
      <c r="I1419" s="74">
        <f>+辅材及安装费!$F$19</f>
        <v>5</v>
      </c>
      <c r="J1419" s="95">
        <f>H1419*I1419</f>
        <v>5</v>
      </c>
      <c r="K1419" s="60"/>
      <c r="L1419" s="96"/>
      <c r="M1419" s="97"/>
      <c r="N1419" s="98"/>
      <c r="O1419" s="98"/>
      <c r="P1419" s="98"/>
      <c r="Q1419" s="98"/>
      <c r="R1419" s="99"/>
      <c r="S1419" s="47"/>
      <c r="T1419" s="47"/>
    </row>
    <row r="1420" s="26" customFormat="1" ht="30" customHeight="1" spans="1:20">
      <c r="A1420" s="28"/>
      <c r="B1420" s="29" t="s">
        <v>386</v>
      </c>
      <c r="C1420" s="29"/>
      <c r="D1420" s="29"/>
      <c r="E1420" s="29"/>
      <c r="F1420" s="29"/>
      <c r="G1420" s="29"/>
      <c r="H1420" s="29"/>
      <c r="I1420" s="29"/>
      <c r="J1420" s="29"/>
      <c r="K1420" s="29"/>
      <c r="L1420" s="30"/>
      <c r="M1420" s="31"/>
      <c r="N1420" s="31"/>
      <c r="O1420" s="31"/>
      <c r="P1420" s="31"/>
      <c r="Q1420" s="31"/>
      <c r="R1420" s="32"/>
      <c r="S1420" s="33"/>
      <c r="T1420" s="33"/>
    </row>
    <row r="1421" s="27" customFormat="1" ht="41" customHeight="1" spans="1:20">
      <c r="A1421" s="34">
        <v>34</v>
      </c>
      <c r="B1421" s="35" t="s">
        <v>1</v>
      </c>
      <c r="C1421" s="35" t="s">
        <v>387</v>
      </c>
      <c r="D1421" s="36" t="str">
        <f>+A1429</f>
        <v>二层明框玻璃幕墙（8+1.52PVB+8Low-E(双银)+12A+12㎜全超白钢化夹层中空玻璃）</v>
      </c>
      <c r="E1421" s="37"/>
      <c r="F1421" s="38" t="s">
        <v>225</v>
      </c>
      <c r="G1421" s="39"/>
      <c r="H1421" s="35" t="s">
        <v>388</v>
      </c>
      <c r="I1421" s="40" t="s">
        <v>389</v>
      </c>
      <c r="J1421" s="41" t="s">
        <v>37</v>
      </c>
      <c r="K1421" s="42">
        <f ca="1">VLOOKUP(A1421,'商业工程量清单 '!$A$4:$D$44,4,FALSE)</f>
        <v>42.95565</v>
      </c>
      <c r="L1421" s="43"/>
      <c r="M1421" s="44"/>
      <c r="N1421" s="44"/>
      <c r="O1421" s="44"/>
      <c r="P1421" s="45"/>
      <c r="Q1421" s="44"/>
      <c r="R1421" s="46"/>
      <c r="S1421" s="47"/>
      <c r="T1421" s="47"/>
    </row>
    <row r="1422" s="27" customFormat="1" ht="25" customHeight="1" spans="1:20">
      <c r="A1422" s="34"/>
      <c r="B1422" s="48">
        <v>1</v>
      </c>
      <c r="C1422" s="49" t="s">
        <v>390</v>
      </c>
      <c r="D1422" s="48" t="s">
        <v>391</v>
      </c>
      <c r="E1422" s="48"/>
      <c r="F1422" s="50"/>
      <c r="G1422" s="48"/>
      <c r="H1422" s="51"/>
      <c r="I1422" s="52">
        <f>J1434</f>
        <v>170</v>
      </c>
      <c r="J1422" s="53" t="s">
        <v>392</v>
      </c>
      <c r="K1422" s="54"/>
      <c r="L1422" s="55" t="s">
        <v>1036</v>
      </c>
      <c r="M1422" s="56"/>
      <c r="N1422" s="57"/>
      <c r="O1422" s="57">
        <f>11.605+1.4</f>
        <v>13.005</v>
      </c>
      <c r="P1422" s="57">
        <v>2.33</v>
      </c>
      <c r="Q1422" s="57">
        <v>1</v>
      </c>
      <c r="R1422" s="58">
        <f>+Q1422*P1422*O1422</f>
        <v>30.30165</v>
      </c>
      <c r="S1422" s="47"/>
      <c r="T1422" s="47"/>
    </row>
    <row r="1423" s="27" customFormat="1" ht="18" customHeight="1" spans="1:20">
      <c r="A1423" s="34"/>
      <c r="B1423" s="48">
        <v>2</v>
      </c>
      <c r="C1423" s="59"/>
      <c r="D1423" s="48" t="s">
        <v>394</v>
      </c>
      <c r="E1423" s="48"/>
      <c r="F1423" s="50"/>
      <c r="G1423" s="48"/>
      <c r="H1423" s="51"/>
      <c r="I1423" s="52">
        <f>J1461</f>
        <v>611.537940534452</v>
      </c>
      <c r="J1423" s="53" t="s">
        <v>392</v>
      </c>
      <c r="K1423" s="60"/>
      <c r="L1423" s="61"/>
      <c r="M1423" s="44"/>
      <c r="N1423" s="44"/>
      <c r="O1423" s="44"/>
      <c r="P1423" s="44"/>
      <c r="Q1423" s="44"/>
      <c r="R1423" s="62"/>
      <c r="S1423" s="47"/>
      <c r="T1423" s="47"/>
    </row>
    <row r="1424" s="27" customFormat="1" ht="18" customHeight="1" spans="1:20">
      <c r="A1424" s="34"/>
      <c r="B1424" s="48">
        <v>3</v>
      </c>
      <c r="C1424" s="63"/>
      <c r="D1424" s="48" t="s">
        <v>395</v>
      </c>
      <c r="E1424" s="48"/>
      <c r="F1424" s="50"/>
      <c r="G1424" s="48"/>
      <c r="H1424" s="51"/>
      <c r="I1424" s="52">
        <f>J1462</f>
        <v>5</v>
      </c>
      <c r="J1424" s="53" t="s">
        <v>392</v>
      </c>
      <c r="K1424" s="60"/>
      <c r="L1424" s="60"/>
      <c r="M1424" s="64" t="s">
        <v>396</v>
      </c>
      <c r="N1424" s="65" t="s">
        <v>397</v>
      </c>
      <c r="O1424" s="65" t="s">
        <v>398</v>
      </c>
      <c r="P1424" s="65" t="s">
        <v>399</v>
      </c>
      <c r="Q1424" s="65" t="s">
        <v>400</v>
      </c>
      <c r="R1424" s="66" t="s">
        <v>401</v>
      </c>
      <c r="S1424" s="47"/>
      <c r="T1424" s="47"/>
    </row>
    <row r="1425" s="27" customFormat="1" ht="18" customHeight="1" spans="1:21">
      <c r="A1425" s="34"/>
      <c r="B1425" s="48">
        <v>4</v>
      </c>
      <c r="C1425" s="48" t="s">
        <v>402</v>
      </c>
      <c r="D1425" s="67" t="s">
        <v>403</v>
      </c>
      <c r="E1425" s="67"/>
      <c r="F1425" s="50"/>
      <c r="G1425" s="67"/>
      <c r="H1425" s="68"/>
      <c r="I1425" s="52">
        <f>SUM(I1422:I1424)</f>
        <v>786.537940534452</v>
      </c>
      <c r="J1425" s="53" t="s">
        <v>392</v>
      </c>
      <c r="K1425" s="60"/>
      <c r="L1425" s="69" t="s">
        <v>427</v>
      </c>
      <c r="M1425" s="70" t="s">
        <v>1007</v>
      </c>
      <c r="N1425" s="34">
        <v>3.111</v>
      </c>
      <c r="O1425" s="34">
        <f>P1422</f>
        <v>2.33</v>
      </c>
      <c r="P1425" s="34">
        <v>8</v>
      </c>
      <c r="Q1425" s="44">
        <f t="shared" ref="Q1425:Q1435" si="233">+P1425*O1425*N1425</f>
        <v>57.98904</v>
      </c>
      <c r="R1425" s="71">
        <f>+Q1425/R1422</f>
        <v>1.91372549019608</v>
      </c>
      <c r="S1425" s="47"/>
      <c r="T1425" s="47"/>
    </row>
    <row r="1426" s="27" customFormat="1" ht="28" customHeight="1" spans="1:21">
      <c r="A1426" s="34"/>
      <c r="B1426" s="48">
        <v>5</v>
      </c>
      <c r="C1426" s="72" t="s">
        <v>406</v>
      </c>
      <c r="D1426" s="48" t="s">
        <v>407</v>
      </c>
      <c r="E1426" s="48"/>
      <c r="F1426" s="50"/>
      <c r="G1426" s="48"/>
      <c r="H1426" s="73">
        <f>+'材料表 '!$E$178</f>
        <v>0</v>
      </c>
      <c r="I1426" s="52">
        <f>H1426*I1425</f>
        <v>0</v>
      </c>
      <c r="J1426" s="53" t="s">
        <v>392</v>
      </c>
      <c r="K1426" s="60"/>
      <c r="L1426" s="69" t="s">
        <v>429</v>
      </c>
      <c r="M1426" s="70" t="s">
        <v>1037</v>
      </c>
      <c r="N1426" s="34">
        <v>3.063</v>
      </c>
      <c r="O1426" s="100">
        <f>O1425/0.3*0.1</f>
        <v>0.776666666666667</v>
      </c>
      <c r="P1426" s="34">
        <f>P1425</f>
        <v>8</v>
      </c>
      <c r="Q1426" s="44">
        <f t="shared" si="233"/>
        <v>19.03144</v>
      </c>
      <c r="R1426" s="71">
        <f>+Q1426/R1422</f>
        <v>0.628066128412149</v>
      </c>
      <c r="S1426" s="47"/>
      <c r="T1426" s="47"/>
    </row>
    <row r="1427" s="27" customFormat="1" ht="18" customHeight="1" spans="1:21">
      <c r="A1427" s="34"/>
      <c r="B1427" s="48">
        <v>6</v>
      </c>
      <c r="C1427" s="48" t="s">
        <v>409</v>
      </c>
      <c r="D1427" s="48" t="s">
        <v>410</v>
      </c>
      <c r="E1427" s="48"/>
      <c r="F1427" s="50"/>
      <c r="G1427" s="48"/>
      <c r="H1427" s="73">
        <f>+'材料表 '!$E$179</f>
        <v>0</v>
      </c>
      <c r="I1427" s="52">
        <f>H1427*I1425</f>
        <v>0</v>
      </c>
      <c r="J1427" s="74" t="s">
        <v>392</v>
      </c>
      <c r="K1427" s="75"/>
      <c r="L1427" s="69" t="s">
        <v>447</v>
      </c>
      <c r="M1427" s="70" t="s">
        <v>1038</v>
      </c>
      <c r="N1427" s="34">
        <f>1.041+0.104</f>
        <v>1.145</v>
      </c>
      <c r="O1427" s="34">
        <f>O1425</f>
        <v>2.33</v>
      </c>
      <c r="P1427" s="34">
        <f>P1425</f>
        <v>8</v>
      </c>
      <c r="Q1427" s="44">
        <f t="shared" si="233"/>
        <v>21.3428</v>
      </c>
      <c r="R1427" s="71">
        <f>+Q1427/R1422</f>
        <v>0.704344482891196</v>
      </c>
      <c r="S1427" s="47">
        <v>0.172</v>
      </c>
      <c r="T1427" s="47">
        <f>O1427*P1427*S1427</f>
        <v>3.20608</v>
      </c>
      <c r="U1427" s="76">
        <f>T1427/R1422</f>
        <v>0.105805459438677</v>
      </c>
    </row>
    <row r="1428" s="27" customFormat="1" ht="18" customHeight="1" spans="1:21">
      <c r="A1428" s="34"/>
      <c r="B1428" s="48">
        <v>7</v>
      </c>
      <c r="C1428" s="48" t="s">
        <v>412</v>
      </c>
      <c r="D1428" s="72" t="s">
        <v>413</v>
      </c>
      <c r="E1428" s="72"/>
      <c r="F1428" s="77"/>
      <c r="G1428" s="72"/>
      <c r="H1428" s="73">
        <f>+'材料表 '!$E$180</f>
        <v>0.09</v>
      </c>
      <c r="I1428" s="52">
        <f>(I1425+I1426+I1427)*H1428</f>
        <v>70.7884146481007</v>
      </c>
      <c r="J1428" s="74" t="s">
        <v>392</v>
      </c>
      <c r="K1428" s="75"/>
      <c r="L1428" s="69" t="s">
        <v>429</v>
      </c>
      <c r="M1428" s="70" t="s">
        <v>1010</v>
      </c>
      <c r="N1428" s="102">
        <f>2.9</f>
        <v>2.9</v>
      </c>
      <c r="O1428" s="34">
        <v>0.2</v>
      </c>
      <c r="P1428" s="34">
        <f>P1425</f>
        <v>8</v>
      </c>
      <c r="Q1428" s="44">
        <f t="shared" si="233"/>
        <v>4.64</v>
      </c>
      <c r="R1428" s="71">
        <f>+Q1428/R1422</f>
        <v>0.153126974933708</v>
      </c>
      <c r="S1428" s="47"/>
      <c r="T1428" s="47"/>
    </row>
    <row r="1429" s="27" customFormat="1" ht="18" customHeight="1" spans="1:21">
      <c r="A1429" s="78" t="s">
        <v>275</v>
      </c>
      <c r="B1429" s="48">
        <v>8</v>
      </c>
      <c r="C1429" s="48" t="s">
        <v>363</v>
      </c>
      <c r="D1429" s="72" t="s">
        <v>415</v>
      </c>
      <c r="E1429" s="72"/>
      <c r="F1429" s="77"/>
      <c r="G1429" s="72"/>
      <c r="H1429" s="51"/>
      <c r="I1429" s="74">
        <f>SUM(I1425:I1428)</f>
        <v>857.326355182553</v>
      </c>
      <c r="J1429" s="74" t="s">
        <v>416</v>
      </c>
      <c r="K1429" s="75"/>
      <c r="L1429" s="69" t="s">
        <v>429</v>
      </c>
      <c r="M1429" s="70" t="s">
        <v>1040</v>
      </c>
      <c r="N1429" s="34">
        <v>0.733</v>
      </c>
      <c r="O1429" s="100">
        <f>O1426*2</f>
        <v>1.55333333333333</v>
      </c>
      <c r="P1429" s="34">
        <f>P1425</f>
        <v>8</v>
      </c>
      <c r="Q1429" s="44">
        <f t="shared" si="233"/>
        <v>9.10874666666667</v>
      </c>
      <c r="R1429" s="71">
        <f>+Q1429/R1422</f>
        <v>0.300602332436243</v>
      </c>
      <c r="S1429" s="79"/>
      <c r="T1429" s="47"/>
    </row>
    <row r="1430" s="27" customFormat="1" ht="18" customHeight="1" spans="1:21">
      <c r="A1430" s="34"/>
      <c r="B1430" s="48" t="s">
        <v>418</v>
      </c>
      <c r="C1430" s="48"/>
      <c r="D1430" s="48"/>
      <c r="E1430" s="48"/>
      <c r="F1430" s="48"/>
      <c r="G1430" s="48"/>
      <c r="H1430" s="48"/>
      <c r="I1430" s="48"/>
      <c r="J1430" s="48"/>
      <c r="K1430" s="80"/>
      <c r="L1430" s="69" t="s">
        <v>404</v>
      </c>
      <c r="M1430" s="70" t="s">
        <v>1041</v>
      </c>
      <c r="N1430" s="34">
        <v>3.727</v>
      </c>
      <c r="O1430" s="34">
        <f>O1422</f>
        <v>13.005</v>
      </c>
      <c r="P1430" s="34">
        <v>1.5</v>
      </c>
      <c r="Q1430" s="44">
        <f t="shared" si="233"/>
        <v>72.7044525</v>
      </c>
      <c r="R1430" s="71">
        <f>+Q1430/R1422</f>
        <v>2.39935622317597</v>
      </c>
      <c r="S1430" s="47"/>
      <c r="T1430" s="47"/>
      <c r="U1430" s="76"/>
    </row>
    <row r="1431" s="27" customFormat="1" ht="18" customHeight="1" spans="1:21">
      <c r="A1431" s="34"/>
      <c r="B1431" s="48">
        <v>1</v>
      </c>
      <c r="C1431" s="48" t="s">
        <v>391</v>
      </c>
      <c r="D1431" s="48" t="s">
        <v>396</v>
      </c>
      <c r="E1431" s="48" t="s">
        <v>37</v>
      </c>
      <c r="F1431" s="50"/>
      <c r="G1431" s="48"/>
      <c r="H1431" s="51" t="s">
        <v>399</v>
      </c>
      <c r="I1431" s="51" t="s">
        <v>420</v>
      </c>
      <c r="J1431" s="51" t="s">
        <v>421</v>
      </c>
      <c r="K1431" s="43"/>
      <c r="L1431" s="69" t="s">
        <v>429</v>
      </c>
      <c r="M1431" s="81" t="s">
        <v>1027</v>
      </c>
      <c r="N1431" s="82">
        <v>0.604</v>
      </c>
      <c r="O1431" s="34">
        <f>O1430</f>
        <v>13.005</v>
      </c>
      <c r="P1431" s="34">
        <f>P1430</f>
        <v>1.5</v>
      </c>
      <c r="Q1431" s="44">
        <f t="shared" si="233"/>
        <v>11.78253</v>
      </c>
      <c r="R1431" s="71">
        <f>+Q1431/R1422</f>
        <v>0.388841201716738</v>
      </c>
      <c r="S1431" s="47"/>
      <c r="T1431" s="47"/>
    </row>
    <row r="1432" s="27" customFormat="1" ht="18" customHeight="1" spans="1:21">
      <c r="A1432" s="34"/>
      <c r="B1432" s="48">
        <v>2</v>
      </c>
      <c r="C1432" s="48"/>
      <c r="D1432" s="48" t="s">
        <v>967</v>
      </c>
      <c r="E1432" s="72" t="s">
        <v>423</v>
      </c>
      <c r="F1432" s="50"/>
      <c r="G1432" s="48"/>
      <c r="H1432" s="51">
        <v>1</v>
      </c>
      <c r="I1432" s="51">
        <f>+辅材及安装费!$G$19</f>
        <v>170</v>
      </c>
      <c r="J1432" s="51">
        <f t="shared" ref="J1432:J1440" si="234">H1432*I1432</f>
        <v>170</v>
      </c>
      <c r="K1432" s="43"/>
      <c r="L1432" s="69" t="s">
        <v>447</v>
      </c>
      <c r="M1432" s="70" t="s">
        <v>1038</v>
      </c>
      <c r="N1432" s="83">
        <v>0.977</v>
      </c>
      <c r="O1432" s="34">
        <f>O1430</f>
        <v>13.005</v>
      </c>
      <c r="P1432" s="34">
        <v>0.5</v>
      </c>
      <c r="Q1432" s="44">
        <f t="shared" si="233"/>
        <v>6.3529425</v>
      </c>
      <c r="R1432" s="84">
        <f>+Q1432/R1422</f>
        <v>0.209656652360515</v>
      </c>
      <c r="S1432" s="47">
        <v>0.185</v>
      </c>
      <c r="T1432" s="47">
        <f t="shared" ref="T1432:T1435" si="235">O1432*P1432*S1432</f>
        <v>1.2029625</v>
      </c>
      <c r="U1432" s="103">
        <f>T1432/R1422</f>
        <v>0.0396995708154506</v>
      </c>
    </row>
    <row r="1433" s="27" customFormat="1" ht="18" customHeight="1" spans="1:21">
      <c r="A1433" s="34"/>
      <c r="B1433" s="48">
        <v>3</v>
      </c>
      <c r="C1433" s="48"/>
      <c r="D1433" s="48"/>
      <c r="E1433" s="72"/>
      <c r="F1433" s="50"/>
      <c r="G1433" s="48"/>
      <c r="H1433" s="51"/>
      <c r="I1433" s="51"/>
      <c r="J1433" s="51"/>
      <c r="K1433" s="43"/>
      <c r="L1433" s="69" t="s">
        <v>429</v>
      </c>
      <c r="M1433" s="81" t="s">
        <v>1042</v>
      </c>
      <c r="N1433" s="82">
        <v>0.687</v>
      </c>
      <c r="O1433" s="44">
        <f>0.1</f>
        <v>0.1</v>
      </c>
      <c r="P1433" s="34">
        <f>7*2</f>
        <v>14</v>
      </c>
      <c r="Q1433" s="44">
        <f t="shared" si="233"/>
        <v>0.9618</v>
      </c>
      <c r="R1433" s="84">
        <f>+Q1433/R1422</f>
        <v>0.031740845795526</v>
      </c>
      <c r="S1433" s="47"/>
      <c r="T1433" s="47"/>
    </row>
    <row r="1434" s="27" customFormat="1" ht="18" customHeight="1" spans="1:21">
      <c r="A1434" s="34"/>
      <c r="B1434" s="48">
        <v>4</v>
      </c>
      <c r="C1434" s="48"/>
      <c r="D1434" s="85" t="s">
        <v>426</v>
      </c>
      <c r="E1434" s="48" t="s">
        <v>392</v>
      </c>
      <c r="F1434" s="50"/>
      <c r="G1434" s="48"/>
      <c r="H1434" s="86"/>
      <c r="I1434" s="86"/>
      <c r="J1434" s="51">
        <f>SUM(J1432:J1432)</f>
        <v>170</v>
      </c>
      <c r="K1434" s="75"/>
      <c r="L1434" s="69" t="s">
        <v>447</v>
      </c>
      <c r="M1434" s="70" t="s">
        <v>1038</v>
      </c>
      <c r="N1434" s="34">
        <f>0.624*2.71+0.022*2.71</f>
        <v>1.75066</v>
      </c>
      <c r="O1434" s="34">
        <f>O1422</f>
        <v>13.005</v>
      </c>
      <c r="P1434" s="34">
        <v>1</v>
      </c>
      <c r="Q1434" s="44">
        <f t="shared" si="233"/>
        <v>22.7673333</v>
      </c>
      <c r="R1434" s="71">
        <f>+Q1434/R1422</f>
        <v>0.751356223175966</v>
      </c>
      <c r="S1434" s="47">
        <f>0.251+0.045</f>
        <v>0.296</v>
      </c>
      <c r="T1434" s="47">
        <f t="shared" si="235"/>
        <v>3.84948</v>
      </c>
      <c r="U1434" s="76">
        <f>T1434/R1422</f>
        <v>0.127038626609442</v>
      </c>
    </row>
    <row r="1435" s="27" customFormat="1" ht="23" customHeight="1" spans="1:21">
      <c r="A1435" s="34"/>
      <c r="B1435" s="48">
        <v>1</v>
      </c>
      <c r="C1435" s="48" t="s">
        <v>394</v>
      </c>
      <c r="D1435" s="88" t="s">
        <v>427</v>
      </c>
      <c r="E1435" s="72" t="str">
        <f>+VLOOKUP(D1435,'材料表 '!C:F,2,0)</f>
        <v>kg</v>
      </c>
      <c r="F1435" s="77">
        <f>+SUMIF($L$1422:$L$1462,D1435,$R$1422:$R$1462)</f>
        <v>1.91372549019608</v>
      </c>
      <c r="G1435" s="89">
        <f>+VLOOKUP(D1435,'材料表 '!C:F,4,0)</f>
        <v>0.03</v>
      </c>
      <c r="H1435" s="74">
        <f t="shared" ref="H1435:H1440" si="236">F1435*(G1435+1)</f>
        <v>1.97113725490196</v>
      </c>
      <c r="I1435" s="74">
        <f>+VLOOKUP(D1435,'材料表 '!C:F,3,0)</f>
        <v>25.8495575221239</v>
      </c>
      <c r="J1435" s="51">
        <f t="shared" si="234"/>
        <v>50.9530258545897</v>
      </c>
      <c r="K1435" s="75">
        <f ca="1">H1435*K1421</f>
        <v>84.6714820235294</v>
      </c>
      <c r="L1435" s="69" t="s">
        <v>447</v>
      </c>
      <c r="M1435" s="70" t="s">
        <v>1049</v>
      </c>
      <c r="N1435" s="34">
        <f>0.074*2.71</f>
        <v>0.20054</v>
      </c>
      <c r="O1435" s="34">
        <v>0</v>
      </c>
      <c r="P1435" s="34">
        <v>1</v>
      </c>
      <c r="Q1435" s="44">
        <f t="shared" si="233"/>
        <v>0</v>
      </c>
      <c r="R1435" s="71">
        <f>+Q1435/R1422</f>
        <v>0</v>
      </c>
      <c r="S1435" s="47">
        <f>0.048</f>
        <v>0.048</v>
      </c>
      <c r="T1435" s="47">
        <f t="shared" si="235"/>
        <v>0</v>
      </c>
      <c r="U1435" s="76">
        <f>T1435/R1422</f>
        <v>0</v>
      </c>
    </row>
    <row r="1436" s="27" customFormat="1" ht="18" customHeight="1" spans="1:21">
      <c r="A1436" s="34"/>
      <c r="B1436" s="48">
        <v>2</v>
      </c>
      <c r="C1436" s="48"/>
      <c r="D1436" s="88" t="s">
        <v>404</v>
      </c>
      <c r="E1436" s="72" t="str">
        <f>+VLOOKUP(D1436,'材料表 '!C:F,2,0)</f>
        <v>kg</v>
      </c>
      <c r="F1436" s="77">
        <f t="shared" ref="F1436:F1448" si="237">+SUMIF($L$1422:$L$1462,D1436,$R$1422:$R$1462)</f>
        <v>2.39935622317597</v>
      </c>
      <c r="G1436" s="89">
        <f>+VLOOKUP(D1436,'材料表 '!C:F,4,0)</f>
        <v>0.03</v>
      </c>
      <c r="H1436" s="74">
        <f t="shared" si="236"/>
        <v>2.47133690987125</v>
      </c>
      <c r="I1436" s="74">
        <f>+VLOOKUP(D1436,'材料表 '!C:F,3,0)</f>
        <v>25.6725663716814</v>
      </c>
      <c r="J1436" s="51">
        <f t="shared" si="234"/>
        <v>63.4455608454557</v>
      </c>
      <c r="K1436" s="75">
        <f ca="1">H1436*K1421</f>
        <v>106.157883332511</v>
      </c>
      <c r="L1436" s="69"/>
      <c r="M1436" s="70"/>
      <c r="N1436" s="83"/>
      <c r="O1436" s="83"/>
      <c r="P1436" s="83"/>
      <c r="Q1436" s="83"/>
      <c r="R1436" s="87"/>
      <c r="S1436" s="47"/>
      <c r="T1436" s="34"/>
    </row>
    <row r="1437" s="27" customFormat="1" ht="18" customHeight="1" spans="1:21">
      <c r="A1437" s="34"/>
      <c r="B1437" s="48">
        <v>3</v>
      </c>
      <c r="C1437" s="48"/>
      <c r="D1437" s="88" t="s">
        <v>433</v>
      </c>
      <c r="E1437" s="72" t="str">
        <f>+VLOOKUP(D1437,'材料表 '!C:F,2,0)</f>
        <v>kg</v>
      </c>
      <c r="F1437" s="77">
        <f t="shared" si="237"/>
        <v>0</v>
      </c>
      <c r="G1437" s="89">
        <f>+VLOOKUP(D1437,'材料表 '!C:F,4,0)</f>
        <v>0.03</v>
      </c>
      <c r="H1437" s="74">
        <f t="shared" si="236"/>
        <v>0</v>
      </c>
      <c r="I1437" s="74">
        <f>+VLOOKUP(D1437,'材料表 '!C:F,3,0)</f>
        <v>26.1150442477876</v>
      </c>
      <c r="J1437" s="51">
        <f t="shared" si="234"/>
        <v>0</v>
      </c>
      <c r="K1437" s="75">
        <f ca="1">H1437*K1421</f>
        <v>0</v>
      </c>
      <c r="L1437" s="69"/>
      <c r="N1437" s="83"/>
      <c r="O1437" s="83"/>
      <c r="P1437" s="83"/>
      <c r="Q1437" s="83"/>
      <c r="R1437" s="87"/>
      <c r="S1437" s="47"/>
      <c r="T1437" s="47"/>
    </row>
    <row r="1438" s="27" customFormat="1" ht="18" customHeight="1" spans="1:21">
      <c r="A1438" s="34"/>
      <c r="B1438" s="48">
        <v>4</v>
      </c>
      <c r="C1438" s="48"/>
      <c r="D1438" s="88" t="s">
        <v>429</v>
      </c>
      <c r="E1438" s="72" t="str">
        <f>+VLOOKUP(D1438,'材料表 '!C:F,2,0)</f>
        <v>kg</v>
      </c>
      <c r="F1438" s="77">
        <f t="shared" si="237"/>
        <v>1.50237748329436</v>
      </c>
      <c r="G1438" s="89">
        <f>+VLOOKUP(D1438,'材料表 '!C:F,4,0)</f>
        <v>0.03</v>
      </c>
      <c r="H1438" s="74">
        <f t="shared" si="236"/>
        <v>1.54744880779319</v>
      </c>
      <c r="I1438" s="74">
        <f>+VLOOKUP(D1438,'材料表 '!C:F,3,0)</f>
        <v>26.1150442477876</v>
      </c>
      <c r="J1438" s="51">
        <f t="shared" si="234"/>
        <v>40.4116940867053</v>
      </c>
      <c r="K1438" s="75">
        <f ca="1">H1438*K1421</f>
        <v>66.4716693804816</v>
      </c>
      <c r="L1438" s="90" t="s">
        <v>707</v>
      </c>
      <c r="M1438" s="44"/>
      <c r="N1438" s="82"/>
      <c r="O1438" s="44">
        <f>O1430*P1430</f>
        <v>19.5075</v>
      </c>
      <c r="P1438" s="44">
        <v>1</v>
      </c>
      <c r="Q1438" s="44">
        <f>+P1438*O1438</f>
        <v>19.5075</v>
      </c>
      <c r="R1438" s="84">
        <f>+Q1438/R1422</f>
        <v>0.643776824034335</v>
      </c>
      <c r="S1438" s="47"/>
      <c r="T1438" s="47"/>
    </row>
    <row r="1439" s="27" customFormat="1" ht="18" customHeight="1" spans="1:21">
      <c r="A1439" s="34"/>
      <c r="B1439" s="48">
        <v>5</v>
      </c>
      <c r="C1439" s="48"/>
      <c r="D1439" s="88" t="s">
        <v>447</v>
      </c>
      <c r="E1439" s="72" t="str">
        <f>+VLOOKUP(D1439,'材料表 '!C:F,2,0)</f>
        <v>kg</v>
      </c>
      <c r="F1439" s="77">
        <f t="shared" si="237"/>
        <v>1.66535735842768</v>
      </c>
      <c r="G1439" s="89">
        <f>+VLOOKUP(D1439,'材料表 '!C:F,4,0)</f>
        <v>0.03</v>
      </c>
      <c r="H1439" s="74">
        <f t="shared" si="236"/>
        <v>1.71531807918051</v>
      </c>
      <c r="I1439" s="74">
        <f>+VLOOKUP(D1439,'材料表 '!C:F,3,0)</f>
        <v>24.4336283185841</v>
      </c>
      <c r="J1439" s="51">
        <f t="shared" si="234"/>
        <v>41.9114443948442</v>
      </c>
      <c r="K1439" s="43">
        <f ca="1">H1439*K1421</f>
        <v>73.6826030479503</v>
      </c>
      <c r="L1439" s="90" t="s">
        <v>435</v>
      </c>
      <c r="M1439" s="44"/>
      <c r="N1439" s="82">
        <f>0.073*1.2</f>
        <v>0.0876</v>
      </c>
      <c r="O1439" s="44">
        <f>O1425*P1425*3+O1430*P1430*4</f>
        <v>133.95</v>
      </c>
      <c r="P1439" s="44">
        <v>1</v>
      </c>
      <c r="Q1439" s="44">
        <f>+P1439*O1439</f>
        <v>133.95</v>
      </c>
      <c r="R1439" s="84">
        <f>+Q1439/R1422</f>
        <v>4.42055135611427</v>
      </c>
      <c r="S1439" s="47"/>
      <c r="T1439" s="47"/>
    </row>
    <row r="1440" s="27" customFormat="1" ht="18" customHeight="1" spans="1:21">
      <c r="A1440" s="34"/>
      <c r="B1440" s="48">
        <v>6</v>
      </c>
      <c r="C1440" s="48"/>
      <c r="D1440" s="88" t="s">
        <v>434</v>
      </c>
      <c r="E1440" s="72" t="str">
        <f>+VLOOKUP(D1440,'材料表 '!C:F,2,0)</f>
        <v>m2</v>
      </c>
      <c r="F1440" s="77">
        <f>U1427+U1432+U1434+U1435</f>
        <v>0.27254365686357</v>
      </c>
      <c r="G1440" s="89">
        <f>+VLOOKUP(D1440,'材料表 '!C:F,4,0)</f>
        <v>0</v>
      </c>
      <c r="H1440" s="74">
        <f t="shared" si="236"/>
        <v>0.27254365686357</v>
      </c>
      <c r="I1440" s="74">
        <f>+VLOOKUP(D1440,'材料表 '!C:F,3,0)</f>
        <v>49.5575221238938</v>
      </c>
      <c r="J1440" s="51">
        <f t="shared" si="234"/>
        <v>13.5065883047433</v>
      </c>
      <c r="K1440" s="43">
        <f ca="1">H1440*K1421</f>
        <v>11.7072899339516</v>
      </c>
      <c r="L1440" s="90" t="s">
        <v>463</v>
      </c>
      <c r="M1440" s="91" t="s">
        <v>1012</v>
      </c>
      <c r="N1440" s="82">
        <f>0.32*0.3*8*7.85</f>
        <v>6.0288</v>
      </c>
      <c r="O1440" s="44">
        <v>1.5</v>
      </c>
      <c r="P1440" s="44">
        <f>P1425</f>
        <v>8</v>
      </c>
      <c r="Q1440" s="44">
        <f t="shared" ref="Q1440:Q1444" si="238">+P1440*O1440*N1440</f>
        <v>72.3456</v>
      </c>
      <c r="R1440" s="84">
        <f>+Q1440/R1422</f>
        <v>2.38751355124226</v>
      </c>
      <c r="S1440" s="47"/>
      <c r="T1440" s="47"/>
    </row>
    <row r="1441" s="27" customFormat="1" ht="18" customHeight="1" spans="1:20">
      <c r="A1441" s="34"/>
      <c r="B1441" s="48">
        <v>7</v>
      </c>
      <c r="C1441" s="48"/>
      <c r="D1441" s="88"/>
      <c r="E1441" s="72"/>
      <c r="F1441" s="77">
        <f t="shared" si="237"/>
        <v>0</v>
      </c>
      <c r="G1441" s="89"/>
      <c r="H1441" s="74"/>
      <c r="I1441" s="74"/>
      <c r="J1441" s="51"/>
      <c r="K1441" s="43">
        <f ca="1">H1441*K1421</f>
        <v>0</v>
      </c>
      <c r="L1441" s="69" t="s">
        <v>465</v>
      </c>
      <c r="M1441" s="81" t="s">
        <v>1013</v>
      </c>
      <c r="N1441" s="34">
        <v>9.88</v>
      </c>
      <c r="O1441" s="34">
        <f>0.13</f>
        <v>0.13</v>
      </c>
      <c r="P1441" s="34">
        <f>2*P1440*O1440</f>
        <v>24</v>
      </c>
      <c r="Q1441" s="44">
        <f t="shared" si="238"/>
        <v>30.8256</v>
      </c>
      <c r="R1441" s="84">
        <f>Q1441/R1422</f>
        <v>1.01729113761132</v>
      </c>
      <c r="S1441" s="47"/>
      <c r="T1441" s="47"/>
    </row>
    <row r="1442" s="27" customFormat="1" ht="18" customHeight="1" spans="1:20">
      <c r="A1442" s="34"/>
      <c r="B1442" s="48">
        <v>8</v>
      </c>
      <c r="C1442" s="48"/>
      <c r="D1442" s="88" t="s">
        <v>431</v>
      </c>
      <c r="E1442" s="72" t="str">
        <f>+VLOOKUP(D1442,'材料表 '!C:F,2,0)</f>
        <v>kg</v>
      </c>
      <c r="F1442" s="77">
        <f t="shared" si="237"/>
        <v>0</v>
      </c>
      <c r="G1442" s="89">
        <f>+VLOOKUP(D1442,'材料表 '!C:F,4,0)</f>
        <v>0.03</v>
      </c>
      <c r="H1442" s="74">
        <f t="shared" ref="H1442:H1454" si="239">F1442*(G1442+1)</f>
        <v>0</v>
      </c>
      <c r="I1442" s="74">
        <f>+VLOOKUP(D1442,'材料表 '!C:F,3,0)</f>
        <v>3.80530973451327</v>
      </c>
      <c r="J1442" s="51">
        <f t="shared" ref="J1442:J1454" si="240">H1442*I1442</f>
        <v>0</v>
      </c>
      <c r="K1442" s="43">
        <f ca="1">H1442*K1421</f>
        <v>0</v>
      </c>
      <c r="L1442" s="90" t="s">
        <v>474</v>
      </c>
      <c r="M1442" s="44"/>
      <c r="N1442" s="82"/>
      <c r="O1442" s="44">
        <v>4</v>
      </c>
      <c r="P1442" s="44">
        <f>O1440*P1440</f>
        <v>12</v>
      </c>
      <c r="Q1442" s="44">
        <f>O1442*P1442</f>
        <v>48</v>
      </c>
      <c r="R1442" s="84">
        <f>Q1442/R1422</f>
        <v>1.58407215448664</v>
      </c>
      <c r="S1442" s="47"/>
      <c r="T1442" s="47"/>
    </row>
    <row r="1443" s="27" customFormat="1" ht="18" customHeight="1" spans="1:20">
      <c r="A1443" s="34"/>
      <c r="B1443" s="48">
        <v>9</v>
      </c>
      <c r="C1443" s="48"/>
      <c r="D1443" s="88" t="s">
        <v>461</v>
      </c>
      <c r="E1443" s="72" t="str">
        <f>+VLOOKUP(D1443,'材料表 '!C:F,2,0)</f>
        <v>kg</v>
      </c>
      <c r="F1443" s="77">
        <f t="shared" si="237"/>
        <v>0</v>
      </c>
      <c r="G1443" s="89">
        <f>+VLOOKUP(D1443,'材料表 '!C:F,4,0)</f>
        <v>0.03</v>
      </c>
      <c r="H1443" s="74">
        <f t="shared" si="239"/>
        <v>0</v>
      </c>
      <c r="I1443" s="74">
        <f>+VLOOKUP(D1443,'材料表 '!C:F,3,0)</f>
        <v>3.53982300884956</v>
      </c>
      <c r="J1443" s="51">
        <f t="shared" si="240"/>
        <v>0</v>
      </c>
      <c r="K1443" s="43">
        <f ca="1">H1443*K1421</f>
        <v>0</v>
      </c>
      <c r="L1443" s="90" t="s">
        <v>472</v>
      </c>
      <c r="M1443" s="91"/>
      <c r="N1443" s="82"/>
      <c r="O1443" s="44">
        <v>2</v>
      </c>
      <c r="P1443" s="44">
        <f>O1440*P1440</f>
        <v>12</v>
      </c>
      <c r="Q1443" s="44">
        <f>O1443*P1443</f>
        <v>24</v>
      </c>
      <c r="R1443" s="84">
        <f>Q1443/R1422</f>
        <v>0.792036077243318</v>
      </c>
      <c r="S1443" s="47"/>
      <c r="T1443" s="47"/>
    </row>
    <row r="1444" s="27" customFormat="1" ht="18" customHeight="1" spans="1:20">
      <c r="A1444" s="34"/>
      <c r="B1444" s="48">
        <v>10</v>
      </c>
      <c r="C1444" s="48"/>
      <c r="D1444" s="88" t="s">
        <v>435</v>
      </c>
      <c r="E1444" s="72" t="str">
        <f>+VLOOKUP(D1444,'材料表 '!C:F,2,0)</f>
        <v>kg</v>
      </c>
      <c r="F1444" s="77">
        <f t="shared" si="237"/>
        <v>4.42055135611427</v>
      </c>
      <c r="G1444" s="89">
        <f>+VLOOKUP(D1444,'材料表 '!C:F,4,0)</f>
        <v>0.03</v>
      </c>
      <c r="H1444" s="74">
        <f t="shared" si="239"/>
        <v>4.5531678967977</v>
      </c>
      <c r="I1444" s="74">
        <f>+VLOOKUP(D1444,'材料表 '!C:F,3,0)</f>
        <v>19.4690265486726</v>
      </c>
      <c r="J1444" s="51">
        <f t="shared" si="240"/>
        <v>88.6457466633182</v>
      </c>
      <c r="K1444" s="43">
        <f ca="1">H1444*K1421</f>
        <v>195.584286566078</v>
      </c>
      <c r="L1444" s="69" t="s">
        <v>465</v>
      </c>
      <c r="M1444" s="91"/>
      <c r="N1444" s="82">
        <f>(0.058+0.04*2)*5*7.85</f>
        <v>5.4165</v>
      </c>
      <c r="O1444" s="44">
        <v>0</v>
      </c>
      <c r="P1444" s="44">
        <v>1</v>
      </c>
      <c r="Q1444" s="44">
        <f t="shared" si="238"/>
        <v>0</v>
      </c>
      <c r="R1444" s="84">
        <f>+Q1444/R1422</f>
        <v>0</v>
      </c>
      <c r="S1444" s="47"/>
      <c r="T1444" s="47"/>
    </row>
    <row r="1445" s="27" customFormat="1" ht="18" customHeight="1" spans="1:20">
      <c r="A1445" s="34"/>
      <c r="B1445" s="48">
        <v>11</v>
      </c>
      <c r="C1445" s="48"/>
      <c r="D1445" s="88" t="s">
        <v>463</v>
      </c>
      <c r="E1445" s="72" t="str">
        <f>+VLOOKUP(D1445,'材料表 '!C:F,2,0)</f>
        <v>kg</v>
      </c>
      <c r="F1445" s="77">
        <f t="shared" si="237"/>
        <v>2.38751355124226</v>
      </c>
      <c r="G1445" s="89">
        <f>+VLOOKUP(D1445,'材料表 '!C:F,4,0)</f>
        <v>0.03</v>
      </c>
      <c r="H1445" s="74">
        <f t="shared" si="239"/>
        <v>2.45913895777953</v>
      </c>
      <c r="I1445" s="74">
        <f>+VLOOKUP(D1445,'材料表 '!C:F,3,0)</f>
        <v>6.01769911504425</v>
      </c>
      <c r="J1445" s="51">
        <f t="shared" si="240"/>
        <v>14.7983583300007</v>
      </c>
      <c r="K1445" s="43">
        <f ca="1">H1445*K1421</f>
        <v>105.633912371742</v>
      </c>
      <c r="L1445" s="69" t="s">
        <v>461</v>
      </c>
      <c r="N1445" s="83"/>
      <c r="O1445" s="83"/>
      <c r="P1445" s="83"/>
      <c r="Q1445" s="83"/>
      <c r="R1445" s="84"/>
      <c r="S1445" s="47"/>
      <c r="T1445" s="47"/>
    </row>
    <row r="1446" s="27" customFormat="1" ht="18" customHeight="1" spans="1:20">
      <c r="A1446" s="34"/>
      <c r="B1446" s="48">
        <v>12</v>
      </c>
      <c r="C1446" s="48"/>
      <c r="D1446" s="88" t="s">
        <v>465</v>
      </c>
      <c r="E1446" s="72" t="str">
        <f>+VLOOKUP(D1446,'材料表 '!C:F,2,0)</f>
        <v>kg</v>
      </c>
      <c r="F1446" s="77">
        <f t="shared" si="237"/>
        <v>1.01729113761132</v>
      </c>
      <c r="G1446" s="89">
        <f>+VLOOKUP(D1446,'材料表 '!C:F,4,0)</f>
        <v>0.03</v>
      </c>
      <c r="H1446" s="74">
        <f t="shared" si="239"/>
        <v>1.04780987173966</v>
      </c>
      <c r="I1446" s="74">
        <f>+VLOOKUP(D1446,'材料表 '!C:F,3,0)</f>
        <v>6.01769911504425</v>
      </c>
      <c r="J1446" s="51">
        <f t="shared" si="240"/>
        <v>6.30540453790238</v>
      </c>
      <c r="K1446" s="43">
        <f ca="1">H1446*K1421</f>
        <v>45.0093541169937</v>
      </c>
      <c r="L1446" s="90"/>
      <c r="M1446" s="44"/>
      <c r="N1446" s="82"/>
      <c r="O1446" s="44"/>
      <c r="P1446" s="44"/>
      <c r="Q1446" s="44"/>
      <c r="R1446" s="84"/>
      <c r="S1446" s="47"/>
      <c r="T1446" s="47"/>
    </row>
    <row r="1447" s="27" customFormat="1" ht="18" customHeight="1" spans="1:20">
      <c r="A1447" s="34"/>
      <c r="B1447" s="48">
        <v>13</v>
      </c>
      <c r="C1447" s="48"/>
      <c r="D1447" s="88" t="s">
        <v>474</v>
      </c>
      <c r="E1447" s="72" t="str">
        <f>+VLOOKUP(D1447,'材料表 '!C:F,2,0)</f>
        <v>套</v>
      </c>
      <c r="F1447" s="77">
        <f t="shared" si="237"/>
        <v>1.58407215448664</v>
      </c>
      <c r="G1447" s="89">
        <f>+VLOOKUP(D1447,'材料表 '!C:F,4,0)</f>
        <v>0</v>
      </c>
      <c r="H1447" s="74">
        <f t="shared" si="239"/>
        <v>1.58407215448664</v>
      </c>
      <c r="I1447" s="74">
        <f>+VLOOKUP(D1447,'材料表 '!C:F,3,0)</f>
        <v>2.21238938053097</v>
      </c>
      <c r="J1447" s="51">
        <f t="shared" si="240"/>
        <v>3.50458441258106</v>
      </c>
      <c r="K1447" s="43">
        <f ca="1">H1447*K1421</f>
        <v>68.044849042874</v>
      </c>
      <c r="L1447" s="90"/>
      <c r="M1447" s="44"/>
      <c r="N1447" s="82"/>
      <c r="O1447" s="44"/>
      <c r="P1447" s="44"/>
      <c r="Q1447" s="44"/>
      <c r="R1447" s="84"/>
      <c r="S1447" s="47"/>
      <c r="T1447" s="47"/>
    </row>
    <row r="1448" s="27" customFormat="1" ht="18" customHeight="1" spans="1:20">
      <c r="A1448" s="34"/>
      <c r="B1448" s="48">
        <v>14</v>
      </c>
      <c r="C1448" s="48"/>
      <c r="D1448" s="88" t="s">
        <v>472</v>
      </c>
      <c r="E1448" s="72" t="str">
        <f>+VLOOKUP(D1448,'材料表 '!C:F,2,0)</f>
        <v>套</v>
      </c>
      <c r="F1448" s="77">
        <f t="shared" si="237"/>
        <v>0.792036077243318</v>
      </c>
      <c r="G1448" s="89">
        <f>+VLOOKUP(D1448,'材料表 '!C:F,4,0)</f>
        <v>0</v>
      </c>
      <c r="H1448" s="74">
        <f t="shared" si="239"/>
        <v>0.792036077243318</v>
      </c>
      <c r="I1448" s="74">
        <f>+VLOOKUP(D1448,'材料表 '!C:F,3,0)</f>
        <v>2.47787610619469</v>
      </c>
      <c r="J1448" s="51">
        <f t="shared" si="240"/>
        <v>1.96256727104539</v>
      </c>
      <c r="K1448" s="43">
        <f ca="1">H1448*K1421</f>
        <v>34.0224245214369</v>
      </c>
      <c r="L1448" s="90"/>
      <c r="M1448" s="44"/>
      <c r="N1448" s="82"/>
      <c r="O1448" s="44"/>
      <c r="P1448" s="44"/>
      <c r="Q1448" s="44"/>
      <c r="R1448" s="84"/>
      <c r="S1448" s="47"/>
      <c r="T1448" s="47"/>
    </row>
    <row r="1449" s="27" customFormat="1" ht="18" customHeight="1" spans="1:20">
      <c r="A1449" s="34"/>
      <c r="B1449" s="48">
        <v>15</v>
      </c>
      <c r="C1449" s="48"/>
      <c r="D1449" s="88" t="s">
        <v>476</v>
      </c>
      <c r="E1449" s="72" t="str">
        <f>+VLOOKUP(D1449,'材料表 '!C:F,2,0)</f>
        <v>支</v>
      </c>
      <c r="F1449" s="77">
        <f>8*8*(O1430*P1430*2)/500/R1422+16*8*(O1425*P1425+O1430*P1430)/500/R1422</f>
        <v>0.487091627023611</v>
      </c>
      <c r="G1449" s="89">
        <f>+VLOOKUP(D1449,'材料表 '!C:F,4,0)</f>
        <v>0.15</v>
      </c>
      <c r="H1449" s="74">
        <f t="shared" si="239"/>
        <v>0.560155371077153</v>
      </c>
      <c r="I1449" s="74">
        <f>+VLOOKUP(D1449,'材料表 '!C:F,3,0)</f>
        <v>11.5044247787611</v>
      </c>
      <c r="J1449" s="51">
        <f t="shared" si="240"/>
        <v>6.44426533097611</v>
      </c>
      <c r="K1449" s="43">
        <f ca="1">H1449*K1421</f>
        <v>24.0618380656103</v>
      </c>
      <c r="L1449" s="92"/>
      <c r="M1449" s="44"/>
      <c r="N1449" s="82"/>
      <c r="O1449" s="44"/>
      <c r="P1449" s="44"/>
      <c r="Q1449" s="44"/>
      <c r="R1449" s="84"/>
      <c r="S1449" s="47"/>
      <c r="T1449" s="47"/>
    </row>
    <row r="1450" s="27" customFormat="1" ht="18" customHeight="1" spans="1:20">
      <c r="A1450" s="34"/>
      <c r="B1450" s="48">
        <v>16</v>
      </c>
      <c r="C1450" s="48"/>
      <c r="D1450" s="88" t="s">
        <v>576</v>
      </c>
      <c r="E1450" s="72" t="str">
        <f>+VLOOKUP(D1450,'材料表 '!C:F,2,0)</f>
        <v>支</v>
      </c>
      <c r="F1450" s="77">
        <v>0</v>
      </c>
      <c r="G1450" s="89">
        <f>+VLOOKUP(D1450,'材料表 '!C:F,4,0)</f>
        <v>0.15</v>
      </c>
      <c r="H1450" s="74">
        <f t="shared" si="239"/>
        <v>0</v>
      </c>
      <c r="I1450" s="74">
        <f>+VLOOKUP(D1450,'材料表 '!C:F,3,0)</f>
        <v>14.1592920353982</v>
      </c>
      <c r="J1450" s="51">
        <f t="shared" si="240"/>
        <v>0</v>
      </c>
      <c r="K1450" s="43">
        <f ca="1">H1450*K1421</f>
        <v>0</v>
      </c>
      <c r="L1450" s="92"/>
      <c r="M1450" s="44"/>
      <c r="N1450" s="82"/>
      <c r="O1450" s="44"/>
      <c r="P1450" s="44"/>
      <c r="Q1450" s="44"/>
      <c r="R1450" s="84"/>
      <c r="S1450" s="47"/>
      <c r="T1450" s="47"/>
    </row>
    <row r="1451" s="27" customFormat="1" ht="18" customHeight="1" spans="1:20">
      <c r="A1451" s="34"/>
      <c r="B1451" s="48">
        <v>17</v>
      </c>
      <c r="C1451" s="48"/>
      <c r="D1451" s="88" t="s">
        <v>479</v>
      </c>
      <c r="E1451" s="72" t="str">
        <f>+VLOOKUP(D1451,'材料表 '!C:F,2,0)</f>
        <v>kg</v>
      </c>
      <c r="F1451" s="77">
        <v>0</v>
      </c>
      <c r="G1451" s="89">
        <f>+VLOOKUP(D1451,'材料表 '!C:F,4,0)</f>
        <v>0.03</v>
      </c>
      <c r="H1451" s="74">
        <f t="shared" si="239"/>
        <v>0</v>
      </c>
      <c r="I1451" s="74">
        <f>+VLOOKUP(D1451,'材料表 '!C:F,3,0)</f>
        <v>14.1592920353982</v>
      </c>
      <c r="J1451" s="51">
        <f t="shared" si="240"/>
        <v>0</v>
      </c>
      <c r="K1451" s="43">
        <f ca="1">H1451*K1421</f>
        <v>0</v>
      </c>
      <c r="L1451" s="92"/>
      <c r="M1451" s="44"/>
      <c r="N1451" s="82"/>
      <c r="O1451" s="44"/>
      <c r="P1451" s="44"/>
      <c r="Q1451" s="44"/>
      <c r="R1451" s="84"/>
      <c r="S1451" s="47"/>
      <c r="T1451" s="47"/>
    </row>
    <row r="1452" s="27" customFormat="1" ht="18" customHeight="1" spans="1:20">
      <c r="A1452" s="34"/>
      <c r="B1452" s="48">
        <v>18</v>
      </c>
      <c r="C1452" s="48"/>
      <c r="D1452" s="88" t="s">
        <v>500</v>
      </c>
      <c r="E1452" s="72" t="str">
        <f>+VLOOKUP(D1452,'材料表 '!C:F,2,0)</f>
        <v>kg</v>
      </c>
      <c r="F1452" s="77">
        <f>0</f>
        <v>0</v>
      </c>
      <c r="G1452" s="89">
        <f>+VLOOKUP(D1452,'材料表 '!C:F,4,0)</f>
        <v>0.03</v>
      </c>
      <c r="H1452" s="74">
        <f t="shared" si="239"/>
        <v>0</v>
      </c>
      <c r="I1452" s="74">
        <f>+VLOOKUP(D1452,'材料表 '!C:F,3,0)</f>
        <v>14.1592920353982</v>
      </c>
      <c r="J1452" s="51">
        <f t="shared" si="240"/>
        <v>0</v>
      </c>
      <c r="K1452" s="43">
        <f ca="1">H1452*K1421</f>
        <v>0</v>
      </c>
      <c r="L1452" s="92"/>
      <c r="M1452" s="44"/>
      <c r="N1452" s="82"/>
      <c r="O1452" s="44"/>
      <c r="P1452" s="44"/>
      <c r="Q1452" s="44"/>
      <c r="R1452" s="84"/>
      <c r="S1452" s="47"/>
      <c r="T1452" s="47"/>
    </row>
    <row r="1453" s="27" customFormat="1" ht="35" customHeight="1" spans="1:20">
      <c r="A1453" s="34"/>
      <c r="B1453" s="48">
        <v>19</v>
      </c>
      <c r="C1453" s="48"/>
      <c r="D1453" s="88" t="s">
        <v>1052</v>
      </c>
      <c r="E1453" s="72" t="str">
        <f>+VLOOKUP(D1453,'材料表 '!C:F,2,0)</f>
        <v>m2</v>
      </c>
      <c r="F1453" s="77">
        <v>1</v>
      </c>
      <c r="G1453" s="89">
        <f>+VLOOKUP(D1453,'材料表 '!C:F,4,0)</f>
        <v>0.01</v>
      </c>
      <c r="H1453" s="74">
        <f t="shared" si="239"/>
        <v>1.01</v>
      </c>
      <c r="I1453" s="74">
        <f>+VLOOKUP(D1453,'材料表 '!C:F,3,0)</f>
        <v>266.371681415929</v>
      </c>
      <c r="J1453" s="51">
        <f t="shared" si="240"/>
        <v>269.035398230089</v>
      </c>
      <c r="K1453" s="43">
        <f ca="1">H1453*K1421</f>
        <v>43.3852065</v>
      </c>
      <c r="L1453" s="90"/>
      <c r="M1453" s="44"/>
      <c r="N1453" s="82"/>
      <c r="O1453" s="44"/>
      <c r="P1453" s="44"/>
      <c r="Q1453" s="44"/>
      <c r="R1453" s="84"/>
      <c r="S1453" s="47"/>
      <c r="T1453" s="47"/>
    </row>
    <row r="1454" s="27" customFormat="1" ht="21" customHeight="1" spans="1:20">
      <c r="A1454" s="34"/>
      <c r="B1454" s="48">
        <v>20</v>
      </c>
      <c r="C1454" s="48"/>
      <c r="D1454" s="88" t="s">
        <v>1043</v>
      </c>
      <c r="E1454" s="72" t="str">
        <f>+VLOOKUP(D1454,'材料表 '!C:F,2,0)</f>
        <v>套</v>
      </c>
      <c r="F1454" s="77">
        <f>P1433/R1422</f>
        <v>0.462021045058602</v>
      </c>
      <c r="G1454" s="89">
        <f>+VLOOKUP(D1454,'材料表 '!C:F,4,0)</f>
        <v>0</v>
      </c>
      <c r="H1454" s="74">
        <f t="shared" si="239"/>
        <v>0.462021045058602</v>
      </c>
      <c r="I1454" s="74">
        <f>+VLOOKUP(D1454,'材料表 '!C:F,3,0)</f>
        <v>1.32743362831858</v>
      </c>
      <c r="J1454" s="51">
        <f t="shared" si="240"/>
        <v>0.613302272201682</v>
      </c>
      <c r="K1454" s="43">
        <f ca="1">H1454*K1421</f>
        <v>19.8464143041715</v>
      </c>
      <c r="L1454" s="90"/>
      <c r="M1454" s="44"/>
      <c r="N1454" s="82"/>
      <c r="O1454" s="44"/>
      <c r="P1454" s="44"/>
      <c r="Q1454" s="44"/>
      <c r="R1454" s="84"/>
      <c r="S1454" s="47"/>
      <c r="T1454" s="47"/>
    </row>
    <row r="1455" s="27" customFormat="1" ht="18" customHeight="1" spans="1:20">
      <c r="A1455" s="34"/>
      <c r="B1455" s="48">
        <v>21</v>
      </c>
      <c r="C1455" s="48"/>
      <c r="D1455" s="88"/>
      <c r="E1455" s="72"/>
      <c r="F1455" s="77"/>
      <c r="G1455" s="89"/>
      <c r="H1455" s="74"/>
      <c r="I1455" s="74"/>
      <c r="J1455" s="51"/>
      <c r="K1455" s="43">
        <f ca="1">H1455*K1421</f>
        <v>0</v>
      </c>
      <c r="L1455" s="92"/>
      <c r="M1455" s="44"/>
      <c r="N1455" s="82"/>
      <c r="O1455" s="44"/>
      <c r="P1455" s="44"/>
      <c r="Q1455" s="44"/>
      <c r="R1455" s="84"/>
      <c r="S1455" s="47"/>
      <c r="T1455" s="47"/>
    </row>
    <row r="1456" s="27" customFormat="1" ht="18" customHeight="1" spans="1:20">
      <c r="A1456" s="34"/>
      <c r="B1456" s="48">
        <v>22</v>
      </c>
      <c r="C1456" s="48"/>
      <c r="D1456" s="88"/>
      <c r="E1456" s="72"/>
      <c r="F1456" s="77"/>
      <c r="G1456" s="89"/>
      <c r="H1456" s="74"/>
      <c r="I1456" s="74"/>
      <c r="J1456" s="51"/>
      <c r="K1456" s="43">
        <f ca="1">H1456*K1421</f>
        <v>0</v>
      </c>
      <c r="L1456" s="92"/>
      <c r="M1456" s="44"/>
      <c r="N1456" s="44"/>
      <c r="O1456" s="44"/>
      <c r="P1456" s="44"/>
      <c r="Q1456" s="44"/>
      <c r="R1456" s="84"/>
      <c r="S1456" s="47"/>
      <c r="T1456" s="47"/>
    </row>
    <row r="1457" s="27" customFormat="1" ht="18" customHeight="1" spans="1:21">
      <c r="A1457" s="34"/>
      <c r="B1457" s="48">
        <v>23</v>
      </c>
      <c r="C1457" s="48"/>
      <c r="D1457" s="88"/>
      <c r="E1457" s="72"/>
      <c r="F1457" s="77"/>
      <c r="G1457" s="89"/>
      <c r="H1457" s="74"/>
      <c r="I1457" s="74"/>
      <c r="J1457" s="51"/>
      <c r="K1457" s="75">
        <f ca="1">H1457*K1421</f>
        <v>0</v>
      </c>
      <c r="L1457" s="92"/>
      <c r="M1457" s="44"/>
      <c r="N1457" s="44"/>
      <c r="O1457" s="44"/>
      <c r="P1457" s="44"/>
      <c r="Q1457" s="44"/>
      <c r="R1457" s="84"/>
      <c r="S1457" s="47"/>
      <c r="T1457" s="47"/>
    </row>
    <row r="1458" s="27" customFormat="1" ht="18" customHeight="1" spans="1:21">
      <c r="A1458" s="34"/>
      <c r="B1458" s="48">
        <v>24</v>
      </c>
      <c r="C1458" s="48"/>
      <c r="D1458" s="88"/>
      <c r="E1458" s="72"/>
      <c r="F1458" s="77"/>
      <c r="G1458" s="89"/>
      <c r="H1458" s="74"/>
      <c r="I1458" s="74"/>
      <c r="J1458" s="51"/>
      <c r="K1458" s="75">
        <f ca="1">H1458*K1421</f>
        <v>0</v>
      </c>
      <c r="L1458" s="92"/>
      <c r="M1458" s="44"/>
      <c r="N1458" s="44"/>
      <c r="O1458" s="44"/>
      <c r="P1458" s="44"/>
      <c r="Q1458" s="44"/>
      <c r="R1458" s="84"/>
      <c r="S1458" s="47"/>
      <c r="T1458" s="47"/>
    </row>
    <row r="1459" s="27" customFormat="1" ht="18" customHeight="1" spans="1:21">
      <c r="A1459" s="34"/>
      <c r="B1459" s="48">
        <v>25</v>
      </c>
      <c r="C1459" s="48"/>
      <c r="D1459" s="88"/>
      <c r="E1459" s="72"/>
      <c r="F1459" s="77"/>
      <c r="G1459" s="89"/>
      <c r="H1459" s="74"/>
      <c r="I1459" s="74"/>
      <c r="J1459" s="51"/>
      <c r="K1459" s="75"/>
      <c r="L1459" s="92"/>
      <c r="M1459" s="44"/>
      <c r="N1459" s="44"/>
      <c r="O1459" s="44"/>
      <c r="P1459" s="44"/>
      <c r="Q1459" s="44"/>
      <c r="R1459" s="84"/>
      <c r="S1459" s="47"/>
      <c r="T1459" s="47"/>
    </row>
    <row r="1460" s="27" customFormat="1" ht="18" customHeight="1" spans="1:21">
      <c r="A1460" s="34"/>
      <c r="B1460" s="48">
        <v>26</v>
      </c>
      <c r="C1460" s="48"/>
      <c r="D1460" s="88" t="s">
        <v>441</v>
      </c>
      <c r="E1460" s="72" t="s">
        <v>43</v>
      </c>
      <c r="F1460" s="77"/>
      <c r="G1460" s="72">
        <v>1</v>
      </c>
      <c r="H1460" s="74">
        <v>1</v>
      </c>
      <c r="I1460" s="74">
        <f>+辅材及安装费!$E$19</f>
        <v>10</v>
      </c>
      <c r="J1460" s="51">
        <f>H1460*I1460</f>
        <v>10</v>
      </c>
      <c r="K1460" s="75"/>
      <c r="L1460" s="92"/>
      <c r="M1460" s="44"/>
      <c r="N1460" s="44"/>
      <c r="O1460" s="44"/>
      <c r="P1460" s="44"/>
      <c r="Q1460" s="44"/>
      <c r="R1460" s="62"/>
      <c r="S1460" s="47"/>
      <c r="T1460" s="47"/>
    </row>
    <row r="1461" s="27" customFormat="1" ht="18" customHeight="1" spans="1:21">
      <c r="A1461" s="34"/>
      <c r="B1461" s="48">
        <v>27</v>
      </c>
      <c r="C1461" s="48"/>
      <c r="D1461" s="93" t="s">
        <v>442</v>
      </c>
      <c r="E1461" s="72"/>
      <c r="F1461" s="77"/>
      <c r="G1461" s="72"/>
      <c r="H1461" s="74"/>
      <c r="I1461" s="74"/>
      <c r="J1461" s="51">
        <f>SUM(J1435:J1460)</f>
        <v>611.537940534452</v>
      </c>
      <c r="K1461" s="75"/>
      <c r="L1461" s="94"/>
      <c r="N1461" s="83"/>
      <c r="O1461" s="83"/>
      <c r="P1461" s="83"/>
      <c r="Q1461" s="83"/>
      <c r="R1461" s="87"/>
      <c r="S1461" s="47"/>
      <c r="T1461" s="47"/>
    </row>
    <row r="1462" s="27" customFormat="1" ht="18" customHeight="1" spans="1:21">
      <c r="A1462" s="34"/>
      <c r="B1462" s="48">
        <v>1</v>
      </c>
      <c r="C1462" s="48" t="s">
        <v>443</v>
      </c>
      <c r="D1462" s="48" t="s">
        <v>444</v>
      </c>
      <c r="E1462" s="72" t="s">
        <v>43</v>
      </c>
      <c r="F1462" s="50"/>
      <c r="G1462" s="48"/>
      <c r="H1462" s="51">
        <v>1</v>
      </c>
      <c r="I1462" s="74">
        <f>+辅材及安装费!$F$19</f>
        <v>5</v>
      </c>
      <c r="J1462" s="95">
        <f>H1462*I1462</f>
        <v>5</v>
      </c>
      <c r="K1462" s="60"/>
      <c r="L1462" s="96"/>
      <c r="M1462" s="97"/>
      <c r="N1462" s="98"/>
      <c r="O1462" s="98"/>
      <c r="P1462" s="98"/>
      <c r="Q1462" s="98"/>
      <c r="R1462" s="99"/>
      <c r="S1462" s="47"/>
      <c r="T1462" s="47"/>
    </row>
    <row r="1463" s="26" customFormat="1" ht="30" customHeight="1" spans="1:21">
      <c r="A1463" s="28"/>
      <c r="B1463" s="29" t="s">
        <v>386</v>
      </c>
      <c r="C1463" s="29"/>
      <c r="D1463" s="29"/>
      <c r="E1463" s="29"/>
      <c r="F1463" s="29"/>
      <c r="G1463" s="29"/>
      <c r="H1463" s="29"/>
      <c r="I1463" s="29"/>
      <c r="J1463" s="29"/>
      <c r="K1463" s="29"/>
      <c r="L1463" s="30"/>
      <c r="M1463" s="31"/>
      <c r="N1463" s="31"/>
      <c r="O1463" s="31"/>
      <c r="P1463" s="31"/>
      <c r="Q1463" s="31"/>
      <c r="R1463" s="32"/>
      <c r="S1463" s="33"/>
      <c r="T1463" s="33"/>
    </row>
    <row r="1464" s="27" customFormat="1" ht="41" customHeight="1" spans="1:21">
      <c r="A1464" s="34">
        <v>35</v>
      </c>
      <c r="B1464" s="35" t="s">
        <v>1</v>
      </c>
      <c r="C1464" s="35" t="s">
        <v>387</v>
      </c>
      <c r="D1464" s="36" t="str">
        <f>+A1472</f>
        <v>二层明框玻璃幕墙（8+1.52PVB+8Low-E(双银)+12A+12㎜全超白钢化夹层中空玻璃）（直+弯弧+直）（直段宽度210㎜+弧长1414㎜+直段宽度210㎜，圆弧半径900㎜，高2330㎜）</v>
      </c>
      <c r="E1464" s="37"/>
      <c r="F1464" s="38" t="s">
        <v>225</v>
      </c>
      <c r="G1464" s="39"/>
      <c r="H1464" s="35" t="s">
        <v>388</v>
      </c>
      <c r="I1464" s="40" t="s">
        <v>389</v>
      </c>
      <c r="J1464" s="41" t="s">
        <v>37</v>
      </c>
      <c r="K1464" s="42">
        <f ca="1">VLOOKUP(A1464,'商业工程量清单 '!$A$4:$D$44,4,FALSE)</f>
        <v>8.54644</v>
      </c>
      <c r="L1464" s="43"/>
      <c r="M1464" s="44"/>
      <c r="N1464" s="44"/>
      <c r="O1464" s="44"/>
      <c r="P1464" s="45"/>
      <c r="Q1464" s="44"/>
      <c r="R1464" s="46"/>
      <c r="S1464" s="47"/>
      <c r="T1464" s="47"/>
    </row>
    <row r="1465" s="27" customFormat="1" ht="25" customHeight="1" spans="1:21">
      <c r="A1465" s="34"/>
      <c r="B1465" s="48">
        <v>1</v>
      </c>
      <c r="C1465" s="49" t="s">
        <v>390</v>
      </c>
      <c r="D1465" s="48" t="s">
        <v>391</v>
      </c>
      <c r="E1465" s="48"/>
      <c r="F1465" s="50"/>
      <c r="G1465" s="48"/>
      <c r="H1465" s="51"/>
      <c r="I1465" s="52">
        <f>J1477</f>
        <v>170</v>
      </c>
      <c r="J1465" s="53" t="s">
        <v>392</v>
      </c>
      <c r="K1465" s="54"/>
      <c r="L1465" s="55" t="s">
        <v>1036</v>
      </c>
      <c r="M1465" s="56"/>
      <c r="N1465" s="57"/>
      <c r="O1465" s="57">
        <f>0.21*2+1.414</f>
        <v>1.834</v>
      </c>
      <c r="P1465" s="57">
        <v>2.33</v>
      </c>
      <c r="Q1465" s="57">
        <v>1</v>
      </c>
      <c r="R1465" s="58">
        <f>+Q1465*P1465*O1465</f>
        <v>4.27322</v>
      </c>
      <c r="S1465" s="47"/>
      <c r="T1465" s="47"/>
    </row>
    <row r="1466" s="27" customFormat="1" ht="18" customHeight="1" spans="1:21">
      <c r="A1466" s="34"/>
      <c r="B1466" s="48">
        <v>2</v>
      </c>
      <c r="C1466" s="59"/>
      <c r="D1466" s="48" t="s">
        <v>394</v>
      </c>
      <c r="E1466" s="48"/>
      <c r="F1466" s="50"/>
      <c r="G1466" s="48"/>
      <c r="H1466" s="51"/>
      <c r="I1466" s="52">
        <f>J1504</f>
        <v>1628.93762068705</v>
      </c>
      <c r="J1466" s="53" t="s">
        <v>392</v>
      </c>
      <c r="K1466" s="60"/>
      <c r="L1466" s="61"/>
      <c r="M1466" s="44"/>
      <c r="N1466" s="44"/>
      <c r="O1466" s="44"/>
      <c r="P1466" s="44"/>
      <c r="Q1466" s="44"/>
      <c r="R1466" s="62"/>
      <c r="S1466" s="47"/>
      <c r="T1466" s="47"/>
    </row>
    <row r="1467" s="27" customFormat="1" ht="18" customHeight="1" spans="1:21">
      <c r="A1467" s="34"/>
      <c r="B1467" s="48">
        <v>3</v>
      </c>
      <c r="C1467" s="63"/>
      <c r="D1467" s="48" t="s">
        <v>395</v>
      </c>
      <c r="E1467" s="48"/>
      <c r="F1467" s="50"/>
      <c r="G1467" s="48"/>
      <c r="H1467" s="51"/>
      <c r="I1467" s="52">
        <f>J1505</f>
        <v>5</v>
      </c>
      <c r="J1467" s="53" t="s">
        <v>392</v>
      </c>
      <c r="K1467" s="60"/>
      <c r="L1467" s="60"/>
      <c r="M1467" s="64" t="s">
        <v>396</v>
      </c>
      <c r="N1467" s="65" t="s">
        <v>397</v>
      </c>
      <c r="O1467" s="65" t="s">
        <v>398</v>
      </c>
      <c r="P1467" s="65" t="s">
        <v>399</v>
      </c>
      <c r="Q1467" s="65" t="s">
        <v>400</v>
      </c>
      <c r="R1467" s="66" t="s">
        <v>401</v>
      </c>
      <c r="S1467" s="47"/>
      <c r="T1467" s="47"/>
    </row>
    <row r="1468" s="27" customFormat="1" ht="18" customHeight="1" spans="1:21">
      <c r="A1468" s="34"/>
      <c r="B1468" s="48">
        <v>4</v>
      </c>
      <c r="C1468" s="48" t="s">
        <v>402</v>
      </c>
      <c r="D1468" s="67" t="s">
        <v>403</v>
      </c>
      <c r="E1468" s="67"/>
      <c r="F1468" s="50"/>
      <c r="G1468" s="67"/>
      <c r="H1468" s="68"/>
      <c r="I1468" s="52">
        <f>SUM(I1465:I1467)</f>
        <v>1803.93762068705</v>
      </c>
      <c r="J1468" s="53" t="s">
        <v>392</v>
      </c>
      <c r="K1468" s="60"/>
      <c r="L1468" s="69" t="s">
        <v>427</v>
      </c>
      <c r="M1468" s="70" t="s">
        <v>1007</v>
      </c>
      <c r="N1468" s="34">
        <v>3.111</v>
      </c>
      <c r="O1468" s="34">
        <f>P1465</f>
        <v>2.33</v>
      </c>
      <c r="P1468" s="34">
        <v>1</v>
      </c>
      <c r="Q1468" s="44">
        <f t="shared" ref="Q1468:Q1478" si="241">+P1468*O1468*N1468</f>
        <v>7.24863</v>
      </c>
      <c r="R1468" s="71">
        <f>+Q1468/R1465</f>
        <v>1.69629225736096</v>
      </c>
      <c r="S1468" s="47"/>
      <c r="T1468" s="47"/>
    </row>
    <row r="1469" s="27" customFormat="1" ht="28" customHeight="1" spans="1:21">
      <c r="A1469" s="34"/>
      <c r="B1469" s="48">
        <v>5</v>
      </c>
      <c r="C1469" s="72" t="s">
        <v>406</v>
      </c>
      <c r="D1469" s="48" t="s">
        <v>407</v>
      </c>
      <c r="E1469" s="48"/>
      <c r="F1469" s="50"/>
      <c r="G1469" s="48"/>
      <c r="H1469" s="73">
        <f>+'材料表 '!$E$178</f>
        <v>0</v>
      </c>
      <c r="I1469" s="52">
        <f>H1469*I1468</f>
        <v>0</v>
      </c>
      <c r="J1469" s="53" t="s">
        <v>392</v>
      </c>
      <c r="K1469" s="60"/>
      <c r="L1469" s="69" t="s">
        <v>429</v>
      </c>
      <c r="M1469" s="70" t="s">
        <v>1037</v>
      </c>
      <c r="N1469" s="34">
        <v>3.063</v>
      </c>
      <c r="O1469" s="100">
        <f>O1468/0.3*0.1</f>
        <v>0.776666666666667</v>
      </c>
      <c r="P1469" s="34">
        <f>P1468</f>
        <v>1</v>
      </c>
      <c r="Q1469" s="44">
        <f t="shared" si="241"/>
        <v>2.37893</v>
      </c>
      <c r="R1469" s="71">
        <f>+Q1469/R1465</f>
        <v>0.5567066521265</v>
      </c>
      <c r="S1469" s="47"/>
      <c r="T1469" s="47"/>
    </row>
    <row r="1470" s="27" customFormat="1" ht="18" customHeight="1" spans="1:21">
      <c r="A1470" s="34"/>
      <c r="B1470" s="48">
        <v>6</v>
      </c>
      <c r="C1470" s="48" t="s">
        <v>409</v>
      </c>
      <c r="D1470" s="48" t="s">
        <v>410</v>
      </c>
      <c r="E1470" s="48"/>
      <c r="F1470" s="50"/>
      <c r="G1470" s="48"/>
      <c r="H1470" s="73">
        <f>+'材料表 '!$E$179</f>
        <v>0</v>
      </c>
      <c r="I1470" s="52">
        <f>H1470*I1468</f>
        <v>0</v>
      </c>
      <c r="J1470" s="74" t="s">
        <v>392</v>
      </c>
      <c r="K1470" s="75"/>
      <c r="L1470" s="69" t="s">
        <v>447</v>
      </c>
      <c r="M1470" s="70" t="s">
        <v>1038</v>
      </c>
      <c r="N1470" s="34">
        <f>1.041+0.104</f>
        <v>1.145</v>
      </c>
      <c r="O1470" s="34">
        <f>O1468</f>
        <v>2.33</v>
      </c>
      <c r="P1470" s="34">
        <f>P1468</f>
        <v>1</v>
      </c>
      <c r="Q1470" s="44">
        <f t="shared" si="241"/>
        <v>2.66785</v>
      </c>
      <c r="R1470" s="71">
        <f>+Q1470/R1465</f>
        <v>0.624318429661941</v>
      </c>
      <c r="S1470" s="47">
        <v>0.172</v>
      </c>
      <c r="T1470" s="47">
        <f>O1470*P1470*S1470</f>
        <v>0.40076</v>
      </c>
      <c r="U1470" s="76">
        <f>T1470/R1465</f>
        <v>0.093784078516903</v>
      </c>
    </row>
    <row r="1471" s="27" customFormat="1" ht="18" customHeight="1" spans="1:21">
      <c r="A1471" s="34"/>
      <c r="B1471" s="48">
        <v>7</v>
      </c>
      <c r="C1471" s="48" t="s">
        <v>412</v>
      </c>
      <c r="D1471" s="72" t="s">
        <v>413</v>
      </c>
      <c r="E1471" s="72"/>
      <c r="F1471" s="77"/>
      <c r="G1471" s="72"/>
      <c r="H1471" s="73">
        <f>+'材料表 '!$E$180</f>
        <v>0.09</v>
      </c>
      <c r="I1471" s="52">
        <f>(I1468+I1469+I1470)*H1471</f>
        <v>162.354385861834</v>
      </c>
      <c r="J1471" s="74" t="s">
        <v>392</v>
      </c>
      <c r="K1471" s="75"/>
      <c r="L1471" s="69" t="s">
        <v>429</v>
      </c>
      <c r="M1471" s="70" t="s">
        <v>1010</v>
      </c>
      <c r="N1471" s="102">
        <f>2.9</f>
        <v>2.9</v>
      </c>
      <c r="O1471" s="34">
        <v>0.2</v>
      </c>
      <c r="P1471" s="34">
        <f>P1468</f>
        <v>1</v>
      </c>
      <c r="Q1471" s="44">
        <f t="shared" si="241"/>
        <v>0.58</v>
      </c>
      <c r="R1471" s="71">
        <f>+Q1471/R1465</f>
        <v>0.135729028694989</v>
      </c>
      <c r="S1471" s="47"/>
      <c r="T1471" s="47"/>
    </row>
    <row r="1472" s="27" customFormat="1" ht="18" customHeight="1" spans="1:21">
      <c r="A1472" s="78" t="s">
        <v>276</v>
      </c>
      <c r="B1472" s="48">
        <v>8</v>
      </c>
      <c r="C1472" s="48" t="s">
        <v>363</v>
      </c>
      <c r="D1472" s="72" t="s">
        <v>415</v>
      </c>
      <c r="E1472" s="72"/>
      <c r="F1472" s="77"/>
      <c r="G1472" s="72"/>
      <c r="H1472" s="51"/>
      <c r="I1472" s="74">
        <f>SUM(I1468:I1471)</f>
        <v>1966.29200654888</v>
      </c>
      <c r="J1472" s="74" t="s">
        <v>416</v>
      </c>
      <c r="K1472" s="75"/>
      <c r="L1472" s="69" t="s">
        <v>429</v>
      </c>
      <c r="M1472" s="70" t="s">
        <v>1040</v>
      </c>
      <c r="N1472" s="34">
        <v>0.733</v>
      </c>
      <c r="O1472" s="100">
        <f>O1469*2</f>
        <v>1.55333333333333</v>
      </c>
      <c r="P1472" s="34">
        <f>P1468</f>
        <v>1</v>
      </c>
      <c r="Q1472" s="44">
        <f t="shared" si="241"/>
        <v>1.13859333333333</v>
      </c>
      <c r="R1472" s="71">
        <f>+Q1472/R1465</f>
        <v>0.266448564158488</v>
      </c>
      <c r="S1472" s="79"/>
      <c r="T1472" s="47"/>
    </row>
    <row r="1473" s="27" customFormat="1" ht="18" customHeight="1" spans="1:21">
      <c r="A1473" s="34"/>
      <c r="B1473" s="48" t="s">
        <v>418</v>
      </c>
      <c r="C1473" s="48"/>
      <c r="D1473" s="48"/>
      <c r="E1473" s="48"/>
      <c r="F1473" s="48"/>
      <c r="G1473" s="48"/>
      <c r="H1473" s="48"/>
      <c r="I1473" s="48"/>
      <c r="J1473" s="48"/>
      <c r="K1473" s="80"/>
      <c r="L1473" s="69" t="s">
        <v>404</v>
      </c>
      <c r="M1473" s="70" t="s">
        <v>1041</v>
      </c>
      <c r="N1473" s="34">
        <v>3.727</v>
      </c>
      <c r="O1473" s="34">
        <f>O1465</f>
        <v>1.834</v>
      </c>
      <c r="P1473" s="34">
        <v>1.5</v>
      </c>
      <c r="Q1473" s="44">
        <f t="shared" si="241"/>
        <v>10.252977</v>
      </c>
      <c r="R1473" s="71">
        <f>+Q1473/R1465</f>
        <v>2.39935622317597</v>
      </c>
      <c r="S1473" s="47"/>
      <c r="T1473" s="47"/>
      <c r="U1473" s="76"/>
    </row>
    <row r="1474" s="27" customFormat="1" ht="18" customHeight="1" spans="1:21">
      <c r="A1474" s="34"/>
      <c r="B1474" s="48">
        <v>1</v>
      </c>
      <c r="C1474" s="48" t="s">
        <v>391</v>
      </c>
      <c r="D1474" s="48" t="s">
        <v>396</v>
      </c>
      <c r="E1474" s="48" t="s">
        <v>37</v>
      </c>
      <c r="F1474" s="50"/>
      <c r="G1474" s="48"/>
      <c r="H1474" s="51" t="s">
        <v>399</v>
      </c>
      <c r="I1474" s="51" t="s">
        <v>420</v>
      </c>
      <c r="J1474" s="51" t="s">
        <v>421</v>
      </c>
      <c r="K1474" s="43"/>
      <c r="L1474" s="69" t="s">
        <v>429</v>
      </c>
      <c r="M1474" s="81" t="s">
        <v>1027</v>
      </c>
      <c r="N1474" s="82">
        <v>0.604</v>
      </c>
      <c r="O1474" s="34">
        <f>O1473</f>
        <v>1.834</v>
      </c>
      <c r="P1474" s="34">
        <f>P1473</f>
        <v>1.5</v>
      </c>
      <c r="Q1474" s="44">
        <f t="shared" si="241"/>
        <v>1.661604</v>
      </c>
      <c r="R1474" s="71">
        <f>+Q1474/R1465</f>
        <v>0.388841201716738</v>
      </c>
      <c r="S1474" s="47"/>
      <c r="T1474" s="47"/>
    </row>
    <row r="1475" s="27" customFormat="1" ht="18" customHeight="1" spans="1:21">
      <c r="A1475" s="34"/>
      <c r="B1475" s="48">
        <v>2</v>
      </c>
      <c r="C1475" s="48"/>
      <c r="D1475" s="48" t="s">
        <v>967</v>
      </c>
      <c r="E1475" s="72" t="s">
        <v>423</v>
      </c>
      <c r="F1475" s="50"/>
      <c r="G1475" s="48"/>
      <c r="H1475" s="51">
        <v>1</v>
      </c>
      <c r="I1475" s="51">
        <f>+辅材及安装费!$G$19</f>
        <v>170</v>
      </c>
      <c r="J1475" s="51">
        <f t="shared" ref="J1475:J1483" si="242">H1475*I1475</f>
        <v>170</v>
      </c>
      <c r="K1475" s="43"/>
      <c r="L1475" s="69" t="s">
        <v>447</v>
      </c>
      <c r="M1475" s="70" t="s">
        <v>1038</v>
      </c>
      <c r="N1475" s="83">
        <v>0.977</v>
      </c>
      <c r="O1475" s="34">
        <f>O1473</f>
        <v>1.834</v>
      </c>
      <c r="P1475" s="34">
        <v>0.5</v>
      </c>
      <c r="Q1475" s="44">
        <f t="shared" si="241"/>
        <v>0.895909</v>
      </c>
      <c r="R1475" s="84">
        <f>+Q1475/R1465</f>
        <v>0.209656652360515</v>
      </c>
      <c r="S1475" s="47">
        <v>0.185</v>
      </c>
      <c r="T1475" s="47">
        <f t="shared" ref="T1475:T1478" si="243">O1475*P1475*S1475</f>
        <v>0.169645</v>
      </c>
      <c r="U1475" s="103">
        <f>T1475/R1465</f>
        <v>0.0396995708154506</v>
      </c>
    </row>
    <row r="1476" s="27" customFormat="1" ht="18" customHeight="1" spans="1:21">
      <c r="A1476" s="34"/>
      <c r="B1476" s="48">
        <v>3</v>
      </c>
      <c r="C1476" s="48"/>
      <c r="D1476" s="48"/>
      <c r="E1476" s="72"/>
      <c r="F1476" s="50"/>
      <c r="G1476" s="48"/>
      <c r="H1476" s="51"/>
      <c r="I1476" s="51"/>
      <c r="J1476" s="51"/>
      <c r="K1476" s="43"/>
      <c r="L1476" s="69" t="s">
        <v>429</v>
      </c>
      <c r="M1476" s="81" t="s">
        <v>1042</v>
      </c>
      <c r="N1476" s="82">
        <v>0.687</v>
      </c>
      <c r="O1476" s="44">
        <f>0.1</f>
        <v>0.1</v>
      </c>
      <c r="P1476" s="34">
        <f>1*2</f>
        <v>2</v>
      </c>
      <c r="Q1476" s="44">
        <f t="shared" si="241"/>
        <v>0.1374</v>
      </c>
      <c r="R1476" s="84">
        <f>+Q1476/R1465</f>
        <v>0.0321537388667094</v>
      </c>
      <c r="S1476" s="47"/>
      <c r="T1476" s="47"/>
    </row>
    <row r="1477" s="27" customFormat="1" ht="18" customHeight="1" spans="1:21">
      <c r="A1477" s="34"/>
      <c r="B1477" s="48">
        <v>4</v>
      </c>
      <c r="C1477" s="48"/>
      <c r="D1477" s="85" t="s">
        <v>426</v>
      </c>
      <c r="E1477" s="48" t="s">
        <v>392</v>
      </c>
      <c r="F1477" s="50"/>
      <c r="G1477" s="48"/>
      <c r="H1477" s="86"/>
      <c r="I1477" s="86"/>
      <c r="J1477" s="51">
        <f>SUM(J1475:J1475)</f>
        <v>170</v>
      </c>
      <c r="K1477" s="75"/>
      <c r="L1477" s="69" t="s">
        <v>447</v>
      </c>
      <c r="M1477" s="70" t="s">
        <v>1038</v>
      </c>
      <c r="N1477" s="34">
        <f>0.624*2.71+0.022*2.71</f>
        <v>1.75066</v>
      </c>
      <c r="O1477" s="34">
        <f>O1465</f>
        <v>1.834</v>
      </c>
      <c r="P1477" s="34">
        <v>1</v>
      </c>
      <c r="Q1477" s="44">
        <f t="shared" si="241"/>
        <v>3.21071044</v>
      </c>
      <c r="R1477" s="71">
        <f>+Q1477/R1465</f>
        <v>0.751356223175966</v>
      </c>
      <c r="S1477" s="47">
        <f>0.251+0.045</f>
        <v>0.296</v>
      </c>
      <c r="T1477" s="47">
        <f t="shared" si="243"/>
        <v>0.542864</v>
      </c>
      <c r="U1477" s="76">
        <f>T1477/R1465</f>
        <v>0.127038626609442</v>
      </c>
    </row>
    <row r="1478" s="27" customFormat="1" ht="23" customHeight="1" spans="1:21">
      <c r="A1478" s="34"/>
      <c r="B1478" s="48">
        <v>1</v>
      </c>
      <c r="C1478" s="48" t="s">
        <v>394</v>
      </c>
      <c r="D1478" s="88" t="s">
        <v>427</v>
      </c>
      <c r="E1478" s="72" t="str">
        <f>+VLOOKUP(D1478,'材料表 '!C:F,2,0)</f>
        <v>kg</v>
      </c>
      <c r="F1478" s="77">
        <f>+SUMIF($L$1465:$L$1505,D1478,$R$1465:$R$1505)</f>
        <v>1.69629225736096</v>
      </c>
      <c r="G1478" s="89">
        <f>+VLOOKUP(D1478,'材料表 '!C:F,4,0)</f>
        <v>0.03</v>
      </c>
      <c r="H1478" s="74">
        <f t="shared" ref="H1478:H1483" si="244">F1478*(G1478+1)</f>
        <v>1.74718102508179</v>
      </c>
      <c r="I1478" s="74">
        <f>+VLOOKUP(D1478,'材料表 '!C:F,3,0)</f>
        <v>25.8495575221239</v>
      </c>
      <c r="J1478" s="51">
        <f t="shared" si="242"/>
        <v>45.1638564094151</v>
      </c>
      <c r="K1478" s="75">
        <f ca="1">H1478*K1464</f>
        <v>14.9321778</v>
      </c>
      <c r="L1478" s="69" t="s">
        <v>447</v>
      </c>
      <c r="M1478" s="70" t="s">
        <v>1049</v>
      </c>
      <c r="N1478" s="34">
        <f>0.074*2.71</f>
        <v>0.20054</v>
      </c>
      <c r="O1478" s="34">
        <v>0</v>
      </c>
      <c r="P1478" s="34">
        <v>1</v>
      </c>
      <c r="Q1478" s="44">
        <f t="shared" si="241"/>
        <v>0</v>
      </c>
      <c r="R1478" s="71">
        <f>+Q1478/R1465</f>
        <v>0</v>
      </c>
      <c r="S1478" s="47">
        <f>0.048</f>
        <v>0.048</v>
      </c>
      <c r="T1478" s="47">
        <f t="shared" si="243"/>
        <v>0</v>
      </c>
      <c r="U1478" s="76">
        <f>T1478/R1465</f>
        <v>0</v>
      </c>
    </row>
    <row r="1479" s="27" customFormat="1" ht="18" customHeight="1" spans="1:21">
      <c r="A1479" s="34"/>
      <c r="B1479" s="48">
        <v>2</v>
      </c>
      <c r="C1479" s="48"/>
      <c r="D1479" s="88" t="s">
        <v>404</v>
      </c>
      <c r="E1479" s="72" t="str">
        <f>+VLOOKUP(D1479,'材料表 '!C:F,2,0)</f>
        <v>kg</v>
      </c>
      <c r="F1479" s="77">
        <f>+SUMIF($L$1465:$L$1505,D1479,$R$1465:$R$1505)</f>
        <v>2.39935622317597</v>
      </c>
      <c r="G1479" s="89">
        <f>+VLOOKUP(D1479,'材料表 '!C:F,4,0)</f>
        <v>0.03</v>
      </c>
      <c r="H1479" s="74">
        <f t="shared" si="244"/>
        <v>2.47133690987125</v>
      </c>
      <c r="I1479" s="74">
        <f>+VLOOKUP(D1479,'材料表 '!C:F,3,0)</f>
        <v>25.6725663716814</v>
      </c>
      <c r="J1479" s="51">
        <f t="shared" si="242"/>
        <v>63.4455608454557</v>
      </c>
      <c r="K1479" s="75">
        <f ca="1">H1479*K1464</f>
        <v>21.12113262</v>
      </c>
      <c r="L1479" s="69"/>
      <c r="M1479" s="70"/>
      <c r="N1479" s="83"/>
      <c r="O1479" s="83"/>
      <c r="P1479" s="83"/>
      <c r="Q1479" s="83"/>
      <c r="R1479" s="87"/>
      <c r="S1479" s="47"/>
      <c r="T1479" s="34"/>
    </row>
    <row r="1480" s="27" customFormat="1" ht="18" customHeight="1" spans="1:21">
      <c r="A1480" s="34"/>
      <c r="B1480" s="48">
        <v>3</v>
      </c>
      <c r="C1480" s="48"/>
      <c r="D1480" s="88" t="s">
        <v>433</v>
      </c>
      <c r="E1480" s="72" t="str">
        <f>+VLOOKUP(D1480,'材料表 '!C:F,2,0)</f>
        <v>kg</v>
      </c>
      <c r="F1480" s="77">
        <f t="shared" ref="F1479:F1491" si="245">+SUMIF($L$1465:$L$1505,D1480,$R$1465:$R$1505)</f>
        <v>0</v>
      </c>
      <c r="G1480" s="89">
        <f>+VLOOKUP(D1480,'材料表 '!C:F,4,0)</f>
        <v>0.03</v>
      </c>
      <c r="H1480" s="74">
        <f t="shared" si="244"/>
        <v>0</v>
      </c>
      <c r="I1480" s="74">
        <f>+VLOOKUP(D1480,'材料表 '!C:F,3,0)</f>
        <v>26.1150442477876</v>
      </c>
      <c r="J1480" s="51">
        <f t="shared" si="242"/>
        <v>0</v>
      </c>
      <c r="K1480" s="75">
        <f ca="1">H1480*K1464</f>
        <v>0</v>
      </c>
      <c r="L1480" s="69"/>
      <c r="N1480" s="83"/>
      <c r="O1480" s="83"/>
      <c r="P1480" s="83"/>
      <c r="Q1480" s="83"/>
      <c r="R1480" s="87"/>
      <c r="S1480" s="47"/>
      <c r="T1480" s="47"/>
    </row>
    <row r="1481" s="27" customFormat="1" ht="18" customHeight="1" spans="1:21">
      <c r="A1481" s="34"/>
      <c r="B1481" s="48">
        <v>4</v>
      </c>
      <c r="C1481" s="48"/>
      <c r="D1481" s="88" t="s">
        <v>429</v>
      </c>
      <c r="E1481" s="72" t="str">
        <f>+VLOOKUP(D1481,'材料表 '!C:F,2,0)</f>
        <v>kg</v>
      </c>
      <c r="F1481" s="77">
        <f t="shared" si="245"/>
        <v>1.37987918556342</v>
      </c>
      <c r="G1481" s="89">
        <f>+VLOOKUP(D1481,'材料表 '!C:F,4,0)</f>
        <v>0.03</v>
      </c>
      <c r="H1481" s="74">
        <f t="shared" si="244"/>
        <v>1.42127556113032</v>
      </c>
      <c r="I1481" s="74">
        <f>+VLOOKUP(D1481,'材料表 '!C:F,3,0)</f>
        <v>26.1150442477876</v>
      </c>
      <c r="J1481" s="51">
        <f t="shared" si="242"/>
        <v>37.1166741672175</v>
      </c>
      <c r="K1481" s="75">
        <f ca="1">H1481*K1464</f>
        <v>12.1468463066666</v>
      </c>
      <c r="L1481" s="90" t="s">
        <v>707</v>
      </c>
      <c r="M1481" s="44"/>
      <c r="N1481" s="82"/>
      <c r="O1481" s="44">
        <f>O1473*P1473</f>
        <v>2.751</v>
      </c>
      <c r="P1481" s="44">
        <v>1</v>
      </c>
      <c r="Q1481" s="44">
        <f>+P1481*O1481</f>
        <v>2.751</v>
      </c>
      <c r="R1481" s="84">
        <f>+Q1481/R1465</f>
        <v>0.643776824034335</v>
      </c>
      <c r="S1481" s="47"/>
      <c r="T1481" s="47"/>
    </row>
    <row r="1482" s="27" customFormat="1" ht="18" customHeight="1" spans="1:21">
      <c r="A1482" s="34"/>
      <c r="B1482" s="48">
        <v>5</v>
      </c>
      <c r="C1482" s="48"/>
      <c r="D1482" s="88" t="s">
        <v>447</v>
      </c>
      <c r="E1482" s="72" t="str">
        <f>+VLOOKUP(D1482,'材料表 '!C:F,2,0)</f>
        <v>kg</v>
      </c>
      <c r="F1482" s="77">
        <f t="shared" si="245"/>
        <v>1.58533130519842</v>
      </c>
      <c r="G1482" s="89">
        <f>+VLOOKUP(D1482,'材料表 '!C:F,4,0)</f>
        <v>0.03</v>
      </c>
      <c r="H1482" s="74">
        <f t="shared" si="244"/>
        <v>1.63289124435437</v>
      </c>
      <c r="I1482" s="74">
        <f>+VLOOKUP(D1482,'材料表 '!C:F,3,0)</f>
        <v>24.4336283185841</v>
      </c>
      <c r="J1482" s="51">
        <f t="shared" si="242"/>
        <v>39.897457749225</v>
      </c>
      <c r="K1482" s="43">
        <f ca="1">H1482*K1464</f>
        <v>13.9554070464</v>
      </c>
      <c r="L1482" s="90" t="s">
        <v>435</v>
      </c>
      <c r="M1482" s="44"/>
      <c r="N1482" s="82">
        <f>0.073*1.2</f>
        <v>0.0876</v>
      </c>
      <c r="O1482" s="44">
        <f>O1468*P1468*3+O1473*P1473*4</f>
        <v>17.994</v>
      </c>
      <c r="P1482" s="44">
        <v>1</v>
      </c>
      <c r="Q1482" s="44">
        <f>+P1482*O1482</f>
        <v>17.994</v>
      </c>
      <c r="R1482" s="84">
        <f>+Q1482/R1465</f>
        <v>4.21087610747867</v>
      </c>
      <c r="S1482" s="47"/>
      <c r="T1482" s="47"/>
    </row>
    <row r="1483" s="27" customFormat="1" ht="18" customHeight="1" spans="1:21">
      <c r="A1483" s="34"/>
      <c r="B1483" s="48">
        <v>6</v>
      </c>
      <c r="C1483" s="48"/>
      <c r="D1483" s="88" t="s">
        <v>434</v>
      </c>
      <c r="E1483" s="72" t="str">
        <f>+VLOOKUP(D1483,'材料表 '!C:F,2,0)</f>
        <v>m2</v>
      </c>
      <c r="F1483" s="77">
        <f>U1470+U1475+U1477+U1478</f>
        <v>0.260522275941796</v>
      </c>
      <c r="G1483" s="89">
        <f>+VLOOKUP(D1483,'材料表 '!C:F,4,0)</f>
        <v>0</v>
      </c>
      <c r="H1483" s="74">
        <f t="shared" si="244"/>
        <v>0.260522275941796</v>
      </c>
      <c r="I1483" s="74">
        <f>+VLOOKUP(D1483,'材料表 '!C:F,3,0)</f>
        <v>49.5575221238938</v>
      </c>
      <c r="J1483" s="51">
        <f t="shared" si="242"/>
        <v>12.9108384537527</v>
      </c>
      <c r="K1483" s="43">
        <f ca="1">H1483*K1464</f>
        <v>2.226538</v>
      </c>
      <c r="L1483" s="90" t="s">
        <v>463</v>
      </c>
      <c r="M1483" s="91" t="s">
        <v>1012</v>
      </c>
      <c r="N1483" s="82">
        <f>0.32*0.3*8*7.85</f>
        <v>6.0288</v>
      </c>
      <c r="O1483" s="44">
        <v>1.5</v>
      </c>
      <c r="P1483" s="44">
        <f>P1468</f>
        <v>1</v>
      </c>
      <c r="Q1483" s="44">
        <f t="shared" ref="Q1483:Q1487" si="246">+P1483*O1483*N1483</f>
        <v>9.0432</v>
      </c>
      <c r="R1483" s="84">
        <f>+Q1483/R1465</f>
        <v>2.11624957292159</v>
      </c>
      <c r="S1483" s="47"/>
      <c r="T1483" s="47"/>
    </row>
    <row r="1484" s="27" customFormat="1" ht="18" customHeight="1" spans="1:21">
      <c r="A1484" s="34"/>
      <c r="B1484" s="48">
        <v>7</v>
      </c>
      <c r="C1484" s="48"/>
      <c r="D1484" s="88"/>
      <c r="E1484" s="72"/>
      <c r="F1484" s="77">
        <f t="shared" si="245"/>
        <v>0</v>
      </c>
      <c r="G1484" s="89"/>
      <c r="H1484" s="74"/>
      <c r="I1484" s="74"/>
      <c r="J1484" s="51"/>
      <c r="K1484" s="43">
        <f ca="1">H1484*K1464</f>
        <v>0</v>
      </c>
      <c r="L1484" s="69" t="s">
        <v>465</v>
      </c>
      <c r="M1484" s="81" t="s">
        <v>1013</v>
      </c>
      <c r="N1484" s="34">
        <v>9.88</v>
      </c>
      <c r="O1484" s="34">
        <f>0.13</f>
        <v>0.13</v>
      </c>
      <c r="P1484" s="34">
        <f>2*P1483*O1483</f>
        <v>3</v>
      </c>
      <c r="Q1484" s="44">
        <f t="shared" si="246"/>
        <v>3.8532</v>
      </c>
      <c r="R1484" s="84">
        <f>Q1484/R1465</f>
        <v>0.901708781668157</v>
      </c>
      <c r="S1484" s="47"/>
      <c r="T1484" s="47"/>
    </row>
    <row r="1485" s="27" customFormat="1" ht="18" customHeight="1" spans="1:21">
      <c r="A1485" s="34"/>
      <c r="B1485" s="48">
        <v>8</v>
      </c>
      <c r="C1485" s="48"/>
      <c r="D1485" s="88" t="s">
        <v>431</v>
      </c>
      <c r="E1485" s="72" t="str">
        <f>+VLOOKUP(D1485,'材料表 '!C:F,2,0)</f>
        <v>kg</v>
      </c>
      <c r="F1485" s="77">
        <f t="shared" si="245"/>
        <v>0</v>
      </c>
      <c r="G1485" s="89">
        <f>+VLOOKUP(D1485,'材料表 '!C:F,4,0)</f>
        <v>0.03</v>
      </c>
      <c r="H1485" s="74">
        <f t="shared" ref="H1485:H1497" si="247">F1485*(G1485+1)</f>
        <v>0</v>
      </c>
      <c r="I1485" s="74">
        <f>+VLOOKUP(D1485,'材料表 '!C:F,3,0)</f>
        <v>3.80530973451327</v>
      </c>
      <c r="J1485" s="51">
        <f t="shared" ref="J1485:J1497" si="248">H1485*I1485</f>
        <v>0</v>
      </c>
      <c r="K1485" s="43">
        <f ca="1">H1485*K1464</f>
        <v>0</v>
      </c>
      <c r="L1485" s="90" t="s">
        <v>474</v>
      </c>
      <c r="M1485" s="44"/>
      <c r="N1485" s="82"/>
      <c r="O1485" s="44">
        <v>4</v>
      </c>
      <c r="P1485" s="44">
        <f>O1483*P1483</f>
        <v>1.5</v>
      </c>
      <c r="Q1485" s="44">
        <f>O1485*P1485</f>
        <v>6</v>
      </c>
      <c r="R1485" s="84">
        <f>Q1485/R1465</f>
        <v>1.40409340029299</v>
      </c>
      <c r="S1485" s="47"/>
      <c r="T1485" s="47"/>
    </row>
    <row r="1486" s="27" customFormat="1" ht="18" customHeight="1" spans="1:21">
      <c r="A1486" s="34"/>
      <c r="B1486" s="48">
        <v>9</v>
      </c>
      <c r="C1486" s="48"/>
      <c r="D1486" s="88" t="s">
        <v>461</v>
      </c>
      <c r="E1486" s="72" t="str">
        <f>+VLOOKUP(D1486,'材料表 '!C:F,2,0)</f>
        <v>kg</v>
      </c>
      <c r="F1486" s="77">
        <f t="shared" si="245"/>
        <v>0</v>
      </c>
      <c r="G1486" s="89">
        <f>+VLOOKUP(D1486,'材料表 '!C:F,4,0)</f>
        <v>0.03</v>
      </c>
      <c r="H1486" s="74">
        <f t="shared" si="247"/>
        <v>0</v>
      </c>
      <c r="I1486" s="74">
        <f>+VLOOKUP(D1486,'材料表 '!C:F,3,0)</f>
        <v>3.53982300884956</v>
      </c>
      <c r="J1486" s="51">
        <f t="shared" si="248"/>
        <v>0</v>
      </c>
      <c r="K1486" s="43">
        <f ca="1">H1486*K1464</f>
        <v>0</v>
      </c>
      <c r="L1486" s="90" t="s">
        <v>472</v>
      </c>
      <c r="M1486" s="91"/>
      <c r="N1486" s="82"/>
      <c r="O1486" s="44">
        <v>2</v>
      </c>
      <c r="P1486" s="44">
        <f>O1483*P1483</f>
        <v>1.5</v>
      </c>
      <c r="Q1486" s="44">
        <f>O1486*P1486</f>
        <v>3</v>
      </c>
      <c r="R1486" s="84">
        <f>Q1486/R1465</f>
        <v>0.702046700146494</v>
      </c>
      <c r="S1486" s="47"/>
      <c r="T1486" s="47"/>
    </row>
    <row r="1487" s="27" customFormat="1" ht="18" customHeight="1" spans="1:21">
      <c r="A1487" s="34"/>
      <c r="B1487" s="48">
        <v>10</v>
      </c>
      <c r="C1487" s="48"/>
      <c r="D1487" s="88" t="s">
        <v>435</v>
      </c>
      <c r="E1487" s="72" t="str">
        <f>+VLOOKUP(D1487,'材料表 '!C:F,2,0)</f>
        <v>kg</v>
      </c>
      <c r="F1487" s="77">
        <f t="shared" si="245"/>
        <v>4.21087610747867</v>
      </c>
      <c r="G1487" s="89">
        <f>+VLOOKUP(D1487,'材料表 '!C:F,4,0)</f>
        <v>0.03</v>
      </c>
      <c r="H1487" s="74">
        <f t="shared" si="247"/>
        <v>4.33720239070303</v>
      </c>
      <c r="I1487" s="74">
        <f>+VLOOKUP(D1487,'材料表 '!C:F,3,0)</f>
        <v>19.4690265486726</v>
      </c>
      <c r="J1487" s="51">
        <f t="shared" si="248"/>
        <v>84.4411084915636</v>
      </c>
      <c r="K1487" s="43">
        <f ca="1">H1487*K1464</f>
        <v>37.06764</v>
      </c>
      <c r="L1487" s="69" t="s">
        <v>465</v>
      </c>
      <c r="M1487" s="91"/>
      <c r="N1487" s="82">
        <f>(0.058+0.04*2)*5*7.85</f>
        <v>5.4165</v>
      </c>
      <c r="O1487" s="44">
        <v>0</v>
      </c>
      <c r="P1487" s="44">
        <v>1</v>
      </c>
      <c r="Q1487" s="44">
        <f t="shared" si="246"/>
        <v>0</v>
      </c>
      <c r="R1487" s="84">
        <f>+Q1487/R1465</f>
        <v>0</v>
      </c>
      <c r="S1487" s="47"/>
      <c r="T1487" s="47"/>
    </row>
    <row r="1488" s="27" customFormat="1" ht="18" customHeight="1" spans="1:21">
      <c r="A1488" s="34"/>
      <c r="B1488" s="48">
        <v>11</v>
      </c>
      <c r="C1488" s="48"/>
      <c r="D1488" s="88" t="s">
        <v>463</v>
      </c>
      <c r="E1488" s="72" t="str">
        <f>+VLOOKUP(D1488,'材料表 '!C:F,2,0)</f>
        <v>kg</v>
      </c>
      <c r="F1488" s="77">
        <f t="shared" si="245"/>
        <v>2.11624957292159</v>
      </c>
      <c r="G1488" s="89">
        <f>+VLOOKUP(D1488,'材料表 '!C:F,4,0)</f>
        <v>0.03</v>
      </c>
      <c r="H1488" s="74">
        <f t="shared" si="247"/>
        <v>2.17973706010924</v>
      </c>
      <c r="I1488" s="74">
        <f>+VLOOKUP(D1488,'材料表 '!C:F,3,0)</f>
        <v>6.01769911504425</v>
      </c>
      <c r="J1488" s="51">
        <f t="shared" si="248"/>
        <v>13.1170017776485</v>
      </c>
      <c r="K1488" s="43">
        <f ca="1">H1488*K1464</f>
        <v>18.628992</v>
      </c>
      <c r="L1488" s="69" t="s">
        <v>461</v>
      </c>
      <c r="N1488" s="83"/>
      <c r="O1488" s="83"/>
      <c r="P1488" s="83"/>
      <c r="Q1488" s="83"/>
      <c r="R1488" s="84"/>
      <c r="S1488" s="47"/>
      <c r="T1488" s="47"/>
    </row>
    <row r="1489" s="27" customFormat="1" ht="18" customHeight="1" spans="1:20">
      <c r="A1489" s="34"/>
      <c r="B1489" s="48">
        <v>12</v>
      </c>
      <c r="C1489" s="48"/>
      <c r="D1489" s="88" t="s">
        <v>465</v>
      </c>
      <c r="E1489" s="72" t="str">
        <f>+VLOOKUP(D1489,'材料表 '!C:F,2,0)</f>
        <v>kg</v>
      </c>
      <c r="F1489" s="77">
        <f t="shared" si="245"/>
        <v>0.901708781668157</v>
      </c>
      <c r="G1489" s="89">
        <f>+VLOOKUP(D1489,'材料表 '!C:F,4,0)</f>
        <v>0.03</v>
      </c>
      <c r="H1489" s="74">
        <f t="shared" si="247"/>
        <v>0.928760045118202</v>
      </c>
      <c r="I1489" s="74">
        <f>+VLOOKUP(D1489,'材料表 '!C:F,3,0)</f>
        <v>6.01769911504425</v>
      </c>
      <c r="J1489" s="51">
        <f t="shared" si="248"/>
        <v>5.58899850159626</v>
      </c>
      <c r="K1489" s="43">
        <f ca="1">H1489*K1464</f>
        <v>7.937592</v>
      </c>
      <c r="L1489" s="90"/>
      <c r="M1489" s="44"/>
      <c r="N1489" s="82"/>
      <c r="O1489" s="44"/>
      <c r="P1489" s="44"/>
      <c r="Q1489" s="44"/>
      <c r="R1489" s="84"/>
      <c r="S1489" s="47"/>
      <c r="T1489" s="47"/>
    </row>
    <row r="1490" s="27" customFormat="1" ht="18" customHeight="1" spans="1:20">
      <c r="A1490" s="34"/>
      <c r="B1490" s="48">
        <v>13</v>
      </c>
      <c r="C1490" s="48"/>
      <c r="D1490" s="88" t="s">
        <v>474</v>
      </c>
      <c r="E1490" s="72" t="str">
        <f>+VLOOKUP(D1490,'材料表 '!C:F,2,0)</f>
        <v>套</v>
      </c>
      <c r="F1490" s="77">
        <f t="shared" si="245"/>
        <v>1.40409340029299</v>
      </c>
      <c r="G1490" s="89">
        <f>+VLOOKUP(D1490,'材料表 '!C:F,4,0)</f>
        <v>0</v>
      </c>
      <c r="H1490" s="74">
        <f t="shared" si="247"/>
        <v>1.40409340029299</v>
      </c>
      <c r="I1490" s="74">
        <f>+VLOOKUP(D1490,'材料表 '!C:F,3,0)</f>
        <v>2.21238938053097</v>
      </c>
      <c r="J1490" s="51">
        <f t="shared" si="248"/>
        <v>3.10640132808183</v>
      </c>
      <c r="K1490" s="43">
        <f ca="1">H1490*K1464</f>
        <v>12</v>
      </c>
      <c r="L1490" s="90"/>
      <c r="M1490" s="44"/>
      <c r="N1490" s="82"/>
      <c r="O1490" s="44"/>
      <c r="P1490" s="44"/>
      <c r="Q1490" s="44"/>
      <c r="R1490" s="84"/>
      <c r="S1490" s="47"/>
      <c r="T1490" s="47"/>
    </row>
    <row r="1491" s="27" customFormat="1" ht="18" customHeight="1" spans="1:20">
      <c r="A1491" s="34"/>
      <c r="B1491" s="48">
        <v>14</v>
      </c>
      <c r="C1491" s="48"/>
      <c r="D1491" s="88" t="s">
        <v>472</v>
      </c>
      <c r="E1491" s="72" t="str">
        <f>+VLOOKUP(D1491,'材料表 '!C:F,2,0)</f>
        <v>套</v>
      </c>
      <c r="F1491" s="77">
        <f t="shared" si="245"/>
        <v>0.702046700146494</v>
      </c>
      <c r="G1491" s="89">
        <f>+VLOOKUP(D1491,'材料表 '!C:F,4,0)</f>
        <v>0</v>
      </c>
      <c r="H1491" s="74">
        <f t="shared" si="247"/>
        <v>0.702046700146494</v>
      </c>
      <c r="I1491" s="74">
        <f>+VLOOKUP(D1491,'材料表 '!C:F,3,0)</f>
        <v>2.47787610619469</v>
      </c>
      <c r="J1491" s="51">
        <f t="shared" si="248"/>
        <v>1.73958474372583</v>
      </c>
      <c r="K1491" s="43">
        <f ca="1">H1491*K1464</f>
        <v>6</v>
      </c>
      <c r="L1491" s="90"/>
      <c r="M1491" s="44"/>
      <c r="N1491" s="82"/>
      <c r="O1491" s="44"/>
      <c r="P1491" s="44"/>
      <c r="Q1491" s="44"/>
      <c r="R1491" s="84"/>
      <c r="S1491" s="47"/>
      <c r="T1491" s="47"/>
    </row>
    <row r="1492" s="27" customFormat="1" ht="18" customHeight="1" spans="1:20">
      <c r="A1492" s="34"/>
      <c r="B1492" s="48">
        <v>15</v>
      </c>
      <c r="C1492" s="48"/>
      <c r="D1492" s="88" t="s">
        <v>476</v>
      </c>
      <c r="E1492" s="72" t="str">
        <f>+VLOOKUP(D1492,'材料表 '!C:F,2,0)</f>
        <v>支</v>
      </c>
      <c r="F1492" s="77">
        <f>8*8*(O1473*P1473*2)/500/R1465+16*8*(O1468*P1468+O1473*P1473)/500/R1465</f>
        <v>0.46919933914004</v>
      </c>
      <c r="G1492" s="89">
        <f>+VLOOKUP(D1492,'材料表 '!C:F,4,0)</f>
        <v>0.15</v>
      </c>
      <c r="H1492" s="74">
        <f t="shared" si="247"/>
        <v>0.539579240011046</v>
      </c>
      <c r="I1492" s="74">
        <f>+VLOOKUP(D1492,'材料表 '!C:F,3,0)</f>
        <v>11.5044247787611</v>
      </c>
      <c r="J1492" s="51">
        <f t="shared" si="248"/>
        <v>6.20754877888816</v>
      </c>
      <c r="K1492" s="43">
        <f ca="1">H1492*K1464</f>
        <v>4.6114816</v>
      </c>
      <c r="L1492" s="92"/>
      <c r="M1492" s="44"/>
      <c r="N1492" s="82"/>
      <c r="O1492" s="44"/>
      <c r="P1492" s="44"/>
      <c r="Q1492" s="44"/>
      <c r="R1492" s="84"/>
      <c r="S1492" s="47"/>
      <c r="T1492" s="47"/>
    </row>
    <row r="1493" s="27" customFormat="1" ht="18" customHeight="1" spans="1:20">
      <c r="A1493" s="34"/>
      <c r="B1493" s="48">
        <v>16</v>
      </c>
      <c r="C1493" s="48"/>
      <c r="D1493" s="88" t="s">
        <v>576</v>
      </c>
      <c r="E1493" s="72" t="str">
        <f>+VLOOKUP(D1493,'材料表 '!C:F,2,0)</f>
        <v>支</v>
      </c>
      <c r="F1493" s="77">
        <v>0</v>
      </c>
      <c r="G1493" s="89">
        <f>+VLOOKUP(D1493,'材料表 '!C:F,4,0)</f>
        <v>0.15</v>
      </c>
      <c r="H1493" s="74">
        <f t="shared" si="247"/>
        <v>0</v>
      </c>
      <c r="I1493" s="74">
        <f>+VLOOKUP(D1493,'材料表 '!C:F,3,0)</f>
        <v>14.1592920353982</v>
      </c>
      <c r="J1493" s="51">
        <f t="shared" si="248"/>
        <v>0</v>
      </c>
      <c r="K1493" s="43">
        <f ca="1">H1493*K1464</f>
        <v>0</v>
      </c>
      <c r="L1493" s="92"/>
      <c r="M1493" s="44"/>
      <c r="N1493" s="82"/>
      <c r="O1493" s="44"/>
      <c r="P1493" s="44"/>
      <c r="Q1493" s="44"/>
      <c r="R1493" s="84"/>
      <c r="S1493" s="47"/>
      <c r="T1493" s="47"/>
    </row>
    <row r="1494" s="27" customFormat="1" ht="18" customHeight="1" spans="1:20">
      <c r="A1494" s="34"/>
      <c r="B1494" s="48">
        <v>17</v>
      </c>
      <c r="C1494" s="48"/>
      <c r="D1494" s="88" t="s">
        <v>479</v>
      </c>
      <c r="E1494" s="72" t="str">
        <f>+VLOOKUP(D1494,'材料表 '!C:F,2,0)</f>
        <v>kg</v>
      </c>
      <c r="F1494" s="77">
        <v>0</v>
      </c>
      <c r="G1494" s="89">
        <f>+VLOOKUP(D1494,'材料表 '!C:F,4,0)</f>
        <v>0.03</v>
      </c>
      <c r="H1494" s="74">
        <f t="shared" si="247"/>
        <v>0</v>
      </c>
      <c r="I1494" s="74">
        <f>+VLOOKUP(D1494,'材料表 '!C:F,3,0)</f>
        <v>14.1592920353982</v>
      </c>
      <c r="J1494" s="51">
        <f t="shared" si="248"/>
        <v>0</v>
      </c>
      <c r="K1494" s="43">
        <f ca="1">H1494*K1464</f>
        <v>0</v>
      </c>
      <c r="L1494" s="92"/>
      <c r="M1494" s="44"/>
      <c r="N1494" s="82"/>
      <c r="O1494" s="44"/>
      <c r="P1494" s="44"/>
      <c r="Q1494" s="44"/>
      <c r="R1494" s="84"/>
      <c r="S1494" s="47"/>
      <c r="T1494" s="47"/>
    </row>
    <row r="1495" s="27" customFormat="1" ht="18" customHeight="1" spans="1:20">
      <c r="A1495" s="34"/>
      <c r="B1495" s="48">
        <v>18</v>
      </c>
      <c r="C1495" s="48"/>
      <c r="D1495" s="88" t="s">
        <v>500</v>
      </c>
      <c r="E1495" s="72" t="str">
        <f>+VLOOKUP(D1495,'材料表 '!C:F,2,0)</f>
        <v>kg</v>
      </c>
      <c r="F1495" s="77">
        <f>R1473+R1474+R1475+R1476+R1477+R1478</f>
        <v>3.78136403929589</v>
      </c>
      <c r="G1495" s="89">
        <f>+VLOOKUP(D1495,'材料表 '!C:F,4,0)</f>
        <v>0.03</v>
      </c>
      <c r="H1495" s="74">
        <f t="shared" si="247"/>
        <v>3.89480496047477</v>
      </c>
      <c r="I1495" s="74">
        <f>+VLOOKUP(D1495,'材料表 '!C:F,3,0)</f>
        <v>14.1592920353982</v>
      </c>
      <c r="J1495" s="51">
        <f t="shared" si="248"/>
        <v>55.1476808562798</v>
      </c>
      <c r="K1495" s="43">
        <f ca="1">H1495*K1464</f>
        <v>33.2867169064</v>
      </c>
      <c r="L1495" s="92"/>
      <c r="M1495" s="44"/>
      <c r="N1495" s="82"/>
      <c r="O1495" s="44"/>
      <c r="P1495" s="44"/>
      <c r="Q1495" s="44"/>
      <c r="R1495" s="84"/>
      <c r="S1495" s="47"/>
      <c r="T1495" s="47"/>
    </row>
    <row r="1496" s="27" customFormat="1" ht="35" customHeight="1" spans="1:20">
      <c r="A1496" s="34"/>
      <c r="B1496" s="48">
        <v>19</v>
      </c>
      <c r="C1496" s="48"/>
      <c r="D1496" s="88" t="s">
        <v>694</v>
      </c>
      <c r="E1496" s="72" t="str">
        <f>+VLOOKUP(D1496,'材料表 '!C:F,2,0)</f>
        <v>m2</v>
      </c>
      <c r="F1496" s="77">
        <v>1</v>
      </c>
      <c r="G1496" s="89">
        <f>+VLOOKUP(D1496,'材料表 '!C:F,4,0)</f>
        <v>0.01</v>
      </c>
      <c r="H1496" s="74">
        <f t="shared" si="247"/>
        <v>1.01</v>
      </c>
      <c r="I1496" s="74">
        <f>+VLOOKUP(D1496,'材料表 '!C:F,3,0)</f>
        <v>1238.05309734513</v>
      </c>
      <c r="J1496" s="51">
        <f t="shared" si="248"/>
        <v>1250.43362831858</v>
      </c>
      <c r="K1496" s="43">
        <f ca="1">H1496*K1464</f>
        <v>8.6319044</v>
      </c>
      <c r="L1496" s="90"/>
      <c r="M1496" s="44"/>
      <c r="N1496" s="82"/>
      <c r="O1496" s="44"/>
      <c r="P1496" s="44"/>
      <c r="Q1496" s="44"/>
      <c r="R1496" s="84"/>
      <c r="S1496" s="47"/>
      <c r="T1496" s="47"/>
    </row>
    <row r="1497" s="27" customFormat="1" ht="21" customHeight="1" spans="1:20">
      <c r="A1497" s="34"/>
      <c r="B1497" s="48">
        <v>20</v>
      </c>
      <c r="C1497" s="48"/>
      <c r="D1497" s="88" t="s">
        <v>1043</v>
      </c>
      <c r="E1497" s="72" t="str">
        <f>+VLOOKUP(D1497,'材料表 '!C:F,2,0)</f>
        <v>套</v>
      </c>
      <c r="F1497" s="77">
        <f>P1476/R1465</f>
        <v>0.468031133430996</v>
      </c>
      <c r="G1497" s="89">
        <f>+VLOOKUP(D1497,'材料表 '!C:F,4,0)</f>
        <v>0</v>
      </c>
      <c r="H1497" s="74">
        <f t="shared" si="247"/>
        <v>0.468031133430996</v>
      </c>
      <c r="I1497" s="74">
        <f>+VLOOKUP(D1497,'材料表 '!C:F,3,0)</f>
        <v>1.32743362831858</v>
      </c>
      <c r="J1497" s="51">
        <f t="shared" si="248"/>
        <v>0.621280265616364</v>
      </c>
      <c r="K1497" s="43">
        <f ca="1">H1497*K1464</f>
        <v>4</v>
      </c>
      <c r="L1497" s="90"/>
      <c r="M1497" s="44"/>
      <c r="N1497" s="82"/>
      <c r="O1497" s="44"/>
      <c r="P1497" s="44"/>
      <c r="Q1497" s="44"/>
      <c r="R1497" s="84"/>
      <c r="S1497" s="47"/>
      <c r="T1497" s="47"/>
    </row>
    <row r="1498" s="27" customFormat="1" ht="18" customHeight="1" spans="1:20">
      <c r="A1498" s="34"/>
      <c r="B1498" s="48">
        <v>21</v>
      </c>
      <c r="C1498" s="48"/>
      <c r="D1498" s="88"/>
      <c r="E1498" s="72"/>
      <c r="F1498" s="77"/>
      <c r="G1498" s="89"/>
      <c r="H1498" s="74"/>
      <c r="I1498" s="74"/>
      <c r="J1498" s="51"/>
      <c r="K1498" s="43">
        <f ca="1">H1498*K1464</f>
        <v>0</v>
      </c>
      <c r="L1498" s="92"/>
      <c r="M1498" s="44"/>
      <c r="N1498" s="82"/>
      <c r="O1498" s="44"/>
      <c r="P1498" s="44"/>
      <c r="Q1498" s="44"/>
      <c r="R1498" s="84"/>
      <c r="S1498" s="47"/>
      <c r="T1498" s="47"/>
    </row>
    <row r="1499" s="27" customFormat="1" ht="18" customHeight="1" spans="1:20">
      <c r="A1499" s="34"/>
      <c r="B1499" s="48">
        <v>22</v>
      </c>
      <c r="C1499" s="48"/>
      <c r="D1499" s="88"/>
      <c r="E1499" s="72"/>
      <c r="F1499" s="77"/>
      <c r="G1499" s="89"/>
      <c r="H1499" s="74"/>
      <c r="I1499" s="74"/>
      <c r="J1499" s="51"/>
      <c r="K1499" s="43">
        <f ca="1">H1499*K1464</f>
        <v>0</v>
      </c>
      <c r="L1499" s="92"/>
      <c r="M1499" s="44"/>
      <c r="N1499" s="44"/>
      <c r="O1499" s="44"/>
      <c r="P1499" s="44"/>
      <c r="Q1499" s="44"/>
      <c r="R1499" s="84"/>
      <c r="S1499" s="47"/>
      <c r="T1499" s="47"/>
    </row>
    <row r="1500" s="27" customFormat="1" ht="18" customHeight="1" spans="1:20">
      <c r="A1500" s="34"/>
      <c r="B1500" s="48">
        <v>23</v>
      </c>
      <c r="C1500" s="48"/>
      <c r="D1500" s="88"/>
      <c r="E1500" s="72"/>
      <c r="F1500" s="77"/>
      <c r="G1500" s="89"/>
      <c r="H1500" s="74"/>
      <c r="I1500" s="74"/>
      <c r="J1500" s="51"/>
      <c r="K1500" s="75">
        <f ca="1">H1500*K1464</f>
        <v>0</v>
      </c>
      <c r="L1500" s="92"/>
      <c r="M1500" s="44"/>
      <c r="N1500" s="44"/>
      <c r="O1500" s="44"/>
      <c r="P1500" s="44"/>
      <c r="Q1500" s="44"/>
      <c r="R1500" s="84"/>
      <c r="S1500" s="47"/>
      <c r="T1500" s="47"/>
    </row>
    <row r="1501" s="27" customFormat="1" ht="18" customHeight="1" spans="1:20">
      <c r="A1501" s="34"/>
      <c r="B1501" s="48">
        <v>24</v>
      </c>
      <c r="C1501" s="48"/>
      <c r="D1501" s="88"/>
      <c r="E1501" s="72"/>
      <c r="F1501" s="77"/>
      <c r="G1501" s="89"/>
      <c r="H1501" s="74"/>
      <c r="I1501" s="74"/>
      <c r="J1501" s="51"/>
      <c r="K1501" s="75">
        <f ca="1">H1501*K1464</f>
        <v>0</v>
      </c>
      <c r="L1501" s="92"/>
      <c r="M1501" s="44"/>
      <c r="N1501" s="44"/>
      <c r="O1501" s="44"/>
      <c r="P1501" s="44"/>
      <c r="Q1501" s="44"/>
      <c r="R1501" s="84"/>
      <c r="S1501" s="47"/>
      <c r="T1501" s="47"/>
    </row>
    <row r="1502" s="27" customFormat="1" ht="18" customHeight="1" spans="1:20">
      <c r="A1502" s="34"/>
      <c r="B1502" s="48">
        <v>25</v>
      </c>
      <c r="C1502" s="48"/>
      <c r="D1502" s="88"/>
      <c r="E1502" s="72"/>
      <c r="F1502" s="77"/>
      <c r="G1502" s="89"/>
      <c r="H1502" s="74"/>
      <c r="I1502" s="74"/>
      <c r="J1502" s="51"/>
      <c r="K1502" s="75"/>
      <c r="L1502" s="92"/>
      <c r="M1502" s="44"/>
      <c r="N1502" s="44"/>
      <c r="O1502" s="44"/>
      <c r="P1502" s="44"/>
      <c r="Q1502" s="44"/>
      <c r="R1502" s="84"/>
      <c r="S1502" s="47"/>
      <c r="T1502" s="47"/>
    </row>
    <row r="1503" s="27" customFormat="1" ht="18" customHeight="1" spans="1:20">
      <c r="A1503" s="34"/>
      <c r="B1503" s="48">
        <v>26</v>
      </c>
      <c r="C1503" s="48"/>
      <c r="D1503" s="88" t="s">
        <v>441</v>
      </c>
      <c r="E1503" s="72" t="s">
        <v>43</v>
      </c>
      <c r="F1503" s="77"/>
      <c r="G1503" s="72">
        <v>1</v>
      </c>
      <c r="H1503" s="74">
        <v>1</v>
      </c>
      <c r="I1503" s="74">
        <f>+辅材及安装费!$E$19</f>
        <v>10</v>
      </c>
      <c r="J1503" s="51">
        <f>H1503*I1503</f>
        <v>10</v>
      </c>
      <c r="K1503" s="75"/>
      <c r="L1503" s="92"/>
      <c r="M1503" s="44"/>
      <c r="N1503" s="44"/>
      <c r="O1503" s="44"/>
      <c r="P1503" s="44"/>
      <c r="Q1503" s="44"/>
      <c r="R1503" s="62"/>
      <c r="S1503" s="47"/>
      <c r="T1503" s="47"/>
    </row>
    <row r="1504" s="27" customFormat="1" ht="18" customHeight="1" spans="1:20">
      <c r="A1504" s="34"/>
      <c r="B1504" s="48">
        <v>27</v>
      </c>
      <c r="C1504" s="48"/>
      <c r="D1504" s="93" t="s">
        <v>442</v>
      </c>
      <c r="E1504" s="72"/>
      <c r="F1504" s="77"/>
      <c r="G1504" s="72"/>
      <c r="H1504" s="74"/>
      <c r="I1504" s="74"/>
      <c r="J1504" s="51">
        <f>SUM(J1478:J1503)</f>
        <v>1628.93762068705</v>
      </c>
      <c r="K1504" s="75"/>
      <c r="L1504" s="94"/>
      <c r="N1504" s="83"/>
      <c r="O1504" s="83"/>
      <c r="P1504" s="83"/>
      <c r="Q1504" s="83"/>
      <c r="R1504" s="87"/>
      <c r="S1504" s="47"/>
      <c r="T1504" s="47"/>
    </row>
    <row r="1505" s="27" customFormat="1" ht="18" customHeight="1" spans="1:21">
      <c r="A1505" s="34"/>
      <c r="B1505" s="48">
        <v>1</v>
      </c>
      <c r="C1505" s="48" t="s">
        <v>443</v>
      </c>
      <c r="D1505" s="48" t="s">
        <v>444</v>
      </c>
      <c r="E1505" s="72" t="s">
        <v>43</v>
      </c>
      <c r="F1505" s="50"/>
      <c r="G1505" s="48"/>
      <c r="H1505" s="51">
        <v>1</v>
      </c>
      <c r="I1505" s="74">
        <f>+辅材及安装费!$F$19</f>
        <v>5</v>
      </c>
      <c r="J1505" s="95">
        <f>H1505*I1505</f>
        <v>5</v>
      </c>
      <c r="K1505" s="60"/>
      <c r="L1505" s="96"/>
      <c r="M1505" s="97"/>
      <c r="N1505" s="98"/>
      <c r="O1505" s="98"/>
      <c r="P1505" s="98"/>
      <c r="Q1505" s="98"/>
      <c r="R1505" s="99"/>
      <c r="S1505" s="47"/>
      <c r="T1505" s="47"/>
    </row>
    <row r="1506" s="27" customFormat="1" ht="26" customHeight="1" spans="1:21">
      <c r="A1506" s="34"/>
      <c r="B1506" s="29" t="s">
        <v>386</v>
      </c>
      <c r="C1506" s="29"/>
      <c r="D1506" s="29"/>
      <c r="E1506" s="29"/>
      <c r="F1506" s="29"/>
      <c r="G1506" s="29"/>
      <c r="H1506" s="29"/>
      <c r="I1506" s="29"/>
      <c r="J1506" s="29"/>
      <c r="K1506" s="75"/>
      <c r="L1506" s="27"/>
      <c r="M1506" s="27"/>
      <c r="N1506" s="83"/>
      <c r="O1506" s="83"/>
      <c r="P1506" s="83"/>
      <c r="Q1506" s="83"/>
      <c r="R1506" s="27"/>
      <c r="S1506" s="47"/>
      <c r="T1506" s="47"/>
    </row>
    <row r="1507" s="27" customFormat="1" ht="41" customHeight="1" spans="1:21">
      <c r="A1507" s="34">
        <v>36</v>
      </c>
      <c r="B1507" s="35" t="s">
        <v>1</v>
      </c>
      <c r="C1507" s="35" t="s">
        <v>387</v>
      </c>
      <c r="D1507" s="36" t="str">
        <f>+A1515</f>
        <v>二层明框玻璃幕墙（6+1.52PVB+6Low-E(双银)+12A+6㎜全超白钢化夹层中空玻璃）（直+弯弧+直）（直段宽度210㎜+弧长942㎜+直段宽度210㎜，圆弧半径600㎜，高620㎜）</v>
      </c>
      <c r="E1507" s="37"/>
      <c r="F1507" s="38" t="s">
        <v>225</v>
      </c>
      <c r="G1507" s="39"/>
      <c r="H1507" s="35" t="s">
        <v>388</v>
      </c>
      <c r="I1507" s="40" t="s">
        <v>389</v>
      </c>
      <c r="J1507" s="41" t="s">
        <v>37</v>
      </c>
      <c r="K1507" s="42">
        <f ca="1">VLOOKUP(A1507,'商业工程量清单 '!$A$4:$D$44,4,FALSE)</f>
        <v>1.68888</v>
      </c>
      <c r="L1507" s="43"/>
      <c r="M1507" s="44"/>
      <c r="N1507" s="44"/>
      <c r="O1507" s="44"/>
      <c r="P1507" s="45"/>
      <c r="Q1507" s="44"/>
      <c r="R1507" s="46"/>
      <c r="S1507" s="47"/>
      <c r="T1507" s="47"/>
    </row>
    <row r="1508" s="27" customFormat="1" ht="25" customHeight="1" spans="1:21">
      <c r="A1508" s="34"/>
      <c r="B1508" s="48">
        <v>1</v>
      </c>
      <c r="C1508" s="49" t="s">
        <v>390</v>
      </c>
      <c r="D1508" s="48" t="s">
        <v>391</v>
      </c>
      <c r="E1508" s="48"/>
      <c r="F1508" s="50"/>
      <c r="G1508" s="48"/>
      <c r="H1508" s="51"/>
      <c r="I1508" s="52">
        <f>J1520</f>
        <v>170</v>
      </c>
      <c r="J1508" s="53" t="s">
        <v>392</v>
      </c>
      <c r="K1508" s="54"/>
      <c r="L1508" s="55" t="s">
        <v>1036</v>
      </c>
      <c r="M1508" s="56"/>
      <c r="N1508" s="57"/>
      <c r="O1508" s="57">
        <f>0.21*2+0.942</f>
        <v>1.362</v>
      </c>
      <c r="P1508" s="57">
        <v>0.62</v>
      </c>
      <c r="Q1508" s="57">
        <v>1</v>
      </c>
      <c r="R1508" s="58">
        <f>+Q1508*P1508*O1508</f>
        <v>0.84444</v>
      </c>
      <c r="S1508" s="47"/>
      <c r="T1508" s="47"/>
    </row>
    <row r="1509" s="27" customFormat="1" ht="18" customHeight="1" spans="1:21">
      <c r="A1509" s="34"/>
      <c r="B1509" s="48">
        <v>2</v>
      </c>
      <c r="C1509" s="59"/>
      <c r="D1509" s="48" t="s">
        <v>394</v>
      </c>
      <c r="E1509" s="48"/>
      <c r="F1509" s="50"/>
      <c r="G1509" s="48"/>
      <c r="H1509" s="51"/>
      <c r="I1509" s="52">
        <f>J1547</f>
        <v>2017.52873796803</v>
      </c>
      <c r="J1509" s="53" t="s">
        <v>392</v>
      </c>
      <c r="K1509" s="60"/>
      <c r="L1509" s="61"/>
      <c r="M1509" s="44"/>
      <c r="N1509" s="44"/>
      <c r="O1509" s="44"/>
      <c r="P1509" s="44"/>
      <c r="Q1509" s="44"/>
      <c r="R1509" s="62"/>
      <c r="S1509" s="47"/>
      <c r="T1509" s="47"/>
    </row>
    <row r="1510" s="27" customFormat="1" ht="18" customHeight="1" spans="1:21">
      <c r="A1510" s="34"/>
      <c r="B1510" s="48">
        <v>3</v>
      </c>
      <c r="C1510" s="63"/>
      <c r="D1510" s="48" t="s">
        <v>395</v>
      </c>
      <c r="E1510" s="48"/>
      <c r="F1510" s="50"/>
      <c r="G1510" s="48"/>
      <c r="H1510" s="51"/>
      <c r="I1510" s="52">
        <f>J1548</f>
        <v>5</v>
      </c>
      <c r="J1510" s="53" t="s">
        <v>392</v>
      </c>
      <c r="K1510" s="60"/>
      <c r="L1510" s="60"/>
      <c r="M1510" s="64" t="s">
        <v>396</v>
      </c>
      <c r="N1510" s="65" t="s">
        <v>397</v>
      </c>
      <c r="O1510" s="65" t="s">
        <v>398</v>
      </c>
      <c r="P1510" s="65" t="s">
        <v>399</v>
      </c>
      <c r="Q1510" s="65" t="s">
        <v>400</v>
      </c>
      <c r="R1510" s="66" t="s">
        <v>401</v>
      </c>
      <c r="S1510" s="47"/>
      <c r="T1510" s="47"/>
    </row>
    <row r="1511" s="27" customFormat="1" ht="18" customHeight="1" spans="1:21">
      <c r="A1511" s="34"/>
      <c r="B1511" s="48">
        <v>4</v>
      </c>
      <c r="C1511" s="48" t="s">
        <v>402</v>
      </c>
      <c r="D1511" s="67" t="s">
        <v>403</v>
      </c>
      <c r="E1511" s="67"/>
      <c r="F1511" s="50"/>
      <c r="G1511" s="67"/>
      <c r="H1511" s="68"/>
      <c r="I1511" s="52">
        <f>SUM(I1508:I1510)</f>
        <v>2192.52873796803</v>
      </c>
      <c r="J1511" s="53" t="s">
        <v>392</v>
      </c>
      <c r="K1511" s="60"/>
      <c r="L1511" s="69" t="s">
        <v>427</v>
      </c>
      <c r="M1511" s="70" t="s">
        <v>1007</v>
      </c>
      <c r="N1511" s="34">
        <v>3.111</v>
      </c>
      <c r="O1511" s="34">
        <f>P1508</f>
        <v>0.62</v>
      </c>
      <c r="P1511" s="34">
        <v>1</v>
      </c>
      <c r="Q1511" s="44">
        <f t="shared" ref="Q1511:Q1521" si="249">+P1511*O1511*N1511</f>
        <v>1.92882</v>
      </c>
      <c r="R1511" s="71">
        <f>+Q1511/R1508</f>
        <v>2.284140969163</v>
      </c>
      <c r="S1511" s="47"/>
      <c r="T1511" s="47"/>
    </row>
    <row r="1512" s="27" customFormat="1" ht="28" customHeight="1" spans="1:21">
      <c r="A1512" s="34"/>
      <c r="B1512" s="48">
        <v>5</v>
      </c>
      <c r="C1512" s="72" t="s">
        <v>406</v>
      </c>
      <c r="D1512" s="48" t="s">
        <v>407</v>
      </c>
      <c r="E1512" s="48"/>
      <c r="F1512" s="50"/>
      <c r="G1512" s="48"/>
      <c r="H1512" s="73">
        <f>+'材料表 '!$E$178</f>
        <v>0</v>
      </c>
      <c r="I1512" s="52">
        <f>H1512*I1511</f>
        <v>0</v>
      </c>
      <c r="J1512" s="53" t="s">
        <v>392</v>
      </c>
      <c r="K1512" s="60"/>
      <c r="L1512" s="69" t="s">
        <v>429</v>
      </c>
      <c r="M1512" s="70" t="s">
        <v>1037</v>
      </c>
      <c r="N1512" s="34">
        <v>3.063</v>
      </c>
      <c r="O1512" s="100">
        <f>O1511/0.3*0.1</f>
        <v>0.206666666666667</v>
      </c>
      <c r="P1512" s="34">
        <f>P1511</f>
        <v>1</v>
      </c>
      <c r="Q1512" s="44">
        <f t="shared" si="249"/>
        <v>0.63302</v>
      </c>
      <c r="R1512" s="71">
        <f>+Q1512/R1508</f>
        <v>0.749632892804699</v>
      </c>
      <c r="S1512" s="47"/>
      <c r="T1512" s="47"/>
    </row>
    <row r="1513" s="27" customFormat="1" ht="18" customHeight="1" spans="1:21">
      <c r="A1513" s="34"/>
      <c r="B1513" s="48">
        <v>6</v>
      </c>
      <c r="C1513" s="48" t="s">
        <v>409</v>
      </c>
      <c r="D1513" s="48" t="s">
        <v>410</v>
      </c>
      <c r="E1513" s="48"/>
      <c r="F1513" s="50"/>
      <c r="G1513" s="48"/>
      <c r="H1513" s="73">
        <f>+'材料表 '!$E$179</f>
        <v>0</v>
      </c>
      <c r="I1513" s="52">
        <f>H1513*I1511</f>
        <v>0</v>
      </c>
      <c r="J1513" s="74" t="s">
        <v>392</v>
      </c>
      <c r="K1513" s="75"/>
      <c r="L1513" s="69" t="s">
        <v>447</v>
      </c>
      <c r="M1513" s="70" t="s">
        <v>1038</v>
      </c>
      <c r="N1513" s="34">
        <f>1.041+0.104</f>
        <v>1.145</v>
      </c>
      <c r="O1513" s="34">
        <f>O1511</f>
        <v>0.62</v>
      </c>
      <c r="P1513" s="34">
        <f>P1511</f>
        <v>1</v>
      </c>
      <c r="Q1513" s="44">
        <f t="shared" si="249"/>
        <v>0.7099</v>
      </c>
      <c r="R1513" s="71">
        <f>+Q1513/R1508</f>
        <v>0.840675477239354</v>
      </c>
      <c r="S1513" s="47">
        <v>0.172</v>
      </c>
      <c r="T1513" s="47">
        <f>O1513*P1513*S1513</f>
        <v>0.10664</v>
      </c>
      <c r="U1513" s="76">
        <f>T1513/R1508</f>
        <v>0.126284875183554</v>
      </c>
    </row>
    <row r="1514" s="27" customFormat="1" ht="18" customHeight="1" spans="1:21">
      <c r="A1514" s="34"/>
      <c r="B1514" s="48">
        <v>7</v>
      </c>
      <c r="C1514" s="48" t="s">
        <v>412</v>
      </c>
      <c r="D1514" s="72" t="s">
        <v>413</v>
      </c>
      <c r="E1514" s="72"/>
      <c r="F1514" s="77"/>
      <c r="G1514" s="72"/>
      <c r="H1514" s="73">
        <f>+'材料表 '!$E$180</f>
        <v>0.09</v>
      </c>
      <c r="I1514" s="52">
        <f>(I1511+I1512+I1513)*H1514</f>
        <v>197.327586417123</v>
      </c>
      <c r="J1514" s="74" t="s">
        <v>392</v>
      </c>
      <c r="K1514" s="75"/>
      <c r="L1514" s="69" t="s">
        <v>429</v>
      </c>
      <c r="M1514" s="70" t="s">
        <v>1010</v>
      </c>
      <c r="N1514" s="102">
        <f>2.9</f>
        <v>2.9</v>
      </c>
      <c r="O1514" s="34">
        <v>0.2</v>
      </c>
      <c r="P1514" s="34">
        <f>P1511</f>
        <v>1</v>
      </c>
      <c r="Q1514" s="44">
        <f t="shared" si="249"/>
        <v>0.58</v>
      </c>
      <c r="R1514" s="71">
        <f>+Q1514/R1508</f>
        <v>0.686845720240633</v>
      </c>
      <c r="S1514" s="47"/>
      <c r="T1514" s="47"/>
    </row>
    <row r="1515" s="27" customFormat="1" ht="20" customHeight="1" spans="1:21">
      <c r="A1515" s="78" t="s">
        <v>277</v>
      </c>
      <c r="B1515" s="48">
        <v>8</v>
      </c>
      <c r="C1515" s="48" t="s">
        <v>363</v>
      </c>
      <c r="D1515" s="72" t="s">
        <v>415</v>
      </c>
      <c r="E1515" s="72"/>
      <c r="F1515" s="77"/>
      <c r="G1515" s="72"/>
      <c r="H1515" s="51"/>
      <c r="I1515" s="74">
        <f>SUM(I1511:I1514)</f>
        <v>2389.85632438515</v>
      </c>
      <c r="J1515" s="74" t="s">
        <v>416</v>
      </c>
      <c r="K1515" s="75"/>
      <c r="L1515" s="69" t="s">
        <v>429</v>
      </c>
      <c r="M1515" s="70" t="s">
        <v>1040</v>
      </c>
      <c r="N1515" s="34">
        <v>0.733</v>
      </c>
      <c r="O1515" s="100">
        <f>O1512*2</f>
        <v>0.413333333333333</v>
      </c>
      <c r="P1515" s="34">
        <f>P1511</f>
        <v>1</v>
      </c>
      <c r="Q1515" s="44">
        <f t="shared" si="249"/>
        <v>0.302973333333333</v>
      </c>
      <c r="R1515" s="71">
        <f>+Q1515/R1508</f>
        <v>0.358786098874205</v>
      </c>
      <c r="S1515" s="79"/>
      <c r="T1515" s="47"/>
    </row>
    <row r="1516" s="27" customFormat="1" ht="18" customHeight="1" spans="1:21">
      <c r="A1516" s="34"/>
      <c r="B1516" s="48" t="s">
        <v>418</v>
      </c>
      <c r="C1516" s="48"/>
      <c r="D1516" s="48"/>
      <c r="E1516" s="48"/>
      <c r="F1516" s="48"/>
      <c r="G1516" s="48"/>
      <c r="H1516" s="48"/>
      <c r="I1516" s="48"/>
      <c r="J1516" s="48"/>
      <c r="K1516" s="80"/>
      <c r="L1516" s="69" t="s">
        <v>404</v>
      </c>
      <c r="M1516" s="70" t="s">
        <v>1041</v>
      </c>
      <c r="N1516" s="34">
        <v>3.727</v>
      </c>
      <c r="O1516" s="34">
        <f>O1508</f>
        <v>1.362</v>
      </c>
      <c r="P1516" s="34">
        <v>1.5</v>
      </c>
      <c r="Q1516" s="44">
        <f t="shared" si="249"/>
        <v>7.614261</v>
      </c>
      <c r="R1516" s="71">
        <f>+Q1516/R1508</f>
        <v>9.01693548387097</v>
      </c>
      <c r="S1516" s="47"/>
      <c r="T1516" s="47"/>
      <c r="U1516" s="76"/>
    </row>
    <row r="1517" s="27" customFormat="1" ht="18" customHeight="1" spans="1:21">
      <c r="A1517" s="34"/>
      <c r="B1517" s="48">
        <v>1</v>
      </c>
      <c r="C1517" s="48" t="s">
        <v>391</v>
      </c>
      <c r="D1517" s="48" t="s">
        <v>396</v>
      </c>
      <c r="E1517" s="48" t="s">
        <v>37</v>
      </c>
      <c r="F1517" s="50"/>
      <c r="G1517" s="48"/>
      <c r="H1517" s="51" t="s">
        <v>399</v>
      </c>
      <c r="I1517" s="51" t="s">
        <v>420</v>
      </c>
      <c r="J1517" s="51" t="s">
        <v>421</v>
      </c>
      <c r="K1517" s="43"/>
      <c r="L1517" s="69" t="s">
        <v>429</v>
      </c>
      <c r="M1517" s="81" t="s">
        <v>1027</v>
      </c>
      <c r="N1517" s="82">
        <v>0.735</v>
      </c>
      <c r="O1517" s="34">
        <f>O1516</f>
        <v>1.362</v>
      </c>
      <c r="P1517" s="34">
        <f>P1516</f>
        <v>1.5</v>
      </c>
      <c r="Q1517" s="44">
        <f t="shared" si="249"/>
        <v>1.501605</v>
      </c>
      <c r="R1517" s="71">
        <f>+Q1517/R1508</f>
        <v>1.77822580645161</v>
      </c>
      <c r="S1517" s="47"/>
      <c r="T1517" s="47"/>
    </row>
    <row r="1518" s="27" customFormat="1" ht="18" customHeight="1" spans="1:21">
      <c r="A1518" s="34"/>
      <c r="B1518" s="48">
        <v>2</v>
      </c>
      <c r="C1518" s="48"/>
      <c r="D1518" s="48" t="s">
        <v>967</v>
      </c>
      <c r="E1518" s="72" t="s">
        <v>423</v>
      </c>
      <c r="F1518" s="50"/>
      <c r="G1518" s="48"/>
      <c r="H1518" s="51">
        <v>1</v>
      </c>
      <c r="I1518" s="51">
        <f>+辅材及安装费!$G$19</f>
        <v>170</v>
      </c>
      <c r="J1518" s="51">
        <f t="shared" ref="J1518:J1526" si="250">H1518*I1518</f>
        <v>170</v>
      </c>
      <c r="K1518" s="43"/>
      <c r="L1518" s="69" t="s">
        <v>447</v>
      </c>
      <c r="M1518" s="70" t="s">
        <v>1038</v>
      </c>
      <c r="N1518" s="83">
        <v>0.977</v>
      </c>
      <c r="O1518" s="34">
        <f>O1516</f>
        <v>1.362</v>
      </c>
      <c r="P1518" s="34">
        <v>0.5</v>
      </c>
      <c r="Q1518" s="44">
        <f t="shared" si="249"/>
        <v>0.665337</v>
      </c>
      <c r="R1518" s="84">
        <f>+Q1518/R1508</f>
        <v>0.787903225806452</v>
      </c>
      <c r="S1518" s="47">
        <v>0.185</v>
      </c>
      <c r="T1518" s="47">
        <f t="shared" ref="T1518:T1521" si="251">O1518*P1518*S1518</f>
        <v>0.125985</v>
      </c>
      <c r="U1518" s="103">
        <f>T1518/R1508</f>
        <v>0.149193548387097</v>
      </c>
    </row>
    <row r="1519" s="27" customFormat="1" ht="18" customHeight="1" spans="1:21">
      <c r="A1519" s="34"/>
      <c r="B1519" s="48">
        <v>3</v>
      </c>
      <c r="C1519" s="48"/>
      <c r="D1519" s="48"/>
      <c r="E1519" s="72"/>
      <c r="F1519" s="50"/>
      <c r="G1519" s="48"/>
      <c r="H1519" s="51"/>
      <c r="I1519" s="51"/>
      <c r="J1519" s="51"/>
      <c r="K1519" s="43"/>
      <c r="L1519" s="69" t="s">
        <v>429</v>
      </c>
      <c r="M1519" s="81" t="s">
        <v>1042</v>
      </c>
      <c r="N1519" s="82">
        <v>0.687</v>
      </c>
      <c r="O1519" s="44">
        <f>0.1</f>
        <v>0.1</v>
      </c>
      <c r="P1519" s="34">
        <f>1*2</f>
        <v>2</v>
      </c>
      <c r="Q1519" s="44">
        <f t="shared" si="249"/>
        <v>0.1374</v>
      </c>
      <c r="R1519" s="84">
        <f>+Q1519/R1508</f>
        <v>0.162711382691488</v>
      </c>
      <c r="S1519" s="47"/>
      <c r="T1519" s="47"/>
    </row>
    <row r="1520" s="27" customFormat="1" ht="18" customHeight="1" spans="1:21">
      <c r="A1520" s="34"/>
      <c r="B1520" s="48">
        <v>4</v>
      </c>
      <c r="C1520" s="48"/>
      <c r="D1520" s="85" t="s">
        <v>426</v>
      </c>
      <c r="E1520" s="48" t="s">
        <v>392</v>
      </c>
      <c r="F1520" s="50"/>
      <c r="G1520" s="48"/>
      <c r="H1520" s="86"/>
      <c r="I1520" s="86"/>
      <c r="J1520" s="51">
        <f>SUM(J1518:J1518)</f>
        <v>170</v>
      </c>
      <c r="K1520" s="75"/>
      <c r="L1520" s="69" t="s">
        <v>447</v>
      </c>
      <c r="M1520" s="70" t="s">
        <v>1038</v>
      </c>
      <c r="N1520" s="34">
        <f>0.668*2.71+0.022*2.71</f>
        <v>1.8699</v>
      </c>
      <c r="O1520" s="34">
        <f>O1508</f>
        <v>1.362</v>
      </c>
      <c r="P1520" s="34">
        <v>1</v>
      </c>
      <c r="Q1520" s="44">
        <f t="shared" si="249"/>
        <v>2.5468038</v>
      </c>
      <c r="R1520" s="71">
        <f>+Q1520/R1508</f>
        <v>3.01596774193548</v>
      </c>
      <c r="S1520" s="47">
        <v>0.31</v>
      </c>
      <c r="T1520" s="47">
        <f t="shared" si="251"/>
        <v>0.42222</v>
      </c>
      <c r="U1520" s="76">
        <f>T1520/R1508</f>
        <v>0.5</v>
      </c>
    </row>
    <row r="1521" s="27" customFormat="1" ht="23" customHeight="1" spans="1:21">
      <c r="A1521" s="34"/>
      <c r="B1521" s="48">
        <v>1</v>
      </c>
      <c r="C1521" s="48" t="s">
        <v>394</v>
      </c>
      <c r="D1521" s="88" t="s">
        <v>427</v>
      </c>
      <c r="E1521" s="72" t="str">
        <f>+VLOOKUP(D1521,'材料表 '!C:F,2,0)</f>
        <v>kg</v>
      </c>
      <c r="F1521" s="77">
        <f>+SUMIF($L$1508:$L$1548,D1521,$R$1508:$R$1548)</f>
        <v>2.284140969163</v>
      </c>
      <c r="G1521" s="89">
        <f>+VLOOKUP(D1521,'材料表 '!C:F,4,0)</f>
        <v>0.03</v>
      </c>
      <c r="H1521" s="74">
        <f t="shared" ref="H1521:H1526" si="252">F1521*(G1521+1)</f>
        <v>2.35266519823789</v>
      </c>
      <c r="I1521" s="74">
        <f>+VLOOKUP(D1521,'材料表 '!C:F,3,0)</f>
        <v>25.8495575221239</v>
      </c>
      <c r="J1521" s="51">
        <f t="shared" si="250"/>
        <v>60.8153543721494</v>
      </c>
      <c r="K1521" s="75">
        <f ca="1">H1521*K1507</f>
        <v>3.97336920000001</v>
      </c>
      <c r="L1521" s="69" t="s">
        <v>447</v>
      </c>
      <c r="M1521" s="70" t="s">
        <v>1049</v>
      </c>
      <c r="N1521" s="34">
        <f>0.074*2.71</f>
        <v>0.20054</v>
      </c>
      <c r="O1521" s="34">
        <f>O1508</f>
        <v>1.362</v>
      </c>
      <c r="P1521" s="34">
        <v>1</v>
      </c>
      <c r="Q1521" s="44">
        <f t="shared" si="249"/>
        <v>0.27313548</v>
      </c>
      <c r="R1521" s="71">
        <f>+Q1521/R1508</f>
        <v>0.323451612903226</v>
      </c>
      <c r="S1521" s="47">
        <f>0.048</f>
        <v>0.048</v>
      </c>
      <c r="T1521" s="47">
        <f t="shared" si="251"/>
        <v>0.065376</v>
      </c>
      <c r="U1521" s="76">
        <f>T1521/R1508</f>
        <v>0.0774193548387097</v>
      </c>
    </row>
    <row r="1522" s="27" customFormat="1" ht="18" customHeight="1" spans="1:21">
      <c r="A1522" s="34"/>
      <c r="B1522" s="48">
        <v>2</v>
      </c>
      <c r="C1522" s="48"/>
      <c r="D1522" s="88" t="s">
        <v>404</v>
      </c>
      <c r="E1522" s="72" t="str">
        <f>+VLOOKUP(D1522,'材料表 '!C:F,2,0)</f>
        <v>kg</v>
      </c>
      <c r="F1522" s="77">
        <f t="shared" ref="F1522:F1534" si="253">+SUMIF($L$1508:$L$1548,D1522,$R$1508:$R$1548)</f>
        <v>9.01693548387097</v>
      </c>
      <c r="G1522" s="89">
        <f>+VLOOKUP(D1522,'材料表 '!C:F,4,0)</f>
        <v>0.03</v>
      </c>
      <c r="H1522" s="74">
        <f t="shared" si="252"/>
        <v>9.2874435483871</v>
      </c>
      <c r="I1522" s="74">
        <f>+VLOOKUP(D1522,'材料表 '!C:F,3,0)</f>
        <v>25.6725663716814</v>
      </c>
      <c r="J1522" s="51">
        <f t="shared" si="250"/>
        <v>238.432510919212</v>
      </c>
      <c r="K1522" s="75">
        <f ca="1">H1522*K1507</f>
        <v>15.68537766</v>
      </c>
      <c r="L1522" s="69"/>
      <c r="M1522" s="70"/>
      <c r="N1522" s="83"/>
      <c r="O1522" s="83"/>
      <c r="P1522" s="83"/>
      <c r="Q1522" s="83"/>
      <c r="R1522" s="87"/>
      <c r="S1522" s="47"/>
      <c r="T1522" s="34"/>
    </row>
    <row r="1523" s="27" customFormat="1" ht="18" customHeight="1" spans="1:21">
      <c r="A1523" s="34"/>
      <c r="B1523" s="48">
        <v>3</v>
      </c>
      <c r="C1523" s="48"/>
      <c r="D1523" s="88" t="s">
        <v>433</v>
      </c>
      <c r="E1523" s="72" t="str">
        <f>+VLOOKUP(D1523,'材料表 '!C:F,2,0)</f>
        <v>kg</v>
      </c>
      <c r="F1523" s="77">
        <f t="shared" si="253"/>
        <v>0</v>
      </c>
      <c r="G1523" s="89">
        <f>+VLOOKUP(D1523,'材料表 '!C:F,4,0)</f>
        <v>0.03</v>
      </c>
      <c r="H1523" s="74">
        <f t="shared" si="252"/>
        <v>0</v>
      </c>
      <c r="I1523" s="74">
        <f>+VLOOKUP(D1523,'材料表 '!C:F,3,0)</f>
        <v>26.1150442477876</v>
      </c>
      <c r="J1523" s="51">
        <f t="shared" si="250"/>
        <v>0</v>
      </c>
      <c r="K1523" s="75">
        <f ca="1">H1523*K1507</f>
        <v>0</v>
      </c>
      <c r="L1523" s="69"/>
      <c r="N1523" s="83"/>
      <c r="O1523" s="83"/>
      <c r="P1523" s="83"/>
      <c r="Q1523" s="83"/>
      <c r="R1523" s="87"/>
      <c r="S1523" s="47"/>
      <c r="T1523" s="47"/>
    </row>
    <row r="1524" s="27" customFormat="1" ht="18" customHeight="1" spans="1:21">
      <c r="A1524" s="34"/>
      <c r="B1524" s="48">
        <v>4</v>
      </c>
      <c r="C1524" s="48"/>
      <c r="D1524" s="88" t="s">
        <v>429</v>
      </c>
      <c r="E1524" s="72" t="str">
        <f>+VLOOKUP(D1524,'材料表 '!C:F,2,0)</f>
        <v>kg</v>
      </c>
      <c r="F1524" s="77">
        <f t="shared" si="253"/>
        <v>3.73620190106264</v>
      </c>
      <c r="G1524" s="89">
        <f>+VLOOKUP(D1524,'材料表 '!C:F,4,0)</f>
        <v>0.03</v>
      </c>
      <c r="H1524" s="74">
        <f t="shared" si="252"/>
        <v>3.84828795809452</v>
      </c>
      <c r="I1524" s="74">
        <f>+VLOOKUP(D1524,'材料表 '!C:F,3,0)</f>
        <v>26.1150442477876</v>
      </c>
      <c r="J1524" s="51">
        <f t="shared" si="250"/>
        <v>100.498210303867</v>
      </c>
      <c r="K1524" s="75">
        <f ca="1">H1524*K1507</f>
        <v>6.49929656666667</v>
      </c>
      <c r="L1524" s="90" t="s">
        <v>707</v>
      </c>
      <c r="M1524" s="44"/>
      <c r="N1524" s="82"/>
      <c r="O1524" s="44">
        <f>O1516*P1516</f>
        <v>2.043</v>
      </c>
      <c r="P1524" s="44">
        <v>1</v>
      </c>
      <c r="Q1524" s="44">
        <f>+P1524*O1524</f>
        <v>2.043</v>
      </c>
      <c r="R1524" s="84">
        <f>+Q1524/R1508</f>
        <v>2.41935483870968</v>
      </c>
      <c r="S1524" s="47"/>
      <c r="T1524" s="47"/>
    </row>
    <row r="1525" s="27" customFormat="1" ht="18" customHeight="1" spans="1:21">
      <c r="A1525" s="34"/>
      <c r="B1525" s="48">
        <v>5</v>
      </c>
      <c r="C1525" s="48"/>
      <c r="D1525" s="88" t="s">
        <v>447</v>
      </c>
      <c r="E1525" s="72" t="str">
        <f>+VLOOKUP(D1525,'材料表 '!C:F,2,0)</f>
        <v>kg</v>
      </c>
      <c r="F1525" s="77">
        <f t="shared" si="253"/>
        <v>4.96799805788451</v>
      </c>
      <c r="G1525" s="89">
        <f>+VLOOKUP(D1525,'材料表 '!C:F,4,0)</f>
        <v>0.03</v>
      </c>
      <c r="H1525" s="74">
        <f t="shared" si="252"/>
        <v>5.11703799962105</v>
      </c>
      <c r="I1525" s="74">
        <f>+VLOOKUP(D1525,'材料表 '!C:F,3,0)</f>
        <v>24.4336283185841</v>
      </c>
      <c r="J1525" s="51">
        <f t="shared" si="250"/>
        <v>125.027804574812</v>
      </c>
      <c r="K1525" s="43">
        <f ca="1">H1525*K1507</f>
        <v>8.6420631368</v>
      </c>
      <c r="L1525" s="90" t="s">
        <v>435</v>
      </c>
      <c r="M1525" s="44"/>
      <c r="N1525" s="82">
        <f>0.073*1.2</f>
        <v>0.0876</v>
      </c>
      <c r="O1525" s="44">
        <f>O1511*P1511*3+O1516*P1516*4</f>
        <v>10.032</v>
      </c>
      <c r="P1525" s="44">
        <v>1</v>
      </c>
      <c r="Q1525" s="44">
        <f>+P1525*O1525</f>
        <v>10.032</v>
      </c>
      <c r="R1525" s="84">
        <f>+Q1525/R1508</f>
        <v>11.8800625266449</v>
      </c>
      <c r="S1525" s="47"/>
      <c r="T1525" s="47"/>
    </row>
    <row r="1526" s="27" customFormat="1" ht="18" customHeight="1" spans="1:21">
      <c r="A1526" s="34"/>
      <c r="B1526" s="48">
        <v>6</v>
      </c>
      <c r="C1526" s="48"/>
      <c r="D1526" s="88" t="s">
        <v>434</v>
      </c>
      <c r="E1526" s="72" t="str">
        <f>+VLOOKUP(D1526,'材料表 '!C:F,2,0)</f>
        <v>m2</v>
      </c>
      <c r="F1526" s="77">
        <f>U1513+U1518+U1520+U1521</f>
        <v>0.85289777840936</v>
      </c>
      <c r="G1526" s="89">
        <f>+VLOOKUP(D1526,'材料表 '!C:F,4,0)</f>
        <v>0</v>
      </c>
      <c r="H1526" s="74">
        <f t="shared" si="252"/>
        <v>0.85289777840936</v>
      </c>
      <c r="I1526" s="74">
        <f>+VLOOKUP(D1526,'材料表 '!C:F,3,0)</f>
        <v>49.5575221238938</v>
      </c>
      <c r="J1526" s="51">
        <f t="shared" si="250"/>
        <v>42.2675005229417</v>
      </c>
      <c r="K1526" s="43">
        <f ca="1">H1526*K1507</f>
        <v>1.440442</v>
      </c>
      <c r="L1526" s="90" t="s">
        <v>463</v>
      </c>
      <c r="M1526" s="91" t="s">
        <v>1012</v>
      </c>
      <c r="N1526" s="82">
        <f>0.32*0.3*8*7.85</f>
        <v>6.0288</v>
      </c>
      <c r="O1526" s="44">
        <v>0.5</v>
      </c>
      <c r="P1526" s="44">
        <f>P1511</f>
        <v>1</v>
      </c>
      <c r="Q1526" s="44">
        <f t="shared" ref="Q1526:Q1530" si="254">+P1526*O1526*N1526</f>
        <v>3.0144</v>
      </c>
      <c r="R1526" s="84">
        <f>+Q1526/R1508</f>
        <v>3.56970299843683</v>
      </c>
      <c r="S1526" s="47"/>
      <c r="T1526" s="47"/>
    </row>
    <row r="1527" s="27" customFormat="1" ht="18" customHeight="1" spans="1:21">
      <c r="A1527" s="34"/>
      <c r="B1527" s="48">
        <v>7</v>
      </c>
      <c r="C1527" s="48"/>
      <c r="D1527" s="88"/>
      <c r="E1527" s="72"/>
      <c r="F1527" s="77">
        <f t="shared" si="253"/>
        <v>0</v>
      </c>
      <c r="G1527" s="89"/>
      <c r="H1527" s="74"/>
      <c r="I1527" s="74"/>
      <c r="J1527" s="51"/>
      <c r="K1527" s="43">
        <f ca="1">H1527*K1507</f>
        <v>0</v>
      </c>
      <c r="L1527" s="69" t="s">
        <v>465</v>
      </c>
      <c r="M1527" s="81" t="s">
        <v>1013</v>
      </c>
      <c r="N1527" s="34">
        <v>9.88</v>
      </c>
      <c r="O1527" s="34">
        <f>0.13</f>
        <v>0.13</v>
      </c>
      <c r="P1527" s="34">
        <f>2*P1526*O1526</f>
        <v>1</v>
      </c>
      <c r="Q1527" s="44">
        <f t="shared" si="254"/>
        <v>1.2844</v>
      </c>
      <c r="R1527" s="84">
        <f>Q1527/R1508</f>
        <v>1.52100800530529</v>
      </c>
      <c r="S1527" s="47"/>
      <c r="T1527" s="47"/>
    </row>
    <row r="1528" s="27" customFormat="1" ht="18" customHeight="1" spans="1:21">
      <c r="A1528" s="34"/>
      <c r="B1528" s="48">
        <v>8</v>
      </c>
      <c r="C1528" s="48"/>
      <c r="D1528" s="88" t="s">
        <v>431</v>
      </c>
      <c r="E1528" s="72" t="str">
        <f>+VLOOKUP(D1528,'材料表 '!C:F,2,0)</f>
        <v>kg</v>
      </c>
      <c r="F1528" s="77">
        <f t="shared" si="253"/>
        <v>0</v>
      </c>
      <c r="G1528" s="89">
        <f>+VLOOKUP(D1528,'材料表 '!C:F,4,0)</f>
        <v>0.03</v>
      </c>
      <c r="H1528" s="74">
        <f t="shared" ref="H1528:H1540" si="255">F1528*(G1528+1)</f>
        <v>0</v>
      </c>
      <c r="I1528" s="74">
        <f>+VLOOKUP(D1528,'材料表 '!C:F,3,0)</f>
        <v>3.80530973451327</v>
      </c>
      <c r="J1528" s="51">
        <f t="shared" ref="J1528:J1540" si="256">H1528*I1528</f>
        <v>0</v>
      </c>
      <c r="K1528" s="43">
        <f ca="1">H1528*K1507</f>
        <v>0</v>
      </c>
      <c r="L1528" s="90" t="s">
        <v>474</v>
      </c>
      <c r="M1528" s="44"/>
      <c r="N1528" s="82"/>
      <c r="O1528" s="44">
        <v>4</v>
      </c>
      <c r="P1528" s="44">
        <f>O1526*P1526</f>
        <v>0.5</v>
      </c>
      <c r="Q1528" s="44">
        <f>O1528*P1528</f>
        <v>2</v>
      </c>
      <c r="R1528" s="84">
        <f>Q1528/R1508</f>
        <v>2.36843351807115</v>
      </c>
      <c r="S1528" s="47"/>
      <c r="T1528" s="47"/>
    </row>
    <row r="1529" s="27" customFormat="1" ht="18" customHeight="1" spans="1:21">
      <c r="A1529" s="34"/>
      <c r="B1529" s="48">
        <v>9</v>
      </c>
      <c r="C1529" s="48"/>
      <c r="D1529" s="88" t="s">
        <v>461</v>
      </c>
      <c r="E1529" s="72" t="str">
        <f>+VLOOKUP(D1529,'材料表 '!C:F,2,0)</f>
        <v>kg</v>
      </c>
      <c r="F1529" s="77">
        <f t="shared" si="253"/>
        <v>0</v>
      </c>
      <c r="G1529" s="89">
        <f>+VLOOKUP(D1529,'材料表 '!C:F,4,0)</f>
        <v>0.03</v>
      </c>
      <c r="H1529" s="74">
        <f t="shared" si="255"/>
        <v>0</v>
      </c>
      <c r="I1529" s="74">
        <f>+VLOOKUP(D1529,'材料表 '!C:F,3,0)</f>
        <v>3.53982300884956</v>
      </c>
      <c r="J1529" s="51">
        <f t="shared" si="256"/>
        <v>0</v>
      </c>
      <c r="K1529" s="43">
        <f ca="1">H1529*K1507</f>
        <v>0</v>
      </c>
      <c r="L1529" s="90" t="s">
        <v>472</v>
      </c>
      <c r="M1529" s="91"/>
      <c r="N1529" s="82"/>
      <c r="O1529" s="44">
        <v>2</v>
      </c>
      <c r="P1529" s="44">
        <f>O1526*P1526</f>
        <v>0.5</v>
      </c>
      <c r="Q1529" s="44">
        <f>O1529*P1529</f>
        <v>1</v>
      </c>
      <c r="R1529" s="84">
        <f>Q1529/R1508</f>
        <v>1.18421675903557</v>
      </c>
      <c r="S1529" s="47"/>
      <c r="T1529" s="47"/>
    </row>
    <row r="1530" s="27" customFormat="1" ht="18" customHeight="1" spans="1:21">
      <c r="A1530" s="34"/>
      <c r="B1530" s="48">
        <v>10</v>
      </c>
      <c r="C1530" s="48"/>
      <c r="D1530" s="88" t="s">
        <v>435</v>
      </c>
      <c r="E1530" s="72" t="str">
        <f>+VLOOKUP(D1530,'材料表 '!C:F,2,0)</f>
        <v>kg</v>
      </c>
      <c r="F1530" s="77">
        <f t="shared" si="253"/>
        <v>11.8800625266449</v>
      </c>
      <c r="G1530" s="89">
        <f>+VLOOKUP(D1530,'材料表 '!C:F,4,0)</f>
        <v>0.03</v>
      </c>
      <c r="H1530" s="74">
        <f t="shared" si="255"/>
        <v>12.2364644024442</v>
      </c>
      <c r="I1530" s="74">
        <f>+VLOOKUP(D1530,'材料表 '!C:F,3,0)</f>
        <v>19.4690265486726</v>
      </c>
      <c r="J1530" s="51">
        <f t="shared" si="256"/>
        <v>238.232050313074</v>
      </c>
      <c r="K1530" s="43">
        <f ca="1">H1530*K1507</f>
        <v>20.66592</v>
      </c>
      <c r="L1530" s="69" t="s">
        <v>465</v>
      </c>
      <c r="M1530" s="91"/>
      <c r="N1530" s="82">
        <f>(0.058+0.04*2)*5*7.85</f>
        <v>5.4165</v>
      </c>
      <c r="O1530" s="44">
        <v>0</v>
      </c>
      <c r="P1530" s="44">
        <v>1</v>
      </c>
      <c r="Q1530" s="44">
        <f t="shared" si="254"/>
        <v>0</v>
      </c>
      <c r="R1530" s="84">
        <f>+Q1530/R1508</f>
        <v>0</v>
      </c>
      <c r="S1530" s="47"/>
      <c r="T1530" s="47"/>
    </row>
    <row r="1531" s="27" customFormat="1" ht="18" customHeight="1" spans="1:21">
      <c r="A1531" s="34"/>
      <c r="B1531" s="48">
        <v>11</v>
      </c>
      <c r="C1531" s="48"/>
      <c r="D1531" s="88" t="s">
        <v>463</v>
      </c>
      <c r="E1531" s="72" t="str">
        <f>+VLOOKUP(D1531,'材料表 '!C:F,2,0)</f>
        <v>kg</v>
      </c>
      <c r="F1531" s="77">
        <f t="shared" si="253"/>
        <v>3.56970299843683</v>
      </c>
      <c r="G1531" s="89">
        <f>+VLOOKUP(D1531,'材料表 '!C:F,4,0)</f>
        <v>0.03</v>
      </c>
      <c r="H1531" s="74">
        <f t="shared" si="255"/>
        <v>3.67679408838993</v>
      </c>
      <c r="I1531" s="74">
        <f>+VLOOKUP(D1531,'材料表 '!C:F,3,0)</f>
        <v>6.01769911504425</v>
      </c>
      <c r="J1531" s="51">
        <f t="shared" si="256"/>
        <v>22.125840531904</v>
      </c>
      <c r="K1531" s="43">
        <f ca="1">H1531*K1507</f>
        <v>6.20966399999998</v>
      </c>
      <c r="L1531" s="69" t="s">
        <v>461</v>
      </c>
      <c r="N1531" s="83"/>
      <c r="O1531" s="83"/>
      <c r="P1531" s="83"/>
      <c r="Q1531" s="83"/>
      <c r="R1531" s="84"/>
      <c r="S1531" s="47"/>
      <c r="T1531" s="47"/>
    </row>
    <row r="1532" s="27" customFormat="1" ht="18" customHeight="1" spans="1:21">
      <c r="A1532" s="34"/>
      <c r="B1532" s="48">
        <v>12</v>
      </c>
      <c r="C1532" s="48"/>
      <c r="D1532" s="88" t="s">
        <v>465</v>
      </c>
      <c r="E1532" s="72" t="str">
        <f>+VLOOKUP(D1532,'材料表 '!C:F,2,0)</f>
        <v>kg</v>
      </c>
      <c r="F1532" s="77">
        <f t="shared" si="253"/>
        <v>1.52100800530529</v>
      </c>
      <c r="G1532" s="89">
        <f>+VLOOKUP(D1532,'材料表 '!C:F,4,0)</f>
        <v>0.03</v>
      </c>
      <c r="H1532" s="74">
        <f t="shared" si="255"/>
        <v>1.56663824546445</v>
      </c>
      <c r="I1532" s="74">
        <f>+VLOOKUP(D1532,'材料表 '!C:F,3,0)</f>
        <v>6.01769911504425</v>
      </c>
      <c r="J1532" s="51">
        <f t="shared" si="256"/>
        <v>9.42755758332589</v>
      </c>
      <c r="K1532" s="43">
        <f ca="1">H1532*K1507</f>
        <v>2.645864</v>
      </c>
      <c r="L1532" s="90"/>
      <c r="M1532" s="44"/>
      <c r="N1532" s="82"/>
      <c r="O1532" s="44"/>
      <c r="P1532" s="44"/>
      <c r="Q1532" s="44"/>
      <c r="R1532" s="84"/>
      <c r="S1532" s="47"/>
      <c r="T1532" s="47"/>
    </row>
    <row r="1533" s="27" customFormat="1" ht="18" customHeight="1" spans="1:21">
      <c r="A1533" s="34"/>
      <c r="B1533" s="48">
        <v>13</v>
      </c>
      <c r="C1533" s="48"/>
      <c r="D1533" s="88" t="s">
        <v>474</v>
      </c>
      <c r="E1533" s="72" t="str">
        <f>+VLOOKUP(D1533,'材料表 '!C:F,2,0)</f>
        <v>套</v>
      </c>
      <c r="F1533" s="77">
        <f t="shared" si="253"/>
        <v>2.36843351807115</v>
      </c>
      <c r="G1533" s="89">
        <f>+VLOOKUP(D1533,'材料表 '!C:F,4,0)</f>
        <v>0</v>
      </c>
      <c r="H1533" s="74">
        <f t="shared" si="255"/>
        <v>2.36843351807115</v>
      </c>
      <c r="I1533" s="74">
        <f>+VLOOKUP(D1533,'材料表 '!C:F,3,0)</f>
        <v>2.21238938053097</v>
      </c>
      <c r="J1533" s="51">
        <f t="shared" si="256"/>
        <v>5.23989716387422</v>
      </c>
      <c r="K1533" s="43">
        <f ca="1">H1533*K1507</f>
        <v>4</v>
      </c>
      <c r="L1533" s="90"/>
      <c r="M1533" s="44"/>
      <c r="N1533" s="82"/>
      <c r="O1533" s="44"/>
      <c r="P1533" s="44"/>
      <c r="Q1533" s="44"/>
      <c r="R1533" s="84"/>
      <c r="S1533" s="47"/>
      <c r="T1533" s="47"/>
    </row>
    <row r="1534" s="27" customFormat="1" ht="18" customHeight="1" spans="1:21">
      <c r="A1534" s="34"/>
      <c r="B1534" s="48">
        <v>14</v>
      </c>
      <c r="C1534" s="48"/>
      <c r="D1534" s="88" t="s">
        <v>472</v>
      </c>
      <c r="E1534" s="72" t="str">
        <f>+VLOOKUP(D1534,'材料表 '!C:F,2,0)</f>
        <v>套</v>
      </c>
      <c r="F1534" s="77">
        <f t="shared" si="253"/>
        <v>1.18421675903557</v>
      </c>
      <c r="G1534" s="89">
        <f>+VLOOKUP(D1534,'材料表 '!C:F,4,0)</f>
        <v>0</v>
      </c>
      <c r="H1534" s="74">
        <f t="shared" si="255"/>
        <v>1.18421675903557</v>
      </c>
      <c r="I1534" s="74">
        <f>+VLOOKUP(D1534,'材料表 '!C:F,3,0)</f>
        <v>2.47787610619469</v>
      </c>
      <c r="J1534" s="51">
        <f t="shared" si="256"/>
        <v>2.93434241176955</v>
      </c>
      <c r="K1534" s="43">
        <f ca="1">H1534*K1507</f>
        <v>1.99999999999999</v>
      </c>
      <c r="L1534" s="90"/>
      <c r="M1534" s="44"/>
      <c r="N1534" s="82"/>
      <c r="O1534" s="44"/>
      <c r="P1534" s="44"/>
      <c r="Q1534" s="44"/>
      <c r="R1534" s="84"/>
      <c r="S1534" s="47"/>
      <c r="T1534" s="47"/>
    </row>
    <row r="1535" s="27" customFormat="1" ht="18" customHeight="1" spans="1:21">
      <c r="A1535" s="34"/>
      <c r="B1535" s="48">
        <v>15</v>
      </c>
      <c r="C1535" s="48"/>
      <c r="D1535" s="88" t="s">
        <v>476</v>
      </c>
      <c r="E1535" s="72" t="str">
        <f>+VLOOKUP(D1535,'材料表 '!C:F,2,0)</f>
        <v>支</v>
      </c>
      <c r="F1535" s="77">
        <f>8*8*(O1516*P1516*2)/500/R1508+16*8*(O1511*P1511+O1516*P1516)/500/R1508</f>
        <v>1.42666856141348</v>
      </c>
      <c r="G1535" s="89">
        <f>+VLOOKUP(D1535,'材料表 '!C:F,4,0)</f>
        <v>0.15</v>
      </c>
      <c r="H1535" s="74">
        <f t="shared" si="255"/>
        <v>1.6406688456255</v>
      </c>
      <c r="I1535" s="74">
        <f>+VLOOKUP(D1535,'材料表 '!C:F,3,0)</f>
        <v>11.5044247787611</v>
      </c>
      <c r="J1535" s="51">
        <f t="shared" si="256"/>
        <v>18.8749513213554</v>
      </c>
      <c r="K1535" s="43">
        <f ca="1">H1535*K1507</f>
        <v>2.77089279999999</v>
      </c>
      <c r="L1535" s="92"/>
      <c r="M1535" s="44"/>
      <c r="N1535" s="82"/>
      <c r="O1535" s="44"/>
      <c r="P1535" s="44"/>
      <c r="Q1535" s="44"/>
      <c r="R1535" s="84"/>
      <c r="S1535" s="47"/>
      <c r="T1535" s="47"/>
    </row>
    <row r="1536" s="27" customFormat="1" ht="18" customHeight="1" spans="1:21">
      <c r="A1536" s="34"/>
      <c r="B1536" s="48">
        <v>16</v>
      </c>
      <c r="C1536" s="48"/>
      <c r="D1536" s="88" t="s">
        <v>576</v>
      </c>
      <c r="E1536" s="72" t="str">
        <f>+VLOOKUP(D1536,'材料表 '!C:F,2,0)</f>
        <v>支</v>
      </c>
      <c r="F1536" s="77">
        <v>0</v>
      </c>
      <c r="G1536" s="89">
        <f>+VLOOKUP(D1536,'材料表 '!C:F,4,0)</f>
        <v>0.15</v>
      </c>
      <c r="H1536" s="74">
        <f t="shared" si="255"/>
        <v>0</v>
      </c>
      <c r="I1536" s="74">
        <f>+VLOOKUP(D1536,'材料表 '!C:F,3,0)</f>
        <v>14.1592920353982</v>
      </c>
      <c r="J1536" s="51">
        <f t="shared" si="256"/>
        <v>0</v>
      </c>
      <c r="K1536" s="43">
        <f ca="1">H1536*K1507</f>
        <v>0</v>
      </c>
      <c r="L1536" s="92"/>
      <c r="M1536" s="44"/>
      <c r="N1536" s="82"/>
      <c r="O1536" s="44"/>
      <c r="P1536" s="44"/>
      <c r="Q1536" s="44"/>
      <c r="R1536" s="84"/>
      <c r="S1536" s="47"/>
      <c r="T1536" s="47"/>
    </row>
    <row r="1537" s="27" customFormat="1" ht="18" customHeight="1" spans="1:20">
      <c r="A1537" s="34"/>
      <c r="B1537" s="48">
        <v>17</v>
      </c>
      <c r="C1537" s="48"/>
      <c r="D1537" s="88" t="s">
        <v>479</v>
      </c>
      <c r="E1537" s="72" t="str">
        <f>+VLOOKUP(D1537,'材料表 '!C:F,2,0)</f>
        <v>kg</v>
      </c>
      <c r="F1537" s="77">
        <v>0</v>
      </c>
      <c r="G1537" s="89">
        <f>+VLOOKUP(D1537,'材料表 '!C:F,4,0)</f>
        <v>0.03</v>
      </c>
      <c r="H1537" s="74">
        <f t="shared" si="255"/>
        <v>0</v>
      </c>
      <c r="I1537" s="74">
        <f>+VLOOKUP(D1537,'材料表 '!C:F,3,0)</f>
        <v>14.1592920353982</v>
      </c>
      <c r="J1537" s="51">
        <f t="shared" si="256"/>
        <v>0</v>
      </c>
      <c r="K1537" s="43">
        <f ca="1">H1537*K1507</f>
        <v>0</v>
      </c>
      <c r="L1537" s="92"/>
      <c r="M1537" s="44"/>
      <c r="N1537" s="82"/>
      <c r="O1537" s="44"/>
      <c r="P1537" s="44"/>
      <c r="Q1537" s="44"/>
      <c r="R1537" s="84"/>
      <c r="S1537" s="47"/>
      <c r="T1537" s="47"/>
    </row>
    <row r="1538" s="27" customFormat="1" ht="18" customHeight="1" spans="1:20">
      <c r="A1538" s="34"/>
      <c r="B1538" s="48">
        <v>18</v>
      </c>
      <c r="C1538" s="48"/>
      <c r="D1538" s="88" t="s">
        <v>500</v>
      </c>
      <c r="E1538" s="72" t="str">
        <f>+VLOOKUP(D1538,'材料表 '!C:F,2,0)</f>
        <v>kg</v>
      </c>
      <c r="F1538" s="77">
        <f>R1517+R1518+R1519+R1520+R1521</f>
        <v>6.06825976978826</v>
      </c>
      <c r="G1538" s="89">
        <f>+VLOOKUP(D1538,'材料表 '!C:F,4,0)</f>
        <v>0.03</v>
      </c>
      <c r="H1538" s="74">
        <f t="shared" si="255"/>
        <v>6.25030756288191</v>
      </c>
      <c r="I1538" s="74">
        <f>+VLOOKUP(D1538,'材料表 '!C:F,3,0)</f>
        <v>14.1592920353982</v>
      </c>
      <c r="J1538" s="51">
        <f t="shared" si="256"/>
        <v>88.4999300939029</v>
      </c>
      <c r="K1538" s="43">
        <f ca="1">H1538*K1507</f>
        <v>10.5560194368</v>
      </c>
      <c r="L1538" s="92"/>
      <c r="M1538" s="44"/>
      <c r="N1538" s="82"/>
      <c r="O1538" s="44"/>
      <c r="P1538" s="44"/>
      <c r="Q1538" s="44"/>
      <c r="R1538" s="84"/>
      <c r="S1538" s="47"/>
      <c r="T1538" s="47"/>
    </row>
    <row r="1539" s="27" customFormat="1" ht="36" customHeight="1" spans="1:20">
      <c r="A1539" s="34"/>
      <c r="B1539" s="48">
        <v>19</v>
      </c>
      <c r="C1539" s="48"/>
      <c r="D1539" s="88" t="s">
        <v>695</v>
      </c>
      <c r="E1539" s="72" t="str">
        <f>+VLOOKUP(D1539,'材料表 '!C:F,2,0)</f>
        <v>m2</v>
      </c>
      <c r="F1539" s="77">
        <v>1</v>
      </c>
      <c r="G1539" s="89">
        <f>+VLOOKUP(D1539,'材料表 '!C:F,4,0)</f>
        <v>0.01</v>
      </c>
      <c r="H1539" s="74">
        <f t="shared" si="255"/>
        <v>1.01</v>
      </c>
      <c r="I1539" s="74">
        <f>+VLOOKUP(D1539,'材料表 '!C:F,3,0)</f>
        <v>1041.59292035398</v>
      </c>
      <c r="J1539" s="51">
        <f t="shared" si="256"/>
        <v>1052.00884955752</v>
      </c>
      <c r="K1539" s="43">
        <f ca="1">H1539*K1507</f>
        <v>1.7057688</v>
      </c>
      <c r="L1539" s="90"/>
      <c r="M1539" s="44"/>
      <c r="N1539" s="82"/>
      <c r="O1539" s="44"/>
      <c r="P1539" s="44"/>
      <c r="Q1539" s="44"/>
      <c r="R1539" s="84"/>
      <c r="S1539" s="47"/>
      <c r="T1539" s="47"/>
    </row>
    <row r="1540" s="27" customFormat="1" ht="21" customHeight="1" spans="1:20">
      <c r="A1540" s="34"/>
      <c r="B1540" s="48">
        <v>20</v>
      </c>
      <c r="C1540" s="48"/>
      <c r="D1540" s="88" t="s">
        <v>1043</v>
      </c>
      <c r="E1540" s="72" t="str">
        <f>+VLOOKUP(D1540,'材料表 '!C:F,2,0)</f>
        <v>套</v>
      </c>
      <c r="F1540" s="77">
        <f>P1519/R1508</f>
        <v>2.36843351807115</v>
      </c>
      <c r="G1540" s="89">
        <f>+VLOOKUP(D1540,'材料表 '!C:F,4,0)</f>
        <v>0</v>
      </c>
      <c r="H1540" s="74">
        <f t="shared" si="255"/>
        <v>2.36843351807115</v>
      </c>
      <c r="I1540" s="74">
        <f>+VLOOKUP(D1540,'材料表 '!C:F,3,0)</f>
        <v>1.32743362831858</v>
      </c>
      <c r="J1540" s="51">
        <f t="shared" si="256"/>
        <v>3.14393829832453</v>
      </c>
      <c r="K1540" s="43">
        <f ca="1">H1540*K1507</f>
        <v>4</v>
      </c>
      <c r="L1540" s="90"/>
      <c r="M1540" s="44"/>
      <c r="N1540" s="82"/>
      <c r="O1540" s="44"/>
      <c r="P1540" s="44"/>
      <c r="Q1540" s="44"/>
      <c r="R1540" s="84"/>
      <c r="S1540" s="47"/>
      <c r="T1540" s="47"/>
    </row>
    <row r="1541" s="27" customFormat="1" ht="18" customHeight="1" spans="1:20">
      <c r="A1541" s="34"/>
      <c r="B1541" s="48">
        <v>21</v>
      </c>
      <c r="C1541" s="48"/>
      <c r="D1541" s="88"/>
      <c r="E1541" s="72"/>
      <c r="F1541" s="77"/>
      <c r="G1541" s="89"/>
      <c r="H1541" s="74"/>
      <c r="I1541" s="74"/>
      <c r="J1541" s="51"/>
      <c r="K1541" s="43">
        <f ca="1">H1541*K1507</f>
        <v>0</v>
      </c>
      <c r="L1541" s="92"/>
      <c r="M1541" s="44"/>
      <c r="N1541" s="82"/>
      <c r="O1541" s="44"/>
      <c r="P1541" s="44"/>
      <c r="Q1541" s="44"/>
      <c r="R1541" s="84"/>
      <c r="S1541" s="47"/>
      <c r="T1541" s="47"/>
    </row>
    <row r="1542" s="27" customFormat="1" ht="18" customHeight="1" spans="1:20">
      <c r="A1542" s="34"/>
      <c r="B1542" s="48">
        <v>22</v>
      </c>
      <c r="C1542" s="48"/>
      <c r="D1542" s="88"/>
      <c r="E1542" s="72"/>
      <c r="F1542" s="77"/>
      <c r="G1542" s="89"/>
      <c r="H1542" s="74"/>
      <c r="I1542" s="74"/>
      <c r="J1542" s="51"/>
      <c r="K1542" s="43">
        <f ca="1">H1542*K1507</f>
        <v>0</v>
      </c>
      <c r="L1542" s="92"/>
      <c r="M1542" s="44"/>
      <c r="N1542" s="44"/>
      <c r="O1542" s="44"/>
      <c r="P1542" s="44"/>
      <c r="Q1542" s="44"/>
      <c r="R1542" s="84"/>
      <c r="S1542" s="47"/>
      <c r="T1542" s="47"/>
    </row>
    <row r="1543" s="27" customFormat="1" ht="18" customHeight="1" spans="1:20">
      <c r="A1543" s="34"/>
      <c r="B1543" s="48">
        <v>23</v>
      </c>
      <c r="C1543" s="48"/>
      <c r="D1543" s="88"/>
      <c r="E1543" s="72"/>
      <c r="F1543" s="77"/>
      <c r="G1543" s="89"/>
      <c r="H1543" s="74"/>
      <c r="I1543" s="74"/>
      <c r="J1543" s="51"/>
      <c r="K1543" s="75">
        <f ca="1">H1543*K1507</f>
        <v>0</v>
      </c>
      <c r="L1543" s="92"/>
      <c r="M1543" s="44"/>
      <c r="N1543" s="44"/>
      <c r="O1543" s="44"/>
      <c r="P1543" s="44"/>
      <c r="Q1543" s="44"/>
      <c r="R1543" s="84"/>
      <c r="S1543" s="47"/>
      <c r="T1543" s="47"/>
    </row>
    <row r="1544" s="27" customFormat="1" ht="18" customHeight="1" spans="1:20">
      <c r="A1544" s="34"/>
      <c r="B1544" s="48">
        <v>24</v>
      </c>
      <c r="C1544" s="48"/>
      <c r="D1544" s="88"/>
      <c r="E1544" s="72"/>
      <c r="F1544" s="77"/>
      <c r="G1544" s="89"/>
      <c r="H1544" s="74"/>
      <c r="I1544" s="74"/>
      <c r="J1544" s="51"/>
      <c r="K1544" s="75">
        <f ca="1">H1544*K1507</f>
        <v>0</v>
      </c>
      <c r="L1544" s="92"/>
      <c r="M1544" s="44"/>
      <c r="N1544" s="44"/>
      <c r="O1544" s="44"/>
      <c r="P1544" s="44"/>
      <c r="Q1544" s="44"/>
      <c r="R1544" s="84"/>
      <c r="S1544" s="47"/>
      <c r="T1544" s="47"/>
    </row>
    <row r="1545" s="27" customFormat="1" ht="18" customHeight="1" spans="1:20">
      <c r="A1545" s="34"/>
      <c r="B1545" s="48">
        <v>25</v>
      </c>
      <c r="C1545" s="48"/>
      <c r="D1545" s="88"/>
      <c r="E1545" s="72"/>
      <c r="F1545" s="77"/>
      <c r="G1545" s="89"/>
      <c r="H1545" s="74"/>
      <c r="I1545" s="74"/>
      <c r="J1545" s="51"/>
      <c r="K1545" s="75"/>
      <c r="L1545" s="92"/>
      <c r="M1545" s="44"/>
      <c r="N1545" s="44"/>
      <c r="O1545" s="44"/>
      <c r="P1545" s="44"/>
      <c r="Q1545" s="44"/>
      <c r="R1545" s="84"/>
      <c r="S1545" s="47"/>
      <c r="T1545" s="47"/>
    </row>
    <row r="1546" s="27" customFormat="1" ht="18" customHeight="1" spans="1:20">
      <c r="A1546" s="34"/>
      <c r="B1546" s="48">
        <v>26</v>
      </c>
      <c r="C1546" s="48"/>
      <c r="D1546" s="88" t="s">
        <v>441</v>
      </c>
      <c r="E1546" s="72" t="s">
        <v>43</v>
      </c>
      <c r="F1546" s="77"/>
      <c r="G1546" s="72">
        <v>1</v>
      </c>
      <c r="H1546" s="74">
        <v>1</v>
      </c>
      <c r="I1546" s="74">
        <f>+辅材及安装费!$E$19</f>
        <v>10</v>
      </c>
      <c r="J1546" s="51">
        <f>H1546*I1546</f>
        <v>10</v>
      </c>
      <c r="K1546" s="75"/>
      <c r="L1546" s="92"/>
      <c r="M1546" s="44"/>
      <c r="N1546" s="44"/>
      <c r="O1546" s="44"/>
      <c r="P1546" s="44"/>
      <c r="Q1546" s="44"/>
      <c r="R1546" s="62"/>
      <c r="S1546" s="47"/>
      <c r="T1546" s="47"/>
    </row>
    <row r="1547" s="27" customFormat="1" ht="18" customHeight="1" spans="1:20">
      <c r="A1547" s="34"/>
      <c r="B1547" s="48">
        <v>27</v>
      </c>
      <c r="C1547" s="48"/>
      <c r="D1547" s="93" t="s">
        <v>442</v>
      </c>
      <c r="E1547" s="72"/>
      <c r="F1547" s="77"/>
      <c r="G1547" s="72"/>
      <c r="H1547" s="74"/>
      <c r="I1547" s="74"/>
      <c r="J1547" s="51">
        <f>SUM(J1521:J1546)</f>
        <v>2017.52873796803</v>
      </c>
      <c r="K1547" s="75"/>
      <c r="L1547" s="94"/>
      <c r="N1547" s="83"/>
      <c r="O1547" s="83"/>
      <c r="P1547" s="83"/>
      <c r="Q1547" s="83"/>
      <c r="R1547" s="87"/>
      <c r="S1547" s="47"/>
      <c r="T1547" s="47"/>
    </row>
    <row r="1548" s="27" customFormat="1" ht="18" customHeight="1" spans="1:20">
      <c r="A1548" s="34"/>
      <c r="B1548" s="48">
        <v>1</v>
      </c>
      <c r="C1548" s="48" t="s">
        <v>443</v>
      </c>
      <c r="D1548" s="48" t="s">
        <v>444</v>
      </c>
      <c r="E1548" s="72" t="s">
        <v>43</v>
      </c>
      <c r="F1548" s="50"/>
      <c r="G1548" s="48"/>
      <c r="H1548" s="51">
        <v>1</v>
      </c>
      <c r="I1548" s="74">
        <f>+辅材及安装费!$F$19</f>
        <v>5</v>
      </c>
      <c r="J1548" s="95">
        <f>H1548*I1548</f>
        <v>5</v>
      </c>
      <c r="K1548" s="60"/>
      <c r="L1548" s="96"/>
      <c r="M1548" s="97"/>
      <c r="N1548" s="98"/>
      <c r="O1548" s="98"/>
      <c r="P1548" s="98"/>
      <c r="Q1548" s="98"/>
      <c r="R1548" s="99"/>
      <c r="S1548" s="47"/>
      <c r="T1548" s="47"/>
    </row>
    <row r="1549" s="26" customFormat="1" ht="30" customHeight="1" spans="1:20">
      <c r="A1549" s="28"/>
      <c r="B1549" s="29" t="s">
        <v>386</v>
      </c>
      <c r="C1549" s="29"/>
      <c r="D1549" s="29"/>
      <c r="E1549" s="29"/>
      <c r="F1549" s="29"/>
      <c r="G1549" s="29"/>
      <c r="H1549" s="29"/>
      <c r="I1549" s="29"/>
      <c r="J1549" s="29"/>
      <c r="K1549" s="29"/>
      <c r="L1549" s="30"/>
      <c r="M1549" s="31"/>
      <c r="N1549" s="31"/>
      <c r="O1549" s="31"/>
      <c r="P1549" s="31"/>
      <c r="Q1549" s="31"/>
      <c r="R1549" s="32"/>
      <c r="S1549" s="33"/>
      <c r="T1549" s="33"/>
    </row>
    <row r="1550" s="27" customFormat="1" ht="41" customHeight="1" spans="1:20">
      <c r="A1550" s="34">
        <v>37</v>
      </c>
      <c r="B1550" s="35" t="s">
        <v>1</v>
      </c>
      <c r="C1550" s="35" t="s">
        <v>387</v>
      </c>
      <c r="D1550" s="36" t="str">
        <f>+A1558</f>
        <v>二层明框玻璃幕墙（8+1.52PVB+8Low-E(双银)+12A+15㎜全超白钢化夹层中空玻璃）</v>
      </c>
      <c r="E1550" s="37"/>
      <c r="F1550" s="38" t="s">
        <v>225</v>
      </c>
      <c r="G1550" s="39"/>
      <c r="H1550" s="35" t="s">
        <v>388</v>
      </c>
      <c r="I1550" s="40" t="s">
        <v>389</v>
      </c>
      <c r="J1550" s="41" t="s">
        <v>37</v>
      </c>
      <c r="K1550" s="42">
        <f ca="1">VLOOKUP(A1550,'商业工程量清单 '!$A$4:$D$44,4,FALSE)</f>
        <v>19.6137</v>
      </c>
      <c r="L1550" s="43"/>
      <c r="M1550" s="44"/>
      <c r="N1550" s="44"/>
      <c r="O1550" s="44"/>
      <c r="P1550" s="45"/>
      <c r="Q1550" s="44"/>
      <c r="R1550" s="46"/>
      <c r="S1550" s="47"/>
      <c r="T1550" s="47"/>
    </row>
    <row r="1551" s="27" customFormat="1" ht="25" customHeight="1" spans="1:20">
      <c r="A1551" s="34"/>
      <c r="B1551" s="48">
        <v>1</v>
      </c>
      <c r="C1551" s="49" t="s">
        <v>390</v>
      </c>
      <c r="D1551" s="48" t="s">
        <v>391</v>
      </c>
      <c r="E1551" s="48"/>
      <c r="F1551" s="50"/>
      <c r="G1551" s="48"/>
      <c r="H1551" s="51"/>
      <c r="I1551" s="52">
        <f>J1563</f>
        <v>170</v>
      </c>
      <c r="J1551" s="53" t="s">
        <v>392</v>
      </c>
      <c r="K1551" s="54"/>
      <c r="L1551" s="55" t="s">
        <v>1036</v>
      </c>
      <c r="M1551" s="56"/>
      <c r="N1551" s="57"/>
      <c r="O1551" s="57">
        <v>2.79</v>
      </c>
      <c r="P1551" s="57">
        <v>3.515</v>
      </c>
      <c r="Q1551" s="57">
        <v>1</v>
      </c>
      <c r="R1551" s="58">
        <f>+Q1551*P1551*O1551</f>
        <v>9.80685</v>
      </c>
      <c r="S1551" s="47"/>
      <c r="T1551" s="47"/>
    </row>
    <row r="1552" s="27" customFormat="1" ht="18" customHeight="1" spans="1:20">
      <c r="A1552" s="34"/>
      <c r="B1552" s="48">
        <v>2</v>
      </c>
      <c r="C1552" s="59"/>
      <c r="D1552" s="48" t="s">
        <v>394</v>
      </c>
      <c r="E1552" s="48"/>
      <c r="F1552" s="50"/>
      <c r="G1552" s="48"/>
      <c r="H1552" s="51"/>
      <c r="I1552" s="52">
        <f>J1590</f>
        <v>499.222510592789</v>
      </c>
      <c r="J1552" s="53" t="s">
        <v>392</v>
      </c>
      <c r="K1552" s="60"/>
      <c r="L1552" s="61"/>
      <c r="M1552" s="44"/>
      <c r="N1552" s="44"/>
      <c r="O1552" s="44"/>
      <c r="P1552" s="44"/>
      <c r="Q1552" s="44"/>
      <c r="R1552" s="62"/>
      <c r="S1552" s="47"/>
      <c r="T1552" s="47"/>
    </row>
    <row r="1553" s="27" customFormat="1" ht="18" customHeight="1" spans="1:21">
      <c r="A1553" s="34"/>
      <c r="B1553" s="48">
        <v>3</v>
      </c>
      <c r="C1553" s="63"/>
      <c r="D1553" s="48" t="s">
        <v>395</v>
      </c>
      <c r="E1553" s="48"/>
      <c r="F1553" s="50"/>
      <c r="G1553" s="48"/>
      <c r="H1553" s="51"/>
      <c r="I1553" s="52">
        <f>J1591</f>
        <v>5</v>
      </c>
      <c r="J1553" s="53" t="s">
        <v>392</v>
      </c>
      <c r="K1553" s="60"/>
      <c r="L1553" s="60"/>
      <c r="M1553" s="64" t="s">
        <v>396</v>
      </c>
      <c r="N1553" s="65" t="s">
        <v>397</v>
      </c>
      <c r="O1553" s="65" t="s">
        <v>398</v>
      </c>
      <c r="P1553" s="65" t="s">
        <v>399</v>
      </c>
      <c r="Q1553" s="65" t="s">
        <v>400</v>
      </c>
      <c r="R1553" s="66" t="s">
        <v>401</v>
      </c>
      <c r="S1553" s="47"/>
      <c r="T1553" s="47"/>
    </row>
    <row r="1554" s="27" customFormat="1" ht="18" customHeight="1" spans="1:21">
      <c r="A1554" s="34"/>
      <c r="B1554" s="48">
        <v>4</v>
      </c>
      <c r="C1554" s="48" t="s">
        <v>402</v>
      </c>
      <c r="D1554" s="67" t="s">
        <v>403</v>
      </c>
      <c r="E1554" s="67"/>
      <c r="F1554" s="50"/>
      <c r="G1554" s="67"/>
      <c r="H1554" s="68"/>
      <c r="I1554" s="52">
        <f>SUM(I1551:I1553)</f>
        <v>674.222510592789</v>
      </c>
      <c r="J1554" s="53" t="s">
        <v>392</v>
      </c>
      <c r="K1554" s="60"/>
      <c r="L1554" s="69" t="s">
        <v>427</v>
      </c>
      <c r="M1554" s="70" t="s">
        <v>1007</v>
      </c>
      <c r="N1554" s="34">
        <v>3.111</v>
      </c>
      <c r="O1554" s="34">
        <f>P1551</f>
        <v>3.515</v>
      </c>
      <c r="P1554" s="34">
        <v>1</v>
      </c>
      <c r="Q1554" s="44">
        <f t="shared" ref="Q1554:Q1564" si="257">+P1554*O1554*N1554</f>
        <v>10.935165</v>
      </c>
      <c r="R1554" s="71">
        <f>+Q1554/R1551</f>
        <v>1.11505376344086</v>
      </c>
      <c r="S1554" s="47"/>
      <c r="T1554" s="47"/>
    </row>
    <row r="1555" s="27" customFormat="1" ht="28" customHeight="1" spans="1:21">
      <c r="A1555" s="34"/>
      <c r="B1555" s="48">
        <v>5</v>
      </c>
      <c r="C1555" s="72" t="s">
        <v>406</v>
      </c>
      <c r="D1555" s="48" t="s">
        <v>407</v>
      </c>
      <c r="E1555" s="48"/>
      <c r="F1555" s="50"/>
      <c r="G1555" s="48"/>
      <c r="H1555" s="73">
        <f>+'材料表 '!$E$178</f>
        <v>0</v>
      </c>
      <c r="I1555" s="52">
        <f>H1555*I1554</f>
        <v>0</v>
      </c>
      <c r="J1555" s="53" t="s">
        <v>392</v>
      </c>
      <c r="K1555" s="60"/>
      <c r="L1555" s="69" t="s">
        <v>429</v>
      </c>
      <c r="M1555" s="70" t="s">
        <v>1037</v>
      </c>
      <c r="N1555" s="34">
        <v>3.063</v>
      </c>
      <c r="O1555" s="100">
        <f>O1554/0.3*0.1</f>
        <v>1.17166666666667</v>
      </c>
      <c r="P1555" s="34">
        <f>P1554</f>
        <v>1</v>
      </c>
      <c r="Q1555" s="44">
        <f t="shared" si="257"/>
        <v>3.588815</v>
      </c>
      <c r="R1555" s="71">
        <f>+Q1555/R1551</f>
        <v>0.36594982078853</v>
      </c>
      <c r="S1555" s="47"/>
      <c r="T1555" s="47"/>
    </row>
    <row r="1556" s="27" customFormat="1" ht="18" customHeight="1" spans="1:21">
      <c r="A1556" s="34"/>
      <c r="B1556" s="48">
        <v>6</v>
      </c>
      <c r="C1556" s="48" t="s">
        <v>409</v>
      </c>
      <c r="D1556" s="48" t="s">
        <v>410</v>
      </c>
      <c r="E1556" s="48"/>
      <c r="F1556" s="50"/>
      <c r="G1556" s="48"/>
      <c r="H1556" s="73">
        <f>+'材料表 '!$E$179</f>
        <v>0</v>
      </c>
      <c r="I1556" s="52">
        <f>H1556*I1554</f>
        <v>0</v>
      </c>
      <c r="J1556" s="74" t="s">
        <v>392</v>
      </c>
      <c r="K1556" s="75"/>
      <c r="L1556" s="69" t="s">
        <v>447</v>
      </c>
      <c r="M1556" s="70" t="s">
        <v>1038</v>
      </c>
      <c r="N1556" s="34">
        <f>1.041+0.104</f>
        <v>1.145</v>
      </c>
      <c r="O1556" s="34">
        <f>O1554</f>
        <v>3.515</v>
      </c>
      <c r="P1556" s="34">
        <f>P1554</f>
        <v>1</v>
      </c>
      <c r="Q1556" s="44">
        <f t="shared" si="257"/>
        <v>4.024675</v>
      </c>
      <c r="R1556" s="71">
        <f>+Q1556/R1551</f>
        <v>0.410394265232975</v>
      </c>
      <c r="S1556" s="47">
        <v>0.172</v>
      </c>
      <c r="T1556" s="47">
        <f>O1556*P1556*S1556</f>
        <v>0.60458</v>
      </c>
      <c r="U1556" s="76">
        <f>T1556/R1551</f>
        <v>0.0616487455197133</v>
      </c>
    </row>
    <row r="1557" s="27" customFormat="1" ht="18" customHeight="1" spans="1:21">
      <c r="A1557" s="34"/>
      <c r="B1557" s="48">
        <v>7</v>
      </c>
      <c r="C1557" s="48" t="s">
        <v>412</v>
      </c>
      <c r="D1557" s="72" t="s">
        <v>413</v>
      </c>
      <c r="E1557" s="72"/>
      <c r="F1557" s="77"/>
      <c r="G1557" s="72"/>
      <c r="H1557" s="73">
        <f>+'材料表 '!$E$180</f>
        <v>0.09</v>
      </c>
      <c r="I1557" s="52">
        <f>(I1554+I1555+I1556)*H1557</f>
        <v>60.680025953351</v>
      </c>
      <c r="J1557" s="74" t="s">
        <v>392</v>
      </c>
      <c r="K1557" s="75"/>
      <c r="L1557" s="69" t="s">
        <v>429</v>
      </c>
      <c r="M1557" s="70" t="s">
        <v>1010</v>
      </c>
      <c r="N1557" s="102">
        <f>2.9</f>
        <v>2.9</v>
      </c>
      <c r="O1557" s="34">
        <v>0.2</v>
      </c>
      <c r="P1557" s="34">
        <f>P1554</f>
        <v>1</v>
      </c>
      <c r="Q1557" s="44">
        <f t="shared" si="257"/>
        <v>0.58</v>
      </c>
      <c r="R1557" s="71">
        <f>+Q1557/R1551</f>
        <v>0.059142334184779</v>
      </c>
      <c r="S1557" s="47"/>
      <c r="T1557" s="47"/>
    </row>
    <row r="1558" s="27" customFormat="1" ht="18" customHeight="1" spans="1:21">
      <c r="A1558" s="78" t="s">
        <v>278</v>
      </c>
      <c r="B1558" s="48">
        <v>8</v>
      </c>
      <c r="C1558" s="48" t="s">
        <v>363</v>
      </c>
      <c r="D1558" s="72" t="s">
        <v>415</v>
      </c>
      <c r="E1558" s="72"/>
      <c r="F1558" s="77"/>
      <c r="G1558" s="72"/>
      <c r="H1558" s="51"/>
      <c r="I1558" s="74">
        <f>SUM(I1554:I1557)</f>
        <v>734.90253654614</v>
      </c>
      <c r="J1558" s="74" t="s">
        <v>416</v>
      </c>
      <c r="K1558" s="75"/>
      <c r="L1558" s="69" t="s">
        <v>429</v>
      </c>
      <c r="M1558" s="70" t="s">
        <v>1040</v>
      </c>
      <c r="N1558" s="34">
        <v>0.733</v>
      </c>
      <c r="O1558" s="100">
        <f>O1555*2</f>
        <v>2.34333333333333</v>
      </c>
      <c r="P1558" s="34">
        <f>P1554</f>
        <v>1</v>
      </c>
      <c r="Q1558" s="44">
        <f t="shared" si="257"/>
        <v>1.71766333333333</v>
      </c>
      <c r="R1558" s="71">
        <f>+Q1558/R1551</f>
        <v>0.175149342891278</v>
      </c>
      <c r="S1558" s="79"/>
      <c r="T1558" s="47"/>
    </row>
    <row r="1559" s="27" customFormat="1" ht="18" customHeight="1" spans="1:21">
      <c r="A1559" s="34"/>
      <c r="B1559" s="48" t="s">
        <v>418</v>
      </c>
      <c r="C1559" s="48"/>
      <c r="D1559" s="48"/>
      <c r="E1559" s="48"/>
      <c r="F1559" s="48"/>
      <c r="G1559" s="48"/>
      <c r="H1559" s="48"/>
      <c r="I1559" s="48"/>
      <c r="J1559" s="48"/>
      <c r="K1559" s="80"/>
      <c r="L1559" s="69" t="s">
        <v>404</v>
      </c>
      <c r="M1559" s="70" t="s">
        <v>1041</v>
      </c>
      <c r="N1559" s="34">
        <v>3.727</v>
      </c>
      <c r="O1559" s="34">
        <f>O1551</f>
        <v>2.79</v>
      </c>
      <c r="P1559" s="34">
        <v>1.5</v>
      </c>
      <c r="Q1559" s="44">
        <f t="shared" si="257"/>
        <v>15.597495</v>
      </c>
      <c r="R1559" s="71">
        <f>+Q1559/R1551</f>
        <v>1.59046941678521</v>
      </c>
      <c r="S1559" s="47"/>
      <c r="T1559" s="47"/>
      <c r="U1559" s="76"/>
    </row>
    <row r="1560" s="27" customFormat="1" ht="18" customHeight="1" spans="1:21">
      <c r="A1560" s="34"/>
      <c r="B1560" s="48">
        <v>1</v>
      </c>
      <c r="C1560" s="48" t="s">
        <v>391</v>
      </c>
      <c r="D1560" s="48" t="s">
        <v>396</v>
      </c>
      <c r="E1560" s="48" t="s">
        <v>37</v>
      </c>
      <c r="F1560" s="50"/>
      <c r="G1560" s="48"/>
      <c r="H1560" s="51" t="s">
        <v>399</v>
      </c>
      <c r="I1560" s="51" t="s">
        <v>420</v>
      </c>
      <c r="J1560" s="51" t="s">
        <v>421</v>
      </c>
      <c r="K1560" s="43"/>
      <c r="L1560" s="69" t="s">
        <v>429</v>
      </c>
      <c r="M1560" s="81" t="s">
        <v>1027</v>
      </c>
      <c r="N1560" s="82">
        <v>0.604</v>
      </c>
      <c r="O1560" s="34">
        <f>O1559</f>
        <v>2.79</v>
      </c>
      <c r="P1560" s="34">
        <f>P1559</f>
        <v>1.5</v>
      </c>
      <c r="Q1560" s="44">
        <f t="shared" si="257"/>
        <v>2.52774</v>
      </c>
      <c r="R1560" s="71">
        <f>+Q1560/R1551</f>
        <v>0.257752489331437</v>
      </c>
      <c r="S1560" s="47"/>
      <c r="T1560" s="47"/>
    </row>
    <row r="1561" s="27" customFormat="1" ht="18" customHeight="1" spans="1:21">
      <c r="A1561" s="34"/>
      <c r="B1561" s="48">
        <v>2</v>
      </c>
      <c r="C1561" s="48"/>
      <c r="D1561" s="48" t="s">
        <v>967</v>
      </c>
      <c r="E1561" s="72" t="s">
        <v>423</v>
      </c>
      <c r="F1561" s="50"/>
      <c r="G1561" s="48"/>
      <c r="H1561" s="51">
        <v>1</v>
      </c>
      <c r="I1561" s="51">
        <f>+辅材及安装费!$G$19</f>
        <v>170</v>
      </c>
      <c r="J1561" s="51">
        <f t="shared" ref="J1561:J1569" si="258">H1561*I1561</f>
        <v>170</v>
      </c>
      <c r="K1561" s="43"/>
      <c r="L1561" s="69" t="s">
        <v>447</v>
      </c>
      <c r="M1561" s="70" t="s">
        <v>1038</v>
      </c>
      <c r="N1561" s="83">
        <v>0.977</v>
      </c>
      <c r="O1561" s="34">
        <f>O1559</f>
        <v>2.79</v>
      </c>
      <c r="P1561" s="34">
        <v>0.5</v>
      </c>
      <c r="Q1561" s="44">
        <f t="shared" si="257"/>
        <v>1.362915</v>
      </c>
      <c r="R1561" s="84">
        <f>+Q1561/R1551</f>
        <v>0.138975817923186</v>
      </c>
      <c r="S1561" s="47">
        <v>0.185</v>
      </c>
      <c r="T1561" s="47">
        <f t="shared" ref="T1561:T1564" si="259">O1561*P1561*S1561</f>
        <v>0.258075</v>
      </c>
      <c r="U1561" s="103">
        <f>T1561/R1551</f>
        <v>0.0263157894736842</v>
      </c>
    </row>
    <row r="1562" s="27" customFormat="1" ht="18" customHeight="1" spans="1:21">
      <c r="A1562" s="34"/>
      <c r="B1562" s="48">
        <v>3</v>
      </c>
      <c r="C1562" s="48"/>
      <c r="D1562" s="48"/>
      <c r="E1562" s="72"/>
      <c r="F1562" s="50"/>
      <c r="G1562" s="48"/>
      <c r="H1562" s="51"/>
      <c r="I1562" s="51"/>
      <c r="J1562" s="51"/>
      <c r="K1562" s="43"/>
      <c r="L1562" s="69" t="s">
        <v>429</v>
      </c>
      <c r="M1562" s="81" t="s">
        <v>1042</v>
      </c>
      <c r="N1562" s="82">
        <v>0.687</v>
      </c>
      <c r="O1562" s="44">
        <f>0.1</f>
        <v>0.1</v>
      </c>
      <c r="P1562" s="34">
        <f>1*2</f>
        <v>2</v>
      </c>
      <c r="Q1562" s="44">
        <f t="shared" si="257"/>
        <v>0.1374</v>
      </c>
      <c r="R1562" s="84">
        <f>+Q1562/R1551</f>
        <v>0.0140106150292908</v>
      </c>
      <c r="S1562" s="47"/>
      <c r="T1562" s="47"/>
    </row>
    <row r="1563" s="27" customFormat="1" ht="18" customHeight="1" spans="1:21">
      <c r="A1563" s="34"/>
      <c r="B1563" s="48">
        <v>4</v>
      </c>
      <c r="C1563" s="48"/>
      <c r="D1563" s="85" t="s">
        <v>426</v>
      </c>
      <c r="E1563" s="48" t="s">
        <v>392</v>
      </c>
      <c r="F1563" s="50"/>
      <c r="G1563" s="48"/>
      <c r="H1563" s="86"/>
      <c r="I1563" s="86"/>
      <c r="J1563" s="51">
        <f>SUM(J1561:J1561)</f>
        <v>170</v>
      </c>
      <c r="K1563" s="75"/>
      <c r="L1563" s="69" t="s">
        <v>447</v>
      </c>
      <c r="M1563" s="70" t="s">
        <v>1038</v>
      </c>
      <c r="N1563" s="34">
        <f>0.624*2.71+0.022*2.71</f>
        <v>1.75066</v>
      </c>
      <c r="O1563" s="34">
        <f>O1551</f>
        <v>2.79</v>
      </c>
      <c r="P1563" s="34">
        <v>1</v>
      </c>
      <c r="Q1563" s="44">
        <f t="shared" si="257"/>
        <v>4.8843414</v>
      </c>
      <c r="R1563" s="71">
        <f>+Q1563/R1551</f>
        <v>0.498054054054054</v>
      </c>
      <c r="S1563" s="47">
        <f>0.251+0.045</f>
        <v>0.296</v>
      </c>
      <c r="T1563" s="47">
        <f t="shared" si="259"/>
        <v>0.82584</v>
      </c>
      <c r="U1563" s="76">
        <f>T1563/R1551</f>
        <v>0.0842105263157895</v>
      </c>
    </row>
    <row r="1564" s="27" customFormat="1" ht="23" customHeight="1" spans="1:21">
      <c r="A1564" s="34"/>
      <c r="B1564" s="48">
        <v>1</v>
      </c>
      <c r="C1564" s="48" t="s">
        <v>394</v>
      </c>
      <c r="D1564" s="88" t="s">
        <v>427</v>
      </c>
      <c r="E1564" s="72" t="str">
        <f>+VLOOKUP(D1564,'材料表 '!C:F,2,0)</f>
        <v>kg</v>
      </c>
      <c r="F1564" s="77">
        <f>+SUMIF($L$1551:$L$1591,D1564,$R$1551:$R$1591)</f>
        <v>1.11505376344086</v>
      </c>
      <c r="G1564" s="89">
        <f>+VLOOKUP(D1564,'材料表 '!C:F,4,0)</f>
        <v>0.03</v>
      </c>
      <c r="H1564" s="74">
        <f t="shared" ref="H1564:H1569" si="260">F1564*(G1564+1)</f>
        <v>1.14850537634409</v>
      </c>
      <c r="I1564" s="74">
        <f>+VLOOKUP(D1564,'材料表 '!C:F,3,0)</f>
        <v>25.8495575221239</v>
      </c>
      <c r="J1564" s="51">
        <f t="shared" si="258"/>
        <v>29.688355790275</v>
      </c>
      <c r="K1564" s="75">
        <f ca="1">H1564*K1550</f>
        <v>22.5264399000001</v>
      </c>
      <c r="L1564" s="69" t="s">
        <v>447</v>
      </c>
      <c r="M1564" s="70" t="s">
        <v>1049</v>
      </c>
      <c r="N1564" s="34">
        <f>0.074*2.71</f>
        <v>0.20054</v>
      </c>
      <c r="O1564" s="34">
        <v>0</v>
      </c>
      <c r="P1564" s="34">
        <v>1</v>
      </c>
      <c r="Q1564" s="44">
        <f t="shared" si="257"/>
        <v>0</v>
      </c>
      <c r="R1564" s="71">
        <f>+Q1564/R1551</f>
        <v>0</v>
      </c>
      <c r="S1564" s="47">
        <f>0.048</f>
        <v>0.048</v>
      </c>
      <c r="T1564" s="47">
        <f t="shared" si="259"/>
        <v>0</v>
      </c>
      <c r="U1564" s="76">
        <f>T1564/R1551</f>
        <v>0</v>
      </c>
    </row>
    <row r="1565" s="27" customFormat="1" ht="18" customHeight="1" spans="1:21">
      <c r="A1565" s="34"/>
      <c r="B1565" s="48">
        <v>2</v>
      </c>
      <c r="C1565" s="48"/>
      <c r="D1565" s="88" t="s">
        <v>404</v>
      </c>
      <c r="E1565" s="72" t="str">
        <f>+VLOOKUP(D1565,'材料表 '!C:F,2,0)</f>
        <v>kg</v>
      </c>
      <c r="F1565" s="77">
        <f t="shared" ref="F1565:F1577" si="261">+SUMIF($L$1551:$L$1591,D1565,$R$1551:$R$1591)</f>
        <v>1.59046941678521</v>
      </c>
      <c r="G1565" s="89">
        <f>+VLOOKUP(D1565,'材料表 '!C:F,4,0)</f>
        <v>0.03</v>
      </c>
      <c r="H1565" s="74">
        <f t="shared" si="260"/>
        <v>1.63818349928877</v>
      </c>
      <c r="I1565" s="74">
        <f>+VLOOKUP(D1565,'材料表 '!C:F,3,0)</f>
        <v>25.6725663716814</v>
      </c>
      <c r="J1565" s="51">
        <f t="shared" si="258"/>
        <v>42.0563746144841</v>
      </c>
      <c r="K1565" s="75">
        <f ca="1">H1565*K1550</f>
        <v>32.1308397000002</v>
      </c>
      <c r="L1565" s="69"/>
      <c r="M1565" s="70"/>
      <c r="N1565" s="83"/>
      <c r="O1565" s="83"/>
      <c r="P1565" s="83"/>
      <c r="Q1565" s="83"/>
      <c r="R1565" s="87"/>
      <c r="S1565" s="47"/>
      <c r="T1565" s="34"/>
    </row>
    <row r="1566" s="27" customFormat="1" ht="18" customHeight="1" spans="1:21">
      <c r="A1566" s="34"/>
      <c r="B1566" s="48">
        <v>3</v>
      </c>
      <c r="C1566" s="48"/>
      <c r="D1566" s="88" t="s">
        <v>433</v>
      </c>
      <c r="E1566" s="72" t="str">
        <f>+VLOOKUP(D1566,'材料表 '!C:F,2,0)</f>
        <v>kg</v>
      </c>
      <c r="F1566" s="77">
        <f t="shared" si="261"/>
        <v>0</v>
      </c>
      <c r="G1566" s="89">
        <f>+VLOOKUP(D1566,'材料表 '!C:F,4,0)</f>
        <v>0.03</v>
      </c>
      <c r="H1566" s="74">
        <f t="shared" si="260"/>
        <v>0</v>
      </c>
      <c r="I1566" s="74">
        <f>+VLOOKUP(D1566,'材料表 '!C:F,3,0)</f>
        <v>26.1150442477876</v>
      </c>
      <c r="J1566" s="51">
        <f t="shared" si="258"/>
        <v>0</v>
      </c>
      <c r="K1566" s="75">
        <f ca="1">H1566*K1550</f>
        <v>0</v>
      </c>
      <c r="L1566" s="69"/>
      <c r="N1566" s="83"/>
      <c r="O1566" s="83"/>
      <c r="P1566" s="83"/>
      <c r="Q1566" s="83"/>
      <c r="R1566" s="87"/>
      <c r="S1566" s="47"/>
      <c r="T1566" s="47"/>
    </row>
    <row r="1567" s="27" customFormat="1" ht="18" customHeight="1" spans="1:21">
      <c r="A1567" s="34"/>
      <c r="B1567" s="48">
        <v>4</v>
      </c>
      <c r="C1567" s="48"/>
      <c r="D1567" s="88" t="s">
        <v>429</v>
      </c>
      <c r="E1567" s="72" t="str">
        <f>+VLOOKUP(D1567,'材料表 '!C:F,2,0)</f>
        <v>kg</v>
      </c>
      <c r="F1567" s="77">
        <f t="shared" si="261"/>
        <v>0.872004602225315</v>
      </c>
      <c r="G1567" s="89">
        <f>+VLOOKUP(D1567,'材料表 '!C:F,4,0)</f>
        <v>0.03</v>
      </c>
      <c r="H1567" s="74">
        <f t="shared" si="260"/>
        <v>0.898164740292074</v>
      </c>
      <c r="I1567" s="74">
        <f>+VLOOKUP(D1567,'材料表 '!C:F,3,0)</f>
        <v>26.1150442477876</v>
      </c>
      <c r="J1567" s="51">
        <f t="shared" si="258"/>
        <v>23.4556119345302</v>
      </c>
      <c r="K1567" s="75">
        <f ca="1">H1567*K1550</f>
        <v>17.6163337666667</v>
      </c>
      <c r="L1567" s="90" t="s">
        <v>707</v>
      </c>
      <c r="M1567" s="44"/>
      <c r="N1567" s="82"/>
      <c r="O1567" s="44">
        <f>O1559*P1559</f>
        <v>4.185</v>
      </c>
      <c r="P1567" s="44">
        <v>1</v>
      </c>
      <c r="Q1567" s="44">
        <f>+P1567*O1567</f>
        <v>4.185</v>
      </c>
      <c r="R1567" s="84">
        <f>+Q1567/R1551</f>
        <v>0.42674253200569</v>
      </c>
      <c r="S1567" s="47"/>
      <c r="T1567" s="47"/>
    </row>
    <row r="1568" s="27" customFormat="1" ht="18" customHeight="1" spans="1:21">
      <c r="A1568" s="34"/>
      <c r="B1568" s="48">
        <v>5</v>
      </c>
      <c r="C1568" s="48"/>
      <c r="D1568" s="88" t="s">
        <v>447</v>
      </c>
      <c r="E1568" s="72" t="str">
        <f>+VLOOKUP(D1568,'材料表 '!C:F,2,0)</f>
        <v>kg</v>
      </c>
      <c r="F1568" s="77">
        <f t="shared" si="261"/>
        <v>1.04742413721022</v>
      </c>
      <c r="G1568" s="89">
        <f>+VLOOKUP(D1568,'材料表 '!C:F,4,0)</f>
        <v>0.03</v>
      </c>
      <c r="H1568" s="74">
        <f t="shared" si="260"/>
        <v>1.07884686132653</v>
      </c>
      <c r="I1568" s="74">
        <f>+VLOOKUP(D1568,'材料表 '!C:F,3,0)</f>
        <v>24.4336283185841</v>
      </c>
      <c r="J1568" s="51">
        <f t="shared" si="258"/>
        <v>26.3601432223234</v>
      </c>
      <c r="K1568" s="43">
        <f ca="1">H1568*K1550</f>
        <v>21.1601786840002</v>
      </c>
      <c r="L1568" s="90" t="s">
        <v>435</v>
      </c>
      <c r="M1568" s="44"/>
      <c r="N1568" s="82">
        <f>0.073*1.2</f>
        <v>0.0876</v>
      </c>
      <c r="O1568" s="44">
        <f>O1554*P1554*3+O1559*P1559*4</f>
        <v>27.285</v>
      </c>
      <c r="P1568" s="44">
        <v>1</v>
      </c>
      <c r="Q1568" s="44">
        <f>+P1568*O1568</f>
        <v>27.285</v>
      </c>
      <c r="R1568" s="84">
        <f>+Q1568/R1551</f>
        <v>2.78223894522706</v>
      </c>
      <c r="S1568" s="47"/>
      <c r="T1568" s="47"/>
    </row>
    <row r="1569" s="27" customFormat="1" ht="18" customHeight="1" spans="1:20">
      <c r="A1569" s="34"/>
      <c r="B1569" s="48">
        <v>6</v>
      </c>
      <c r="C1569" s="48"/>
      <c r="D1569" s="88" t="s">
        <v>434</v>
      </c>
      <c r="E1569" s="72" t="str">
        <f>+VLOOKUP(D1569,'材料表 '!C:F,2,0)</f>
        <v>m2</v>
      </c>
      <c r="F1569" s="77">
        <f>U1556+U1561+U1563+U1564</f>
        <v>0.172175061309187</v>
      </c>
      <c r="G1569" s="89">
        <f>+VLOOKUP(D1569,'材料表 '!C:F,4,0)</f>
        <v>0</v>
      </c>
      <c r="H1569" s="74">
        <f t="shared" si="260"/>
        <v>0.172175061309187</v>
      </c>
      <c r="I1569" s="74">
        <f>+VLOOKUP(D1569,'材料表 '!C:F,3,0)</f>
        <v>49.5575221238938</v>
      </c>
      <c r="J1569" s="51">
        <f t="shared" si="258"/>
        <v>8.53256941001281</v>
      </c>
      <c r="K1569" s="43">
        <f ca="1">H1569*K1550</f>
        <v>3.37699</v>
      </c>
      <c r="L1569" s="90" t="s">
        <v>463</v>
      </c>
      <c r="M1569" s="91" t="s">
        <v>1012</v>
      </c>
      <c r="N1569" s="82">
        <f>0.32*0.3*8*7.85</f>
        <v>6.0288</v>
      </c>
      <c r="O1569" s="44">
        <v>1.5</v>
      </c>
      <c r="P1569" s="44">
        <f>P1554</f>
        <v>1</v>
      </c>
      <c r="Q1569" s="44">
        <f t="shared" ref="Q1569:Q1573" si="262">+P1569*O1569*N1569</f>
        <v>9.0432</v>
      </c>
      <c r="R1569" s="84">
        <f>+Q1569/R1551</f>
        <v>0.922130959482402</v>
      </c>
      <c r="S1569" s="47"/>
      <c r="T1569" s="47"/>
    </row>
    <row r="1570" s="27" customFormat="1" ht="18" customHeight="1" spans="1:20">
      <c r="A1570" s="34"/>
      <c r="B1570" s="48">
        <v>7</v>
      </c>
      <c r="C1570" s="48"/>
      <c r="D1570" s="88"/>
      <c r="E1570" s="72"/>
      <c r="F1570" s="77">
        <f t="shared" si="261"/>
        <v>0</v>
      </c>
      <c r="G1570" s="89"/>
      <c r="H1570" s="74"/>
      <c r="I1570" s="74"/>
      <c r="J1570" s="51"/>
      <c r="K1570" s="43">
        <f ca="1">H1570*K1550</f>
        <v>0</v>
      </c>
      <c r="L1570" s="69" t="s">
        <v>465</v>
      </c>
      <c r="M1570" s="81" t="s">
        <v>1013</v>
      </c>
      <c r="N1570" s="34">
        <v>9.88</v>
      </c>
      <c r="O1570" s="34">
        <f>0.13</f>
        <v>0.13</v>
      </c>
      <c r="P1570" s="34">
        <f>2*P1569*O1569</f>
        <v>3</v>
      </c>
      <c r="Q1570" s="44">
        <f t="shared" si="262"/>
        <v>3.8532</v>
      </c>
      <c r="R1570" s="84">
        <f>Q1570/R1551</f>
        <v>0.392909038070328</v>
      </c>
      <c r="S1570" s="47"/>
      <c r="T1570" s="47"/>
    </row>
    <row r="1571" s="27" customFormat="1" ht="18" customHeight="1" spans="1:20">
      <c r="A1571" s="34"/>
      <c r="B1571" s="48">
        <v>8</v>
      </c>
      <c r="C1571" s="48"/>
      <c r="D1571" s="88" t="s">
        <v>431</v>
      </c>
      <c r="E1571" s="72" t="str">
        <f>+VLOOKUP(D1571,'材料表 '!C:F,2,0)</f>
        <v>kg</v>
      </c>
      <c r="F1571" s="77">
        <f t="shared" si="261"/>
        <v>0</v>
      </c>
      <c r="G1571" s="89">
        <f>+VLOOKUP(D1571,'材料表 '!C:F,4,0)</f>
        <v>0.03</v>
      </c>
      <c r="H1571" s="74">
        <f t="shared" ref="H1571:H1583" si="263">F1571*(G1571+1)</f>
        <v>0</v>
      </c>
      <c r="I1571" s="74">
        <f>+VLOOKUP(D1571,'材料表 '!C:F,3,0)</f>
        <v>3.80530973451327</v>
      </c>
      <c r="J1571" s="51">
        <f t="shared" ref="J1571:J1583" si="264">H1571*I1571</f>
        <v>0</v>
      </c>
      <c r="K1571" s="43">
        <f ca="1">H1571*K1550</f>
        <v>0</v>
      </c>
      <c r="L1571" s="90" t="s">
        <v>474</v>
      </c>
      <c r="M1571" s="44"/>
      <c r="N1571" s="82"/>
      <c r="O1571" s="44">
        <v>4</v>
      </c>
      <c r="P1571" s="44">
        <f>O1569*P1569</f>
        <v>1.5</v>
      </c>
      <c r="Q1571" s="44">
        <f>O1571*P1571</f>
        <v>6</v>
      </c>
      <c r="R1571" s="84">
        <f>Q1571/R1551</f>
        <v>0.611817250187369</v>
      </c>
      <c r="S1571" s="47"/>
      <c r="T1571" s="47"/>
    </row>
    <row r="1572" s="27" customFormat="1" ht="18" customHeight="1" spans="1:20">
      <c r="A1572" s="34"/>
      <c r="B1572" s="48">
        <v>9</v>
      </c>
      <c r="C1572" s="48"/>
      <c r="D1572" s="88" t="s">
        <v>461</v>
      </c>
      <c r="E1572" s="72" t="str">
        <f>+VLOOKUP(D1572,'材料表 '!C:F,2,0)</f>
        <v>kg</v>
      </c>
      <c r="F1572" s="77">
        <f t="shared" si="261"/>
        <v>0</v>
      </c>
      <c r="G1572" s="89">
        <f>+VLOOKUP(D1572,'材料表 '!C:F,4,0)</f>
        <v>0.03</v>
      </c>
      <c r="H1572" s="74">
        <f t="shared" si="263"/>
        <v>0</v>
      </c>
      <c r="I1572" s="74">
        <f>+VLOOKUP(D1572,'材料表 '!C:F,3,0)</f>
        <v>3.53982300884956</v>
      </c>
      <c r="J1572" s="51">
        <f t="shared" si="264"/>
        <v>0</v>
      </c>
      <c r="K1572" s="43">
        <f ca="1">H1572*K1550</f>
        <v>0</v>
      </c>
      <c r="L1572" s="90" t="s">
        <v>472</v>
      </c>
      <c r="M1572" s="91"/>
      <c r="N1572" s="82"/>
      <c r="O1572" s="44">
        <v>2</v>
      </c>
      <c r="P1572" s="44">
        <f>O1569*P1569</f>
        <v>1.5</v>
      </c>
      <c r="Q1572" s="44">
        <f>O1572*P1572</f>
        <v>3</v>
      </c>
      <c r="R1572" s="84">
        <f>Q1572/R1551</f>
        <v>0.305908625093684</v>
      </c>
      <c r="S1572" s="47"/>
      <c r="T1572" s="47"/>
    </row>
    <row r="1573" s="27" customFormat="1" ht="18" customHeight="1" spans="1:20">
      <c r="A1573" s="34"/>
      <c r="B1573" s="48">
        <v>10</v>
      </c>
      <c r="C1573" s="48"/>
      <c r="D1573" s="88" t="s">
        <v>435</v>
      </c>
      <c r="E1573" s="72" t="str">
        <f>+VLOOKUP(D1573,'材料表 '!C:F,2,0)</f>
        <v>kg</v>
      </c>
      <c r="F1573" s="77">
        <f t="shared" si="261"/>
        <v>2.78223894522706</v>
      </c>
      <c r="G1573" s="89">
        <f>+VLOOKUP(D1573,'材料表 '!C:F,4,0)</f>
        <v>0.03</v>
      </c>
      <c r="H1573" s="74">
        <f t="shared" si="263"/>
        <v>2.86570611358387</v>
      </c>
      <c r="I1573" s="74">
        <f>+VLOOKUP(D1573,'材料表 '!C:F,3,0)</f>
        <v>19.4690265486726</v>
      </c>
      <c r="J1573" s="51">
        <f t="shared" si="264"/>
        <v>55.7925084060578</v>
      </c>
      <c r="K1573" s="43">
        <f ca="1">H1573*K1550</f>
        <v>56.2071</v>
      </c>
      <c r="L1573" s="69" t="s">
        <v>465</v>
      </c>
      <c r="M1573" s="91"/>
      <c r="N1573" s="82">
        <f>(0.058+0.04*2)*5*7.85</f>
        <v>5.4165</v>
      </c>
      <c r="O1573" s="44">
        <v>0</v>
      </c>
      <c r="P1573" s="44">
        <v>1</v>
      </c>
      <c r="Q1573" s="44">
        <f t="shared" si="262"/>
        <v>0</v>
      </c>
      <c r="R1573" s="84">
        <f>+Q1573/R1551</f>
        <v>0</v>
      </c>
      <c r="S1573" s="47"/>
      <c r="T1573" s="47"/>
    </row>
    <row r="1574" s="27" customFormat="1" ht="18" customHeight="1" spans="1:20">
      <c r="A1574" s="34"/>
      <c r="B1574" s="48">
        <v>11</v>
      </c>
      <c r="C1574" s="48"/>
      <c r="D1574" s="88" t="s">
        <v>463</v>
      </c>
      <c r="E1574" s="72" t="str">
        <f>+VLOOKUP(D1574,'材料表 '!C:F,2,0)</f>
        <v>kg</v>
      </c>
      <c r="F1574" s="77">
        <f t="shared" si="261"/>
        <v>0.922130959482402</v>
      </c>
      <c r="G1574" s="89">
        <f>+VLOOKUP(D1574,'材料表 '!C:F,4,0)</f>
        <v>0.03</v>
      </c>
      <c r="H1574" s="74">
        <f t="shared" si="263"/>
        <v>0.949794888266874</v>
      </c>
      <c r="I1574" s="74">
        <f>+VLOOKUP(D1574,'材料表 '!C:F,3,0)</f>
        <v>6.01769911504425</v>
      </c>
      <c r="J1574" s="51">
        <f t="shared" si="264"/>
        <v>5.71557985859712</v>
      </c>
      <c r="K1574" s="43">
        <f ca="1">H1574*K1550</f>
        <v>18.628992</v>
      </c>
      <c r="L1574" s="69" t="s">
        <v>461</v>
      </c>
      <c r="N1574" s="83"/>
      <c r="O1574" s="83"/>
      <c r="P1574" s="83"/>
      <c r="Q1574" s="83"/>
      <c r="R1574" s="84"/>
      <c r="S1574" s="47"/>
      <c r="T1574" s="47"/>
    </row>
    <row r="1575" s="27" customFormat="1" ht="18" customHeight="1" spans="1:20">
      <c r="A1575" s="34"/>
      <c r="B1575" s="48">
        <v>12</v>
      </c>
      <c r="C1575" s="48"/>
      <c r="D1575" s="88" t="s">
        <v>465</v>
      </c>
      <c r="E1575" s="72" t="str">
        <f>+VLOOKUP(D1575,'材料表 '!C:F,2,0)</f>
        <v>kg</v>
      </c>
      <c r="F1575" s="77">
        <f t="shared" si="261"/>
        <v>0.392909038070328</v>
      </c>
      <c r="G1575" s="89">
        <f>+VLOOKUP(D1575,'材料表 '!C:F,4,0)</f>
        <v>0.03</v>
      </c>
      <c r="H1575" s="74">
        <f t="shared" si="263"/>
        <v>0.404696309212438</v>
      </c>
      <c r="I1575" s="74">
        <f>+VLOOKUP(D1575,'材料表 '!C:F,3,0)</f>
        <v>6.01769911504425</v>
      </c>
      <c r="J1575" s="51">
        <f t="shared" si="264"/>
        <v>2.43534062180936</v>
      </c>
      <c r="K1575" s="43">
        <f ca="1">H1575*K1550</f>
        <v>7.937592</v>
      </c>
      <c r="L1575" s="90"/>
      <c r="M1575" s="44"/>
      <c r="N1575" s="82"/>
      <c r="O1575" s="44"/>
      <c r="P1575" s="44"/>
      <c r="Q1575" s="44"/>
      <c r="R1575" s="84"/>
      <c r="S1575" s="47"/>
      <c r="T1575" s="47"/>
    </row>
    <row r="1576" s="27" customFormat="1" ht="18" customHeight="1" spans="1:20">
      <c r="A1576" s="34"/>
      <c r="B1576" s="48">
        <v>13</v>
      </c>
      <c r="C1576" s="48"/>
      <c r="D1576" s="88" t="s">
        <v>474</v>
      </c>
      <c r="E1576" s="72" t="str">
        <f>+VLOOKUP(D1576,'材料表 '!C:F,2,0)</f>
        <v>套</v>
      </c>
      <c r="F1576" s="77">
        <f t="shared" si="261"/>
        <v>0.611817250187369</v>
      </c>
      <c r="G1576" s="89">
        <f>+VLOOKUP(D1576,'材料表 '!C:F,4,0)</f>
        <v>0</v>
      </c>
      <c r="H1576" s="74">
        <f t="shared" si="263"/>
        <v>0.611817250187369</v>
      </c>
      <c r="I1576" s="74">
        <f>+VLOOKUP(D1576,'材料表 '!C:F,3,0)</f>
        <v>2.21238938053097</v>
      </c>
      <c r="J1576" s="51">
        <f t="shared" si="264"/>
        <v>1.35357798714019</v>
      </c>
      <c r="K1576" s="43">
        <f ca="1">H1576*K1550</f>
        <v>12</v>
      </c>
      <c r="L1576" s="90"/>
      <c r="M1576" s="44"/>
      <c r="N1576" s="82"/>
      <c r="O1576" s="44"/>
      <c r="P1576" s="44"/>
      <c r="Q1576" s="44"/>
      <c r="R1576" s="84"/>
      <c r="S1576" s="47"/>
      <c r="T1576" s="47"/>
    </row>
    <row r="1577" s="27" customFormat="1" ht="18" customHeight="1" spans="1:20">
      <c r="A1577" s="34"/>
      <c r="B1577" s="48">
        <v>14</v>
      </c>
      <c r="C1577" s="48"/>
      <c r="D1577" s="88" t="s">
        <v>472</v>
      </c>
      <c r="E1577" s="72" t="str">
        <f>+VLOOKUP(D1577,'材料表 '!C:F,2,0)</f>
        <v>套</v>
      </c>
      <c r="F1577" s="77">
        <f t="shared" si="261"/>
        <v>0.305908625093684</v>
      </c>
      <c r="G1577" s="89">
        <f>+VLOOKUP(D1577,'材料表 '!C:F,4,0)</f>
        <v>0</v>
      </c>
      <c r="H1577" s="74">
        <f t="shared" si="263"/>
        <v>0.305908625093684</v>
      </c>
      <c r="I1577" s="74">
        <f>+VLOOKUP(D1577,'材料表 '!C:F,3,0)</f>
        <v>2.47787610619469</v>
      </c>
      <c r="J1577" s="51">
        <f t="shared" si="264"/>
        <v>0.758003672798509</v>
      </c>
      <c r="K1577" s="43">
        <f ca="1">H1577*K1550</f>
        <v>5.99999999999999</v>
      </c>
      <c r="L1577" s="90"/>
      <c r="M1577" s="44"/>
      <c r="N1577" s="82"/>
      <c r="O1577" s="44"/>
      <c r="P1577" s="44"/>
      <c r="Q1577" s="44"/>
      <c r="R1577" s="84"/>
      <c r="S1577" s="47"/>
      <c r="T1577" s="47"/>
    </row>
    <row r="1578" s="27" customFormat="1" ht="18" customHeight="1" spans="1:20">
      <c r="A1578" s="34"/>
      <c r="B1578" s="48">
        <v>15</v>
      </c>
      <c r="C1578" s="48"/>
      <c r="D1578" s="88" t="s">
        <v>476</v>
      </c>
      <c r="E1578" s="72" t="str">
        <f>+VLOOKUP(D1578,'材料表 '!C:F,2,0)</f>
        <v>支</v>
      </c>
      <c r="F1578" s="77">
        <f>8*8*(O1559*P1559*2)/500/R1551+16*8*(O1554*P1554+O1559*P1559)/500/R1551</f>
        <v>0.310248448788347</v>
      </c>
      <c r="G1578" s="89">
        <f>+VLOOKUP(D1578,'材料表 '!C:F,4,0)</f>
        <v>0.15</v>
      </c>
      <c r="H1578" s="74">
        <f t="shared" si="263"/>
        <v>0.356785716106599</v>
      </c>
      <c r="I1578" s="74">
        <f>+VLOOKUP(D1578,'材料表 '!C:F,3,0)</f>
        <v>11.5044247787611</v>
      </c>
      <c r="J1578" s="51">
        <f t="shared" si="264"/>
        <v>4.10461443308478</v>
      </c>
      <c r="K1578" s="43">
        <f ca="1">H1578*K1550</f>
        <v>6.997888</v>
      </c>
      <c r="L1578" s="92"/>
      <c r="M1578" s="44"/>
      <c r="N1578" s="82"/>
      <c r="O1578" s="44"/>
      <c r="P1578" s="44"/>
      <c r="Q1578" s="44"/>
      <c r="R1578" s="84"/>
      <c r="S1578" s="47"/>
      <c r="T1578" s="47"/>
    </row>
    <row r="1579" s="27" customFormat="1" ht="18" customHeight="1" spans="1:20">
      <c r="A1579" s="34"/>
      <c r="B1579" s="48">
        <v>16</v>
      </c>
      <c r="C1579" s="48"/>
      <c r="D1579" s="88" t="s">
        <v>576</v>
      </c>
      <c r="E1579" s="72" t="str">
        <f>+VLOOKUP(D1579,'材料表 '!C:F,2,0)</f>
        <v>支</v>
      </c>
      <c r="F1579" s="77">
        <v>0</v>
      </c>
      <c r="G1579" s="89">
        <f>+VLOOKUP(D1579,'材料表 '!C:F,4,0)</f>
        <v>0.15</v>
      </c>
      <c r="H1579" s="74">
        <f t="shared" si="263"/>
        <v>0</v>
      </c>
      <c r="I1579" s="74">
        <f>+VLOOKUP(D1579,'材料表 '!C:F,3,0)</f>
        <v>14.1592920353982</v>
      </c>
      <c r="J1579" s="51">
        <f t="shared" si="264"/>
        <v>0</v>
      </c>
      <c r="K1579" s="43">
        <f ca="1">H1579*K1550</f>
        <v>0</v>
      </c>
      <c r="L1579" s="92"/>
      <c r="M1579" s="44"/>
      <c r="N1579" s="82"/>
      <c r="O1579" s="44"/>
      <c r="P1579" s="44"/>
      <c r="Q1579" s="44"/>
      <c r="R1579" s="84"/>
      <c r="S1579" s="47"/>
      <c r="T1579" s="47"/>
    </row>
    <row r="1580" s="27" customFormat="1" ht="18" customHeight="1" spans="1:20">
      <c r="A1580" s="34"/>
      <c r="B1580" s="48">
        <v>17</v>
      </c>
      <c r="C1580" s="48"/>
      <c r="D1580" s="88" t="s">
        <v>479</v>
      </c>
      <c r="E1580" s="72" t="str">
        <f>+VLOOKUP(D1580,'材料表 '!C:F,2,0)</f>
        <v>kg</v>
      </c>
      <c r="F1580" s="77">
        <v>0</v>
      </c>
      <c r="G1580" s="89">
        <f>+VLOOKUP(D1580,'材料表 '!C:F,4,0)</f>
        <v>0.03</v>
      </c>
      <c r="H1580" s="74">
        <f t="shared" si="263"/>
        <v>0</v>
      </c>
      <c r="I1580" s="74">
        <f>+VLOOKUP(D1580,'材料表 '!C:F,3,0)</f>
        <v>14.1592920353982</v>
      </c>
      <c r="J1580" s="51">
        <f t="shared" si="264"/>
        <v>0</v>
      </c>
      <c r="K1580" s="43">
        <f ca="1">H1580*K1550</f>
        <v>0</v>
      </c>
      <c r="L1580" s="92"/>
      <c r="M1580" s="44"/>
      <c r="N1580" s="82"/>
      <c r="O1580" s="44"/>
      <c r="P1580" s="44"/>
      <c r="Q1580" s="44"/>
      <c r="R1580" s="84"/>
      <c r="S1580" s="47"/>
      <c r="T1580" s="47"/>
    </row>
    <row r="1581" s="27" customFormat="1" ht="18" customHeight="1" spans="1:20">
      <c r="A1581" s="34"/>
      <c r="B1581" s="48">
        <v>18</v>
      </c>
      <c r="C1581" s="48"/>
      <c r="D1581" s="88" t="s">
        <v>500</v>
      </c>
      <c r="E1581" s="72" t="str">
        <f>+VLOOKUP(D1581,'材料表 '!C:F,2,0)</f>
        <v>kg</v>
      </c>
      <c r="F1581" s="77">
        <f>0</f>
        <v>0</v>
      </c>
      <c r="G1581" s="89">
        <f>+VLOOKUP(D1581,'材料表 '!C:F,4,0)</f>
        <v>0.03</v>
      </c>
      <c r="H1581" s="74">
        <f t="shared" si="263"/>
        <v>0</v>
      </c>
      <c r="I1581" s="74">
        <f>+VLOOKUP(D1581,'材料表 '!C:F,3,0)</f>
        <v>14.1592920353982</v>
      </c>
      <c r="J1581" s="51">
        <f t="shared" si="264"/>
        <v>0</v>
      </c>
      <c r="K1581" s="43">
        <f ca="1">H1581*K1550</f>
        <v>0</v>
      </c>
      <c r="L1581" s="92"/>
      <c r="M1581" s="44"/>
      <c r="N1581" s="82"/>
      <c r="O1581" s="44"/>
      <c r="P1581" s="44"/>
      <c r="Q1581" s="44"/>
      <c r="R1581" s="84"/>
      <c r="S1581" s="47"/>
      <c r="T1581" s="47"/>
    </row>
    <row r="1582" s="27" customFormat="1" ht="35" customHeight="1" spans="1:20">
      <c r="A1582" s="34"/>
      <c r="B1582" s="48">
        <v>19</v>
      </c>
      <c r="C1582" s="48"/>
      <c r="D1582" s="88" t="s">
        <v>1053</v>
      </c>
      <c r="E1582" s="72" t="str">
        <f>+VLOOKUP(D1582,'材料表 '!C:F,2,0)</f>
        <v>m2</v>
      </c>
      <c r="F1582" s="77">
        <v>1</v>
      </c>
      <c r="G1582" s="89">
        <f>+VLOOKUP(D1582,'材料表 '!C:F,4,0)</f>
        <v>0.01</v>
      </c>
      <c r="H1582" s="74">
        <f t="shared" si="263"/>
        <v>1.01</v>
      </c>
      <c r="I1582" s="74">
        <f>+VLOOKUP(D1582,'材料表 '!C:F,3,0)</f>
        <v>285.840707964602</v>
      </c>
      <c r="J1582" s="51">
        <f t="shared" si="264"/>
        <v>288.699115044248</v>
      </c>
      <c r="K1582" s="43">
        <f ca="1">H1582*K1550</f>
        <v>19.809837</v>
      </c>
      <c r="L1582" s="90"/>
      <c r="M1582" s="44"/>
      <c r="N1582" s="82"/>
      <c r="O1582" s="44"/>
      <c r="P1582" s="44"/>
      <c r="Q1582" s="44"/>
      <c r="R1582" s="84"/>
      <c r="S1582" s="47"/>
      <c r="T1582" s="47"/>
    </row>
    <row r="1583" s="27" customFormat="1" ht="21" customHeight="1" spans="1:20">
      <c r="A1583" s="34"/>
      <c r="B1583" s="48">
        <v>20</v>
      </c>
      <c r="C1583" s="48"/>
      <c r="D1583" s="88" t="s">
        <v>1043</v>
      </c>
      <c r="E1583" s="72" t="str">
        <f>+VLOOKUP(D1583,'材料表 '!C:F,2,0)</f>
        <v>套</v>
      </c>
      <c r="F1583" s="77">
        <f>P1562/R1551</f>
        <v>0.20393908339579</v>
      </c>
      <c r="G1583" s="89">
        <f>+VLOOKUP(D1583,'材料表 '!C:F,4,0)</f>
        <v>0</v>
      </c>
      <c r="H1583" s="74">
        <f t="shared" si="263"/>
        <v>0.20393908339579</v>
      </c>
      <c r="I1583" s="74">
        <f>+VLOOKUP(D1583,'材料表 '!C:F,3,0)</f>
        <v>1.32743362831858</v>
      </c>
      <c r="J1583" s="51">
        <f t="shared" si="264"/>
        <v>0.270715597428039</v>
      </c>
      <c r="K1583" s="43">
        <f ca="1">H1583*K1550</f>
        <v>4.00000000000001</v>
      </c>
      <c r="L1583" s="90"/>
      <c r="M1583" s="44"/>
      <c r="N1583" s="82"/>
      <c r="O1583" s="44"/>
      <c r="P1583" s="44"/>
      <c r="Q1583" s="44"/>
      <c r="R1583" s="84"/>
      <c r="S1583" s="47"/>
      <c r="T1583" s="47"/>
    </row>
    <row r="1584" s="27" customFormat="1" ht="18" customHeight="1" spans="1:20">
      <c r="A1584" s="34"/>
      <c r="B1584" s="48">
        <v>21</v>
      </c>
      <c r="C1584" s="48"/>
      <c r="D1584" s="88"/>
      <c r="E1584" s="72"/>
      <c r="F1584" s="77"/>
      <c r="G1584" s="89"/>
      <c r="H1584" s="74"/>
      <c r="I1584" s="74"/>
      <c r="J1584" s="51"/>
      <c r="K1584" s="43">
        <f ca="1">H1584*K1550</f>
        <v>0</v>
      </c>
      <c r="L1584" s="92"/>
      <c r="M1584" s="44"/>
      <c r="N1584" s="82"/>
      <c r="O1584" s="44"/>
      <c r="P1584" s="44"/>
      <c r="Q1584" s="44"/>
      <c r="R1584" s="84"/>
      <c r="S1584" s="47"/>
      <c r="T1584" s="47"/>
    </row>
    <row r="1585" s="27" customFormat="1" ht="18" customHeight="1" spans="1:21">
      <c r="A1585" s="34"/>
      <c r="B1585" s="48">
        <v>22</v>
      </c>
      <c r="C1585" s="48"/>
      <c r="D1585" s="88"/>
      <c r="E1585" s="72"/>
      <c r="F1585" s="77"/>
      <c r="G1585" s="89"/>
      <c r="H1585" s="74"/>
      <c r="I1585" s="74"/>
      <c r="J1585" s="51"/>
      <c r="K1585" s="43">
        <f ca="1">H1585*K1550</f>
        <v>0</v>
      </c>
      <c r="L1585" s="92"/>
      <c r="M1585" s="44"/>
      <c r="N1585" s="44"/>
      <c r="O1585" s="44"/>
      <c r="P1585" s="44"/>
      <c r="Q1585" s="44"/>
      <c r="R1585" s="84"/>
      <c r="S1585" s="47"/>
      <c r="T1585" s="47"/>
    </row>
    <row r="1586" s="27" customFormat="1" ht="18" customHeight="1" spans="1:21">
      <c r="A1586" s="34"/>
      <c r="B1586" s="48">
        <v>23</v>
      </c>
      <c r="C1586" s="48"/>
      <c r="D1586" s="88"/>
      <c r="E1586" s="72"/>
      <c r="F1586" s="77"/>
      <c r="G1586" s="89"/>
      <c r="H1586" s="74"/>
      <c r="I1586" s="74"/>
      <c r="J1586" s="51"/>
      <c r="K1586" s="75">
        <f ca="1">H1586*K1550</f>
        <v>0</v>
      </c>
      <c r="L1586" s="92"/>
      <c r="M1586" s="44"/>
      <c r="N1586" s="44"/>
      <c r="O1586" s="44"/>
      <c r="P1586" s="44"/>
      <c r="Q1586" s="44"/>
      <c r="R1586" s="84"/>
      <c r="S1586" s="47"/>
      <c r="T1586" s="47"/>
    </row>
    <row r="1587" s="27" customFormat="1" ht="18" customHeight="1" spans="1:21">
      <c r="A1587" s="34"/>
      <c r="B1587" s="48">
        <v>24</v>
      </c>
      <c r="C1587" s="48"/>
      <c r="D1587" s="88"/>
      <c r="E1587" s="72"/>
      <c r="F1587" s="77"/>
      <c r="G1587" s="89"/>
      <c r="H1587" s="74"/>
      <c r="I1587" s="74"/>
      <c r="J1587" s="51"/>
      <c r="K1587" s="75">
        <f ca="1">H1587*K1550</f>
        <v>0</v>
      </c>
      <c r="L1587" s="92"/>
      <c r="M1587" s="44"/>
      <c r="N1587" s="44"/>
      <c r="O1587" s="44"/>
      <c r="P1587" s="44"/>
      <c r="Q1587" s="44"/>
      <c r="R1587" s="84"/>
      <c r="S1587" s="47"/>
      <c r="T1587" s="47"/>
    </row>
    <row r="1588" s="27" customFormat="1" ht="18" customHeight="1" spans="1:21">
      <c r="A1588" s="34"/>
      <c r="B1588" s="48">
        <v>25</v>
      </c>
      <c r="C1588" s="48"/>
      <c r="D1588" s="88"/>
      <c r="E1588" s="72"/>
      <c r="F1588" s="77"/>
      <c r="G1588" s="89"/>
      <c r="H1588" s="74"/>
      <c r="I1588" s="74"/>
      <c r="J1588" s="51"/>
      <c r="K1588" s="75"/>
      <c r="L1588" s="92"/>
      <c r="M1588" s="44"/>
      <c r="N1588" s="44"/>
      <c r="O1588" s="44"/>
      <c r="P1588" s="44"/>
      <c r="Q1588" s="44"/>
      <c r="R1588" s="84"/>
      <c r="S1588" s="47"/>
      <c r="T1588" s="47"/>
    </row>
    <row r="1589" s="27" customFormat="1" ht="18" customHeight="1" spans="1:21">
      <c r="A1589" s="34"/>
      <c r="B1589" s="48">
        <v>26</v>
      </c>
      <c r="C1589" s="48"/>
      <c r="D1589" s="88" t="s">
        <v>441</v>
      </c>
      <c r="E1589" s="72" t="s">
        <v>43</v>
      </c>
      <c r="F1589" s="77"/>
      <c r="G1589" s="72">
        <v>1</v>
      </c>
      <c r="H1589" s="74">
        <v>1</v>
      </c>
      <c r="I1589" s="74">
        <f>+辅材及安装费!$E$19</f>
        <v>10</v>
      </c>
      <c r="J1589" s="51">
        <f>H1589*I1589</f>
        <v>10</v>
      </c>
      <c r="K1589" s="75"/>
      <c r="L1589" s="92"/>
      <c r="M1589" s="44"/>
      <c r="N1589" s="44"/>
      <c r="O1589" s="44"/>
      <c r="P1589" s="44"/>
      <c r="Q1589" s="44"/>
      <c r="R1589" s="62"/>
      <c r="S1589" s="47"/>
      <c r="T1589" s="47"/>
    </row>
    <row r="1590" s="27" customFormat="1" ht="18" customHeight="1" spans="1:21">
      <c r="A1590" s="34"/>
      <c r="B1590" s="48">
        <v>27</v>
      </c>
      <c r="C1590" s="48"/>
      <c r="D1590" s="93" t="s">
        <v>442</v>
      </c>
      <c r="E1590" s="72"/>
      <c r="F1590" s="77"/>
      <c r="G1590" s="72"/>
      <c r="H1590" s="74"/>
      <c r="I1590" s="74"/>
      <c r="J1590" s="51">
        <f>SUM(J1564:J1589)</f>
        <v>499.222510592789</v>
      </c>
      <c r="K1590" s="75"/>
      <c r="L1590" s="94"/>
      <c r="N1590" s="83"/>
      <c r="O1590" s="83"/>
      <c r="P1590" s="83"/>
      <c r="Q1590" s="83"/>
      <c r="R1590" s="87"/>
      <c r="S1590" s="47"/>
      <c r="T1590" s="47"/>
    </row>
    <row r="1591" s="27" customFormat="1" ht="18" customHeight="1" spans="1:21">
      <c r="A1591" s="34"/>
      <c r="B1591" s="48">
        <v>1</v>
      </c>
      <c r="C1591" s="48" t="s">
        <v>443</v>
      </c>
      <c r="D1591" s="48" t="s">
        <v>444</v>
      </c>
      <c r="E1591" s="72" t="s">
        <v>43</v>
      </c>
      <c r="F1591" s="50"/>
      <c r="G1591" s="48"/>
      <c r="H1591" s="51">
        <v>1</v>
      </c>
      <c r="I1591" s="74">
        <f>+辅材及安装费!$F$19</f>
        <v>5</v>
      </c>
      <c r="J1591" s="95">
        <f>H1591*I1591</f>
        <v>5</v>
      </c>
      <c r="K1591" s="60"/>
      <c r="L1591" s="96"/>
      <c r="M1591" s="97"/>
      <c r="N1591" s="98"/>
      <c r="O1591" s="98"/>
      <c r="P1591" s="98"/>
      <c r="Q1591" s="98"/>
      <c r="R1591" s="99"/>
      <c r="S1591" s="47"/>
      <c r="T1591" s="47"/>
    </row>
    <row r="1592" s="26" customFormat="1" ht="30" customHeight="1" spans="1:21">
      <c r="A1592" s="28"/>
      <c r="B1592" s="29" t="s">
        <v>386</v>
      </c>
      <c r="C1592" s="29"/>
      <c r="D1592" s="29"/>
      <c r="E1592" s="29"/>
      <c r="F1592" s="29"/>
      <c r="G1592" s="29"/>
      <c r="H1592" s="29"/>
      <c r="I1592" s="29"/>
      <c r="J1592" s="29"/>
      <c r="K1592" s="29"/>
      <c r="L1592" s="30"/>
      <c r="M1592" s="31"/>
      <c r="N1592" s="31"/>
      <c r="O1592" s="31"/>
      <c r="P1592" s="31"/>
      <c r="Q1592" s="31"/>
      <c r="R1592" s="32"/>
      <c r="S1592" s="33"/>
      <c r="T1592" s="33"/>
    </row>
    <row r="1593" s="27" customFormat="1" ht="41" customHeight="1" spans="1:21">
      <c r="A1593" s="34">
        <v>38</v>
      </c>
      <c r="B1593" s="35" t="s">
        <v>1</v>
      </c>
      <c r="C1593" s="35" t="s">
        <v>387</v>
      </c>
      <c r="D1593" s="36" t="str">
        <f>+A1601</f>
        <v>二层明框玻璃幕墙（8+1.52PVB+8Low-E(双银)+12A+12㎜全超白钢化夹层中空玻璃）（直+弯弧+直）（直段宽度210㎜+弧长942㎜+直段宽度210㎜，圆弧半径600㎜，高3515㎜）</v>
      </c>
      <c r="E1593" s="37"/>
      <c r="F1593" s="38" t="s">
        <v>225</v>
      </c>
      <c r="G1593" s="39"/>
      <c r="H1593" s="35" t="s">
        <v>388</v>
      </c>
      <c r="I1593" s="40" t="s">
        <v>389</v>
      </c>
      <c r="J1593" s="41" t="s">
        <v>37</v>
      </c>
      <c r="K1593" s="42">
        <f ca="1">VLOOKUP(A1593,'商业工程量清单 '!$A$4:$D$44,4,FALSE)</f>
        <v>9.57486</v>
      </c>
      <c r="L1593" s="43"/>
      <c r="M1593" s="44"/>
      <c r="N1593" s="44"/>
      <c r="O1593" s="44"/>
      <c r="P1593" s="45"/>
      <c r="Q1593" s="44"/>
      <c r="R1593" s="46"/>
      <c r="S1593" s="47"/>
      <c r="T1593" s="47"/>
    </row>
    <row r="1594" s="27" customFormat="1" ht="25" customHeight="1" spans="1:21">
      <c r="A1594" s="34"/>
      <c r="B1594" s="48">
        <v>1</v>
      </c>
      <c r="C1594" s="49" t="s">
        <v>390</v>
      </c>
      <c r="D1594" s="48" t="s">
        <v>391</v>
      </c>
      <c r="E1594" s="48"/>
      <c r="F1594" s="50"/>
      <c r="G1594" s="48"/>
      <c r="H1594" s="51"/>
      <c r="I1594" s="52">
        <f>J1606</f>
        <v>170</v>
      </c>
      <c r="J1594" s="53" t="s">
        <v>392</v>
      </c>
      <c r="K1594" s="54"/>
      <c r="L1594" s="55" t="s">
        <v>1036</v>
      </c>
      <c r="M1594" s="56"/>
      <c r="N1594" s="57"/>
      <c r="O1594" s="57">
        <f>0.21*2+0.942</f>
        <v>1.362</v>
      </c>
      <c r="P1594" s="57">
        <v>3.515</v>
      </c>
      <c r="Q1594" s="57">
        <v>1</v>
      </c>
      <c r="R1594" s="58">
        <f>+Q1594*P1594*O1594</f>
        <v>4.78743</v>
      </c>
      <c r="S1594" s="47"/>
      <c r="T1594" s="47"/>
    </row>
    <row r="1595" s="27" customFormat="1" ht="18" customHeight="1" spans="1:21">
      <c r="A1595" s="34"/>
      <c r="B1595" s="48">
        <v>2</v>
      </c>
      <c r="C1595" s="59"/>
      <c r="D1595" s="48" t="s">
        <v>394</v>
      </c>
      <c r="E1595" s="48"/>
      <c r="F1595" s="50"/>
      <c r="G1595" s="48"/>
      <c r="H1595" s="51"/>
      <c r="I1595" s="52">
        <f>J1633</f>
        <v>1595.02647323578</v>
      </c>
      <c r="J1595" s="53" t="s">
        <v>392</v>
      </c>
      <c r="K1595" s="60"/>
      <c r="L1595" s="61"/>
      <c r="M1595" s="44"/>
      <c r="N1595" s="44"/>
      <c r="O1595" s="44"/>
      <c r="P1595" s="44"/>
      <c r="Q1595" s="44"/>
      <c r="R1595" s="62"/>
      <c r="S1595" s="47"/>
      <c r="T1595" s="47"/>
    </row>
    <row r="1596" s="27" customFormat="1" ht="18" customHeight="1" spans="1:21">
      <c r="A1596" s="34"/>
      <c r="B1596" s="48">
        <v>3</v>
      </c>
      <c r="C1596" s="63"/>
      <c r="D1596" s="48" t="s">
        <v>395</v>
      </c>
      <c r="E1596" s="48"/>
      <c r="F1596" s="50"/>
      <c r="G1596" s="48"/>
      <c r="H1596" s="51"/>
      <c r="I1596" s="52">
        <f>J1634</f>
        <v>5</v>
      </c>
      <c r="J1596" s="53" t="s">
        <v>392</v>
      </c>
      <c r="K1596" s="60"/>
      <c r="L1596" s="60"/>
      <c r="M1596" s="64" t="s">
        <v>396</v>
      </c>
      <c r="N1596" s="65" t="s">
        <v>397</v>
      </c>
      <c r="O1596" s="65" t="s">
        <v>398</v>
      </c>
      <c r="P1596" s="65" t="s">
        <v>399</v>
      </c>
      <c r="Q1596" s="65" t="s">
        <v>400</v>
      </c>
      <c r="R1596" s="66" t="s">
        <v>401</v>
      </c>
      <c r="S1596" s="47"/>
      <c r="T1596" s="47"/>
    </row>
    <row r="1597" s="27" customFormat="1" ht="18" customHeight="1" spans="1:21">
      <c r="A1597" s="34"/>
      <c r="B1597" s="48">
        <v>4</v>
      </c>
      <c r="C1597" s="48" t="s">
        <v>402</v>
      </c>
      <c r="D1597" s="67" t="s">
        <v>403</v>
      </c>
      <c r="E1597" s="67"/>
      <c r="F1597" s="50"/>
      <c r="G1597" s="67"/>
      <c r="H1597" s="68"/>
      <c r="I1597" s="52">
        <f>SUM(I1594:I1596)</f>
        <v>1770.02647323578</v>
      </c>
      <c r="J1597" s="53" t="s">
        <v>392</v>
      </c>
      <c r="K1597" s="60"/>
      <c r="L1597" s="69" t="s">
        <v>427</v>
      </c>
      <c r="M1597" s="70" t="s">
        <v>1007</v>
      </c>
      <c r="N1597" s="34">
        <v>3.111</v>
      </c>
      <c r="O1597" s="34">
        <f>P1594</f>
        <v>3.515</v>
      </c>
      <c r="P1597" s="34">
        <v>1</v>
      </c>
      <c r="Q1597" s="44">
        <f t="shared" ref="Q1597:Q1607" si="265">+P1597*O1597*N1597</f>
        <v>10.935165</v>
      </c>
      <c r="R1597" s="71">
        <f>+Q1597/R1594</f>
        <v>2.284140969163</v>
      </c>
      <c r="S1597" s="47"/>
      <c r="T1597" s="47"/>
    </row>
    <row r="1598" s="27" customFormat="1" ht="28" customHeight="1" spans="1:21">
      <c r="A1598" s="34"/>
      <c r="B1598" s="48">
        <v>5</v>
      </c>
      <c r="C1598" s="72" t="s">
        <v>406</v>
      </c>
      <c r="D1598" s="48" t="s">
        <v>407</v>
      </c>
      <c r="E1598" s="48"/>
      <c r="F1598" s="50"/>
      <c r="G1598" s="48"/>
      <c r="H1598" s="73">
        <f>+'材料表 '!$E$178</f>
        <v>0</v>
      </c>
      <c r="I1598" s="52">
        <f>H1598*I1597</f>
        <v>0</v>
      </c>
      <c r="J1598" s="53" t="s">
        <v>392</v>
      </c>
      <c r="K1598" s="60"/>
      <c r="L1598" s="69" t="s">
        <v>429</v>
      </c>
      <c r="M1598" s="70" t="s">
        <v>1037</v>
      </c>
      <c r="N1598" s="34">
        <v>3.063</v>
      </c>
      <c r="O1598" s="100">
        <f>O1597/0.3*0.1</f>
        <v>1.17166666666667</v>
      </c>
      <c r="P1598" s="34">
        <f>P1597</f>
        <v>1</v>
      </c>
      <c r="Q1598" s="44">
        <f t="shared" si="265"/>
        <v>3.588815</v>
      </c>
      <c r="R1598" s="71">
        <f>+Q1598/R1594</f>
        <v>0.749632892804699</v>
      </c>
      <c r="S1598" s="47"/>
      <c r="T1598" s="47"/>
    </row>
    <row r="1599" s="27" customFormat="1" ht="18" customHeight="1" spans="1:21">
      <c r="A1599" s="34"/>
      <c r="B1599" s="48">
        <v>6</v>
      </c>
      <c r="C1599" s="48" t="s">
        <v>409</v>
      </c>
      <c r="D1599" s="48" t="s">
        <v>410</v>
      </c>
      <c r="E1599" s="48"/>
      <c r="F1599" s="50"/>
      <c r="G1599" s="48"/>
      <c r="H1599" s="73">
        <f>+'材料表 '!$E$179</f>
        <v>0</v>
      </c>
      <c r="I1599" s="52">
        <f>H1599*I1597</f>
        <v>0</v>
      </c>
      <c r="J1599" s="74" t="s">
        <v>392</v>
      </c>
      <c r="K1599" s="75"/>
      <c r="L1599" s="69" t="s">
        <v>447</v>
      </c>
      <c r="M1599" s="70" t="s">
        <v>1038</v>
      </c>
      <c r="N1599" s="34">
        <f>1.041+0.104</f>
        <v>1.145</v>
      </c>
      <c r="O1599" s="34">
        <f>O1597</f>
        <v>3.515</v>
      </c>
      <c r="P1599" s="34">
        <f>P1597</f>
        <v>1</v>
      </c>
      <c r="Q1599" s="44">
        <f t="shared" si="265"/>
        <v>4.024675</v>
      </c>
      <c r="R1599" s="71">
        <f>+Q1599/R1594</f>
        <v>0.840675477239354</v>
      </c>
      <c r="S1599" s="47">
        <v>0.172</v>
      </c>
      <c r="T1599" s="47">
        <f>O1599*P1599*S1599</f>
        <v>0.60458</v>
      </c>
      <c r="U1599" s="76">
        <f>T1599/R1594</f>
        <v>0.126284875183554</v>
      </c>
    </row>
    <row r="1600" s="27" customFormat="1" ht="18" customHeight="1" spans="1:21">
      <c r="A1600" s="34"/>
      <c r="B1600" s="48">
        <v>7</v>
      </c>
      <c r="C1600" s="48" t="s">
        <v>412</v>
      </c>
      <c r="D1600" s="72" t="s">
        <v>413</v>
      </c>
      <c r="E1600" s="72"/>
      <c r="F1600" s="77"/>
      <c r="G1600" s="72"/>
      <c r="H1600" s="73">
        <f>+'材料表 '!$E$180</f>
        <v>0.09</v>
      </c>
      <c r="I1600" s="52">
        <f>(I1597+I1598+I1599)*H1600</f>
        <v>159.30238259122</v>
      </c>
      <c r="J1600" s="74" t="s">
        <v>392</v>
      </c>
      <c r="K1600" s="75"/>
      <c r="L1600" s="69" t="s">
        <v>429</v>
      </c>
      <c r="M1600" s="70" t="s">
        <v>1010</v>
      </c>
      <c r="N1600" s="102">
        <f>2.9</f>
        <v>2.9</v>
      </c>
      <c r="O1600" s="34">
        <v>0.2</v>
      </c>
      <c r="P1600" s="34">
        <f>P1597</f>
        <v>1</v>
      </c>
      <c r="Q1600" s="44">
        <f t="shared" si="265"/>
        <v>0.58</v>
      </c>
      <c r="R1600" s="71">
        <f>+Q1600/R1594</f>
        <v>0.121150596457807</v>
      </c>
      <c r="S1600" s="47"/>
      <c r="T1600" s="47"/>
    </row>
    <row r="1601" s="27" customFormat="1" ht="18" customHeight="1" spans="1:21">
      <c r="A1601" s="78" t="s">
        <v>280</v>
      </c>
      <c r="B1601" s="48">
        <v>8</v>
      </c>
      <c r="C1601" s="48" t="s">
        <v>363</v>
      </c>
      <c r="D1601" s="72" t="s">
        <v>415</v>
      </c>
      <c r="E1601" s="72"/>
      <c r="F1601" s="77"/>
      <c r="G1601" s="72"/>
      <c r="H1601" s="51"/>
      <c r="I1601" s="74">
        <f>SUM(I1597:I1600)</f>
        <v>1929.328855827</v>
      </c>
      <c r="J1601" s="74" t="s">
        <v>416</v>
      </c>
      <c r="K1601" s="75"/>
      <c r="L1601" s="69" t="s">
        <v>429</v>
      </c>
      <c r="M1601" s="70" t="s">
        <v>1040</v>
      </c>
      <c r="N1601" s="34">
        <v>0.733</v>
      </c>
      <c r="O1601" s="100">
        <f>O1598*2</f>
        <v>2.34333333333333</v>
      </c>
      <c r="P1601" s="34">
        <f>P1597</f>
        <v>1</v>
      </c>
      <c r="Q1601" s="44">
        <f t="shared" si="265"/>
        <v>1.71766333333333</v>
      </c>
      <c r="R1601" s="71">
        <f>+Q1601/R1594</f>
        <v>0.358786098874205</v>
      </c>
      <c r="S1601" s="79"/>
      <c r="T1601" s="47"/>
    </row>
    <row r="1602" s="27" customFormat="1" ht="18" customHeight="1" spans="1:21">
      <c r="A1602" s="34"/>
      <c r="B1602" s="48" t="s">
        <v>418</v>
      </c>
      <c r="C1602" s="48"/>
      <c r="D1602" s="48"/>
      <c r="E1602" s="48"/>
      <c r="F1602" s="48"/>
      <c r="G1602" s="48"/>
      <c r="H1602" s="48"/>
      <c r="I1602" s="48"/>
      <c r="J1602" s="48"/>
      <c r="K1602" s="80"/>
      <c r="L1602" s="69" t="s">
        <v>404</v>
      </c>
      <c r="M1602" s="70" t="s">
        <v>1041</v>
      </c>
      <c r="N1602" s="34">
        <v>3.727</v>
      </c>
      <c r="O1602" s="34">
        <f>O1594</f>
        <v>1.362</v>
      </c>
      <c r="P1602" s="34">
        <v>1.5</v>
      </c>
      <c r="Q1602" s="44">
        <f t="shared" si="265"/>
        <v>7.614261</v>
      </c>
      <c r="R1602" s="71">
        <f>+Q1602/R1594</f>
        <v>1.59046941678521</v>
      </c>
      <c r="S1602" s="47"/>
      <c r="T1602" s="47"/>
      <c r="U1602" s="76"/>
    </row>
    <row r="1603" s="27" customFormat="1" ht="18" customHeight="1" spans="1:21">
      <c r="A1603" s="34"/>
      <c r="B1603" s="48">
        <v>1</v>
      </c>
      <c r="C1603" s="48" t="s">
        <v>391</v>
      </c>
      <c r="D1603" s="48" t="s">
        <v>396</v>
      </c>
      <c r="E1603" s="48" t="s">
        <v>37</v>
      </c>
      <c r="F1603" s="50"/>
      <c r="G1603" s="48"/>
      <c r="H1603" s="51" t="s">
        <v>399</v>
      </c>
      <c r="I1603" s="51" t="s">
        <v>420</v>
      </c>
      <c r="J1603" s="51" t="s">
        <v>421</v>
      </c>
      <c r="K1603" s="43"/>
      <c r="L1603" s="69" t="s">
        <v>429</v>
      </c>
      <c r="M1603" s="81" t="s">
        <v>1027</v>
      </c>
      <c r="N1603" s="82">
        <v>0.604</v>
      </c>
      <c r="O1603" s="34">
        <f>O1602</f>
        <v>1.362</v>
      </c>
      <c r="P1603" s="34">
        <f>P1602</f>
        <v>1.5</v>
      </c>
      <c r="Q1603" s="44">
        <f t="shared" si="265"/>
        <v>1.233972</v>
      </c>
      <c r="R1603" s="71">
        <f>+Q1603/R1594</f>
        <v>0.257752489331437</v>
      </c>
      <c r="S1603" s="47"/>
      <c r="T1603" s="47"/>
    </row>
    <row r="1604" s="27" customFormat="1" ht="18" customHeight="1" spans="1:21">
      <c r="A1604" s="34"/>
      <c r="B1604" s="48">
        <v>2</v>
      </c>
      <c r="C1604" s="48"/>
      <c r="D1604" s="48" t="s">
        <v>967</v>
      </c>
      <c r="E1604" s="72" t="s">
        <v>423</v>
      </c>
      <c r="F1604" s="50"/>
      <c r="G1604" s="48"/>
      <c r="H1604" s="51">
        <v>1</v>
      </c>
      <c r="I1604" s="51">
        <f>+辅材及安装费!$G$19</f>
        <v>170</v>
      </c>
      <c r="J1604" s="51">
        <f t="shared" ref="J1604:J1612" si="266">H1604*I1604</f>
        <v>170</v>
      </c>
      <c r="K1604" s="43"/>
      <c r="L1604" s="69" t="s">
        <v>447</v>
      </c>
      <c r="M1604" s="70" t="s">
        <v>1038</v>
      </c>
      <c r="N1604" s="83">
        <v>0.977</v>
      </c>
      <c r="O1604" s="34">
        <f>O1602</f>
        <v>1.362</v>
      </c>
      <c r="P1604" s="34">
        <v>0.5</v>
      </c>
      <c r="Q1604" s="44">
        <f t="shared" si="265"/>
        <v>0.665337</v>
      </c>
      <c r="R1604" s="84">
        <f>+Q1604/R1594</f>
        <v>0.138975817923186</v>
      </c>
      <c r="S1604" s="47">
        <v>0.185</v>
      </c>
      <c r="T1604" s="47">
        <f t="shared" ref="T1604:T1607" si="267">O1604*P1604*S1604</f>
        <v>0.125985</v>
      </c>
      <c r="U1604" s="103">
        <f>T1604/R1594</f>
        <v>0.0263157894736842</v>
      </c>
    </row>
    <row r="1605" s="27" customFormat="1" ht="18" customHeight="1" spans="1:21">
      <c r="A1605" s="34"/>
      <c r="B1605" s="48">
        <v>3</v>
      </c>
      <c r="C1605" s="48"/>
      <c r="D1605" s="48"/>
      <c r="E1605" s="72"/>
      <c r="F1605" s="50"/>
      <c r="G1605" s="48"/>
      <c r="H1605" s="51"/>
      <c r="I1605" s="51"/>
      <c r="J1605" s="51"/>
      <c r="K1605" s="43"/>
      <c r="L1605" s="69" t="s">
        <v>429</v>
      </c>
      <c r="M1605" s="81" t="s">
        <v>1042</v>
      </c>
      <c r="N1605" s="82">
        <v>0.687</v>
      </c>
      <c r="O1605" s="44">
        <f>0.1</f>
        <v>0.1</v>
      </c>
      <c r="P1605" s="34">
        <f>1*2</f>
        <v>2</v>
      </c>
      <c r="Q1605" s="44">
        <f t="shared" si="265"/>
        <v>0.1374</v>
      </c>
      <c r="R1605" s="84">
        <f>+Q1605/R1594</f>
        <v>0.0287001585401771</v>
      </c>
      <c r="S1605" s="47"/>
      <c r="T1605" s="47"/>
    </row>
    <row r="1606" s="27" customFormat="1" ht="18" customHeight="1" spans="1:21">
      <c r="A1606" s="34"/>
      <c r="B1606" s="48">
        <v>4</v>
      </c>
      <c r="C1606" s="48"/>
      <c r="D1606" s="85" t="s">
        <v>426</v>
      </c>
      <c r="E1606" s="48" t="s">
        <v>392</v>
      </c>
      <c r="F1606" s="50"/>
      <c r="G1606" s="48"/>
      <c r="H1606" s="86"/>
      <c r="I1606" s="86"/>
      <c r="J1606" s="51">
        <f>SUM(J1604:J1604)</f>
        <v>170</v>
      </c>
      <c r="K1606" s="75"/>
      <c r="L1606" s="69" t="s">
        <v>447</v>
      </c>
      <c r="M1606" s="70" t="s">
        <v>1038</v>
      </c>
      <c r="N1606" s="34">
        <f>0.624*2.71+0.022*2.71</f>
        <v>1.75066</v>
      </c>
      <c r="O1606" s="34">
        <f>O1594</f>
        <v>1.362</v>
      </c>
      <c r="P1606" s="34">
        <v>1</v>
      </c>
      <c r="Q1606" s="44">
        <f t="shared" si="265"/>
        <v>2.38439892</v>
      </c>
      <c r="R1606" s="71">
        <f>+Q1606/R1594</f>
        <v>0.498054054054054</v>
      </c>
      <c r="S1606" s="47">
        <f>0.251+0.045</f>
        <v>0.296</v>
      </c>
      <c r="T1606" s="47">
        <f t="shared" si="267"/>
        <v>0.403152</v>
      </c>
      <c r="U1606" s="76">
        <f>T1606/R1594</f>
        <v>0.0842105263157895</v>
      </c>
    </row>
    <row r="1607" s="27" customFormat="1" ht="23" customHeight="1" spans="1:21">
      <c r="A1607" s="34"/>
      <c r="B1607" s="48">
        <v>1</v>
      </c>
      <c r="C1607" s="48" t="s">
        <v>394</v>
      </c>
      <c r="D1607" s="88" t="s">
        <v>427</v>
      </c>
      <c r="E1607" s="72" t="str">
        <f>+VLOOKUP(D1607,'材料表 '!C:F,2,0)</f>
        <v>kg</v>
      </c>
      <c r="F1607" s="77">
        <f>+SUMIF($L$1593:$L$1634,D1607,$R$1593:$R$1634)</f>
        <v>2.284140969163</v>
      </c>
      <c r="G1607" s="89">
        <f>+VLOOKUP(D1607,'材料表 '!C:F,4,0)</f>
        <v>0.03</v>
      </c>
      <c r="H1607" s="74">
        <f t="shared" ref="H1607:H1612" si="268">F1607*(G1607+1)</f>
        <v>2.35266519823789</v>
      </c>
      <c r="I1607" s="74">
        <f>+VLOOKUP(D1607,'材料表 '!C:F,3,0)</f>
        <v>25.8495575221239</v>
      </c>
      <c r="J1607" s="51">
        <f t="shared" si="266"/>
        <v>60.8153543721494</v>
      </c>
      <c r="K1607" s="75">
        <f ca="1">H1607*K1593</f>
        <v>22.5264399</v>
      </c>
      <c r="L1607" s="69" t="s">
        <v>447</v>
      </c>
      <c r="M1607" s="70" t="s">
        <v>1049</v>
      </c>
      <c r="N1607" s="34">
        <f>0.074*2.71</f>
        <v>0.20054</v>
      </c>
      <c r="O1607" s="34">
        <v>0</v>
      </c>
      <c r="P1607" s="34">
        <v>1</v>
      </c>
      <c r="Q1607" s="44">
        <f t="shared" si="265"/>
        <v>0</v>
      </c>
      <c r="R1607" s="71">
        <f>+Q1607/R1594</f>
        <v>0</v>
      </c>
      <c r="S1607" s="47">
        <f>0.048</f>
        <v>0.048</v>
      </c>
      <c r="T1607" s="47">
        <f t="shared" si="267"/>
        <v>0</v>
      </c>
      <c r="U1607" s="76">
        <f>T1607/R1594</f>
        <v>0</v>
      </c>
    </row>
    <row r="1608" s="27" customFormat="1" ht="18" customHeight="1" spans="1:21">
      <c r="A1608" s="34"/>
      <c r="B1608" s="48">
        <v>2</v>
      </c>
      <c r="C1608" s="48"/>
      <c r="D1608" s="88" t="s">
        <v>404</v>
      </c>
      <c r="E1608" s="72" t="str">
        <f>+VLOOKUP(D1608,'材料表 '!C:F,2,0)</f>
        <v>kg</v>
      </c>
      <c r="F1608" s="77">
        <f t="shared" ref="F1608:F1620" si="269">+SUMIF($L$1593:$L$1634,D1608,$R$1593:$R$1634)</f>
        <v>1.59046941678521</v>
      </c>
      <c r="G1608" s="89">
        <f>+VLOOKUP(D1608,'材料表 '!C:F,4,0)</f>
        <v>0.03</v>
      </c>
      <c r="H1608" s="74">
        <f t="shared" si="268"/>
        <v>1.63818349928877</v>
      </c>
      <c r="I1608" s="74">
        <f>+VLOOKUP(D1608,'材料表 '!C:F,3,0)</f>
        <v>25.6725663716814</v>
      </c>
      <c r="J1608" s="51">
        <f t="shared" si="266"/>
        <v>42.0563746144841</v>
      </c>
      <c r="K1608" s="75">
        <f ca="1">H1608*K1593</f>
        <v>15.6853776600001</v>
      </c>
      <c r="L1608" s="69"/>
      <c r="M1608" s="70"/>
      <c r="N1608" s="83"/>
      <c r="O1608" s="83"/>
      <c r="P1608" s="83"/>
      <c r="Q1608" s="83"/>
      <c r="R1608" s="87"/>
      <c r="S1608" s="47"/>
      <c r="T1608" s="34"/>
    </row>
    <row r="1609" s="27" customFormat="1" ht="18" customHeight="1" spans="1:21">
      <c r="A1609" s="34"/>
      <c r="B1609" s="48">
        <v>3</v>
      </c>
      <c r="C1609" s="48"/>
      <c r="D1609" s="88" t="s">
        <v>433</v>
      </c>
      <c r="E1609" s="72" t="str">
        <f>+VLOOKUP(D1609,'材料表 '!C:F,2,0)</f>
        <v>kg</v>
      </c>
      <c r="F1609" s="77">
        <f t="shared" si="269"/>
        <v>0</v>
      </c>
      <c r="G1609" s="89">
        <f>+VLOOKUP(D1609,'材料表 '!C:F,4,0)</f>
        <v>0.03</v>
      </c>
      <c r="H1609" s="74">
        <f t="shared" si="268"/>
        <v>0</v>
      </c>
      <c r="I1609" s="74">
        <f>+VLOOKUP(D1609,'材料表 '!C:F,3,0)</f>
        <v>26.1150442477876</v>
      </c>
      <c r="J1609" s="51">
        <f t="shared" si="266"/>
        <v>0</v>
      </c>
      <c r="K1609" s="75">
        <f ca="1">H1609*K1593</f>
        <v>0</v>
      </c>
      <c r="L1609" s="69"/>
      <c r="N1609" s="83"/>
      <c r="O1609" s="83"/>
      <c r="P1609" s="83"/>
      <c r="Q1609" s="83"/>
      <c r="R1609" s="87"/>
      <c r="S1609" s="47"/>
      <c r="T1609" s="47"/>
    </row>
    <row r="1610" s="27" customFormat="1" ht="18" customHeight="1" spans="1:21">
      <c r="A1610" s="34"/>
      <c r="B1610" s="48">
        <v>4</v>
      </c>
      <c r="C1610" s="48"/>
      <c r="D1610" s="88" t="s">
        <v>429</v>
      </c>
      <c r="E1610" s="72" t="str">
        <f>+VLOOKUP(D1610,'材料表 '!C:F,2,0)</f>
        <v>kg</v>
      </c>
      <c r="F1610" s="77">
        <f t="shared" si="269"/>
        <v>1.51602223600832</v>
      </c>
      <c r="G1610" s="89">
        <f>+VLOOKUP(D1610,'材料表 '!C:F,4,0)</f>
        <v>0.03</v>
      </c>
      <c r="H1610" s="74">
        <f t="shared" si="268"/>
        <v>1.56150290308857</v>
      </c>
      <c r="I1610" s="74">
        <f>+VLOOKUP(D1610,'材料表 '!C:F,3,0)</f>
        <v>26.1150442477876</v>
      </c>
      <c r="J1610" s="51">
        <f t="shared" si="266"/>
        <v>40.7787174072068</v>
      </c>
      <c r="K1610" s="75">
        <f ca="1">H1610*K1593</f>
        <v>14.9511716866666</v>
      </c>
      <c r="L1610" s="90" t="s">
        <v>707</v>
      </c>
      <c r="M1610" s="44"/>
      <c r="N1610" s="82"/>
      <c r="O1610" s="44">
        <f>O1602*P1602</f>
        <v>2.043</v>
      </c>
      <c r="P1610" s="44">
        <v>1</v>
      </c>
      <c r="Q1610" s="44">
        <f>+P1610*O1610</f>
        <v>2.043</v>
      </c>
      <c r="R1610" s="84">
        <f>+Q1610/R1594</f>
        <v>0.42674253200569</v>
      </c>
      <c r="S1610" s="47"/>
      <c r="T1610" s="47"/>
    </row>
    <row r="1611" s="27" customFormat="1" ht="18" customHeight="1" spans="1:21">
      <c r="A1611" s="34"/>
      <c r="B1611" s="48">
        <v>5</v>
      </c>
      <c r="C1611" s="48"/>
      <c r="D1611" s="88" t="s">
        <v>447</v>
      </c>
      <c r="E1611" s="72" t="str">
        <f>+VLOOKUP(D1611,'材料表 '!C:F,2,0)</f>
        <v>kg</v>
      </c>
      <c r="F1611" s="77">
        <f t="shared" si="269"/>
        <v>1.47770534921659</v>
      </c>
      <c r="G1611" s="89">
        <f>+VLOOKUP(D1611,'材料表 '!C:F,4,0)</f>
        <v>0.03</v>
      </c>
      <c r="H1611" s="74">
        <f t="shared" si="268"/>
        <v>1.52203650969309</v>
      </c>
      <c r="I1611" s="74">
        <f>+VLOOKUP(D1611,'材料表 '!C:F,3,0)</f>
        <v>24.4336283185841</v>
      </c>
      <c r="J1611" s="51">
        <f t="shared" si="266"/>
        <v>37.1888743651559</v>
      </c>
      <c r="K1611" s="43">
        <f ca="1">H1611*K1593</f>
        <v>14.5732864952</v>
      </c>
      <c r="L1611" s="90" t="s">
        <v>435</v>
      </c>
      <c r="M1611" s="44"/>
      <c r="N1611" s="82">
        <f>0.073*1.2</f>
        <v>0.0876</v>
      </c>
      <c r="O1611" s="44">
        <f>O1597*P1597*3+O1602*P1602*4</f>
        <v>18.717</v>
      </c>
      <c r="P1611" s="44">
        <v>1</v>
      </c>
      <c r="Q1611" s="44">
        <f>+P1611*O1611</f>
        <v>18.717</v>
      </c>
      <c r="R1611" s="84">
        <f>+Q1611/R1594</f>
        <v>3.90961329982893</v>
      </c>
      <c r="S1611" s="47"/>
      <c r="T1611" s="47"/>
    </row>
    <row r="1612" s="27" customFormat="1" ht="18" customHeight="1" spans="1:21">
      <c r="A1612" s="34"/>
      <c r="B1612" s="48">
        <v>6</v>
      </c>
      <c r="C1612" s="48"/>
      <c r="D1612" s="88" t="s">
        <v>434</v>
      </c>
      <c r="E1612" s="72" t="str">
        <f>+VLOOKUP(D1612,'材料表 '!C:F,2,0)</f>
        <v>m2</v>
      </c>
      <c r="F1612" s="77">
        <f>U1599+U1604+U1606+U1607</f>
        <v>0.236811190973027</v>
      </c>
      <c r="G1612" s="89">
        <f>+VLOOKUP(D1612,'材料表 '!C:F,4,0)</f>
        <v>0</v>
      </c>
      <c r="H1612" s="74">
        <f t="shared" si="268"/>
        <v>0.236811190973027</v>
      </c>
      <c r="I1612" s="74">
        <f>+VLOOKUP(D1612,'材料表 '!C:F,3,0)</f>
        <v>49.5575221238938</v>
      </c>
      <c r="J1612" s="51">
        <f t="shared" si="266"/>
        <v>11.7357758358314</v>
      </c>
      <c r="K1612" s="43">
        <f ca="1">H1612*K1593</f>
        <v>2.267434</v>
      </c>
      <c r="L1612" s="90" t="s">
        <v>463</v>
      </c>
      <c r="M1612" s="91" t="s">
        <v>1012</v>
      </c>
      <c r="N1612" s="82">
        <f>0.32*0.3*8*7.85</f>
        <v>6.0288</v>
      </c>
      <c r="O1612" s="44">
        <v>1.5</v>
      </c>
      <c r="P1612" s="44">
        <f>P1597</f>
        <v>1</v>
      </c>
      <c r="Q1612" s="44">
        <f t="shared" ref="Q1612:Q1616" si="270">+P1612*O1612*N1612</f>
        <v>9.0432</v>
      </c>
      <c r="R1612" s="84">
        <f>+Q1612/R1594</f>
        <v>1.88894667911593</v>
      </c>
      <c r="S1612" s="47"/>
      <c r="T1612" s="47"/>
    </row>
    <row r="1613" s="27" customFormat="1" ht="18" customHeight="1" spans="1:21">
      <c r="A1613" s="34"/>
      <c r="B1613" s="48">
        <v>7</v>
      </c>
      <c r="C1613" s="48"/>
      <c r="D1613" s="88"/>
      <c r="E1613" s="72"/>
      <c r="F1613" s="77">
        <f t="shared" si="269"/>
        <v>0</v>
      </c>
      <c r="G1613" s="89"/>
      <c r="H1613" s="74"/>
      <c r="I1613" s="74"/>
      <c r="J1613" s="51"/>
      <c r="K1613" s="43">
        <f ca="1">H1613*K1593</f>
        <v>0</v>
      </c>
      <c r="L1613" s="69" t="s">
        <v>465</v>
      </c>
      <c r="M1613" s="81" t="s">
        <v>1013</v>
      </c>
      <c r="N1613" s="34">
        <v>9.88</v>
      </c>
      <c r="O1613" s="34">
        <f>0.13</f>
        <v>0.13</v>
      </c>
      <c r="P1613" s="34">
        <f>2*P1612*O1612</f>
        <v>3</v>
      </c>
      <c r="Q1613" s="44">
        <f t="shared" si="270"/>
        <v>3.8532</v>
      </c>
      <c r="R1613" s="84">
        <f>Q1613/R1594</f>
        <v>0.804857721157281</v>
      </c>
      <c r="S1613" s="47"/>
      <c r="T1613" s="47"/>
    </row>
    <row r="1614" s="27" customFormat="1" ht="18" customHeight="1" spans="1:21">
      <c r="A1614" s="34"/>
      <c r="B1614" s="48">
        <v>8</v>
      </c>
      <c r="C1614" s="48"/>
      <c r="D1614" s="88" t="s">
        <v>431</v>
      </c>
      <c r="E1614" s="72" t="str">
        <f>+VLOOKUP(D1614,'材料表 '!C:F,2,0)</f>
        <v>kg</v>
      </c>
      <c r="F1614" s="77">
        <f t="shared" si="269"/>
        <v>0</v>
      </c>
      <c r="G1614" s="89">
        <f>+VLOOKUP(D1614,'材料表 '!C:F,4,0)</f>
        <v>0.03</v>
      </c>
      <c r="H1614" s="74">
        <f t="shared" ref="H1614:H1626" si="271">F1614*(G1614+1)</f>
        <v>0</v>
      </c>
      <c r="I1614" s="74">
        <f>+VLOOKUP(D1614,'材料表 '!C:F,3,0)</f>
        <v>3.80530973451327</v>
      </c>
      <c r="J1614" s="51">
        <f t="shared" ref="J1614:J1626" si="272">H1614*I1614</f>
        <v>0</v>
      </c>
      <c r="K1614" s="43">
        <f ca="1">H1614*K1593</f>
        <v>0</v>
      </c>
      <c r="L1614" s="90" t="s">
        <v>474</v>
      </c>
      <c r="M1614" s="44"/>
      <c r="N1614" s="82"/>
      <c r="O1614" s="44">
        <v>4</v>
      </c>
      <c r="P1614" s="44">
        <f>O1612*P1612</f>
        <v>1.5</v>
      </c>
      <c r="Q1614" s="44">
        <f>O1614*P1614</f>
        <v>6</v>
      </c>
      <c r="R1614" s="84">
        <f>Q1614/R1594</f>
        <v>1.25328203232214</v>
      </c>
      <c r="S1614" s="47"/>
      <c r="T1614" s="47"/>
    </row>
    <row r="1615" s="27" customFormat="1" ht="18" customHeight="1" spans="1:21">
      <c r="A1615" s="34"/>
      <c r="B1615" s="48">
        <v>9</v>
      </c>
      <c r="C1615" s="48"/>
      <c r="D1615" s="88" t="s">
        <v>461</v>
      </c>
      <c r="E1615" s="72" t="str">
        <f>+VLOOKUP(D1615,'材料表 '!C:F,2,0)</f>
        <v>kg</v>
      </c>
      <c r="F1615" s="77">
        <f t="shared" si="269"/>
        <v>0</v>
      </c>
      <c r="G1615" s="89">
        <f>+VLOOKUP(D1615,'材料表 '!C:F,4,0)</f>
        <v>0.03</v>
      </c>
      <c r="H1615" s="74">
        <f t="shared" si="271"/>
        <v>0</v>
      </c>
      <c r="I1615" s="74">
        <f>+VLOOKUP(D1615,'材料表 '!C:F,3,0)</f>
        <v>3.53982300884956</v>
      </c>
      <c r="J1615" s="51">
        <f t="shared" si="272"/>
        <v>0</v>
      </c>
      <c r="K1615" s="43">
        <f ca="1">H1615*K1593</f>
        <v>0</v>
      </c>
      <c r="L1615" s="90" t="s">
        <v>472</v>
      </c>
      <c r="M1615" s="91"/>
      <c r="N1615" s="82"/>
      <c r="O1615" s="44">
        <v>2</v>
      </c>
      <c r="P1615" s="44">
        <f>O1612*P1612</f>
        <v>1.5</v>
      </c>
      <c r="Q1615" s="44">
        <f>O1615*P1615</f>
        <v>3</v>
      </c>
      <c r="R1615" s="84">
        <f>Q1615/R1594</f>
        <v>0.626641016161072</v>
      </c>
      <c r="S1615" s="47"/>
      <c r="T1615" s="47"/>
    </row>
    <row r="1616" s="27" customFormat="1" ht="18" customHeight="1" spans="1:21">
      <c r="A1616" s="34"/>
      <c r="B1616" s="48">
        <v>10</v>
      </c>
      <c r="C1616" s="48"/>
      <c r="D1616" s="88" t="s">
        <v>435</v>
      </c>
      <c r="E1616" s="72" t="str">
        <f>+VLOOKUP(D1616,'材料表 '!C:F,2,0)</f>
        <v>kg</v>
      </c>
      <c r="F1616" s="77">
        <f t="shared" si="269"/>
        <v>3.90961329982893</v>
      </c>
      <c r="G1616" s="89">
        <f>+VLOOKUP(D1616,'材料表 '!C:F,4,0)</f>
        <v>0.03</v>
      </c>
      <c r="H1616" s="74">
        <f t="shared" si="271"/>
        <v>4.0269016988238</v>
      </c>
      <c r="I1616" s="74">
        <f>+VLOOKUP(D1616,'材料表 '!C:F,3,0)</f>
        <v>19.4690265486726</v>
      </c>
      <c r="J1616" s="51">
        <f t="shared" si="272"/>
        <v>78.3998560832953</v>
      </c>
      <c r="K1616" s="43">
        <f ca="1">H1616*K1593</f>
        <v>38.5570200000001</v>
      </c>
      <c r="L1616" s="69" t="s">
        <v>465</v>
      </c>
      <c r="M1616" s="91"/>
      <c r="N1616" s="82">
        <f>(0.058+0.04*2)*5*7.85</f>
        <v>5.4165</v>
      </c>
      <c r="O1616" s="44">
        <v>0</v>
      </c>
      <c r="P1616" s="44">
        <v>1</v>
      </c>
      <c r="Q1616" s="44">
        <f t="shared" si="270"/>
        <v>0</v>
      </c>
      <c r="R1616" s="84">
        <f>+Q1616/R1594</f>
        <v>0</v>
      </c>
      <c r="S1616" s="47"/>
      <c r="T1616" s="47"/>
    </row>
    <row r="1617" s="27" customFormat="1" ht="18" customHeight="1" spans="1:20">
      <c r="A1617" s="34"/>
      <c r="B1617" s="48">
        <v>11</v>
      </c>
      <c r="C1617" s="48"/>
      <c r="D1617" s="88" t="s">
        <v>463</v>
      </c>
      <c r="E1617" s="72" t="str">
        <f>+VLOOKUP(D1617,'材料表 '!C:F,2,0)</f>
        <v>kg</v>
      </c>
      <c r="F1617" s="77">
        <f t="shared" si="269"/>
        <v>1.88894667911593</v>
      </c>
      <c r="G1617" s="89">
        <f>+VLOOKUP(D1617,'材料表 '!C:F,4,0)</f>
        <v>0.03</v>
      </c>
      <c r="H1617" s="74">
        <f t="shared" si="271"/>
        <v>1.94561507948941</v>
      </c>
      <c r="I1617" s="74">
        <f>+VLOOKUP(D1617,'材料表 '!C:F,3,0)</f>
        <v>6.01769911504425</v>
      </c>
      <c r="J1617" s="51">
        <f t="shared" si="272"/>
        <v>11.7081261420602</v>
      </c>
      <c r="K1617" s="43">
        <f ca="1">H1617*K1593</f>
        <v>18.628992</v>
      </c>
      <c r="L1617" s="69" t="s">
        <v>461</v>
      </c>
      <c r="N1617" s="83"/>
      <c r="O1617" s="83"/>
      <c r="P1617" s="83"/>
      <c r="Q1617" s="83"/>
      <c r="R1617" s="84"/>
      <c r="S1617" s="47"/>
      <c r="T1617" s="47"/>
    </row>
    <row r="1618" s="27" customFormat="1" ht="18" customHeight="1" spans="1:20">
      <c r="A1618" s="34"/>
      <c r="B1618" s="48">
        <v>12</v>
      </c>
      <c r="C1618" s="48"/>
      <c r="D1618" s="88" t="s">
        <v>465</v>
      </c>
      <c r="E1618" s="72" t="str">
        <f>+VLOOKUP(D1618,'材料表 '!C:F,2,0)</f>
        <v>kg</v>
      </c>
      <c r="F1618" s="77">
        <f t="shared" si="269"/>
        <v>0.804857721157281</v>
      </c>
      <c r="G1618" s="89">
        <f>+VLOOKUP(D1618,'材料表 '!C:F,4,0)</f>
        <v>0.03</v>
      </c>
      <c r="H1618" s="74">
        <f t="shared" si="271"/>
        <v>0.829003452791999</v>
      </c>
      <c r="I1618" s="74">
        <f>+VLOOKUP(D1618,'材料表 '!C:F,3,0)</f>
        <v>6.01769911504425</v>
      </c>
      <c r="J1618" s="51">
        <f t="shared" si="272"/>
        <v>4.98869334423504</v>
      </c>
      <c r="K1618" s="43">
        <f ca="1">H1618*K1593</f>
        <v>7.937592</v>
      </c>
      <c r="L1618" s="90"/>
      <c r="M1618" s="44"/>
      <c r="N1618" s="82"/>
      <c r="O1618" s="44"/>
      <c r="P1618" s="44"/>
      <c r="Q1618" s="44"/>
      <c r="R1618" s="84"/>
      <c r="S1618" s="47"/>
      <c r="T1618" s="47"/>
    </row>
    <row r="1619" s="27" customFormat="1" ht="18" customHeight="1" spans="1:20">
      <c r="A1619" s="34"/>
      <c r="B1619" s="48">
        <v>13</v>
      </c>
      <c r="C1619" s="48"/>
      <c r="D1619" s="88" t="s">
        <v>474</v>
      </c>
      <c r="E1619" s="72" t="str">
        <f>+VLOOKUP(D1619,'材料表 '!C:F,2,0)</f>
        <v>套</v>
      </c>
      <c r="F1619" s="77">
        <f t="shared" si="269"/>
        <v>1.25328203232214</v>
      </c>
      <c r="G1619" s="89">
        <f>+VLOOKUP(D1619,'材料表 '!C:F,4,0)</f>
        <v>0</v>
      </c>
      <c r="H1619" s="74">
        <f t="shared" si="271"/>
        <v>1.25328203232214</v>
      </c>
      <c r="I1619" s="74">
        <f>+VLOOKUP(D1619,'材料表 '!C:F,3,0)</f>
        <v>2.21238938053097</v>
      </c>
      <c r="J1619" s="51">
        <f t="shared" si="272"/>
        <v>2.77274785911977</v>
      </c>
      <c r="K1619" s="43">
        <f ca="1">H1619*K1593</f>
        <v>12</v>
      </c>
      <c r="L1619" s="90"/>
      <c r="M1619" s="44"/>
      <c r="N1619" s="82"/>
      <c r="O1619" s="44"/>
      <c r="P1619" s="44"/>
      <c r="Q1619" s="44"/>
      <c r="R1619" s="84"/>
      <c r="S1619" s="47"/>
      <c r="T1619" s="47"/>
    </row>
    <row r="1620" s="27" customFormat="1" ht="18" customHeight="1" spans="1:20">
      <c r="A1620" s="34"/>
      <c r="B1620" s="48">
        <v>14</v>
      </c>
      <c r="C1620" s="48"/>
      <c r="D1620" s="88" t="s">
        <v>472</v>
      </c>
      <c r="E1620" s="72" t="str">
        <f>+VLOOKUP(D1620,'材料表 '!C:F,2,0)</f>
        <v>套</v>
      </c>
      <c r="F1620" s="77">
        <f t="shared" si="269"/>
        <v>0.626641016161072</v>
      </c>
      <c r="G1620" s="89">
        <f>+VLOOKUP(D1620,'材料表 '!C:F,4,0)</f>
        <v>0</v>
      </c>
      <c r="H1620" s="74">
        <f t="shared" si="271"/>
        <v>0.626641016161072</v>
      </c>
      <c r="I1620" s="74">
        <f>+VLOOKUP(D1620,'材料表 '!C:F,3,0)</f>
        <v>2.47787610619469</v>
      </c>
      <c r="J1620" s="51">
        <f t="shared" si="272"/>
        <v>1.55273880110708</v>
      </c>
      <c r="K1620" s="43">
        <f ca="1">H1620*K1593</f>
        <v>6</v>
      </c>
      <c r="L1620" s="90"/>
      <c r="M1620" s="44"/>
      <c r="N1620" s="82"/>
      <c r="O1620" s="44"/>
      <c r="P1620" s="44"/>
      <c r="Q1620" s="44"/>
      <c r="R1620" s="84"/>
      <c r="S1620" s="47"/>
      <c r="T1620" s="47"/>
    </row>
    <row r="1621" s="27" customFormat="1" ht="18" customHeight="1" spans="1:20">
      <c r="A1621" s="34"/>
      <c r="B1621" s="48">
        <v>15</v>
      </c>
      <c r="C1621" s="48"/>
      <c r="D1621" s="88" t="s">
        <v>476</v>
      </c>
      <c r="E1621" s="72" t="str">
        <f>+VLOOKUP(D1621,'材料表 '!C:F,2,0)</f>
        <v>支</v>
      </c>
      <c r="F1621" s="77">
        <f>8*8*(O1602*P1602*2)/500/R1594+16*8*(O1597*P1597+O1602*P1602)/500/R1594</f>
        <v>0.40645106038104</v>
      </c>
      <c r="G1621" s="89">
        <f>+VLOOKUP(D1621,'材料表 '!C:F,4,0)</f>
        <v>0.15</v>
      </c>
      <c r="H1621" s="74">
        <f t="shared" si="271"/>
        <v>0.467418719438196</v>
      </c>
      <c r="I1621" s="74">
        <f>+VLOOKUP(D1621,'材料表 '!C:F,3,0)</f>
        <v>11.5044247787611</v>
      </c>
      <c r="J1621" s="51">
        <f t="shared" si="272"/>
        <v>5.37738349796156</v>
      </c>
      <c r="K1621" s="43">
        <f ca="1">H1621*K1593</f>
        <v>4.47546880000001</v>
      </c>
      <c r="L1621" s="92"/>
      <c r="M1621" s="44"/>
      <c r="N1621" s="82"/>
      <c r="O1621" s="44"/>
      <c r="P1621" s="44"/>
      <c r="Q1621" s="44"/>
      <c r="R1621" s="84"/>
      <c r="S1621" s="47"/>
      <c r="T1621" s="47"/>
    </row>
    <row r="1622" s="27" customFormat="1" ht="18" customHeight="1" spans="1:20">
      <c r="A1622" s="34"/>
      <c r="B1622" s="48">
        <v>16</v>
      </c>
      <c r="C1622" s="48"/>
      <c r="D1622" s="88" t="s">
        <v>576</v>
      </c>
      <c r="E1622" s="72" t="str">
        <f>+VLOOKUP(D1622,'材料表 '!C:F,2,0)</f>
        <v>支</v>
      </c>
      <c r="F1622" s="77">
        <v>0</v>
      </c>
      <c r="G1622" s="89">
        <f>+VLOOKUP(D1622,'材料表 '!C:F,4,0)</f>
        <v>0.15</v>
      </c>
      <c r="H1622" s="74">
        <f t="shared" si="271"/>
        <v>0</v>
      </c>
      <c r="I1622" s="74">
        <f>+VLOOKUP(D1622,'材料表 '!C:F,3,0)</f>
        <v>14.1592920353982</v>
      </c>
      <c r="J1622" s="51">
        <f t="shared" si="272"/>
        <v>0</v>
      </c>
      <c r="K1622" s="43">
        <f ca="1">H1622*K1593</f>
        <v>0</v>
      </c>
      <c r="L1622" s="92"/>
      <c r="M1622" s="44"/>
      <c r="N1622" s="82"/>
      <c r="O1622" s="44"/>
      <c r="P1622" s="44"/>
      <c r="Q1622" s="44"/>
      <c r="R1622" s="84"/>
      <c r="S1622" s="47"/>
      <c r="T1622" s="47"/>
    </row>
    <row r="1623" s="27" customFormat="1" ht="18" customHeight="1" spans="1:20">
      <c r="A1623" s="34"/>
      <c r="B1623" s="48">
        <v>17</v>
      </c>
      <c r="C1623" s="48"/>
      <c r="D1623" s="88" t="s">
        <v>479</v>
      </c>
      <c r="E1623" s="72" t="str">
        <f>+VLOOKUP(D1623,'材料表 '!C:F,2,0)</f>
        <v>kg</v>
      </c>
      <c r="F1623" s="77">
        <v>0</v>
      </c>
      <c r="G1623" s="89">
        <f>+VLOOKUP(D1623,'材料表 '!C:F,4,0)</f>
        <v>0.03</v>
      </c>
      <c r="H1623" s="74">
        <f t="shared" si="271"/>
        <v>0</v>
      </c>
      <c r="I1623" s="74">
        <f>+VLOOKUP(D1623,'材料表 '!C:F,3,0)</f>
        <v>14.1592920353982</v>
      </c>
      <c r="J1623" s="51">
        <f t="shared" si="272"/>
        <v>0</v>
      </c>
      <c r="K1623" s="43">
        <f ca="1">H1623*K1593</f>
        <v>0</v>
      </c>
      <c r="L1623" s="92"/>
      <c r="M1623" s="44"/>
      <c r="N1623" s="82"/>
      <c r="O1623" s="44"/>
      <c r="P1623" s="44"/>
      <c r="Q1623" s="44"/>
      <c r="R1623" s="84"/>
      <c r="S1623" s="47"/>
      <c r="T1623" s="47"/>
    </row>
    <row r="1624" s="27" customFormat="1" ht="18" customHeight="1" spans="1:20">
      <c r="A1624" s="34"/>
      <c r="B1624" s="48">
        <v>18</v>
      </c>
      <c r="C1624" s="48"/>
      <c r="D1624" s="88" t="s">
        <v>500</v>
      </c>
      <c r="E1624" s="72" t="str">
        <f>+VLOOKUP(D1624,'材料表 '!C:F,2,0)</f>
        <v>kg</v>
      </c>
      <c r="F1624" s="77">
        <f>R1602+R1603+R1604+R1605+R1606+R1607</f>
        <v>2.51395193663406</v>
      </c>
      <c r="G1624" s="89">
        <f>+VLOOKUP(D1624,'材料表 '!C:F,4,0)</f>
        <v>0.03</v>
      </c>
      <c r="H1624" s="74">
        <f t="shared" si="271"/>
        <v>2.58937049473308</v>
      </c>
      <c r="I1624" s="74">
        <f>+VLOOKUP(D1624,'材料表 '!C:F,3,0)</f>
        <v>14.1592920353982</v>
      </c>
      <c r="J1624" s="51">
        <f t="shared" si="272"/>
        <v>36.6636530227692</v>
      </c>
      <c r="K1624" s="43">
        <f ca="1">H1624*K1593</f>
        <v>24.7928599752</v>
      </c>
      <c r="L1624" s="92"/>
      <c r="M1624" s="44"/>
      <c r="N1624" s="82"/>
      <c r="O1624" s="44"/>
      <c r="P1624" s="44"/>
      <c r="Q1624" s="44"/>
      <c r="R1624" s="84"/>
      <c r="S1624" s="47"/>
      <c r="T1624" s="47"/>
    </row>
    <row r="1625" s="27" customFormat="1" ht="35" customHeight="1" spans="1:20">
      <c r="A1625" s="34"/>
      <c r="B1625" s="48">
        <v>19</v>
      </c>
      <c r="C1625" s="48"/>
      <c r="D1625" s="88" t="s">
        <v>696</v>
      </c>
      <c r="E1625" s="72" t="str">
        <f>+VLOOKUP(D1625,'材料表 '!C:F,2,0)</f>
        <v>m2</v>
      </c>
      <c r="F1625" s="77">
        <v>1</v>
      </c>
      <c r="G1625" s="89">
        <f>+VLOOKUP(D1625,'材料表 '!C:F,4,0)</f>
        <v>0.01</v>
      </c>
      <c r="H1625" s="74">
        <f t="shared" si="271"/>
        <v>1.01</v>
      </c>
      <c r="I1625" s="74">
        <f>+VLOOKUP(D1625,'材料表 '!C:F,3,0)</f>
        <v>1238.05309734513</v>
      </c>
      <c r="J1625" s="51">
        <f t="shared" si="272"/>
        <v>1250.43362831858</v>
      </c>
      <c r="K1625" s="43">
        <f ca="1">H1625*K1593</f>
        <v>9.6706086</v>
      </c>
      <c r="L1625" s="90"/>
      <c r="M1625" s="44"/>
      <c r="N1625" s="82"/>
      <c r="O1625" s="44"/>
      <c r="P1625" s="44"/>
      <c r="Q1625" s="44"/>
      <c r="R1625" s="84"/>
      <c r="S1625" s="47"/>
      <c r="T1625" s="47"/>
    </row>
    <row r="1626" s="27" customFormat="1" ht="21" customHeight="1" spans="1:20">
      <c r="A1626" s="34"/>
      <c r="B1626" s="48">
        <v>20</v>
      </c>
      <c r="C1626" s="48"/>
      <c r="D1626" s="88" t="s">
        <v>1043</v>
      </c>
      <c r="E1626" s="72" t="str">
        <f>+VLOOKUP(D1626,'材料表 '!C:F,2,0)</f>
        <v>套</v>
      </c>
      <c r="F1626" s="77">
        <f>P1605/R1594</f>
        <v>0.417760677440715</v>
      </c>
      <c r="G1626" s="89">
        <f>+VLOOKUP(D1626,'材料表 '!C:F,4,0)</f>
        <v>0</v>
      </c>
      <c r="H1626" s="74">
        <f t="shared" si="271"/>
        <v>0.417760677440715</v>
      </c>
      <c r="I1626" s="74">
        <f>+VLOOKUP(D1626,'材料表 '!C:F,3,0)</f>
        <v>1.32743362831858</v>
      </c>
      <c r="J1626" s="51">
        <f t="shared" si="272"/>
        <v>0.554549571823956</v>
      </c>
      <c r="K1626" s="43">
        <f ca="1">H1626*K1593</f>
        <v>4</v>
      </c>
      <c r="L1626" s="90"/>
      <c r="M1626" s="44"/>
      <c r="N1626" s="82"/>
      <c r="O1626" s="44"/>
      <c r="P1626" s="44"/>
      <c r="Q1626" s="44"/>
      <c r="R1626" s="84"/>
      <c r="S1626" s="47"/>
      <c r="T1626" s="47"/>
    </row>
    <row r="1627" s="27" customFormat="1" ht="18" customHeight="1" spans="1:20">
      <c r="A1627" s="34"/>
      <c r="B1627" s="48">
        <v>21</v>
      </c>
      <c r="C1627" s="48"/>
      <c r="D1627" s="88"/>
      <c r="E1627" s="72"/>
      <c r="F1627" s="77"/>
      <c r="G1627" s="89"/>
      <c r="H1627" s="74"/>
      <c r="I1627" s="74"/>
      <c r="J1627" s="51"/>
      <c r="K1627" s="43">
        <f ca="1">H1627*K1593</f>
        <v>0</v>
      </c>
      <c r="L1627" s="92"/>
      <c r="M1627" s="44"/>
      <c r="N1627" s="82"/>
      <c r="O1627" s="44"/>
      <c r="P1627" s="44"/>
      <c r="Q1627" s="44"/>
      <c r="R1627" s="84"/>
      <c r="S1627" s="47"/>
      <c r="T1627" s="47"/>
    </row>
    <row r="1628" s="27" customFormat="1" ht="18" customHeight="1" spans="1:20">
      <c r="A1628" s="34"/>
      <c r="B1628" s="48">
        <v>22</v>
      </c>
      <c r="C1628" s="48"/>
      <c r="D1628" s="88"/>
      <c r="E1628" s="72"/>
      <c r="F1628" s="77"/>
      <c r="G1628" s="89"/>
      <c r="H1628" s="74"/>
      <c r="I1628" s="74"/>
      <c r="J1628" s="51"/>
      <c r="K1628" s="43">
        <f ca="1">H1628*K1593</f>
        <v>0</v>
      </c>
      <c r="L1628" s="92"/>
      <c r="M1628" s="44"/>
      <c r="N1628" s="44"/>
      <c r="O1628" s="44"/>
      <c r="P1628" s="44"/>
      <c r="Q1628" s="44"/>
      <c r="R1628" s="84"/>
      <c r="S1628" s="47"/>
      <c r="T1628" s="47"/>
    </row>
    <row r="1629" s="27" customFormat="1" ht="18" customHeight="1" spans="1:20">
      <c r="A1629" s="34"/>
      <c r="B1629" s="48">
        <v>23</v>
      </c>
      <c r="C1629" s="48"/>
      <c r="D1629" s="88"/>
      <c r="E1629" s="72"/>
      <c r="F1629" s="77"/>
      <c r="G1629" s="89"/>
      <c r="H1629" s="74"/>
      <c r="I1629" s="74"/>
      <c r="J1629" s="51"/>
      <c r="K1629" s="75">
        <f ca="1">H1629*K1593</f>
        <v>0</v>
      </c>
      <c r="L1629" s="92"/>
      <c r="M1629" s="44"/>
      <c r="N1629" s="44"/>
      <c r="O1629" s="44"/>
      <c r="P1629" s="44"/>
      <c r="Q1629" s="44"/>
      <c r="R1629" s="84"/>
      <c r="S1629" s="47"/>
      <c r="T1629" s="47"/>
    </row>
    <row r="1630" s="27" customFormat="1" ht="18" customHeight="1" spans="1:20">
      <c r="A1630" s="34"/>
      <c r="B1630" s="48">
        <v>24</v>
      </c>
      <c r="C1630" s="48"/>
      <c r="D1630" s="88"/>
      <c r="E1630" s="72"/>
      <c r="F1630" s="77"/>
      <c r="G1630" s="89"/>
      <c r="H1630" s="74"/>
      <c r="I1630" s="74"/>
      <c r="J1630" s="51"/>
      <c r="K1630" s="75">
        <f ca="1">H1630*K1593</f>
        <v>0</v>
      </c>
      <c r="L1630" s="92"/>
      <c r="M1630" s="44"/>
      <c r="N1630" s="44"/>
      <c r="O1630" s="44"/>
      <c r="P1630" s="44"/>
      <c r="Q1630" s="44"/>
      <c r="R1630" s="84"/>
      <c r="S1630" s="47"/>
      <c r="T1630" s="47"/>
    </row>
    <row r="1631" s="27" customFormat="1" ht="18" customHeight="1" spans="1:20">
      <c r="A1631" s="34"/>
      <c r="B1631" s="48">
        <v>25</v>
      </c>
      <c r="C1631" s="48"/>
      <c r="D1631" s="88"/>
      <c r="E1631" s="72"/>
      <c r="F1631" s="77"/>
      <c r="G1631" s="89"/>
      <c r="H1631" s="74"/>
      <c r="I1631" s="74"/>
      <c r="J1631" s="51"/>
      <c r="K1631" s="75"/>
      <c r="L1631" s="92"/>
      <c r="M1631" s="44"/>
      <c r="N1631" s="44"/>
      <c r="O1631" s="44"/>
      <c r="P1631" s="44"/>
      <c r="Q1631" s="44"/>
      <c r="R1631" s="84"/>
      <c r="S1631" s="47"/>
      <c r="T1631" s="47"/>
    </row>
    <row r="1632" s="27" customFormat="1" ht="18" customHeight="1" spans="1:20">
      <c r="A1632" s="34"/>
      <c r="B1632" s="48">
        <v>26</v>
      </c>
      <c r="C1632" s="48"/>
      <c r="D1632" s="88" t="s">
        <v>441</v>
      </c>
      <c r="E1632" s="72" t="s">
        <v>43</v>
      </c>
      <c r="F1632" s="77"/>
      <c r="G1632" s="72">
        <v>1</v>
      </c>
      <c r="H1632" s="74">
        <v>1</v>
      </c>
      <c r="I1632" s="74">
        <f>+辅材及安装费!$E$19</f>
        <v>10</v>
      </c>
      <c r="J1632" s="51">
        <f>H1632*I1632</f>
        <v>10</v>
      </c>
      <c r="K1632" s="75"/>
      <c r="L1632" s="92"/>
      <c r="M1632" s="44"/>
      <c r="N1632" s="44"/>
      <c r="O1632" s="44"/>
      <c r="P1632" s="44"/>
      <c r="Q1632" s="44"/>
      <c r="R1632" s="62"/>
      <c r="S1632" s="47"/>
      <c r="T1632" s="47"/>
    </row>
    <row r="1633" s="27" customFormat="1" ht="18" customHeight="1" spans="1:21">
      <c r="A1633" s="34"/>
      <c r="B1633" s="48">
        <v>27</v>
      </c>
      <c r="C1633" s="48"/>
      <c r="D1633" s="93" t="s">
        <v>442</v>
      </c>
      <c r="E1633" s="72"/>
      <c r="F1633" s="77"/>
      <c r="G1633" s="72"/>
      <c r="H1633" s="74"/>
      <c r="I1633" s="74"/>
      <c r="J1633" s="51">
        <f>SUM(J1607:J1632)</f>
        <v>1595.02647323578</v>
      </c>
      <c r="K1633" s="75"/>
      <c r="L1633" s="94"/>
      <c r="N1633" s="83"/>
      <c r="O1633" s="83"/>
      <c r="P1633" s="83"/>
      <c r="Q1633" s="83"/>
      <c r="R1633" s="87"/>
      <c r="S1633" s="47"/>
      <c r="T1633" s="47"/>
    </row>
    <row r="1634" s="27" customFormat="1" ht="18" customHeight="1" spans="1:21">
      <c r="A1634" s="34"/>
      <c r="B1634" s="48">
        <v>1</v>
      </c>
      <c r="C1634" s="48" t="s">
        <v>443</v>
      </c>
      <c r="D1634" s="48" t="s">
        <v>444</v>
      </c>
      <c r="E1634" s="72" t="s">
        <v>43</v>
      </c>
      <c r="F1634" s="50"/>
      <c r="G1634" s="48"/>
      <c r="H1634" s="51">
        <v>1</v>
      </c>
      <c r="I1634" s="74">
        <f>+辅材及安装费!$F$19</f>
        <v>5</v>
      </c>
      <c r="J1634" s="95">
        <f>H1634*I1634</f>
        <v>5</v>
      </c>
      <c r="K1634" s="60"/>
      <c r="L1634" s="96"/>
      <c r="M1634" s="97"/>
      <c r="N1634" s="98"/>
      <c r="O1634" s="98"/>
      <c r="P1634" s="98"/>
      <c r="Q1634" s="98"/>
      <c r="R1634" s="99"/>
      <c r="S1634" s="47"/>
      <c r="T1634" s="47"/>
    </row>
    <row r="1635" s="26" customFormat="1" ht="30" customHeight="1" spans="1:21">
      <c r="A1635" s="28"/>
      <c r="B1635" s="29" t="s">
        <v>386</v>
      </c>
      <c r="C1635" s="29"/>
      <c r="D1635" s="29"/>
      <c r="E1635" s="29"/>
      <c r="F1635" s="29"/>
      <c r="G1635" s="29"/>
      <c r="H1635" s="29"/>
      <c r="I1635" s="29"/>
      <c r="J1635" s="29"/>
      <c r="K1635" s="29"/>
      <c r="L1635" s="30"/>
      <c r="M1635" s="31"/>
      <c r="N1635" s="31"/>
      <c r="O1635" s="31"/>
      <c r="P1635" s="31"/>
      <c r="Q1635" s="31"/>
      <c r="R1635" s="32"/>
      <c r="S1635" s="33"/>
      <c r="T1635" s="33"/>
    </row>
    <row r="1636" s="27" customFormat="1" ht="41" customHeight="1" spans="1:21">
      <c r="A1636" s="34">
        <v>39</v>
      </c>
      <c r="B1636" s="35" t="s">
        <v>1</v>
      </c>
      <c r="C1636" s="35" t="s">
        <v>387</v>
      </c>
      <c r="D1636" s="36" t="str">
        <f>+A1644</f>
        <v>二层明框玻璃幕墙（6+1.52PVB+6Low-E(双银)+12A+10㎜全超白钢化夹层中空玻璃）</v>
      </c>
      <c r="E1636" s="37"/>
      <c r="F1636" s="38" t="s">
        <v>225</v>
      </c>
      <c r="G1636" s="39"/>
      <c r="H1636" s="35" t="s">
        <v>388</v>
      </c>
      <c r="I1636" s="40" t="s">
        <v>389</v>
      </c>
      <c r="J1636" s="41" t="s">
        <v>37</v>
      </c>
      <c r="K1636" s="42">
        <f ca="1">VLOOKUP(A1636,'商业工程量清单 '!$A$4:$D$44,4,FALSE)</f>
        <v>37.2334</v>
      </c>
      <c r="L1636" s="43"/>
      <c r="M1636" s="44"/>
      <c r="N1636" s="44"/>
      <c r="O1636" s="44"/>
      <c r="P1636" s="45"/>
      <c r="Q1636" s="44"/>
      <c r="R1636" s="46"/>
      <c r="S1636" s="47"/>
      <c r="T1636" s="47"/>
    </row>
    <row r="1637" s="27" customFormat="1" ht="25" customHeight="1" spans="1:21">
      <c r="A1637" s="34"/>
      <c r="B1637" s="48">
        <v>1</v>
      </c>
      <c r="C1637" s="49" t="s">
        <v>390</v>
      </c>
      <c r="D1637" s="48" t="s">
        <v>391</v>
      </c>
      <c r="E1637" s="48"/>
      <c r="F1637" s="50"/>
      <c r="G1637" s="48"/>
      <c r="H1637" s="51"/>
      <c r="I1637" s="52">
        <f>J1649</f>
        <v>170</v>
      </c>
      <c r="J1637" s="53" t="s">
        <v>392</v>
      </c>
      <c r="K1637" s="54"/>
      <c r="L1637" s="55" t="s">
        <v>1054</v>
      </c>
      <c r="M1637" s="56"/>
      <c r="N1637" s="57"/>
      <c r="O1637" s="57">
        <f>12.18+5.6-1.8</f>
        <v>15.98</v>
      </c>
      <c r="P1637" s="57">
        <v>2.33</v>
      </c>
      <c r="Q1637" s="57">
        <v>1</v>
      </c>
      <c r="R1637" s="58">
        <f>+Q1637*P1637*O1637</f>
        <v>37.2334</v>
      </c>
      <c r="S1637" s="47"/>
      <c r="T1637" s="47"/>
    </row>
    <row r="1638" s="27" customFormat="1" ht="18" customHeight="1" spans="1:21">
      <c r="A1638" s="34"/>
      <c r="B1638" s="48">
        <v>2</v>
      </c>
      <c r="C1638" s="59"/>
      <c r="D1638" s="48" t="s">
        <v>394</v>
      </c>
      <c r="E1638" s="48"/>
      <c r="F1638" s="50"/>
      <c r="G1638" s="48"/>
      <c r="H1638" s="51"/>
      <c r="I1638" s="52">
        <f>J1676</f>
        <v>589.495446474647</v>
      </c>
      <c r="J1638" s="53" t="s">
        <v>392</v>
      </c>
      <c r="K1638" s="60"/>
      <c r="L1638" s="61"/>
      <c r="M1638" s="44"/>
      <c r="N1638" s="44"/>
      <c r="O1638" s="44"/>
      <c r="P1638" s="44"/>
      <c r="Q1638" s="44"/>
      <c r="R1638" s="62"/>
      <c r="S1638" s="47"/>
      <c r="T1638" s="47"/>
    </row>
    <row r="1639" s="27" customFormat="1" ht="18" customHeight="1" spans="1:21">
      <c r="A1639" s="34"/>
      <c r="B1639" s="48">
        <v>3</v>
      </c>
      <c r="C1639" s="63"/>
      <c r="D1639" s="48" t="s">
        <v>395</v>
      </c>
      <c r="E1639" s="48"/>
      <c r="F1639" s="50"/>
      <c r="G1639" s="48"/>
      <c r="H1639" s="51"/>
      <c r="I1639" s="52">
        <f>J1677</f>
        <v>5</v>
      </c>
      <c r="J1639" s="53" t="s">
        <v>392</v>
      </c>
      <c r="K1639" s="60"/>
      <c r="L1639" s="60"/>
      <c r="M1639" s="64" t="s">
        <v>396</v>
      </c>
      <c r="N1639" s="65" t="s">
        <v>397</v>
      </c>
      <c r="O1639" s="65" t="s">
        <v>398</v>
      </c>
      <c r="P1639" s="65" t="s">
        <v>399</v>
      </c>
      <c r="Q1639" s="65" t="s">
        <v>400</v>
      </c>
      <c r="R1639" s="66" t="s">
        <v>401</v>
      </c>
      <c r="S1639" s="47"/>
      <c r="T1639" s="47"/>
    </row>
    <row r="1640" s="27" customFormat="1" ht="18" customHeight="1" spans="1:21">
      <c r="A1640" s="34"/>
      <c r="B1640" s="48">
        <v>4</v>
      </c>
      <c r="C1640" s="48" t="s">
        <v>402</v>
      </c>
      <c r="D1640" s="67" t="s">
        <v>403</v>
      </c>
      <c r="E1640" s="67"/>
      <c r="F1640" s="50"/>
      <c r="G1640" s="67"/>
      <c r="H1640" s="68"/>
      <c r="I1640" s="52">
        <f>SUM(I1637:I1639)</f>
        <v>764.495446474647</v>
      </c>
      <c r="J1640" s="53" t="s">
        <v>392</v>
      </c>
      <c r="K1640" s="60"/>
      <c r="L1640" s="69" t="s">
        <v>427</v>
      </c>
      <c r="M1640" s="70" t="s">
        <v>1007</v>
      </c>
      <c r="N1640" s="34">
        <v>3.111</v>
      </c>
      <c r="O1640" s="34">
        <f>P1637</f>
        <v>2.33</v>
      </c>
      <c r="P1640" s="34">
        <v>10</v>
      </c>
      <c r="Q1640" s="44">
        <f t="shared" ref="Q1640:Q1650" si="273">+P1640*O1640*N1640</f>
        <v>72.4863</v>
      </c>
      <c r="R1640" s="71">
        <f>+Q1640/R1637</f>
        <v>1.9468085106383</v>
      </c>
      <c r="S1640" s="47"/>
      <c r="T1640" s="47"/>
    </row>
    <row r="1641" s="27" customFormat="1" ht="28" customHeight="1" spans="1:21">
      <c r="A1641" s="34"/>
      <c r="B1641" s="48">
        <v>5</v>
      </c>
      <c r="C1641" s="72" t="s">
        <v>406</v>
      </c>
      <c r="D1641" s="48" t="s">
        <v>407</v>
      </c>
      <c r="E1641" s="48"/>
      <c r="F1641" s="50"/>
      <c r="G1641" s="48"/>
      <c r="H1641" s="73">
        <f>+'材料表 '!$E$178</f>
        <v>0</v>
      </c>
      <c r="I1641" s="52">
        <f>H1641*I1640</f>
        <v>0</v>
      </c>
      <c r="J1641" s="53" t="s">
        <v>392</v>
      </c>
      <c r="K1641" s="60"/>
      <c r="L1641" s="69" t="s">
        <v>429</v>
      </c>
      <c r="M1641" s="70" t="s">
        <v>1037</v>
      </c>
      <c r="N1641" s="34">
        <v>3.063</v>
      </c>
      <c r="O1641" s="100">
        <f>O1640/0.3*0.1</f>
        <v>0.776666666666667</v>
      </c>
      <c r="P1641" s="34">
        <f>P1640</f>
        <v>10</v>
      </c>
      <c r="Q1641" s="44">
        <f t="shared" si="273"/>
        <v>23.7893</v>
      </c>
      <c r="R1641" s="71">
        <f>+Q1641/R1637</f>
        <v>0.63892365456821</v>
      </c>
      <c r="S1641" s="47"/>
      <c r="T1641" s="47"/>
    </row>
    <row r="1642" s="27" customFormat="1" ht="18" customHeight="1" spans="1:21">
      <c r="A1642" s="34"/>
      <c r="B1642" s="48">
        <v>6</v>
      </c>
      <c r="C1642" s="48" t="s">
        <v>409</v>
      </c>
      <c r="D1642" s="48" t="s">
        <v>410</v>
      </c>
      <c r="E1642" s="48"/>
      <c r="F1642" s="50"/>
      <c r="G1642" s="48"/>
      <c r="H1642" s="73">
        <f>+'材料表 '!$E$179</f>
        <v>0</v>
      </c>
      <c r="I1642" s="52">
        <f>H1642*I1640</f>
        <v>0</v>
      </c>
      <c r="J1642" s="74" t="s">
        <v>392</v>
      </c>
      <c r="K1642" s="75"/>
      <c r="L1642" s="69" t="s">
        <v>447</v>
      </c>
      <c r="M1642" s="70" t="s">
        <v>1038</v>
      </c>
      <c r="N1642" s="34">
        <f>1.041+0.104</f>
        <v>1.145</v>
      </c>
      <c r="O1642" s="34">
        <f>O1640</f>
        <v>2.33</v>
      </c>
      <c r="P1642" s="34">
        <f>P1640</f>
        <v>10</v>
      </c>
      <c r="Q1642" s="44">
        <f t="shared" si="273"/>
        <v>26.6785</v>
      </c>
      <c r="R1642" s="71">
        <f>+Q1642/R1637</f>
        <v>0.716520650813517</v>
      </c>
      <c r="S1642" s="47">
        <v>0.172</v>
      </c>
      <c r="T1642" s="47">
        <f>O1642*P1642*S1642</f>
        <v>4.0076</v>
      </c>
      <c r="U1642" s="76">
        <f>T1642/R1637</f>
        <v>0.107634543178974</v>
      </c>
    </row>
    <row r="1643" s="27" customFormat="1" ht="18" customHeight="1" spans="1:21">
      <c r="A1643" s="34"/>
      <c r="B1643" s="48">
        <v>7</v>
      </c>
      <c r="C1643" s="48" t="s">
        <v>412</v>
      </c>
      <c r="D1643" s="72" t="s">
        <v>413</v>
      </c>
      <c r="E1643" s="72"/>
      <c r="F1643" s="77"/>
      <c r="G1643" s="72"/>
      <c r="H1643" s="73">
        <f>+'材料表 '!$E$180</f>
        <v>0.09</v>
      </c>
      <c r="I1643" s="52">
        <f>(I1640+I1641+I1642)*H1643</f>
        <v>68.8045901827183</v>
      </c>
      <c r="J1643" s="74" t="s">
        <v>392</v>
      </c>
      <c r="K1643" s="75"/>
      <c r="L1643" s="69" t="s">
        <v>429</v>
      </c>
      <c r="M1643" s="70" t="s">
        <v>1010</v>
      </c>
      <c r="N1643" s="102">
        <f>2.9</f>
        <v>2.9</v>
      </c>
      <c r="O1643" s="34">
        <v>0.2</v>
      </c>
      <c r="P1643" s="34">
        <f>P1640</f>
        <v>10</v>
      </c>
      <c r="Q1643" s="44">
        <f t="shared" si="273"/>
        <v>5.8</v>
      </c>
      <c r="R1643" s="71">
        <f>+Q1643/R1637</f>
        <v>0.155774116787615</v>
      </c>
      <c r="S1643" s="47"/>
      <c r="T1643" s="47"/>
    </row>
    <row r="1644" s="27" customFormat="1" ht="18" customHeight="1" spans="1:21">
      <c r="A1644" s="78" t="s">
        <v>281</v>
      </c>
      <c r="B1644" s="48">
        <v>8</v>
      </c>
      <c r="C1644" s="48" t="s">
        <v>363</v>
      </c>
      <c r="D1644" s="72" t="s">
        <v>415</v>
      </c>
      <c r="E1644" s="72"/>
      <c r="F1644" s="77"/>
      <c r="G1644" s="72"/>
      <c r="H1644" s="51"/>
      <c r="I1644" s="74">
        <f>SUM(I1640:I1643)</f>
        <v>833.300036657366</v>
      </c>
      <c r="J1644" s="74" t="s">
        <v>416</v>
      </c>
      <c r="K1644" s="75"/>
      <c r="L1644" s="69" t="s">
        <v>429</v>
      </c>
      <c r="M1644" s="70" t="s">
        <v>1040</v>
      </c>
      <c r="N1644" s="34">
        <v>0.733</v>
      </c>
      <c r="O1644" s="100">
        <f>O1641*2</f>
        <v>1.55333333333333</v>
      </c>
      <c r="P1644" s="34">
        <f>P1640</f>
        <v>10</v>
      </c>
      <c r="Q1644" s="44">
        <f t="shared" si="273"/>
        <v>11.3859333333333</v>
      </c>
      <c r="R1644" s="71">
        <f>+Q1644/R1637</f>
        <v>0.305798915310805</v>
      </c>
      <c r="S1644" s="79"/>
      <c r="T1644" s="47"/>
    </row>
    <row r="1645" s="27" customFormat="1" ht="18" customHeight="1" spans="1:21">
      <c r="A1645" s="34"/>
      <c r="B1645" s="48" t="s">
        <v>418</v>
      </c>
      <c r="C1645" s="48"/>
      <c r="D1645" s="48"/>
      <c r="E1645" s="48"/>
      <c r="F1645" s="48"/>
      <c r="G1645" s="48"/>
      <c r="H1645" s="48"/>
      <c r="I1645" s="48"/>
      <c r="J1645" s="48"/>
      <c r="K1645" s="80"/>
      <c r="L1645" s="69" t="s">
        <v>404</v>
      </c>
      <c r="M1645" s="70" t="s">
        <v>1041</v>
      </c>
      <c r="N1645" s="34">
        <v>3.727</v>
      </c>
      <c r="O1645" s="34">
        <f>O1637</f>
        <v>15.98</v>
      </c>
      <c r="P1645" s="34">
        <v>1.5</v>
      </c>
      <c r="Q1645" s="44">
        <f t="shared" si="273"/>
        <v>89.33619</v>
      </c>
      <c r="R1645" s="71">
        <f>+Q1645/R1637</f>
        <v>2.39935622317597</v>
      </c>
      <c r="S1645" s="47"/>
      <c r="T1645" s="47"/>
      <c r="U1645" s="76"/>
    </row>
    <row r="1646" s="27" customFormat="1" ht="18" customHeight="1" spans="1:21">
      <c r="A1646" s="34"/>
      <c r="B1646" s="48">
        <v>1</v>
      </c>
      <c r="C1646" s="48" t="s">
        <v>391</v>
      </c>
      <c r="D1646" s="48" t="s">
        <v>396</v>
      </c>
      <c r="E1646" s="48" t="s">
        <v>37</v>
      </c>
      <c r="F1646" s="50"/>
      <c r="G1646" s="48"/>
      <c r="H1646" s="51" t="s">
        <v>399</v>
      </c>
      <c r="I1646" s="51" t="s">
        <v>420</v>
      </c>
      <c r="J1646" s="51" t="s">
        <v>421</v>
      </c>
      <c r="K1646" s="43"/>
      <c r="L1646" s="69" t="s">
        <v>429</v>
      </c>
      <c r="M1646" s="81" t="s">
        <v>1027</v>
      </c>
      <c r="N1646" s="82">
        <v>0.604</v>
      </c>
      <c r="O1646" s="34">
        <f>O1645</f>
        <v>15.98</v>
      </c>
      <c r="P1646" s="34">
        <f>P1645</f>
        <v>1.5</v>
      </c>
      <c r="Q1646" s="44">
        <f t="shared" si="273"/>
        <v>14.47788</v>
      </c>
      <c r="R1646" s="71">
        <f>+Q1646/R1637</f>
        <v>0.388841201716738</v>
      </c>
      <c r="S1646" s="47"/>
      <c r="T1646" s="47"/>
    </row>
    <row r="1647" s="27" customFormat="1" ht="18" customHeight="1" spans="1:21">
      <c r="A1647" s="34"/>
      <c r="B1647" s="48">
        <v>2</v>
      </c>
      <c r="C1647" s="48"/>
      <c r="D1647" s="48" t="s">
        <v>967</v>
      </c>
      <c r="E1647" s="72" t="s">
        <v>423</v>
      </c>
      <c r="F1647" s="50"/>
      <c r="G1647" s="48"/>
      <c r="H1647" s="51">
        <v>1</v>
      </c>
      <c r="I1647" s="51">
        <f>+辅材及安装费!$G$19</f>
        <v>170</v>
      </c>
      <c r="J1647" s="51">
        <f t="shared" ref="J1647:J1655" si="274">H1647*I1647</f>
        <v>170</v>
      </c>
      <c r="K1647" s="43"/>
      <c r="L1647" s="69" t="s">
        <v>447</v>
      </c>
      <c r="M1647" s="70" t="s">
        <v>1038</v>
      </c>
      <c r="N1647" s="83">
        <v>0.977</v>
      </c>
      <c r="O1647" s="34">
        <f>O1645</f>
        <v>15.98</v>
      </c>
      <c r="P1647" s="34">
        <v>0.5</v>
      </c>
      <c r="Q1647" s="44">
        <f t="shared" si="273"/>
        <v>7.80623</v>
      </c>
      <c r="R1647" s="84">
        <f>+Q1647/R1637</f>
        <v>0.209656652360515</v>
      </c>
      <c r="S1647" s="47">
        <v>0.185</v>
      </c>
      <c r="T1647" s="47">
        <f t="shared" ref="T1647:T1650" si="275">O1647*P1647*S1647</f>
        <v>1.47815</v>
      </c>
      <c r="U1647" s="103">
        <f>T1647/R1637</f>
        <v>0.0396995708154506</v>
      </c>
    </row>
    <row r="1648" s="27" customFormat="1" ht="18" customHeight="1" spans="1:21">
      <c r="A1648" s="34"/>
      <c r="B1648" s="48">
        <v>3</v>
      </c>
      <c r="C1648" s="48"/>
      <c r="D1648" s="48"/>
      <c r="E1648" s="72"/>
      <c r="F1648" s="50"/>
      <c r="G1648" s="48"/>
      <c r="H1648" s="51"/>
      <c r="I1648" s="51"/>
      <c r="J1648" s="51"/>
      <c r="K1648" s="43"/>
      <c r="L1648" s="69" t="s">
        <v>429</v>
      </c>
      <c r="M1648" s="81" t="s">
        <v>1042</v>
      </c>
      <c r="N1648" s="82">
        <v>0.687</v>
      </c>
      <c r="O1648" s="44">
        <f>0.1</f>
        <v>0.1</v>
      </c>
      <c r="P1648" s="34">
        <f>9*2</f>
        <v>18</v>
      </c>
      <c r="Q1648" s="44">
        <f t="shared" si="273"/>
        <v>1.2366</v>
      </c>
      <c r="R1648" s="84">
        <f>+Q1648/R1637</f>
        <v>0.0332121160033733</v>
      </c>
      <c r="S1648" s="47"/>
      <c r="T1648" s="47"/>
    </row>
    <row r="1649" s="27" customFormat="1" ht="18" customHeight="1" spans="1:21">
      <c r="A1649" s="34"/>
      <c r="B1649" s="48">
        <v>4</v>
      </c>
      <c r="C1649" s="48"/>
      <c r="D1649" s="85" t="s">
        <v>426</v>
      </c>
      <c r="E1649" s="48" t="s">
        <v>392</v>
      </c>
      <c r="F1649" s="50"/>
      <c r="G1649" s="48"/>
      <c r="H1649" s="86"/>
      <c r="I1649" s="86"/>
      <c r="J1649" s="51">
        <f>SUM(J1647:J1647)</f>
        <v>170</v>
      </c>
      <c r="K1649" s="75"/>
      <c r="L1649" s="69" t="s">
        <v>447</v>
      </c>
      <c r="M1649" s="70" t="s">
        <v>1038</v>
      </c>
      <c r="N1649" s="34">
        <f>0.624*2.71+0.022*2.71</f>
        <v>1.75066</v>
      </c>
      <c r="O1649" s="34">
        <f>O1637</f>
        <v>15.98</v>
      </c>
      <c r="P1649" s="34">
        <v>1</v>
      </c>
      <c r="Q1649" s="44">
        <f t="shared" si="273"/>
        <v>27.9755468</v>
      </c>
      <c r="R1649" s="71">
        <f>+Q1649/R1637</f>
        <v>0.751356223175966</v>
      </c>
      <c r="S1649" s="47">
        <f>0.251+0.045</f>
        <v>0.296</v>
      </c>
      <c r="T1649" s="47">
        <f t="shared" si="275"/>
        <v>4.73008</v>
      </c>
      <c r="U1649" s="76">
        <f>T1649/R1637</f>
        <v>0.127038626609442</v>
      </c>
    </row>
    <row r="1650" s="27" customFormat="1" ht="23" customHeight="1" spans="1:21">
      <c r="A1650" s="34"/>
      <c r="B1650" s="48">
        <v>1</v>
      </c>
      <c r="C1650" s="48" t="s">
        <v>394</v>
      </c>
      <c r="D1650" s="88" t="s">
        <v>427</v>
      </c>
      <c r="E1650" s="72" t="str">
        <f>+VLOOKUP(D1650,'材料表 '!C:F,2,0)</f>
        <v>kg</v>
      </c>
      <c r="F1650" s="77">
        <f>+SUMIF($L$1637:$L$1677,D1650,$R$1637:$R$1677)</f>
        <v>1.9468085106383</v>
      </c>
      <c r="G1650" s="89">
        <f>+VLOOKUP(D1650,'材料表 '!C:F,4,0)</f>
        <v>0.03</v>
      </c>
      <c r="H1650" s="74">
        <f t="shared" ref="H1650:H1655" si="276">F1650*(G1650+1)</f>
        <v>2.00521276595745</v>
      </c>
      <c r="I1650" s="74">
        <f>+VLOOKUP(D1650,'材料表 '!C:F,3,0)</f>
        <v>25.8495575221239</v>
      </c>
      <c r="J1650" s="51">
        <f t="shared" si="274"/>
        <v>51.8338627377142</v>
      </c>
      <c r="K1650" s="75">
        <f ca="1">H1650*K1636</f>
        <v>74.6608890000001</v>
      </c>
      <c r="L1650" s="69" t="s">
        <v>447</v>
      </c>
      <c r="M1650" s="70" t="s">
        <v>1049</v>
      </c>
      <c r="N1650" s="34">
        <f>0.074*2.71</f>
        <v>0.20054</v>
      </c>
      <c r="O1650" s="34">
        <v>0</v>
      </c>
      <c r="P1650" s="34">
        <v>1</v>
      </c>
      <c r="Q1650" s="44">
        <f t="shared" si="273"/>
        <v>0</v>
      </c>
      <c r="R1650" s="71">
        <f>+Q1650/R1637</f>
        <v>0</v>
      </c>
      <c r="S1650" s="47">
        <f>0.048</f>
        <v>0.048</v>
      </c>
      <c r="T1650" s="47">
        <f t="shared" si="275"/>
        <v>0</v>
      </c>
      <c r="U1650" s="76">
        <f>T1650/R1637</f>
        <v>0</v>
      </c>
    </row>
    <row r="1651" s="27" customFormat="1" ht="18" customHeight="1" spans="1:21">
      <c r="A1651" s="34"/>
      <c r="B1651" s="48">
        <v>2</v>
      </c>
      <c r="C1651" s="48"/>
      <c r="D1651" s="88" t="s">
        <v>404</v>
      </c>
      <c r="E1651" s="72" t="str">
        <f>+VLOOKUP(D1651,'材料表 '!C:F,2,0)</f>
        <v>kg</v>
      </c>
      <c r="F1651" s="77">
        <f t="shared" ref="F1651:F1663" si="277">+SUMIF($L$1637:$L$1677,D1651,$R$1637:$R$1677)</f>
        <v>2.39935622317597</v>
      </c>
      <c r="G1651" s="89">
        <f>+VLOOKUP(D1651,'材料表 '!C:F,4,0)</f>
        <v>0.03</v>
      </c>
      <c r="H1651" s="74">
        <f t="shared" si="276"/>
        <v>2.47133690987125</v>
      </c>
      <c r="I1651" s="74">
        <f>+VLOOKUP(D1651,'材料表 '!C:F,3,0)</f>
        <v>25.6725663716814</v>
      </c>
      <c r="J1651" s="51">
        <f t="shared" si="274"/>
        <v>63.4455608454557</v>
      </c>
      <c r="K1651" s="75">
        <f ca="1">H1651*K1636</f>
        <v>92.0162757000002</v>
      </c>
      <c r="L1651" s="69"/>
      <c r="M1651" s="70"/>
      <c r="N1651" s="83"/>
      <c r="O1651" s="83"/>
      <c r="P1651" s="83"/>
      <c r="Q1651" s="83"/>
      <c r="R1651" s="87"/>
      <c r="S1651" s="47"/>
      <c r="T1651" s="34"/>
    </row>
    <row r="1652" s="27" customFormat="1" ht="18" customHeight="1" spans="1:21">
      <c r="A1652" s="34"/>
      <c r="B1652" s="48">
        <v>3</v>
      </c>
      <c r="C1652" s="48"/>
      <c r="D1652" s="88" t="s">
        <v>433</v>
      </c>
      <c r="E1652" s="72" t="str">
        <f>+VLOOKUP(D1652,'材料表 '!C:F,2,0)</f>
        <v>kg</v>
      </c>
      <c r="F1652" s="77">
        <f t="shared" si="277"/>
        <v>0</v>
      </c>
      <c r="G1652" s="89">
        <f>+VLOOKUP(D1652,'材料表 '!C:F,4,0)</f>
        <v>0.03</v>
      </c>
      <c r="H1652" s="74">
        <f t="shared" si="276"/>
        <v>0</v>
      </c>
      <c r="I1652" s="74">
        <f>+VLOOKUP(D1652,'材料表 '!C:F,3,0)</f>
        <v>26.1150442477876</v>
      </c>
      <c r="J1652" s="51">
        <f t="shared" si="274"/>
        <v>0</v>
      </c>
      <c r="K1652" s="75">
        <f ca="1">H1652*K1636</f>
        <v>0</v>
      </c>
      <c r="L1652" s="69"/>
      <c r="N1652" s="83"/>
      <c r="O1652" s="83"/>
      <c r="P1652" s="83"/>
      <c r="Q1652" s="83"/>
      <c r="R1652" s="87"/>
      <c r="S1652" s="47"/>
      <c r="T1652" s="47"/>
    </row>
    <row r="1653" s="27" customFormat="1" ht="18" customHeight="1" spans="1:21">
      <c r="A1653" s="34"/>
      <c r="B1653" s="48">
        <v>4</v>
      </c>
      <c r="C1653" s="48"/>
      <c r="D1653" s="88" t="s">
        <v>429</v>
      </c>
      <c r="E1653" s="72" t="str">
        <f>+VLOOKUP(D1653,'材料表 '!C:F,2,0)</f>
        <v>kg</v>
      </c>
      <c r="F1653" s="77">
        <f t="shared" si="277"/>
        <v>1.52255000438674</v>
      </c>
      <c r="G1653" s="89">
        <f>+VLOOKUP(D1653,'材料表 '!C:F,4,0)</f>
        <v>0.03</v>
      </c>
      <c r="H1653" s="74">
        <f t="shared" si="276"/>
        <v>1.56822650451834</v>
      </c>
      <c r="I1653" s="74">
        <f>+VLOOKUP(D1653,'材料表 '!C:F,3,0)</f>
        <v>26.1150442477876</v>
      </c>
      <c r="J1653" s="51">
        <f t="shared" si="274"/>
        <v>40.9543045560498</v>
      </c>
      <c r="K1653" s="75">
        <f ca="1">H1653*K1636</f>
        <v>58.3904047333332</v>
      </c>
      <c r="L1653" s="90" t="s">
        <v>707</v>
      </c>
      <c r="M1653" s="44"/>
      <c r="N1653" s="82"/>
      <c r="O1653" s="44">
        <f>O1645*P1645</f>
        <v>23.97</v>
      </c>
      <c r="P1653" s="44">
        <v>1</v>
      </c>
      <c r="Q1653" s="44">
        <f>+P1653*O1653</f>
        <v>23.97</v>
      </c>
      <c r="R1653" s="84">
        <f>+Q1653/R1637</f>
        <v>0.643776824034335</v>
      </c>
      <c r="S1653" s="47"/>
      <c r="T1653" s="47"/>
    </row>
    <row r="1654" s="27" customFormat="1" ht="18" customHeight="1" spans="1:21">
      <c r="A1654" s="34"/>
      <c r="B1654" s="48">
        <v>5</v>
      </c>
      <c r="C1654" s="48"/>
      <c r="D1654" s="88" t="s">
        <v>447</v>
      </c>
      <c r="E1654" s="72" t="str">
        <f>+VLOOKUP(D1654,'材料表 '!C:F,2,0)</f>
        <v>kg</v>
      </c>
      <c r="F1654" s="77">
        <f t="shared" si="277"/>
        <v>1.67753352635</v>
      </c>
      <c r="G1654" s="89">
        <f>+VLOOKUP(D1654,'材料表 '!C:F,4,0)</f>
        <v>0.03</v>
      </c>
      <c r="H1654" s="74">
        <f t="shared" si="276"/>
        <v>1.7278595321405</v>
      </c>
      <c r="I1654" s="74">
        <f>+VLOOKUP(D1654,'材料表 '!C:F,3,0)</f>
        <v>24.4336283185841</v>
      </c>
      <c r="J1654" s="51">
        <f t="shared" si="274"/>
        <v>42.2178775950436</v>
      </c>
      <c r="K1654" s="43">
        <f ca="1">H1654*K1636</f>
        <v>64.3340851040001</v>
      </c>
      <c r="L1654" s="90" t="s">
        <v>435</v>
      </c>
      <c r="M1654" s="44"/>
      <c r="N1654" s="82">
        <f>0.073*1.2</f>
        <v>0.0876</v>
      </c>
      <c r="O1654" s="44">
        <f>O1640*P1640*3+O1645*P1645*4</f>
        <v>165.78</v>
      </c>
      <c r="P1654" s="44">
        <v>1</v>
      </c>
      <c r="Q1654" s="44">
        <f>+P1654*O1654</f>
        <v>165.78</v>
      </c>
      <c r="R1654" s="84">
        <f>+Q1654/R1637</f>
        <v>4.45245397949153</v>
      </c>
      <c r="S1654" s="47"/>
      <c r="T1654" s="47"/>
    </row>
    <row r="1655" s="27" customFormat="1" ht="18" customHeight="1" spans="1:21">
      <c r="A1655" s="34"/>
      <c r="B1655" s="48">
        <v>6</v>
      </c>
      <c r="C1655" s="48"/>
      <c r="D1655" s="88" t="s">
        <v>434</v>
      </c>
      <c r="E1655" s="72" t="str">
        <f>+VLOOKUP(D1655,'材料表 '!C:F,2,0)</f>
        <v>m2</v>
      </c>
      <c r="F1655" s="77">
        <f>U1642+U1647+U1649+U1650</f>
        <v>0.274372740603866</v>
      </c>
      <c r="G1655" s="89">
        <f>+VLOOKUP(D1655,'材料表 '!C:F,4,0)</f>
        <v>0</v>
      </c>
      <c r="H1655" s="74">
        <f t="shared" si="276"/>
        <v>0.274372740603866</v>
      </c>
      <c r="I1655" s="74">
        <f>+VLOOKUP(D1655,'材料表 '!C:F,3,0)</f>
        <v>49.5575221238938</v>
      </c>
      <c r="J1655" s="51">
        <f t="shared" si="274"/>
        <v>13.5972331626695</v>
      </c>
      <c r="K1655" s="43">
        <f ca="1">H1655*K1636</f>
        <v>10.21583</v>
      </c>
      <c r="L1655" s="90" t="s">
        <v>463</v>
      </c>
      <c r="M1655" s="91" t="s">
        <v>1012</v>
      </c>
      <c r="N1655" s="82">
        <f>0.32*0.3*8*7.85</f>
        <v>6.0288</v>
      </c>
      <c r="O1655" s="44">
        <v>1.5</v>
      </c>
      <c r="P1655" s="44">
        <f>P1640</f>
        <v>10</v>
      </c>
      <c r="Q1655" s="44">
        <f t="shared" ref="Q1655:Q1659" si="278">+P1655*O1655*N1655</f>
        <v>90.432</v>
      </c>
      <c r="R1655" s="84">
        <f>+Q1655/R1637</f>
        <v>2.42878705678235</v>
      </c>
      <c r="S1655" s="47"/>
      <c r="T1655" s="47"/>
    </row>
    <row r="1656" s="27" customFormat="1" ht="18" customHeight="1" spans="1:21">
      <c r="A1656" s="34"/>
      <c r="B1656" s="48">
        <v>7</v>
      </c>
      <c r="C1656" s="48"/>
      <c r="D1656" s="88"/>
      <c r="E1656" s="72"/>
      <c r="F1656" s="77">
        <f t="shared" si="277"/>
        <v>0</v>
      </c>
      <c r="G1656" s="89"/>
      <c r="H1656" s="74"/>
      <c r="I1656" s="74"/>
      <c r="J1656" s="51"/>
      <c r="K1656" s="43">
        <f ca="1">H1656*K1636</f>
        <v>0</v>
      </c>
      <c r="L1656" s="69" t="s">
        <v>465</v>
      </c>
      <c r="M1656" s="81" t="s">
        <v>1013</v>
      </c>
      <c r="N1656" s="34">
        <v>9.88</v>
      </c>
      <c r="O1656" s="34">
        <f>0.13</f>
        <v>0.13</v>
      </c>
      <c r="P1656" s="34">
        <f>2*P1655*O1655</f>
        <v>30</v>
      </c>
      <c r="Q1656" s="44">
        <f t="shared" si="278"/>
        <v>38.532</v>
      </c>
      <c r="R1656" s="84">
        <f>Q1656/R1637</f>
        <v>1.03487728759662</v>
      </c>
      <c r="S1656" s="47"/>
      <c r="T1656" s="47"/>
    </row>
    <row r="1657" s="27" customFormat="1" ht="18" customHeight="1" spans="1:21">
      <c r="A1657" s="34"/>
      <c r="B1657" s="48">
        <v>8</v>
      </c>
      <c r="C1657" s="48"/>
      <c r="D1657" s="88" t="s">
        <v>431</v>
      </c>
      <c r="E1657" s="72" t="str">
        <f>+VLOOKUP(D1657,'材料表 '!C:F,2,0)</f>
        <v>kg</v>
      </c>
      <c r="F1657" s="77">
        <f t="shared" si="277"/>
        <v>0</v>
      </c>
      <c r="G1657" s="89">
        <f>+VLOOKUP(D1657,'材料表 '!C:F,4,0)</f>
        <v>0.03</v>
      </c>
      <c r="H1657" s="74">
        <f t="shared" ref="H1657:H1669" si="279">F1657*(G1657+1)</f>
        <v>0</v>
      </c>
      <c r="I1657" s="74">
        <f>+VLOOKUP(D1657,'材料表 '!C:F,3,0)</f>
        <v>3.80530973451327</v>
      </c>
      <c r="J1657" s="51">
        <f t="shared" ref="J1657:J1669" si="280">H1657*I1657</f>
        <v>0</v>
      </c>
      <c r="K1657" s="43">
        <f ca="1">H1657*K1636</f>
        <v>0</v>
      </c>
      <c r="L1657" s="90" t="s">
        <v>474</v>
      </c>
      <c r="M1657" s="44"/>
      <c r="N1657" s="82"/>
      <c r="O1657" s="44">
        <v>4</v>
      </c>
      <c r="P1657" s="44">
        <f>O1655*P1655</f>
        <v>15</v>
      </c>
      <c r="Q1657" s="44">
        <f>O1657*P1657</f>
        <v>60</v>
      </c>
      <c r="R1657" s="84">
        <f>Q1657/R1637</f>
        <v>1.61145638056154</v>
      </c>
      <c r="S1657" s="47"/>
      <c r="T1657" s="47"/>
    </row>
    <row r="1658" s="27" customFormat="1" ht="18" customHeight="1" spans="1:21">
      <c r="A1658" s="34"/>
      <c r="B1658" s="48">
        <v>9</v>
      </c>
      <c r="C1658" s="48"/>
      <c r="D1658" s="88" t="s">
        <v>461</v>
      </c>
      <c r="E1658" s="72" t="str">
        <f>+VLOOKUP(D1658,'材料表 '!C:F,2,0)</f>
        <v>kg</v>
      </c>
      <c r="F1658" s="77">
        <f t="shared" si="277"/>
        <v>0</v>
      </c>
      <c r="G1658" s="89">
        <f>+VLOOKUP(D1658,'材料表 '!C:F,4,0)</f>
        <v>0.03</v>
      </c>
      <c r="H1658" s="74">
        <f t="shared" si="279"/>
        <v>0</v>
      </c>
      <c r="I1658" s="74">
        <f>+VLOOKUP(D1658,'材料表 '!C:F,3,0)</f>
        <v>3.53982300884956</v>
      </c>
      <c r="J1658" s="51">
        <f t="shared" si="280"/>
        <v>0</v>
      </c>
      <c r="K1658" s="43">
        <f ca="1">H1658*K1636</f>
        <v>0</v>
      </c>
      <c r="L1658" s="90" t="s">
        <v>472</v>
      </c>
      <c r="M1658" s="91"/>
      <c r="N1658" s="82"/>
      <c r="O1658" s="44">
        <v>2</v>
      </c>
      <c r="P1658" s="44">
        <f>O1655*P1655</f>
        <v>15</v>
      </c>
      <c r="Q1658" s="44">
        <f>O1658*P1658</f>
        <v>30</v>
      </c>
      <c r="R1658" s="84">
        <f>Q1658/R1637</f>
        <v>0.805728190280769</v>
      </c>
      <c r="S1658" s="47"/>
      <c r="T1658" s="47"/>
    </row>
    <row r="1659" s="27" customFormat="1" ht="18" customHeight="1" spans="1:21">
      <c r="A1659" s="34"/>
      <c r="B1659" s="48">
        <v>10</v>
      </c>
      <c r="C1659" s="48"/>
      <c r="D1659" s="88" t="s">
        <v>435</v>
      </c>
      <c r="E1659" s="72" t="str">
        <f>+VLOOKUP(D1659,'材料表 '!C:F,2,0)</f>
        <v>kg</v>
      </c>
      <c r="F1659" s="77">
        <f t="shared" si="277"/>
        <v>4.45245397949153</v>
      </c>
      <c r="G1659" s="89">
        <f>+VLOOKUP(D1659,'材料表 '!C:F,4,0)</f>
        <v>0.03</v>
      </c>
      <c r="H1659" s="74">
        <f t="shared" si="279"/>
        <v>4.58602759887628</v>
      </c>
      <c r="I1659" s="74">
        <f>+VLOOKUP(D1659,'材料表 '!C:F,3,0)</f>
        <v>19.4690265486726</v>
      </c>
      <c r="J1659" s="51">
        <f t="shared" si="280"/>
        <v>89.2854930754675</v>
      </c>
      <c r="K1659" s="43">
        <f ca="1">H1659*K1636</f>
        <v>170.7534</v>
      </c>
      <c r="L1659" s="69" t="s">
        <v>465</v>
      </c>
      <c r="M1659" s="91"/>
      <c r="N1659" s="82">
        <f>(0.058+0.04*2)*5*7.85</f>
        <v>5.4165</v>
      </c>
      <c r="O1659" s="44">
        <v>0</v>
      </c>
      <c r="P1659" s="44">
        <v>1</v>
      </c>
      <c r="Q1659" s="44">
        <f t="shared" si="278"/>
        <v>0</v>
      </c>
      <c r="R1659" s="84">
        <f>+Q1659/R1637</f>
        <v>0</v>
      </c>
      <c r="S1659" s="47"/>
      <c r="T1659" s="47"/>
    </row>
    <row r="1660" s="27" customFormat="1" ht="18" customHeight="1" spans="1:21">
      <c r="A1660" s="34"/>
      <c r="B1660" s="48">
        <v>11</v>
      </c>
      <c r="C1660" s="48"/>
      <c r="D1660" s="88" t="s">
        <v>463</v>
      </c>
      <c r="E1660" s="72" t="str">
        <f>+VLOOKUP(D1660,'材料表 '!C:F,2,0)</f>
        <v>kg</v>
      </c>
      <c r="F1660" s="77">
        <f t="shared" si="277"/>
        <v>2.42878705678235</v>
      </c>
      <c r="G1660" s="89">
        <f>+VLOOKUP(D1660,'材料表 '!C:F,4,0)</f>
        <v>0.03</v>
      </c>
      <c r="H1660" s="74">
        <f t="shared" si="279"/>
        <v>2.50165066848582</v>
      </c>
      <c r="I1660" s="74">
        <f>+VLOOKUP(D1660,'材料表 '!C:F,3,0)</f>
        <v>6.01769911504425</v>
      </c>
      <c r="J1660" s="51">
        <f t="shared" si="280"/>
        <v>15.054181013897</v>
      </c>
      <c r="K1660" s="43">
        <f ca="1">H1660*K1636</f>
        <v>93.1449599999999</v>
      </c>
      <c r="L1660" s="69" t="s">
        <v>461</v>
      </c>
      <c r="N1660" s="83"/>
      <c r="O1660" s="83"/>
      <c r="P1660" s="83"/>
      <c r="Q1660" s="83"/>
      <c r="R1660" s="84"/>
      <c r="S1660" s="47"/>
      <c r="T1660" s="47"/>
    </row>
    <row r="1661" s="27" customFormat="1" ht="18" customHeight="1" spans="1:21">
      <c r="A1661" s="34"/>
      <c r="B1661" s="48">
        <v>12</v>
      </c>
      <c r="C1661" s="48"/>
      <c r="D1661" s="88" t="s">
        <v>465</v>
      </c>
      <c r="E1661" s="72" t="str">
        <f>+VLOOKUP(D1661,'材料表 '!C:F,2,0)</f>
        <v>kg</v>
      </c>
      <c r="F1661" s="77">
        <f t="shared" si="277"/>
        <v>1.03487728759662</v>
      </c>
      <c r="G1661" s="89">
        <f>+VLOOKUP(D1661,'材料表 '!C:F,4,0)</f>
        <v>0.03</v>
      </c>
      <c r="H1661" s="74">
        <f t="shared" si="279"/>
        <v>1.06592360622452</v>
      </c>
      <c r="I1661" s="74">
        <f>+VLOOKUP(D1661,'材料表 '!C:F,3,0)</f>
        <v>6.01769911504425</v>
      </c>
      <c r="J1661" s="51">
        <f t="shared" si="280"/>
        <v>6.41440754188206</v>
      </c>
      <c r="K1661" s="43">
        <f ca="1">H1661*K1636</f>
        <v>39.68796</v>
      </c>
      <c r="L1661" s="90"/>
      <c r="M1661" s="44"/>
      <c r="N1661" s="82"/>
      <c r="O1661" s="44"/>
      <c r="P1661" s="44"/>
      <c r="Q1661" s="44"/>
      <c r="R1661" s="84"/>
      <c r="S1661" s="47"/>
      <c r="T1661" s="47"/>
    </row>
    <row r="1662" s="27" customFormat="1" ht="18" customHeight="1" spans="1:21">
      <c r="A1662" s="34"/>
      <c r="B1662" s="48">
        <v>13</v>
      </c>
      <c r="C1662" s="48"/>
      <c r="D1662" s="88" t="s">
        <v>474</v>
      </c>
      <c r="E1662" s="72" t="str">
        <f>+VLOOKUP(D1662,'材料表 '!C:F,2,0)</f>
        <v>套</v>
      </c>
      <c r="F1662" s="77">
        <f t="shared" si="277"/>
        <v>1.61145638056154</v>
      </c>
      <c r="G1662" s="89">
        <f>+VLOOKUP(D1662,'材料表 '!C:F,4,0)</f>
        <v>0</v>
      </c>
      <c r="H1662" s="74">
        <f t="shared" si="279"/>
        <v>1.61145638056154</v>
      </c>
      <c r="I1662" s="74">
        <f>+VLOOKUP(D1662,'材料表 '!C:F,3,0)</f>
        <v>2.21238938053097</v>
      </c>
      <c r="J1662" s="51">
        <f t="shared" si="280"/>
        <v>3.56516898354322</v>
      </c>
      <c r="K1662" s="43">
        <f ca="1">H1662*K1636</f>
        <v>60</v>
      </c>
      <c r="L1662" s="90"/>
      <c r="M1662" s="44"/>
      <c r="N1662" s="82"/>
      <c r="O1662" s="44"/>
      <c r="P1662" s="44"/>
      <c r="Q1662" s="44"/>
      <c r="R1662" s="84"/>
      <c r="S1662" s="47"/>
      <c r="T1662" s="47"/>
    </row>
    <row r="1663" s="27" customFormat="1" ht="18" customHeight="1" spans="1:21">
      <c r="A1663" s="34"/>
      <c r="B1663" s="48">
        <v>14</v>
      </c>
      <c r="C1663" s="48"/>
      <c r="D1663" s="88" t="s">
        <v>472</v>
      </c>
      <c r="E1663" s="72" t="str">
        <f>+VLOOKUP(D1663,'材料表 '!C:F,2,0)</f>
        <v>套</v>
      </c>
      <c r="F1663" s="77">
        <f t="shared" si="277"/>
        <v>0.805728190280769</v>
      </c>
      <c r="G1663" s="89">
        <f>+VLOOKUP(D1663,'材料表 '!C:F,4,0)</f>
        <v>0</v>
      </c>
      <c r="H1663" s="74">
        <f t="shared" si="279"/>
        <v>0.805728190280769</v>
      </c>
      <c r="I1663" s="74">
        <f>+VLOOKUP(D1663,'材料表 '!C:F,3,0)</f>
        <v>2.47787610619469</v>
      </c>
      <c r="J1663" s="51">
        <f t="shared" si="280"/>
        <v>1.99649463078421</v>
      </c>
      <c r="K1663" s="43">
        <f ca="1">H1663*K1636</f>
        <v>30</v>
      </c>
      <c r="L1663" s="90"/>
      <c r="M1663" s="44"/>
      <c r="N1663" s="82"/>
      <c r="O1663" s="44"/>
      <c r="P1663" s="44"/>
      <c r="Q1663" s="44"/>
      <c r="R1663" s="84"/>
      <c r="S1663" s="47"/>
      <c r="T1663" s="47"/>
    </row>
    <row r="1664" s="27" customFormat="1" ht="18" customHeight="1" spans="1:21">
      <c r="A1664" s="34"/>
      <c r="B1664" s="48">
        <v>15</v>
      </c>
      <c r="C1664" s="48"/>
      <c r="D1664" s="88" t="s">
        <v>476</v>
      </c>
      <c r="E1664" s="72" t="str">
        <f>+VLOOKUP(D1664,'材料表 '!C:F,2,0)</f>
        <v>支</v>
      </c>
      <c r="F1664" s="77">
        <f>8*8*(O1645*P1645*2)/500/R1637+16*8*(O1640*P1640+O1645*P1645)/500/R1637</f>
        <v>0.48981398421847</v>
      </c>
      <c r="G1664" s="89">
        <f>+VLOOKUP(D1664,'材料表 '!C:F,4,0)</f>
        <v>0.15</v>
      </c>
      <c r="H1664" s="74">
        <f t="shared" si="279"/>
        <v>0.56328608185124</v>
      </c>
      <c r="I1664" s="74">
        <f>+VLOOKUP(D1664,'材料表 '!C:F,3,0)</f>
        <v>11.5044247787611</v>
      </c>
      <c r="J1664" s="51">
        <f t="shared" si="280"/>
        <v>6.48028235758066</v>
      </c>
      <c r="K1664" s="43">
        <f ca="1">H1664*K1636</f>
        <v>20.973056</v>
      </c>
      <c r="L1664" s="92"/>
      <c r="M1664" s="44"/>
      <c r="N1664" s="82"/>
      <c r="O1664" s="44"/>
      <c r="P1664" s="44"/>
      <c r="Q1664" s="44"/>
      <c r="R1664" s="84"/>
      <c r="S1664" s="47"/>
      <c r="T1664" s="47"/>
    </row>
    <row r="1665" s="27" customFormat="1" ht="18" customHeight="1" spans="1:20">
      <c r="A1665" s="34"/>
      <c r="B1665" s="48">
        <v>16</v>
      </c>
      <c r="C1665" s="48"/>
      <c r="D1665" s="88" t="s">
        <v>576</v>
      </c>
      <c r="E1665" s="72" t="str">
        <f>+VLOOKUP(D1665,'材料表 '!C:F,2,0)</f>
        <v>支</v>
      </c>
      <c r="F1665" s="77">
        <v>0</v>
      </c>
      <c r="G1665" s="89">
        <f>+VLOOKUP(D1665,'材料表 '!C:F,4,0)</f>
        <v>0.15</v>
      </c>
      <c r="H1665" s="74">
        <f t="shared" si="279"/>
        <v>0</v>
      </c>
      <c r="I1665" s="74">
        <f>+VLOOKUP(D1665,'材料表 '!C:F,3,0)</f>
        <v>14.1592920353982</v>
      </c>
      <c r="J1665" s="51">
        <f t="shared" si="280"/>
        <v>0</v>
      </c>
      <c r="K1665" s="43">
        <f ca="1">H1665*K1636</f>
        <v>0</v>
      </c>
      <c r="L1665" s="92"/>
      <c r="M1665" s="44"/>
      <c r="N1665" s="82"/>
      <c r="O1665" s="44"/>
      <c r="P1665" s="44"/>
      <c r="Q1665" s="44"/>
      <c r="R1665" s="84"/>
      <c r="S1665" s="47"/>
      <c r="T1665" s="47"/>
    </row>
    <row r="1666" s="27" customFormat="1" ht="18" customHeight="1" spans="1:20">
      <c r="A1666" s="34"/>
      <c r="B1666" s="48">
        <v>17</v>
      </c>
      <c r="C1666" s="48"/>
      <c r="D1666" s="88" t="s">
        <v>479</v>
      </c>
      <c r="E1666" s="72" t="str">
        <f>+VLOOKUP(D1666,'材料表 '!C:F,2,0)</f>
        <v>kg</v>
      </c>
      <c r="F1666" s="77">
        <v>0</v>
      </c>
      <c r="G1666" s="89">
        <f>+VLOOKUP(D1666,'材料表 '!C:F,4,0)</f>
        <v>0.03</v>
      </c>
      <c r="H1666" s="74">
        <f t="shared" si="279"/>
        <v>0</v>
      </c>
      <c r="I1666" s="74">
        <f>+VLOOKUP(D1666,'材料表 '!C:F,3,0)</f>
        <v>14.1592920353982</v>
      </c>
      <c r="J1666" s="51">
        <f t="shared" si="280"/>
        <v>0</v>
      </c>
      <c r="K1666" s="43">
        <f ca="1">H1666*K1636</f>
        <v>0</v>
      </c>
      <c r="L1666" s="92"/>
      <c r="M1666" s="44"/>
      <c r="N1666" s="82"/>
      <c r="O1666" s="44"/>
      <c r="P1666" s="44"/>
      <c r="Q1666" s="44"/>
      <c r="R1666" s="84"/>
      <c r="S1666" s="47"/>
      <c r="T1666" s="47"/>
    </row>
    <row r="1667" s="27" customFormat="1" ht="18" customHeight="1" spans="1:20">
      <c r="A1667" s="34"/>
      <c r="B1667" s="48">
        <v>18</v>
      </c>
      <c r="C1667" s="48"/>
      <c r="D1667" s="88" t="s">
        <v>500</v>
      </c>
      <c r="E1667" s="72" t="str">
        <f>+VLOOKUP(D1667,'材料表 '!C:F,2,0)</f>
        <v>kg</v>
      </c>
      <c r="F1667" s="77">
        <f>0</f>
        <v>0</v>
      </c>
      <c r="G1667" s="89">
        <f>+VLOOKUP(D1667,'材料表 '!C:F,4,0)</f>
        <v>0.03</v>
      </c>
      <c r="H1667" s="74">
        <f t="shared" si="279"/>
        <v>0</v>
      </c>
      <c r="I1667" s="74">
        <f>+VLOOKUP(D1667,'材料表 '!C:F,3,0)</f>
        <v>14.1592920353982</v>
      </c>
      <c r="J1667" s="51">
        <f t="shared" si="280"/>
        <v>0</v>
      </c>
      <c r="K1667" s="43">
        <f ca="1">H1667*K1636</f>
        <v>0</v>
      </c>
      <c r="L1667" s="92"/>
      <c r="M1667" s="44"/>
      <c r="N1667" s="82"/>
      <c r="O1667" s="44"/>
      <c r="P1667" s="44"/>
      <c r="Q1667" s="44"/>
      <c r="R1667" s="84"/>
      <c r="S1667" s="47"/>
      <c r="T1667" s="47"/>
    </row>
    <row r="1668" s="27" customFormat="1" ht="35" customHeight="1" spans="1:20">
      <c r="A1668" s="34"/>
      <c r="B1668" s="48">
        <v>19</v>
      </c>
      <c r="C1668" s="48"/>
      <c r="D1668" s="88" t="s">
        <v>1035</v>
      </c>
      <c r="E1668" s="72" t="str">
        <f>+VLOOKUP(D1668,'材料表 '!C:F,2,0)</f>
        <v>m2</v>
      </c>
      <c r="F1668" s="77">
        <v>1</v>
      </c>
      <c r="G1668" s="89">
        <f>+VLOOKUP(D1668,'材料表 '!C:F,4,0)</f>
        <v>0.01</v>
      </c>
      <c r="H1668" s="74">
        <f t="shared" si="279"/>
        <v>1.01</v>
      </c>
      <c r="I1668" s="74">
        <f>+VLOOKUP(D1668,'材料表 '!C:F,3,0)</f>
        <v>241.592920353982</v>
      </c>
      <c r="J1668" s="51">
        <f t="shared" si="280"/>
        <v>244.008849557522</v>
      </c>
      <c r="K1668" s="43">
        <f ca="1">H1668*K1636</f>
        <v>37.605734</v>
      </c>
      <c r="L1668" s="90"/>
      <c r="M1668" s="44"/>
      <c r="N1668" s="82"/>
      <c r="O1668" s="44"/>
      <c r="P1668" s="44"/>
      <c r="Q1668" s="44"/>
      <c r="R1668" s="84"/>
      <c r="S1668" s="47"/>
      <c r="T1668" s="47"/>
    </row>
    <row r="1669" s="27" customFormat="1" ht="21" customHeight="1" spans="1:20">
      <c r="A1669" s="34"/>
      <c r="B1669" s="48">
        <v>20</v>
      </c>
      <c r="C1669" s="48"/>
      <c r="D1669" s="88" t="s">
        <v>1043</v>
      </c>
      <c r="E1669" s="72" t="str">
        <f>+VLOOKUP(D1669,'材料表 '!C:F,2,0)</f>
        <v>套</v>
      </c>
      <c r="F1669" s="77">
        <f>P1648/R1637</f>
        <v>0.483436914168462</v>
      </c>
      <c r="G1669" s="89">
        <f>+VLOOKUP(D1669,'材料表 '!C:F,4,0)</f>
        <v>0</v>
      </c>
      <c r="H1669" s="74">
        <f t="shared" si="279"/>
        <v>0.483436914168462</v>
      </c>
      <c r="I1669" s="74">
        <f>+VLOOKUP(D1669,'材料表 '!C:F,3,0)</f>
        <v>1.32743362831858</v>
      </c>
      <c r="J1669" s="51">
        <f t="shared" si="280"/>
        <v>0.641730417037779</v>
      </c>
      <c r="K1669" s="43">
        <f ca="1">H1669*K1636</f>
        <v>18</v>
      </c>
      <c r="L1669" s="90"/>
      <c r="M1669" s="44"/>
      <c r="N1669" s="82"/>
      <c r="O1669" s="44"/>
      <c r="P1669" s="44"/>
      <c r="Q1669" s="44"/>
      <c r="R1669" s="84"/>
      <c r="S1669" s="47"/>
      <c r="T1669" s="47"/>
    </row>
    <row r="1670" s="27" customFormat="1" ht="18" customHeight="1" spans="1:20">
      <c r="A1670" s="34"/>
      <c r="B1670" s="48">
        <v>21</v>
      </c>
      <c r="C1670" s="48"/>
      <c r="D1670" s="88"/>
      <c r="E1670" s="72"/>
      <c r="F1670" s="77"/>
      <c r="G1670" s="89"/>
      <c r="H1670" s="74"/>
      <c r="I1670" s="74"/>
      <c r="J1670" s="51"/>
      <c r="K1670" s="43">
        <f ca="1">H1670*K1636</f>
        <v>0</v>
      </c>
      <c r="L1670" s="92"/>
      <c r="M1670" s="44"/>
      <c r="N1670" s="82"/>
      <c r="O1670" s="44"/>
      <c r="P1670" s="44"/>
      <c r="Q1670" s="44"/>
      <c r="R1670" s="84"/>
      <c r="S1670" s="47"/>
      <c r="T1670" s="47"/>
    </row>
    <row r="1671" s="27" customFormat="1" ht="18" customHeight="1" spans="1:20">
      <c r="A1671" s="34"/>
      <c r="B1671" s="48">
        <v>22</v>
      </c>
      <c r="C1671" s="48"/>
      <c r="D1671" s="88"/>
      <c r="E1671" s="72"/>
      <c r="F1671" s="77"/>
      <c r="G1671" s="89"/>
      <c r="H1671" s="74"/>
      <c r="I1671" s="74"/>
      <c r="J1671" s="51"/>
      <c r="K1671" s="43">
        <f ca="1">H1671*K1636</f>
        <v>0</v>
      </c>
      <c r="L1671" s="92"/>
      <c r="M1671" s="44"/>
      <c r="N1671" s="44"/>
      <c r="O1671" s="44"/>
      <c r="P1671" s="44"/>
      <c r="Q1671" s="44"/>
      <c r="R1671" s="84"/>
      <c r="S1671" s="47"/>
      <c r="T1671" s="47"/>
    </row>
    <row r="1672" s="27" customFormat="1" ht="18" customHeight="1" spans="1:20">
      <c r="A1672" s="34"/>
      <c r="B1672" s="48">
        <v>23</v>
      </c>
      <c r="C1672" s="48"/>
      <c r="D1672" s="88"/>
      <c r="E1672" s="72"/>
      <c r="F1672" s="77"/>
      <c r="G1672" s="89"/>
      <c r="H1672" s="74"/>
      <c r="I1672" s="74"/>
      <c r="J1672" s="51"/>
      <c r="K1672" s="75">
        <f ca="1">H1672*K1636</f>
        <v>0</v>
      </c>
      <c r="L1672" s="92"/>
      <c r="M1672" s="44"/>
      <c r="N1672" s="44"/>
      <c r="O1672" s="44"/>
      <c r="P1672" s="44"/>
      <c r="Q1672" s="44"/>
      <c r="R1672" s="84"/>
      <c r="S1672" s="47"/>
      <c r="T1672" s="47"/>
    </row>
    <row r="1673" s="27" customFormat="1" ht="18" customHeight="1" spans="1:20">
      <c r="A1673" s="34"/>
      <c r="B1673" s="48">
        <v>24</v>
      </c>
      <c r="C1673" s="48"/>
      <c r="D1673" s="88"/>
      <c r="E1673" s="72"/>
      <c r="F1673" s="77"/>
      <c r="G1673" s="89"/>
      <c r="H1673" s="74"/>
      <c r="I1673" s="74"/>
      <c r="J1673" s="51"/>
      <c r="K1673" s="75">
        <f ca="1">H1673*K1636</f>
        <v>0</v>
      </c>
      <c r="L1673" s="92"/>
      <c r="M1673" s="44"/>
      <c r="N1673" s="44"/>
      <c r="O1673" s="44"/>
      <c r="P1673" s="44"/>
      <c r="Q1673" s="44"/>
      <c r="R1673" s="84"/>
      <c r="S1673" s="47"/>
      <c r="T1673" s="47"/>
    </row>
    <row r="1674" s="27" customFormat="1" ht="18" customHeight="1" spans="1:20">
      <c r="A1674" s="34"/>
      <c r="B1674" s="48">
        <v>25</v>
      </c>
      <c r="C1674" s="48"/>
      <c r="D1674" s="88"/>
      <c r="E1674" s="72"/>
      <c r="F1674" s="77"/>
      <c r="G1674" s="89"/>
      <c r="H1674" s="74"/>
      <c r="I1674" s="74"/>
      <c r="J1674" s="51"/>
      <c r="K1674" s="75"/>
      <c r="L1674" s="92"/>
      <c r="M1674" s="44"/>
      <c r="N1674" s="44"/>
      <c r="O1674" s="44"/>
      <c r="P1674" s="44"/>
      <c r="Q1674" s="44"/>
      <c r="R1674" s="84"/>
      <c r="S1674" s="47"/>
      <c r="T1674" s="47"/>
    </row>
    <row r="1675" s="27" customFormat="1" ht="18" customHeight="1" spans="1:20">
      <c r="A1675" s="34"/>
      <c r="B1675" s="48">
        <v>26</v>
      </c>
      <c r="C1675" s="48"/>
      <c r="D1675" s="88" t="s">
        <v>441</v>
      </c>
      <c r="E1675" s="72" t="s">
        <v>43</v>
      </c>
      <c r="F1675" s="77"/>
      <c r="G1675" s="72">
        <v>1</v>
      </c>
      <c r="H1675" s="74">
        <v>1</v>
      </c>
      <c r="I1675" s="74">
        <f>+辅材及安装费!$E$19</f>
        <v>10</v>
      </c>
      <c r="J1675" s="51">
        <f>H1675*I1675</f>
        <v>10</v>
      </c>
      <c r="K1675" s="75"/>
      <c r="L1675" s="92"/>
      <c r="M1675" s="44"/>
      <c r="N1675" s="44"/>
      <c r="O1675" s="44"/>
      <c r="P1675" s="44"/>
      <c r="Q1675" s="44"/>
      <c r="R1675" s="62"/>
      <c r="S1675" s="47"/>
      <c r="T1675" s="47"/>
    </row>
    <row r="1676" s="27" customFormat="1" ht="18" customHeight="1" spans="1:20">
      <c r="A1676" s="34"/>
      <c r="B1676" s="48">
        <v>27</v>
      </c>
      <c r="C1676" s="48"/>
      <c r="D1676" s="93" t="s">
        <v>442</v>
      </c>
      <c r="E1676" s="72"/>
      <c r="F1676" s="77"/>
      <c r="G1676" s="72"/>
      <c r="H1676" s="74"/>
      <c r="I1676" s="74"/>
      <c r="J1676" s="51">
        <f>SUM(J1650:J1675)</f>
        <v>589.495446474647</v>
      </c>
      <c r="K1676" s="75"/>
      <c r="L1676" s="94"/>
      <c r="N1676" s="83"/>
      <c r="O1676" s="83"/>
      <c r="P1676" s="83"/>
      <c r="Q1676" s="83"/>
      <c r="R1676" s="87"/>
      <c r="S1676" s="47"/>
      <c r="T1676" s="47"/>
    </row>
    <row r="1677" s="27" customFormat="1" ht="18" customHeight="1" spans="1:20">
      <c r="A1677" s="34"/>
      <c r="B1677" s="48">
        <v>1</v>
      </c>
      <c r="C1677" s="48" t="s">
        <v>443</v>
      </c>
      <c r="D1677" s="48" t="s">
        <v>444</v>
      </c>
      <c r="E1677" s="72" t="s">
        <v>43</v>
      </c>
      <c r="F1677" s="50"/>
      <c r="G1677" s="48"/>
      <c r="H1677" s="51">
        <v>1</v>
      </c>
      <c r="I1677" s="74">
        <f>+辅材及安装费!$F$19</f>
        <v>5</v>
      </c>
      <c r="J1677" s="95">
        <f>H1677*I1677</f>
        <v>5</v>
      </c>
      <c r="K1677" s="60"/>
      <c r="L1677" s="96"/>
      <c r="M1677" s="97"/>
      <c r="N1677" s="98"/>
      <c r="O1677" s="98"/>
      <c r="P1677" s="98"/>
      <c r="Q1677" s="98"/>
      <c r="R1677" s="99"/>
      <c r="S1677" s="47"/>
      <c r="T1677" s="47"/>
    </row>
    <row r="1678" s="26" customFormat="1" ht="30" customHeight="1" spans="1:20">
      <c r="A1678" s="28"/>
      <c r="B1678" s="29" t="s">
        <v>386</v>
      </c>
      <c r="C1678" s="29"/>
      <c r="D1678" s="29"/>
      <c r="E1678" s="29"/>
      <c r="F1678" s="29"/>
      <c r="G1678" s="29"/>
      <c r="H1678" s="29"/>
      <c r="I1678" s="29"/>
      <c r="J1678" s="29"/>
      <c r="K1678" s="29"/>
      <c r="L1678" s="30"/>
      <c r="M1678" s="31"/>
      <c r="N1678" s="31"/>
      <c r="O1678" s="31"/>
      <c r="P1678" s="31"/>
      <c r="Q1678" s="31"/>
      <c r="R1678" s="32"/>
      <c r="S1678" s="33"/>
      <c r="T1678" s="33"/>
    </row>
    <row r="1679" s="27" customFormat="1" ht="41" customHeight="1" spans="1:20">
      <c r="A1679" s="34">
        <v>40</v>
      </c>
      <c r="B1679" s="35" t="s">
        <v>1</v>
      </c>
      <c r="C1679" s="35" t="s">
        <v>387</v>
      </c>
      <c r="D1679" s="36" t="str">
        <f>+A1687</f>
        <v>二层明框玻璃幕墙（6+1.52PVB+6Low-E(双银)+12A+10㎜全超白钢化夹层中空玻璃）（直+弯弧+直）（直段宽度210㎜+弧长1414㎜+直段宽度210㎜，圆弧半径900㎜，高2330㎜）</v>
      </c>
      <c r="E1679" s="37"/>
      <c r="F1679" s="38" t="s">
        <v>225</v>
      </c>
      <c r="G1679" s="39"/>
      <c r="H1679" s="35" t="s">
        <v>388</v>
      </c>
      <c r="I1679" s="40" t="s">
        <v>389</v>
      </c>
      <c r="J1679" s="41" t="s">
        <v>37</v>
      </c>
      <c r="K1679" s="42">
        <f ca="1">VLOOKUP(A1679,'商业工程量清单 '!$A$4:$D$44,4,FALSE)</f>
        <v>8.54644</v>
      </c>
      <c r="L1679" s="43"/>
      <c r="M1679" s="44"/>
      <c r="N1679" s="44"/>
      <c r="O1679" s="44"/>
      <c r="P1679" s="45"/>
      <c r="Q1679" s="44"/>
      <c r="R1679" s="46"/>
      <c r="S1679" s="47"/>
      <c r="T1679" s="47"/>
    </row>
    <row r="1680" s="27" customFormat="1" ht="25" customHeight="1" spans="1:20">
      <c r="A1680" s="34"/>
      <c r="B1680" s="48">
        <v>1</v>
      </c>
      <c r="C1680" s="49" t="s">
        <v>390</v>
      </c>
      <c r="D1680" s="48" t="s">
        <v>391</v>
      </c>
      <c r="E1680" s="48"/>
      <c r="F1680" s="50"/>
      <c r="G1680" s="48"/>
      <c r="H1680" s="51"/>
      <c r="I1680" s="52">
        <f>J1692</f>
        <v>170</v>
      </c>
      <c r="J1680" s="53" t="s">
        <v>392</v>
      </c>
      <c r="K1680" s="54"/>
      <c r="L1680" s="55" t="s">
        <v>1054</v>
      </c>
      <c r="M1680" s="56"/>
      <c r="N1680" s="57"/>
      <c r="O1680" s="57">
        <f>0.21*2+1.414</f>
        <v>1.834</v>
      </c>
      <c r="P1680" s="57">
        <v>2.33</v>
      </c>
      <c r="Q1680" s="57">
        <v>1</v>
      </c>
      <c r="R1680" s="58">
        <f>+Q1680*P1680*O1680</f>
        <v>4.27322</v>
      </c>
      <c r="S1680" s="47"/>
      <c r="T1680" s="47"/>
    </row>
    <row r="1681" s="27" customFormat="1" ht="18" customHeight="1" spans="1:21">
      <c r="A1681" s="34"/>
      <c r="B1681" s="48">
        <v>2</v>
      </c>
      <c r="C1681" s="59"/>
      <c r="D1681" s="48" t="s">
        <v>394</v>
      </c>
      <c r="E1681" s="48"/>
      <c r="F1681" s="50"/>
      <c r="G1681" s="48"/>
      <c r="H1681" s="51"/>
      <c r="I1681" s="52">
        <f>J1719</f>
        <v>1602.12346139501</v>
      </c>
      <c r="J1681" s="53" t="s">
        <v>392</v>
      </c>
      <c r="K1681" s="60"/>
      <c r="L1681" s="61"/>
      <c r="M1681" s="44"/>
      <c r="N1681" s="44"/>
      <c r="O1681" s="44"/>
      <c r="P1681" s="44"/>
      <c r="Q1681" s="44"/>
      <c r="R1681" s="62"/>
      <c r="S1681" s="47"/>
      <c r="T1681" s="47"/>
    </row>
    <row r="1682" s="27" customFormat="1" ht="18" customHeight="1" spans="1:21">
      <c r="A1682" s="34"/>
      <c r="B1682" s="48">
        <v>3</v>
      </c>
      <c r="C1682" s="63"/>
      <c r="D1682" s="48" t="s">
        <v>395</v>
      </c>
      <c r="E1682" s="48"/>
      <c r="F1682" s="50"/>
      <c r="G1682" s="48"/>
      <c r="H1682" s="51"/>
      <c r="I1682" s="52">
        <f>J1720</f>
        <v>5</v>
      </c>
      <c r="J1682" s="53" t="s">
        <v>392</v>
      </c>
      <c r="K1682" s="60"/>
      <c r="L1682" s="60"/>
      <c r="M1682" s="64" t="s">
        <v>396</v>
      </c>
      <c r="N1682" s="65" t="s">
        <v>397</v>
      </c>
      <c r="O1682" s="65" t="s">
        <v>398</v>
      </c>
      <c r="P1682" s="65" t="s">
        <v>399</v>
      </c>
      <c r="Q1682" s="65" t="s">
        <v>400</v>
      </c>
      <c r="R1682" s="66" t="s">
        <v>401</v>
      </c>
      <c r="S1682" s="47"/>
      <c r="T1682" s="47"/>
    </row>
    <row r="1683" s="27" customFormat="1" ht="18" customHeight="1" spans="1:21">
      <c r="A1683" s="34"/>
      <c r="B1683" s="48">
        <v>4</v>
      </c>
      <c r="C1683" s="48" t="s">
        <v>402</v>
      </c>
      <c r="D1683" s="67" t="s">
        <v>403</v>
      </c>
      <c r="E1683" s="67"/>
      <c r="F1683" s="50"/>
      <c r="G1683" s="67"/>
      <c r="H1683" s="68"/>
      <c r="I1683" s="52">
        <f>SUM(I1680:I1682)</f>
        <v>1777.12346139501</v>
      </c>
      <c r="J1683" s="53" t="s">
        <v>392</v>
      </c>
      <c r="K1683" s="60"/>
      <c r="L1683" s="69" t="s">
        <v>427</v>
      </c>
      <c r="M1683" s="70" t="s">
        <v>1007</v>
      </c>
      <c r="N1683" s="34">
        <v>3.111</v>
      </c>
      <c r="O1683" s="34">
        <f>P1680</f>
        <v>2.33</v>
      </c>
      <c r="P1683" s="34">
        <v>1</v>
      </c>
      <c r="Q1683" s="44">
        <f t="shared" ref="Q1683:Q1693" si="281">+P1683*O1683*N1683</f>
        <v>7.24863</v>
      </c>
      <c r="R1683" s="71">
        <f>+Q1683/R1680</f>
        <v>1.69629225736096</v>
      </c>
      <c r="S1683" s="47"/>
      <c r="T1683" s="47"/>
    </row>
    <row r="1684" s="27" customFormat="1" ht="28" customHeight="1" spans="1:21">
      <c r="A1684" s="34"/>
      <c r="B1684" s="48">
        <v>5</v>
      </c>
      <c r="C1684" s="72" t="s">
        <v>406</v>
      </c>
      <c r="D1684" s="48" t="s">
        <v>407</v>
      </c>
      <c r="E1684" s="48"/>
      <c r="F1684" s="50"/>
      <c r="G1684" s="48"/>
      <c r="H1684" s="73">
        <f>+'材料表 '!$E$178</f>
        <v>0</v>
      </c>
      <c r="I1684" s="52">
        <f>H1684*I1683</f>
        <v>0</v>
      </c>
      <c r="J1684" s="53" t="s">
        <v>392</v>
      </c>
      <c r="K1684" s="60"/>
      <c r="L1684" s="69" t="s">
        <v>429</v>
      </c>
      <c r="M1684" s="70" t="s">
        <v>1037</v>
      </c>
      <c r="N1684" s="34">
        <v>3.063</v>
      </c>
      <c r="O1684" s="100">
        <f>O1683/0.3*0.1</f>
        <v>0.776666666666667</v>
      </c>
      <c r="P1684" s="34">
        <f>P1683</f>
        <v>1</v>
      </c>
      <c r="Q1684" s="44">
        <f t="shared" si="281"/>
        <v>2.37893</v>
      </c>
      <c r="R1684" s="71">
        <f>+Q1684/R1680</f>
        <v>0.5567066521265</v>
      </c>
      <c r="S1684" s="47"/>
      <c r="T1684" s="47"/>
    </row>
    <row r="1685" s="27" customFormat="1" ht="18" customHeight="1" spans="1:21">
      <c r="A1685" s="34"/>
      <c r="B1685" s="48">
        <v>6</v>
      </c>
      <c r="C1685" s="48" t="s">
        <v>409</v>
      </c>
      <c r="D1685" s="48" t="s">
        <v>410</v>
      </c>
      <c r="E1685" s="48"/>
      <c r="F1685" s="50"/>
      <c r="G1685" s="48"/>
      <c r="H1685" s="73">
        <f>+'材料表 '!$E$179</f>
        <v>0</v>
      </c>
      <c r="I1685" s="52">
        <f>H1685*I1683</f>
        <v>0</v>
      </c>
      <c r="J1685" s="74" t="s">
        <v>392</v>
      </c>
      <c r="K1685" s="75"/>
      <c r="L1685" s="69" t="s">
        <v>447</v>
      </c>
      <c r="M1685" s="70" t="s">
        <v>1038</v>
      </c>
      <c r="N1685" s="34">
        <f>1.041+0.104</f>
        <v>1.145</v>
      </c>
      <c r="O1685" s="34">
        <f>O1683</f>
        <v>2.33</v>
      </c>
      <c r="P1685" s="34">
        <f>P1683</f>
        <v>1</v>
      </c>
      <c r="Q1685" s="44">
        <f t="shared" si="281"/>
        <v>2.66785</v>
      </c>
      <c r="R1685" s="71">
        <f>+Q1685/R1680</f>
        <v>0.624318429661941</v>
      </c>
      <c r="S1685" s="47">
        <v>0.172</v>
      </c>
      <c r="T1685" s="47">
        <f>O1685*P1685*S1685</f>
        <v>0.40076</v>
      </c>
      <c r="U1685" s="76">
        <f>T1685/R1680</f>
        <v>0.093784078516903</v>
      </c>
    </row>
    <row r="1686" s="27" customFormat="1" ht="18" customHeight="1" spans="1:21">
      <c r="A1686" s="34"/>
      <c r="B1686" s="48">
        <v>7</v>
      </c>
      <c r="C1686" s="48" t="s">
        <v>412</v>
      </c>
      <c r="D1686" s="72" t="s">
        <v>413</v>
      </c>
      <c r="E1686" s="72"/>
      <c r="F1686" s="77"/>
      <c r="G1686" s="72"/>
      <c r="H1686" s="73">
        <f>+'材料表 '!$E$180</f>
        <v>0.09</v>
      </c>
      <c r="I1686" s="52">
        <f>(I1683+I1684+I1685)*H1686</f>
        <v>159.941111525551</v>
      </c>
      <c r="J1686" s="74" t="s">
        <v>392</v>
      </c>
      <c r="K1686" s="75"/>
      <c r="L1686" s="69" t="s">
        <v>429</v>
      </c>
      <c r="M1686" s="70" t="s">
        <v>1010</v>
      </c>
      <c r="N1686" s="102">
        <f>2.9</f>
        <v>2.9</v>
      </c>
      <c r="O1686" s="34">
        <v>0.2</v>
      </c>
      <c r="P1686" s="34">
        <f>P1683</f>
        <v>1</v>
      </c>
      <c r="Q1686" s="44">
        <f t="shared" si="281"/>
        <v>0.58</v>
      </c>
      <c r="R1686" s="71">
        <f>+Q1686/R1680</f>
        <v>0.135729028694989</v>
      </c>
      <c r="S1686" s="47"/>
      <c r="T1686" s="47"/>
    </row>
    <row r="1687" s="27" customFormat="1" ht="18" customHeight="1" spans="1:21">
      <c r="A1687" s="78" t="s">
        <v>283</v>
      </c>
      <c r="B1687" s="48">
        <v>8</v>
      </c>
      <c r="C1687" s="48" t="s">
        <v>363</v>
      </c>
      <c r="D1687" s="72" t="s">
        <v>415</v>
      </c>
      <c r="E1687" s="72"/>
      <c r="F1687" s="77"/>
      <c r="G1687" s="72"/>
      <c r="H1687" s="51"/>
      <c r="I1687" s="74">
        <f>SUM(I1683:I1686)</f>
        <v>1937.06457292057</v>
      </c>
      <c r="J1687" s="74" t="s">
        <v>416</v>
      </c>
      <c r="K1687" s="75"/>
      <c r="L1687" s="69" t="s">
        <v>429</v>
      </c>
      <c r="M1687" s="70" t="s">
        <v>1040</v>
      </c>
      <c r="N1687" s="34">
        <v>0.733</v>
      </c>
      <c r="O1687" s="100">
        <f>O1684*2</f>
        <v>1.55333333333333</v>
      </c>
      <c r="P1687" s="34">
        <f>P1683</f>
        <v>1</v>
      </c>
      <c r="Q1687" s="44">
        <f t="shared" si="281"/>
        <v>1.13859333333333</v>
      </c>
      <c r="R1687" s="71">
        <f>+Q1687/R1680</f>
        <v>0.266448564158488</v>
      </c>
      <c r="S1687" s="79"/>
      <c r="T1687" s="47"/>
    </row>
    <row r="1688" s="27" customFormat="1" ht="18" customHeight="1" spans="1:21">
      <c r="A1688" s="34"/>
      <c r="B1688" s="48" t="s">
        <v>418</v>
      </c>
      <c r="C1688" s="48"/>
      <c r="D1688" s="48"/>
      <c r="E1688" s="48"/>
      <c r="F1688" s="48"/>
      <c r="G1688" s="48"/>
      <c r="H1688" s="48"/>
      <c r="I1688" s="48"/>
      <c r="J1688" s="48"/>
      <c r="K1688" s="80"/>
      <c r="L1688" s="69" t="s">
        <v>404</v>
      </c>
      <c r="M1688" s="70" t="s">
        <v>1041</v>
      </c>
      <c r="N1688" s="34">
        <v>3.727</v>
      </c>
      <c r="O1688" s="34">
        <f>O1680</f>
        <v>1.834</v>
      </c>
      <c r="P1688" s="34">
        <v>1.5</v>
      </c>
      <c r="Q1688" s="44">
        <f t="shared" si="281"/>
        <v>10.252977</v>
      </c>
      <c r="R1688" s="71">
        <f>+Q1688/R1680</f>
        <v>2.39935622317597</v>
      </c>
      <c r="S1688" s="47"/>
      <c r="T1688" s="47"/>
      <c r="U1688" s="76"/>
    </row>
    <row r="1689" s="27" customFormat="1" ht="18" customHeight="1" spans="1:21">
      <c r="A1689" s="34"/>
      <c r="B1689" s="48">
        <v>1</v>
      </c>
      <c r="C1689" s="48" t="s">
        <v>391</v>
      </c>
      <c r="D1689" s="48" t="s">
        <v>396</v>
      </c>
      <c r="E1689" s="48" t="s">
        <v>37</v>
      </c>
      <c r="F1689" s="50"/>
      <c r="G1689" s="48"/>
      <c r="H1689" s="51" t="s">
        <v>399</v>
      </c>
      <c r="I1689" s="51" t="s">
        <v>420</v>
      </c>
      <c r="J1689" s="51" t="s">
        <v>421</v>
      </c>
      <c r="K1689" s="43"/>
      <c r="L1689" s="69" t="s">
        <v>429</v>
      </c>
      <c r="M1689" s="81" t="s">
        <v>1027</v>
      </c>
      <c r="N1689" s="82">
        <v>0.604</v>
      </c>
      <c r="O1689" s="34">
        <f>O1688</f>
        <v>1.834</v>
      </c>
      <c r="P1689" s="34">
        <f>P1688</f>
        <v>1.5</v>
      </c>
      <c r="Q1689" s="44">
        <f t="shared" si="281"/>
        <v>1.661604</v>
      </c>
      <c r="R1689" s="71">
        <f>+Q1689/R1680</f>
        <v>0.388841201716738</v>
      </c>
      <c r="S1689" s="47"/>
      <c r="T1689" s="47"/>
    </row>
    <row r="1690" s="27" customFormat="1" ht="18" customHeight="1" spans="1:21">
      <c r="A1690" s="34"/>
      <c r="B1690" s="48">
        <v>2</v>
      </c>
      <c r="C1690" s="48"/>
      <c r="D1690" s="48" t="s">
        <v>967</v>
      </c>
      <c r="E1690" s="72" t="s">
        <v>423</v>
      </c>
      <c r="F1690" s="50"/>
      <c r="G1690" s="48"/>
      <c r="H1690" s="51">
        <v>1</v>
      </c>
      <c r="I1690" s="51">
        <f>+辅材及安装费!$G$19</f>
        <v>170</v>
      </c>
      <c r="J1690" s="51">
        <f t="shared" ref="J1690:J1698" si="282">H1690*I1690</f>
        <v>170</v>
      </c>
      <c r="K1690" s="43"/>
      <c r="L1690" s="69" t="s">
        <v>447</v>
      </c>
      <c r="M1690" s="70" t="s">
        <v>1038</v>
      </c>
      <c r="N1690" s="83">
        <v>0.977</v>
      </c>
      <c r="O1690" s="34">
        <f>O1688</f>
        <v>1.834</v>
      </c>
      <c r="P1690" s="34">
        <v>0.5</v>
      </c>
      <c r="Q1690" s="44">
        <f t="shared" si="281"/>
        <v>0.895909</v>
      </c>
      <c r="R1690" s="84">
        <f>+Q1690/R1680</f>
        <v>0.209656652360515</v>
      </c>
      <c r="S1690" s="47">
        <v>0.185</v>
      </c>
      <c r="T1690" s="47">
        <f t="shared" ref="T1690:T1693" si="283">O1690*P1690*S1690</f>
        <v>0.169645</v>
      </c>
      <c r="U1690" s="103">
        <f>T1690/R1680</f>
        <v>0.0396995708154506</v>
      </c>
    </row>
    <row r="1691" s="27" customFormat="1" ht="18" customHeight="1" spans="1:21">
      <c r="A1691" s="34"/>
      <c r="B1691" s="48">
        <v>3</v>
      </c>
      <c r="C1691" s="48"/>
      <c r="D1691" s="48"/>
      <c r="E1691" s="72"/>
      <c r="F1691" s="50"/>
      <c r="G1691" s="48"/>
      <c r="H1691" s="51"/>
      <c r="I1691" s="51"/>
      <c r="J1691" s="51"/>
      <c r="K1691" s="43"/>
      <c r="L1691" s="69" t="s">
        <v>429</v>
      </c>
      <c r="M1691" s="81" t="s">
        <v>1042</v>
      </c>
      <c r="N1691" s="82">
        <v>0.687</v>
      </c>
      <c r="O1691" s="44">
        <f>0.1</f>
        <v>0.1</v>
      </c>
      <c r="P1691" s="34">
        <f>1*2</f>
        <v>2</v>
      </c>
      <c r="Q1691" s="44">
        <f t="shared" si="281"/>
        <v>0.1374</v>
      </c>
      <c r="R1691" s="84">
        <f>+Q1691/R1680</f>
        <v>0.0321537388667094</v>
      </c>
      <c r="S1691" s="47"/>
      <c r="T1691" s="47"/>
    </row>
    <row r="1692" s="27" customFormat="1" ht="18" customHeight="1" spans="1:21">
      <c r="A1692" s="34"/>
      <c r="B1692" s="48">
        <v>4</v>
      </c>
      <c r="C1692" s="48"/>
      <c r="D1692" s="85" t="s">
        <v>426</v>
      </c>
      <c r="E1692" s="48" t="s">
        <v>392</v>
      </c>
      <c r="F1692" s="50"/>
      <c r="G1692" s="48"/>
      <c r="H1692" s="86"/>
      <c r="I1692" s="86"/>
      <c r="J1692" s="51">
        <f>SUM(J1690:J1690)</f>
        <v>170</v>
      </c>
      <c r="K1692" s="75"/>
      <c r="L1692" s="69" t="s">
        <v>447</v>
      </c>
      <c r="M1692" s="70" t="s">
        <v>1038</v>
      </c>
      <c r="N1692" s="34">
        <f>0.624*2.71+0.022*2.71</f>
        <v>1.75066</v>
      </c>
      <c r="O1692" s="34">
        <f>O1680</f>
        <v>1.834</v>
      </c>
      <c r="P1692" s="34">
        <v>1</v>
      </c>
      <c r="Q1692" s="44">
        <f t="shared" si="281"/>
        <v>3.21071044</v>
      </c>
      <c r="R1692" s="71">
        <f>+Q1692/R1680</f>
        <v>0.751356223175966</v>
      </c>
      <c r="S1692" s="47">
        <f>0.251+0.045</f>
        <v>0.296</v>
      </c>
      <c r="T1692" s="47">
        <f t="shared" si="283"/>
        <v>0.542864</v>
      </c>
      <c r="U1692" s="76">
        <f>T1692/R1680</f>
        <v>0.127038626609442</v>
      </c>
    </row>
    <row r="1693" s="27" customFormat="1" ht="23" customHeight="1" spans="1:21">
      <c r="A1693" s="34"/>
      <c r="B1693" s="48">
        <v>1</v>
      </c>
      <c r="C1693" s="48" t="s">
        <v>394</v>
      </c>
      <c r="D1693" s="88" t="s">
        <v>427</v>
      </c>
      <c r="E1693" s="72" t="str">
        <f>+VLOOKUP(D1693,'材料表 '!C:F,2,0)</f>
        <v>kg</v>
      </c>
      <c r="F1693" s="77">
        <f>+SUMIF($L$1680:$L$1720,D1693,$R$1680:$R$1720)</f>
        <v>1.69629225736096</v>
      </c>
      <c r="G1693" s="89">
        <f>+VLOOKUP(D1693,'材料表 '!C:F,4,0)</f>
        <v>0.03</v>
      </c>
      <c r="H1693" s="74">
        <f t="shared" ref="H1693:H1698" si="284">F1693*(G1693+1)</f>
        <v>1.74718102508179</v>
      </c>
      <c r="I1693" s="74">
        <f>+VLOOKUP(D1693,'材料表 '!C:F,3,0)</f>
        <v>25.8495575221239</v>
      </c>
      <c r="J1693" s="51">
        <f t="shared" si="282"/>
        <v>45.1638564094151</v>
      </c>
      <c r="K1693" s="75">
        <f ca="1">H1693*K1679</f>
        <v>14.9321778</v>
      </c>
      <c r="L1693" s="69" t="s">
        <v>447</v>
      </c>
      <c r="M1693" s="70" t="s">
        <v>1049</v>
      </c>
      <c r="N1693" s="34">
        <f>0.074*2.71</f>
        <v>0.20054</v>
      </c>
      <c r="O1693" s="34">
        <v>0</v>
      </c>
      <c r="P1693" s="34">
        <v>1</v>
      </c>
      <c r="Q1693" s="44">
        <f t="shared" si="281"/>
        <v>0</v>
      </c>
      <c r="R1693" s="71">
        <f>+Q1693/R1680</f>
        <v>0</v>
      </c>
      <c r="S1693" s="47">
        <f>0.048</f>
        <v>0.048</v>
      </c>
      <c r="T1693" s="47">
        <f t="shared" si="283"/>
        <v>0</v>
      </c>
      <c r="U1693" s="76">
        <f>T1693/R1680</f>
        <v>0</v>
      </c>
    </row>
    <row r="1694" s="27" customFormat="1" ht="18" customHeight="1" spans="1:21">
      <c r="A1694" s="34"/>
      <c r="B1694" s="48">
        <v>2</v>
      </c>
      <c r="C1694" s="48"/>
      <c r="D1694" s="88" t="s">
        <v>404</v>
      </c>
      <c r="E1694" s="72" t="str">
        <f>+VLOOKUP(D1694,'材料表 '!C:F,2,0)</f>
        <v>kg</v>
      </c>
      <c r="F1694" s="77">
        <f t="shared" ref="F1694:F1706" si="285">+SUMIF($L$1680:$L$1720,D1694,$R$1680:$R$1720)</f>
        <v>2.39935622317597</v>
      </c>
      <c r="G1694" s="89">
        <f>+VLOOKUP(D1694,'材料表 '!C:F,4,0)</f>
        <v>0.03</v>
      </c>
      <c r="H1694" s="74">
        <f t="shared" si="284"/>
        <v>2.47133690987125</v>
      </c>
      <c r="I1694" s="74">
        <f>+VLOOKUP(D1694,'材料表 '!C:F,3,0)</f>
        <v>25.6725663716814</v>
      </c>
      <c r="J1694" s="51">
        <f t="shared" si="282"/>
        <v>63.4455608454557</v>
      </c>
      <c r="K1694" s="75">
        <f ca="1">H1694*K1679</f>
        <v>21.12113262</v>
      </c>
      <c r="L1694" s="69"/>
      <c r="M1694" s="70"/>
      <c r="N1694" s="83"/>
      <c r="O1694" s="83"/>
      <c r="P1694" s="83"/>
      <c r="Q1694" s="83"/>
      <c r="R1694" s="87"/>
      <c r="S1694" s="47"/>
      <c r="T1694" s="34"/>
    </row>
    <row r="1695" s="27" customFormat="1" ht="18" customHeight="1" spans="1:21">
      <c r="A1695" s="34"/>
      <c r="B1695" s="48">
        <v>3</v>
      </c>
      <c r="C1695" s="48"/>
      <c r="D1695" s="88" t="s">
        <v>433</v>
      </c>
      <c r="E1695" s="72" t="str">
        <f>+VLOOKUP(D1695,'材料表 '!C:F,2,0)</f>
        <v>kg</v>
      </c>
      <c r="F1695" s="77">
        <f t="shared" si="285"/>
        <v>0</v>
      </c>
      <c r="G1695" s="89">
        <f>+VLOOKUP(D1695,'材料表 '!C:F,4,0)</f>
        <v>0.03</v>
      </c>
      <c r="H1695" s="74">
        <f t="shared" si="284"/>
        <v>0</v>
      </c>
      <c r="I1695" s="74">
        <f>+VLOOKUP(D1695,'材料表 '!C:F,3,0)</f>
        <v>26.1150442477876</v>
      </c>
      <c r="J1695" s="51">
        <f t="shared" si="282"/>
        <v>0</v>
      </c>
      <c r="K1695" s="75">
        <f ca="1">H1695*K1679</f>
        <v>0</v>
      </c>
      <c r="L1695" s="69"/>
      <c r="N1695" s="83"/>
      <c r="O1695" s="83"/>
      <c r="P1695" s="83"/>
      <c r="Q1695" s="83"/>
      <c r="R1695" s="87"/>
      <c r="S1695" s="47"/>
      <c r="T1695" s="47"/>
    </row>
    <row r="1696" s="27" customFormat="1" ht="18" customHeight="1" spans="1:21">
      <c r="A1696" s="34"/>
      <c r="B1696" s="48">
        <v>4</v>
      </c>
      <c r="C1696" s="48"/>
      <c r="D1696" s="88" t="s">
        <v>429</v>
      </c>
      <c r="E1696" s="72" t="str">
        <f>+VLOOKUP(D1696,'材料表 '!C:F,2,0)</f>
        <v>kg</v>
      </c>
      <c r="F1696" s="77">
        <f t="shared" si="285"/>
        <v>1.37987918556342</v>
      </c>
      <c r="G1696" s="89">
        <f>+VLOOKUP(D1696,'材料表 '!C:F,4,0)</f>
        <v>0.03</v>
      </c>
      <c r="H1696" s="74">
        <f t="shared" si="284"/>
        <v>1.42127556113032</v>
      </c>
      <c r="I1696" s="74">
        <f>+VLOOKUP(D1696,'材料表 '!C:F,3,0)</f>
        <v>26.1150442477876</v>
      </c>
      <c r="J1696" s="51">
        <f t="shared" si="282"/>
        <v>37.1166741672175</v>
      </c>
      <c r="K1696" s="75">
        <f ca="1">H1696*K1679</f>
        <v>12.1468463066666</v>
      </c>
      <c r="L1696" s="90" t="s">
        <v>707</v>
      </c>
      <c r="M1696" s="44"/>
      <c r="N1696" s="82"/>
      <c r="O1696" s="44">
        <f>O1688*P1688</f>
        <v>2.751</v>
      </c>
      <c r="P1696" s="44">
        <v>1</v>
      </c>
      <c r="Q1696" s="44">
        <f>+P1696*O1696</f>
        <v>2.751</v>
      </c>
      <c r="R1696" s="84">
        <f>+Q1696/R1680</f>
        <v>0.643776824034335</v>
      </c>
      <c r="S1696" s="47"/>
      <c r="T1696" s="47"/>
    </row>
    <row r="1697" s="27" customFormat="1" ht="18" customHeight="1" spans="1:20">
      <c r="A1697" s="34"/>
      <c r="B1697" s="48">
        <v>5</v>
      </c>
      <c r="C1697" s="48"/>
      <c r="D1697" s="88" t="s">
        <v>447</v>
      </c>
      <c r="E1697" s="72" t="str">
        <f>+VLOOKUP(D1697,'材料表 '!C:F,2,0)</f>
        <v>kg</v>
      </c>
      <c r="F1697" s="77">
        <f t="shared" si="285"/>
        <v>1.58533130519842</v>
      </c>
      <c r="G1697" s="89">
        <f>+VLOOKUP(D1697,'材料表 '!C:F,4,0)</f>
        <v>0.03</v>
      </c>
      <c r="H1697" s="74">
        <f t="shared" si="284"/>
        <v>1.63289124435437</v>
      </c>
      <c r="I1697" s="74">
        <f>+VLOOKUP(D1697,'材料表 '!C:F,3,0)</f>
        <v>24.4336283185841</v>
      </c>
      <c r="J1697" s="51">
        <f t="shared" si="282"/>
        <v>39.897457749225</v>
      </c>
      <c r="K1697" s="43">
        <f ca="1">H1697*K1679</f>
        <v>13.9554070464</v>
      </c>
      <c r="L1697" s="90" t="s">
        <v>435</v>
      </c>
      <c r="M1697" s="44"/>
      <c r="N1697" s="82">
        <f>0.073*1.2</f>
        <v>0.0876</v>
      </c>
      <c r="O1697" s="44">
        <f>O1683*P1683*3+O1688*P1688*4</f>
        <v>17.994</v>
      </c>
      <c r="P1697" s="44">
        <v>1</v>
      </c>
      <c r="Q1697" s="44">
        <f>+P1697*O1697</f>
        <v>17.994</v>
      </c>
      <c r="R1697" s="84">
        <f>+Q1697/R1680</f>
        <v>4.21087610747867</v>
      </c>
      <c r="S1697" s="47"/>
      <c r="T1697" s="47"/>
    </row>
    <row r="1698" s="27" customFormat="1" ht="18" customHeight="1" spans="1:20">
      <c r="A1698" s="34"/>
      <c r="B1698" s="48">
        <v>6</v>
      </c>
      <c r="C1698" s="48"/>
      <c r="D1698" s="88" t="s">
        <v>434</v>
      </c>
      <c r="E1698" s="72" t="str">
        <f>+VLOOKUP(D1698,'材料表 '!C:F,2,0)</f>
        <v>m2</v>
      </c>
      <c r="F1698" s="77">
        <f>U1685+U1690+U1692+U1693</f>
        <v>0.260522275941796</v>
      </c>
      <c r="G1698" s="89">
        <f>+VLOOKUP(D1698,'材料表 '!C:F,4,0)</f>
        <v>0</v>
      </c>
      <c r="H1698" s="74">
        <f t="shared" si="284"/>
        <v>0.260522275941796</v>
      </c>
      <c r="I1698" s="74">
        <f>+VLOOKUP(D1698,'材料表 '!C:F,3,0)</f>
        <v>49.5575221238938</v>
      </c>
      <c r="J1698" s="51">
        <f t="shared" si="282"/>
        <v>12.9108384537527</v>
      </c>
      <c r="K1698" s="43">
        <f ca="1">H1698*K1679</f>
        <v>2.226538</v>
      </c>
      <c r="L1698" s="90" t="s">
        <v>463</v>
      </c>
      <c r="M1698" s="91" t="s">
        <v>1012</v>
      </c>
      <c r="N1698" s="82">
        <f>0.32*0.3*8*7.85</f>
        <v>6.0288</v>
      </c>
      <c r="O1698" s="44">
        <v>1.5</v>
      </c>
      <c r="P1698" s="44">
        <f>P1683</f>
        <v>1</v>
      </c>
      <c r="Q1698" s="44">
        <f t="shared" ref="Q1698:Q1702" si="286">+P1698*O1698*N1698</f>
        <v>9.0432</v>
      </c>
      <c r="R1698" s="84">
        <f>+Q1698/R1680</f>
        <v>2.11624957292159</v>
      </c>
      <c r="S1698" s="47"/>
      <c r="T1698" s="47"/>
    </row>
    <row r="1699" s="27" customFormat="1" ht="18" customHeight="1" spans="1:20">
      <c r="A1699" s="34"/>
      <c r="B1699" s="48">
        <v>7</v>
      </c>
      <c r="C1699" s="48"/>
      <c r="D1699" s="88"/>
      <c r="E1699" s="72"/>
      <c r="F1699" s="77">
        <f t="shared" si="285"/>
        <v>0</v>
      </c>
      <c r="G1699" s="89"/>
      <c r="H1699" s="74"/>
      <c r="I1699" s="74"/>
      <c r="J1699" s="51"/>
      <c r="K1699" s="43">
        <f ca="1">H1699*K1679</f>
        <v>0</v>
      </c>
      <c r="L1699" s="69" t="s">
        <v>465</v>
      </c>
      <c r="M1699" s="81" t="s">
        <v>1013</v>
      </c>
      <c r="N1699" s="34">
        <v>9.88</v>
      </c>
      <c r="O1699" s="34">
        <f>0.13</f>
        <v>0.13</v>
      </c>
      <c r="P1699" s="34">
        <f>2*P1698*O1698</f>
        <v>3</v>
      </c>
      <c r="Q1699" s="44">
        <f t="shared" si="286"/>
        <v>3.8532</v>
      </c>
      <c r="R1699" s="84">
        <f>Q1699/R1680</f>
        <v>0.901708781668157</v>
      </c>
      <c r="S1699" s="47"/>
      <c r="T1699" s="47"/>
    </row>
    <row r="1700" s="27" customFormat="1" ht="18" customHeight="1" spans="1:20">
      <c r="A1700" s="34"/>
      <c r="B1700" s="48">
        <v>8</v>
      </c>
      <c r="C1700" s="48"/>
      <c r="D1700" s="88" t="s">
        <v>431</v>
      </c>
      <c r="E1700" s="72" t="str">
        <f>+VLOOKUP(D1700,'材料表 '!C:F,2,0)</f>
        <v>kg</v>
      </c>
      <c r="F1700" s="77">
        <f t="shared" si="285"/>
        <v>0</v>
      </c>
      <c r="G1700" s="89">
        <f>+VLOOKUP(D1700,'材料表 '!C:F,4,0)</f>
        <v>0.03</v>
      </c>
      <c r="H1700" s="74">
        <f t="shared" ref="H1700:H1712" si="287">F1700*(G1700+1)</f>
        <v>0</v>
      </c>
      <c r="I1700" s="74">
        <f>+VLOOKUP(D1700,'材料表 '!C:F,3,0)</f>
        <v>3.80530973451327</v>
      </c>
      <c r="J1700" s="51">
        <f t="shared" ref="J1700:J1712" si="288">H1700*I1700</f>
        <v>0</v>
      </c>
      <c r="K1700" s="43">
        <f ca="1">H1700*K1679</f>
        <v>0</v>
      </c>
      <c r="L1700" s="90" t="s">
        <v>474</v>
      </c>
      <c r="M1700" s="44"/>
      <c r="N1700" s="82"/>
      <c r="O1700" s="44">
        <v>4</v>
      </c>
      <c r="P1700" s="44">
        <f>O1698*P1698</f>
        <v>1.5</v>
      </c>
      <c r="Q1700" s="44">
        <f>O1700*P1700</f>
        <v>6</v>
      </c>
      <c r="R1700" s="84">
        <f>Q1700/R1680</f>
        <v>1.40409340029299</v>
      </c>
      <c r="S1700" s="47"/>
      <c r="T1700" s="47"/>
    </row>
    <row r="1701" s="27" customFormat="1" ht="18" customHeight="1" spans="1:20">
      <c r="A1701" s="34"/>
      <c r="B1701" s="48">
        <v>9</v>
      </c>
      <c r="C1701" s="48"/>
      <c r="D1701" s="88" t="s">
        <v>461</v>
      </c>
      <c r="E1701" s="72" t="str">
        <f>+VLOOKUP(D1701,'材料表 '!C:F,2,0)</f>
        <v>kg</v>
      </c>
      <c r="F1701" s="77">
        <f t="shared" si="285"/>
        <v>0</v>
      </c>
      <c r="G1701" s="89">
        <f>+VLOOKUP(D1701,'材料表 '!C:F,4,0)</f>
        <v>0.03</v>
      </c>
      <c r="H1701" s="74">
        <f t="shared" si="287"/>
        <v>0</v>
      </c>
      <c r="I1701" s="74">
        <f>+VLOOKUP(D1701,'材料表 '!C:F,3,0)</f>
        <v>3.53982300884956</v>
      </c>
      <c r="J1701" s="51">
        <f t="shared" si="288"/>
        <v>0</v>
      </c>
      <c r="K1701" s="43">
        <f ca="1">H1701*K1679</f>
        <v>0</v>
      </c>
      <c r="L1701" s="90" t="s">
        <v>472</v>
      </c>
      <c r="M1701" s="91"/>
      <c r="N1701" s="82"/>
      <c r="O1701" s="44">
        <v>2</v>
      </c>
      <c r="P1701" s="44">
        <f>O1698*P1698</f>
        <v>1.5</v>
      </c>
      <c r="Q1701" s="44">
        <f>O1701*P1701</f>
        <v>3</v>
      </c>
      <c r="R1701" s="84">
        <f>Q1701/R1680</f>
        <v>0.702046700146494</v>
      </c>
      <c r="S1701" s="47"/>
      <c r="T1701" s="47"/>
    </row>
    <row r="1702" s="27" customFormat="1" ht="18" customHeight="1" spans="1:20">
      <c r="A1702" s="34"/>
      <c r="B1702" s="48">
        <v>10</v>
      </c>
      <c r="C1702" s="48"/>
      <c r="D1702" s="88" t="s">
        <v>435</v>
      </c>
      <c r="E1702" s="72" t="str">
        <f>+VLOOKUP(D1702,'材料表 '!C:F,2,0)</f>
        <v>kg</v>
      </c>
      <c r="F1702" s="77">
        <f t="shared" si="285"/>
        <v>4.21087610747867</v>
      </c>
      <c r="G1702" s="89">
        <f>+VLOOKUP(D1702,'材料表 '!C:F,4,0)</f>
        <v>0.03</v>
      </c>
      <c r="H1702" s="74">
        <f t="shared" si="287"/>
        <v>4.33720239070303</v>
      </c>
      <c r="I1702" s="74">
        <f>+VLOOKUP(D1702,'材料表 '!C:F,3,0)</f>
        <v>19.4690265486726</v>
      </c>
      <c r="J1702" s="51">
        <f t="shared" si="288"/>
        <v>84.4411084915636</v>
      </c>
      <c r="K1702" s="43">
        <f ca="1">H1702*K1679</f>
        <v>37.06764</v>
      </c>
      <c r="L1702" s="69" t="s">
        <v>465</v>
      </c>
      <c r="M1702" s="91"/>
      <c r="N1702" s="82">
        <f>(0.058+0.04*2)*5*7.85</f>
        <v>5.4165</v>
      </c>
      <c r="O1702" s="44">
        <v>0</v>
      </c>
      <c r="P1702" s="44">
        <v>1</v>
      </c>
      <c r="Q1702" s="44">
        <f t="shared" si="286"/>
        <v>0</v>
      </c>
      <c r="R1702" s="84">
        <f>+Q1702/R1680</f>
        <v>0</v>
      </c>
      <c r="S1702" s="47"/>
      <c r="T1702" s="47"/>
    </row>
    <row r="1703" s="27" customFormat="1" ht="18" customHeight="1" spans="1:20">
      <c r="A1703" s="34"/>
      <c r="B1703" s="48">
        <v>11</v>
      </c>
      <c r="C1703" s="48"/>
      <c r="D1703" s="88" t="s">
        <v>463</v>
      </c>
      <c r="E1703" s="72" t="str">
        <f>+VLOOKUP(D1703,'材料表 '!C:F,2,0)</f>
        <v>kg</v>
      </c>
      <c r="F1703" s="77">
        <f t="shared" si="285"/>
        <v>2.11624957292159</v>
      </c>
      <c r="G1703" s="89">
        <f>+VLOOKUP(D1703,'材料表 '!C:F,4,0)</f>
        <v>0.03</v>
      </c>
      <c r="H1703" s="74">
        <f t="shared" si="287"/>
        <v>2.17973706010924</v>
      </c>
      <c r="I1703" s="74">
        <f>+VLOOKUP(D1703,'材料表 '!C:F,3,0)</f>
        <v>6.01769911504425</v>
      </c>
      <c r="J1703" s="51">
        <f t="shared" si="288"/>
        <v>13.1170017776485</v>
      </c>
      <c r="K1703" s="43">
        <f ca="1">H1703*K1679</f>
        <v>18.628992</v>
      </c>
      <c r="L1703" s="69" t="s">
        <v>461</v>
      </c>
      <c r="N1703" s="83"/>
      <c r="O1703" s="83"/>
      <c r="P1703" s="83"/>
      <c r="Q1703" s="83"/>
      <c r="R1703" s="84"/>
      <c r="S1703" s="47"/>
      <c r="T1703" s="47"/>
    </row>
    <row r="1704" s="27" customFormat="1" ht="18" customHeight="1" spans="1:20">
      <c r="A1704" s="34"/>
      <c r="B1704" s="48">
        <v>12</v>
      </c>
      <c r="C1704" s="48"/>
      <c r="D1704" s="88" t="s">
        <v>465</v>
      </c>
      <c r="E1704" s="72" t="str">
        <f>+VLOOKUP(D1704,'材料表 '!C:F,2,0)</f>
        <v>kg</v>
      </c>
      <c r="F1704" s="77">
        <f t="shared" si="285"/>
        <v>0.901708781668157</v>
      </c>
      <c r="G1704" s="89">
        <f>+VLOOKUP(D1704,'材料表 '!C:F,4,0)</f>
        <v>0.03</v>
      </c>
      <c r="H1704" s="74">
        <f t="shared" si="287"/>
        <v>0.928760045118202</v>
      </c>
      <c r="I1704" s="74">
        <f>+VLOOKUP(D1704,'材料表 '!C:F,3,0)</f>
        <v>6.01769911504425</v>
      </c>
      <c r="J1704" s="51">
        <f t="shared" si="288"/>
        <v>5.58899850159626</v>
      </c>
      <c r="K1704" s="43">
        <f ca="1">H1704*K1679</f>
        <v>7.937592</v>
      </c>
      <c r="L1704" s="90"/>
      <c r="M1704" s="44"/>
      <c r="N1704" s="82"/>
      <c r="O1704" s="44"/>
      <c r="P1704" s="44"/>
      <c r="Q1704" s="44"/>
      <c r="R1704" s="84"/>
      <c r="S1704" s="47"/>
      <c r="T1704" s="47"/>
    </row>
    <row r="1705" s="27" customFormat="1" ht="18" customHeight="1" spans="1:20">
      <c r="A1705" s="34"/>
      <c r="B1705" s="48">
        <v>13</v>
      </c>
      <c r="C1705" s="48"/>
      <c r="D1705" s="88" t="s">
        <v>474</v>
      </c>
      <c r="E1705" s="72" t="str">
        <f>+VLOOKUP(D1705,'材料表 '!C:F,2,0)</f>
        <v>套</v>
      </c>
      <c r="F1705" s="77">
        <f t="shared" si="285"/>
        <v>1.40409340029299</v>
      </c>
      <c r="G1705" s="89">
        <f>+VLOOKUP(D1705,'材料表 '!C:F,4,0)</f>
        <v>0</v>
      </c>
      <c r="H1705" s="74">
        <f t="shared" si="287"/>
        <v>1.40409340029299</v>
      </c>
      <c r="I1705" s="74">
        <f>+VLOOKUP(D1705,'材料表 '!C:F,3,0)</f>
        <v>2.21238938053097</v>
      </c>
      <c r="J1705" s="51">
        <f t="shared" si="288"/>
        <v>3.10640132808183</v>
      </c>
      <c r="K1705" s="43">
        <f ca="1">H1705*K1679</f>
        <v>12</v>
      </c>
      <c r="L1705" s="90"/>
      <c r="M1705" s="44"/>
      <c r="N1705" s="82"/>
      <c r="O1705" s="44"/>
      <c r="P1705" s="44"/>
      <c r="Q1705" s="44"/>
      <c r="R1705" s="84"/>
      <c r="S1705" s="47"/>
      <c r="T1705" s="47"/>
    </row>
    <row r="1706" s="27" customFormat="1" ht="18" customHeight="1" spans="1:20">
      <c r="A1706" s="34"/>
      <c r="B1706" s="48">
        <v>14</v>
      </c>
      <c r="C1706" s="48"/>
      <c r="D1706" s="88" t="s">
        <v>472</v>
      </c>
      <c r="E1706" s="72" t="str">
        <f>+VLOOKUP(D1706,'材料表 '!C:F,2,0)</f>
        <v>套</v>
      </c>
      <c r="F1706" s="77">
        <f t="shared" si="285"/>
        <v>0.702046700146494</v>
      </c>
      <c r="G1706" s="89">
        <f>+VLOOKUP(D1706,'材料表 '!C:F,4,0)</f>
        <v>0</v>
      </c>
      <c r="H1706" s="74">
        <f t="shared" si="287"/>
        <v>0.702046700146494</v>
      </c>
      <c r="I1706" s="74">
        <f>+VLOOKUP(D1706,'材料表 '!C:F,3,0)</f>
        <v>2.47787610619469</v>
      </c>
      <c r="J1706" s="51">
        <f t="shared" si="288"/>
        <v>1.73958474372583</v>
      </c>
      <c r="K1706" s="43">
        <f ca="1">H1706*K1679</f>
        <v>6</v>
      </c>
      <c r="L1706" s="90"/>
      <c r="M1706" s="44"/>
      <c r="N1706" s="82"/>
      <c r="O1706" s="44"/>
      <c r="P1706" s="44"/>
      <c r="Q1706" s="44"/>
      <c r="R1706" s="84"/>
      <c r="S1706" s="47"/>
      <c r="T1706" s="47"/>
    </row>
    <row r="1707" s="27" customFormat="1" ht="18" customHeight="1" spans="1:20">
      <c r="A1707" s="34"/>
      <c r="B1707" s="48">
        <v>15</v>
      </c>
      <c r="C1707" s="48"/>
      <c r="D1707" s="88" t="s">
        <v>476</v>
      </c>
      <c r="E1707" s="72" t="str">
        <f>+VLOOKUP(D1707,'材料表 '!C:F,2,0)</f>
        <v>支</v>
      </c>
      <c r="F1707" s="77">
        <f>8*8*(O1688*P1688*2)/500/R1680+16*8*(O1683*P1683+O1688*P1688)/500/R1680</f>
        <v>0.46919933914004</v>
      </c>
      <c r="G1707" s="89">
        <f>+VLOOKUP(D1707,'材料表 '!C:F,4,0)</f>
        <v>0.15</v>
      </c>
      <c r="H1707" s="74">
        <f t="shared" si="287"/>
        <v>0.539579240011046</v>
      </c>
      <c r="I1707" s="74">
        <f>+VLOOKUP(D1707,'材料表 '!C:F,3,0)</f>
        <v>11.5044247787611</v>
      </c>
      <c r="J1707" s="51">
        <f t="shared" si="288"/>
        <v>6.20754877888816</v>
      </c>
      <c r="K1707" s="43">
        <f ca="1">H1707*K1679</f>
        <v>4.6114816</v>
      </c>
      <c r="L1707" s="92"/>
      <c r="M1707" s="44"/>
      <c r="N1707" s="82"/>
      <c r="O1707" s="44"/>
      <c r="P1707" s="44"/>
      <c r="Q1707" s="44"/>
      <c r="R1707" s="84"/>
      <c r="S1707" s="47"/>
      <c r="T1707" s="47"/>
    </row>
    <row r="1708" s="27" customFormat="1" ht="18" customHeight="1" spans="1:20">
      <c r="A1708" s="34"/>
      <c r="B1708" s="48">
        <v>16</v>
      </c>
      <c r="C1708" s="48"/>
      <c r="D1708" s="88" t="s">
        <v>576</v>
      </c>
      <c r="E1708" s="72" t="str">
        <f>+VLOOKUP(D1708,'材料表 '!C:F,2,0)</f>
        <v>支</v>
      </c>
      <c r="F1708" s="77">
        <v>0</v>
      </c>
      <c r="G1708" s="89">
        <f>+VLOOKUP(D1708,'材料表 '!C:F,4,0)</f>
        <v>0.15</v>
      </c>
      <c r="H1708" s="74">
        <f t="shared" si="287"/>
        <v>0</v>
      </c>
      <c r="I1708" s="74">
        <f>+VLOOKUP(D1708,'材料表 '!C:F,3,0)</f>
        <v>14.1592920353982</v>
      </c>
      <c r="J1708" s="51">
        <f t="shared" si="288"/>
        <v>0</v>
      </c>
      <c r="K1708" s="43">
        <f ca="1">H1708*K1679</f>
        <v>0</v>
      </c>
      <c r="L1708" s="92"/>
      <c r="M1708" s="44"/>
      <c r="N1708" s="82"/>
      <c r="O1708" s="44"/>
      <c r="P1708" s="44"/>
      <c r="Q1708" s="44"/>
      <c r="R1708" s="84"/>
      <c r="S1708" s="47"/>
      <c r="T1708" s="47"/>
    </row>
    <row r="1709" s="27" customFormat="1" ht="18" customHeight="1" spans="1:20">
      <c r="A1709" s="34"/>
      <c r="B1709" s="48">
        <v>17</v>
      </c>
      <c r="C1709" s="48"/>
      <c r="D1709" s="88" t="s">
        <v>479</v>
      </c>
      <c r="E1709" s="72" t="str">
        <f>+VLOOKUP(D1709,'材料表 '!C:F,2,0)</f>
        <v>kg</v>
      </c>
      <c r="F1709" s="77">
        <v>0</v>
      </c>
      <c r="G1709" s="89">
        <f>+VLOOKUP(D1709,'材料表 '!C:F,4,0)</f>
        <v>0.03</v>
      </c>
      <c r="H1709" s="74">
        <f t="shared" si="287"/>
        <v>0</v>
      </c>
      <c r="I1709" s="74">
        <f>+VLOOKUP(D1709,'材料表 '!C:F,3,0)</f>
        <v>14.1592920353982</v>
      </c>
      <c r="J1709" s="51">
        <f t="shared" si="288"/>
        <v>0</v>
      </c>
      <c r="K1709" s="43">
        <f ca="1">H1709*K1679</f>
        <v>0</v>
      </c>
      <c r="L1709" s="92"/>
      <c r="M1709" s="44"/>
      <c r="N1709" s="82"/>
      <c r="O1709" s="44"/>
      <c r="P1709" s="44"/>
      <c r="Q1709" s="44"/>
      <c r="R1709" s="84"/>
      <c r="S1709" s="47"/>
      <c r="T1709" s="47"/>
    </row>
    <row r="1710" s="27" customFormat="1" ht="18" customHeight="1" spans="1:20">
      <c r="A1710" s="34"/>
      <c r="B1710" s="48">
        <v>18</v>
      </c>
      <c r="C1710" s="48"/>
      <c r="D1710" s="88" t="s">
        <v>500</v>
      </c>
      <c r="E1710" s="72" t="str">
        <f>+VLOOKUP(D1710,'材料表 '!C:F,2,0)</f>
        <v>kg</v>
      </c>
      <c r="F1710" s="77">
        <f>R1688+R1689+R1690+R1691+R1692+R1693</f>
        <v>3.78136403929589</v>
      </c>
      <c r="G1710" s="89">
        <f>+VLOOKUP(D1710,'材料表 '!C:F,4,0)</f>
        <v>0.03</v>
      </c>
      <c r="H1710" s="74">
        <f t="shared" si="287"/>
        <v>3.89480496047477</v>
      </c>
      <c r="I1710" s="74">
        <f>+VLOOKUP(D1710,'材料表 '!C:F,3,0)</f>
        <v>14.1592920353982</v>
      </c>
      <c r="J1710" s="51">
        <f t="shared" si="288"/>
        <v>55.1476808562798</v>
      </c>
      <c r="K1710" s="43">
        <f ca="1">H1710*K1679</f>
        <v>33.2867169064</v>
      </c>
      <c r="L1710" s="92"/>
      <c r="M1710" s="44"/>
      <c r="N1710" s="82"/>
      <c r="O1710" s="44"/>
      <c r="P1710" s="44"/>
      <c r="Q1710" s="44"/>
      <c r="R1710" s="84"/>
      <c r="S1710" s="47"/>
      <c r="T1710" s="47"/>
    </row>
    <row r="1711" s="27" customFormat="1" ht="35" customHeight="1" spans="1:20">
      <c r="A1711" s="34"/>
      <c r="B1711" s="48">
        <v>19</v>
      </c>
      <c r="C1711" s="48"/>
      <c r="D1711" s="88" t="s">
        <v>697</v>
      </c>
      <c r="E1711" s="72" t="str">
        <f>+VLOOKUP(D1711,'材料表 '!C:F,2,0)</f>
        <v>m2</v>
      </c>
      <c r="F1711" s="77">
        <v>1</v>
      </c>
      <c r="G1711" s="89">
        <f>+VLOOKUP(D1711,'材料表 '!C:F,4,0)</f>
        <v>0.01</v>
      </c>
      <c r="H1711" s="74">
        <f t="shared" si="287"/>
        <v>1.01</v>
      </c>
      <c r="I1711" s="74">
        <f>+VLOOKUP(D1711,'材料表 '!C:F,3,0)</f>
        <v>1211.50442477876</v>
      </c>
      <c r="J1711" s="51">
        <f t="shared" si="288"/>
        <v>1223.61946902655</v>
      </c>
      <c r="K1711" s="43">
        <f ca="1">H1711*K1679</f>
        <v>8.6319044</v>
      </c>
      <c r="L1711" s="90"/>
      <c r="M1711" s="44"/>
      <c r="N1711" s="82"/>
      <c r="O1711" s="44"/>
      <c r="P1711" s="44"/>
      <c r="Q1711" s="44"/>
      <c r="R1711" s="84"/>
      <c r="S1711" s="47"/>
      <c r="T1711" s="47"/>
    </row>
    <row r="1712" s="27" customFormat="1" ht="21" customHeight="1" spans="1:20">
      <c r="A1712" s="34"/>
      <c r="B1712" s="48">
        <v>20</v>
      </c>
      <c r="C1712" s="48"/>
      <c r="D1712" s="88" t="s">
        <v>1043</v>
      </c>
      <c r="E1712" s="72" t="str">
        <f>+VLOOKUP(D1712,'材料表 '!C:F,2,0)</f>
        <v>套</v>
      </c>
      <c r="F1712" s="77">
        <f>P1691/R1680</f>
        <v>0.468031133430996</v>
      </c>
      <c r="G1712" s="89">
        <f>+VLOOKUP(D1712,'材料表 '!C:F,4,0)</f>
        <v>0</v>
      </c>
      <c r="H1712" s="74">
        <f t="shared" si="287"/>
        <v>0.468031133430996</v>
      </c>
      <c r="I1712" s="74">
        <f>+VLOOKUP(D1712,'材料表 '!C:F,3,0)</f>
        <v>1.32743362831858</v>
      </c>
      <c r="J1712" s="51">
        <f t="shared" si="288"/>
        <v>0.621280265616364</v>
      </c>
      <c r="K1712" s="43">
        <f ca="1">H1712*K1679</f>
        <v>4</v>
      </c>
      <c r="L1712" s="90"/>
      <c r="M1712" s="44"/>
      <c r="N1712" s="82"/>
      <c r="O1712" s="44"/>
      <c r="P1712" s="44"/>
      <c r="Q1712" s="44"/>
      <c r="R1712" s="84"/>
      <c r="S1712" s="47"/>
      <c r="T1712" s="47"/>
    </row>
    <row r="1713" s="27" customFormat="1" ht="18" customHeight="1" spans="1:21">
      <c r="A1713" s="34"/>
      <c r="B1713" s="48">
        <v>21</v>
      </c>
      <c r="C1713" s="48"/>
      <c r="D1713" s="88"/>
      <c r="E1713" s="72"/>
      <c r="F1713" s="77"/>
      <c r="G1713" s="89"/>
      <c r="H1713" s="74"/>
      <c r="I1713" s="74"/>
      <c r="J1713" s="51"/>
      <c r="K1713" s="43">
        <f ca="1">H1713*K1679</f>
        <v>0</v>
      </c>
      <c r="L1713" s="92"/>
      <c r="M1713" s="44"/>
      <c r="N1713" s="82"/>
      <c r="O1713" s="44"/>
      <c r="P1713" s="44"/>
      <c r="Q1713" s="44"/>
      <c r="R1713" s="84"/>
      <c r="S1713" s="47"/>
      <c r="T1713" s="47"/>
    </row>
    <row r="1714" s="27" customFormat="1" ht="18" customHeight="1" spans="1:21">
      <c r="A1714" s="34"/>
      <c r="B1714" s="48">
        <v>22</v>
      </c>
      <c r="C1714" s="48"/>
      <c r="D1714" s="88"/>
      <c r="E1714" s="72"/>
      <c r="F1714" s="77"/>
      <c r="G1714" s="89"/>
      <c r="H1714" s="74"/>
      <c r="I1714" s="74"/>
      <c r="J1714" s="51"/>
      <c r="K1714" s="43">
        <f ca="1">H1714*K1679</f>
        <v>0</v>
      </c>
      <c r="L1714" s="92"/>
      <c r="M1714" s="44"/>
      <c r="N1714" s="44"/>
      <c r="O1714" s="44"/>
      <c r="P1714" s="44"/>
      <c r="Q1714" s="44"/>
      <c r="R1714" s="84"/>
      <c r="S1714" s="47"/>
      <c r="T1714" s="47"/>
    </row>
    <row r="1715" s="27" customFormat="1" ht="18" customHeight="1" spans="1:21">
      <c r="A1715" s="34"/>
      <c r="B1715" s="48">
        <v>23</v>
      </c>
      <c r="C1715" s="48"/>
      <c r="D1715" s="88"/>
      <c r="E1715" s="72"/>
      <c r="F1715" s="77"/>
      <c r="G1715" s="89"/>
      <c r="H1715" s="74"/>
      <c r="I1715" s="74"/>
      <c r="J1715" s="51"/>
      <c r="K1715" s="75">
        <f ca="1">H1715*K1679</f>
        <v>0</v>
      </c>
      <c r="L1715" s="92"/>
      <c r="M1715" s="44"/>
      <c r="N1715" s="44"/>
      <c r="O1715" s="44"/>
      <c r="P1715" s="44"/>
      <c r="Q1715" s="44"/>
      <c r="R1715" s="84"/>
      <c r="S1715" s="47"/>
      <c r="T1715" s="47"/>
    </row>
    <row r="1716" s="27" customFormat="1" ht="18" customHeight="1" spans="1:21">
      <c r="A1716" s="34"/>
      <c r="B1716" s="48">
        <v>24</v>
      </c>
      <c r="C1716" s="48"/>
      <c r="D1716" s="88"/>
      <c r="E1716" s="72"/>
      <c r="F1716" s="77"/>
      <c r="G1716" s="89"/>
      <c r="H1716" s="74"/>
      <c r="I1716" s="74"/>
      <c r="J1716" s="51"/>
      <c r="K1716" s="75">
        <f ca="1">H1716*K1679</f>
        <v>0</v>
      </c>
      <c r="L1716" s="92"/>
      <c r="M1716" s="44"/>
      <c r="N1716" s="44"/>
      <c r="O1716" s="44"/>
      <c r="P1716" s="44"/>
      <c r="Q1716" s="44"/>
      <c r="R1716" s="84"/>
      <c r="S1716" s="47"/>
      <c r="T1716" s="47"/>
    </row>
    <row r="1717" s="27" customFormat="1" ht="18" customHeight="1" spans="1:21">
      <c r="A1717" s="34"/>
      <c r="B1717" s="48">
        <v>25</v>
      </c>
      <c r="C1717" s="48"/>
      <c r="D1717" s="88"/>
      <c r="E1717" s="72"/>
      <c r="F1717" s="77"/>
      <c r="G1717" s="89"/>
      <c r="H1717" s="74"/>
      <c r="I1717" s="74"/>
      <c r="J1717" s="51"/>
      <c r="K1717" s="75"/>
      <c r="L1717" s="92"/>
      <c r="M1717" s="44"/>
      <c r="N1717" s="44"/>
      <c r="O1717" s="44"/>
      <c r="P1717" s="44"/>
      <c r="Q1717" s="44"/>
      <c r="R1717" s="84"/>
      <c r="S1717" s="47"/>
      <c r="T1717" s="47"/>
    </row>
    <row r="1718" s="27" customFormat="1" ht="18" customHeight="1" spans="1:21">
      <c r="A1718" s="34"/>
      <c r="B1718" s="48">
        <v>26</v>
      </c>
      <c r="C1718" s="48"/>
      <c r="D1718" s="88" t="s">
        <v>441</v>
      </c>
      <c r="E1718" s="72" t="s">
        <v>43</v>
      </c>
      <c r="F1718" s="77"/>
      <c r="G1718" s="72">
        <v>1</v>
      </c>
      <c r="H1718" s="74">
        <v>1</v>
      </c>
      <c r="I1718" s="74">
        <f>+辅材及安装费!$E$19</f>
        <v>10</v>
      </c>
      <c r="J1718" s="51">
        <f>H1718*I1718</f>
        <v>10</v>
      </c>
      <c r="K1718" s="75"/>
      <c r="L1718" s="92"/>
      <c r="M1718" s="44"/>
      <c r="N1718" s="44"/>
      <c r="O1718" s="44"/>
      <c r="P1718" s="44"/>
      <c r="Q1718" s="44"/>
      <c r="R1718" s="62"/>
      <c r="S1718" s="47"/>
      <c r="T1718" s="47"/>
    </row>
    <row r="1719" s="27" customFormat="1" ht="18" customHeight="1" spans="1:21">
      <c r="A1719" s="34"/>
      <c r="B1719" s="48">
        <v>27</v>
      </c>
      <c r="C1719" s="48"/>
      <c r="D1719" s="93" t="s">
        <v>442</v>
      </c>
      <c r="E1719" s="72"/>
      <c r="F1719" s="77"/>
      <c r="G1719" s="72"/>
      <c r="H1719" s="74"/>
      <c r="I1719" s="74"/>
      <c r="J1719" s="51">
        <f>SUM(J1693:J1718)</f>
        <v>1602.12346139501</v>
      </c>
      <c r="K1719" s="75"/>
      <c r="L1719" s="94"/>
      <c r="N1719" s="83"/>
      <c r="O1719" s="83"/>
      <c r="P1719" s="83"/>
      <c r="Q1719" s="83"/>
      <c r="R1719" s="87"/>
      <c r="S1719" s="47"/>
      <c r="T1719" s="47"/>
    </row>
    <row r="1720" s="27" customFormat="1" ht="18" customHeight="1" spans="1:21">
      <c r="A1720" s="34"/>
      <c r="B1720" s="48">
        <v>1</v>
      </c>
      <c r="C1720" s="48" t="s">
        <v>443</v>
      </c>
      <c r="D1720" s="48" t="s">
        <v>444</v>
      </c>
      <c r="E1720" s="72" t="s">
        <v>43</v>
      </c>
      <c r="F1720" s="50"/>
      <c r="G1720" s="48"/>
      <c r="H1720" s="51">
        <v>1</v>
      </c>
      <c r="I1720" s="74">
        <f>+辅材及安装费!$F$19</f>
        <v>5</v>
      </c>
      <c r="J1720" s="95">
        <f>H1720*I1720</f>
        <v>5</v>
      </c>
      <c r="K1720" s="60"/>
      <c r="L1720" s="96"/>
      <c r="M1720" s="97"/>
      <c r="N1720" s="98"/>
      <c r="O1720" s="98"/>
      <c r="P1720" s="98"/>
      <c r="Q1720" s="98"/>
      <c r="R1720" s="99"/>
      <c r="S1720" s="47"/>
      <c r="T1720" s="47"/>
    </row>
    <row r="1721" s="26" customFormat="1" ht="25" customHeight="1" spans="1:21">
      <c r="A1721" s="28"/>
      <c r="B1721" s="29" t="s">
        <v>386</v>
      </c>
      <c r="C1721" s="29"/>
      <c r="D1721" s="29"/>
      <c r="E1721" s="29"/>
      <c r="F1721" s="29"/>
      <c r="G1721" s="29"/>
      <c r="H1721" s="29"/>
      <c r="I1721" s="29"/>
      <c r="J1721" s="29"/>
      <c r="K1721" s="29"/>
      <c r="L1721" s="30"/>
      <c r="M1721" s="31"/>
      <c r="N1721" s="31"/>
      <c r="O1721" s="31"/>
      <c r="P1721" s="31"/>
      <c r="Q1721" s="31"/>
      <c r="R1721" s="32"/>
      <c r="S1721" s="33"/>
      <c r="T1721" s="33"/>
    </row>
    <row r="1722" s="27" customFormat="1" ht="51" customHeight="1" spans="1:21">
      <c r="A1722" s="34">
        <v>1</v>
      </c>
      <c r="B1722" s="35" t="s">
        <v>1</v>
      </c>
      <c r="C1722" s="35" t="s">
        <v>387</v>
      </c>
      <c r="D1722" s="36" t="str">
        <f>+A1730</f>
        <v>地弹门（6Low-E(双银)+12A+6㎜全超白钢化中空玻璃）</v>
      </c>
      <c r="E1722" s="37"/>
      <c r="F1722" s="38" t="s">
        <v>225</v>
      </c>
      <c r="G1722" s="39"/>
      <c r="H1722" s="35" t="s">
        <v>388</v>
      </c>
      <c r="I1722" s="40" t="s">
        <v>389</v>
      </c>
      <c r="J1722" s="41" t="s">
        <v>37</v>
      </c>
      <c r="K1722" s="42">
        <f ca="1">VLOOKUP(A1722,'商业工程量清单 '!$A$45:$D$46,4,FALSE)</f>
        <v>138.492</v>
      </c>
      <c r="L1722" s="43"/>
      <c r="M1722" s="44"/>
      <c r="N1722" s="44"/>
      <c r="O1722" s="44"/>
      <c r="P1722" s="45"/>
      <c r="Q1722" s="44"/>
      <c r="R1722" s="46"/>
      <c r="S1722" s="47"/>
      <c r="T1722" s="47"/>
    </row>
    <row r="1723" s="27" customFormat="1" ht="25" customHeight="1" spans="1:21">
      <c r="A1723" s="34"/>
      <c r="B1723" s="48">
        <v>1</v>
      </c>
      <c r="C1723" s="49" t="s">
        <v>390</v>
      </c>
      <c r="D1723" s="48" t="s">
        <v>391</v>
      </c>
      <c r="E1723" s="48"/>
      <c r="F1723" s="50"/>
      <c r="G1723" s="48"/>
      <c r="H1723" s="51"/>
      <c r="I1723" s="52">
        <f>J1735</f>
        <v>170</v>
      </c>
      <c r="J1723" s="53" t="s">
        <v>392</v>
      </c>
      <c r="K1723" s="54"/>
      <c r="L1723" s="55" t="s">
        <v>1036</v>
      </c>
      <c r="M1723" s="56" t="s">
        <v>1006</v>
      </c>
      <c r="N1723" s="57"/>
      <c r="O1723" s="57">
        <v>1.8</v>
      </c>
      <c r="P1723" s="57">
        <v>2.5</v>
      </c>
      <c r="Q1723" s="57">
        <v>1</v>
      </c>
      <c r="R1723" s="58">
        <f>+Q1723*P1723*O1723</f>
        <v>4.5</v>
      </c>
      <c r="S1723" s="47"/>
      <c r="T1723" s="47"/>
    </row>
    <row r="1724" s="27" customFormat="1" ht="18" customHeight="1" spans="1:21">
      <c r="A1724" s="34"/>
      <c r="B1724" s="48">
        <v>2</v>
      </c>
      <c r="C1724" s="59"/>
      <c r="D1724" s="48" t="s">
        <v>394</v>
      </c>
      <c r="E1724" s="48"/>
      <c r="F1724" s="50"/>
      <c r="G1724" s="48"/>
      <c r="H1724" s="51"/>
      <c r="I1724" s="52">
        <f>J1762</f>
        <v>789.87072510682</v>
      </c>
      <c r="J1724" s="53" t="s">
        <v>392</v>
      </c>
      <c r="K1724" s="60"/>
      <c r="L1724" s="61"/>
      <c r="M1724" s="44"/>
      <c r="N1724" s="44"/>
      <c r="O1724" s="44"/>
      <c r="P1724" s="44"/>
      <c r="Q1724" s="44"/>
      <c r="R1724" s="62"/>
      <c r="S1724" s="47"/>
      <c r="T1724" s="47"/>
    </row>
    <row r="1725" s="27" customFormat="1" ht="18" customHeight="1" spans="1:21">
      <c r="A1725" s="34"/>
      <c r="B1725" s="48">
        <v>3</v>
      </c>
      <c r="C1725" s="63"/>
      <c r="D1725" s="48" t="s">
        <v>395</v>
      </c>
      <c r="E1725" s="48"/>
      <c r="F1725" s="50"/>
      <c r="G1725" s="48"/>
      <c r="H1725" s="51"/>
      <c r="I1725" s="52">
        <f>J1763</f>
        <v>5</v>
      </c>
      <c r="J1725" s="53" t="s">
        <v>392</v>
      </c>
      <c r="K1725" s="60"/>
      <c r="L1725" s="60"/>
      <c r="M1725" s="64" t="s">
        <v>396</v>
      </c>
      <c r="N1725" s="65" t="s">
        <v>397</v>
      </c>
      <c r="O1725" s="65" t="s">
        <v>398</v>
      </c>
      <c r="P1725" s="65" t="s">
        <v>399</v>
      </c>
      <c r="Q1725" s="65" t="s">
        <v>400</v>
      </c>
      <c r="R1725" s="66" t="s">
        <v>401</v>
      </c>
      <c r="S1725" s="47"/>
      <c r="T1725" s="47"/>
    </row>
    <row r="1726" s="27" customFormat="1" ht="18" customHeight="1" spans="1:21">
      <c r="A1726" s="34"/>
      <c r="B1726" s="48">
        <v>4</v>
      </c>
      <c r="C1726" s="48" t="s">
        <v>402</v>
      </c>
      <c r="D1726" s="67" t="s">
        <v>403</v>
      </c>
      <c r="E1726" s="67"/>
      <c r="F1726" s="50"/>
      <c r="G1726" s="67"/>
      <c r="H1726" s="68"/>
      <c r="I1726" s="52">
        <f>SUM(I1723:I1725)</f>
        <v>964.87072510682</v>
      </c>
      <c r="J1726" s="53" t="s">
        <v>392</v>
      </c>
      <c r="K1726" s="60"/>
      <c r="L1726" s="69" t="s">
        <v>427</v>
      </c>
      <c r="M1726" s="70" t="s">
        <v>1007</v>
      </c>
      <c r="N1726" s="34">
        <v>3.111</v>
      </c>
      <c r="O1726" s="34">
        <f>P1723</f>
        <v>2.5</v>
      </c>
      <c r="P1726" s="34">
        <v>1</v>
      </c>
      <c r="Q1726" s="44">
        <f t="shared" ref="Q1726:Q1735" si="289">+P1726*O1726*N1726</f>
        <v>7.7775</v>
      </c>
      <c r="R1726" s="71">
        <f>+Q1726/R1723</f>
        <v>1.72833333333333</v>
      </c>
      <c r="S1726" s="47"/>
      <c r="T1726" s="47"/>
    </row>
    <row r="1727" s="27" customFormat="1" ht="28" customHeight="1" spans="1:21">
      <c r="A1727" s="34"/>
      <c r="B1727" s="48">
        <v>5</v>
      </c>
      <c r="C1727" s="72" t="s">
        <v>406</v>
      </c>
      <c r="D1727" s="48" t="s">
        <v>407</v>
      </c>
      <c r="E1727" s="48"/>
      <c r="F1727" s="50"/>
      <c r="G1727" s="48"/>
      <c r="H1727" s="73">
        <f>+'材料表 '!$E$178</f>
        <v>0</v>
      </c>
      <c r="I1727" s="52">
        <f>H1727*I1726</f>
        <v>0</v>
      </c>
      <c r="J1727" s="53" t="s">
        <v>392</v>
      </c>
      <c r="K1727" s="60"/>
      <c r="L1727" s="69" t="s">
        <v>429</v>
      </c>
      <c r="M1727" s="70" t="s">
        <v>1037</v>
      </c>
      <c r="N1727" s="34">
        <v>3.063</v>
      </c>
      <c r="O1727" s="100">
        <f>O1726/0.3*0.1</f>
        <v>0.833333333333333</v>
      </c>
      <c r="P1727" s="34">
        <f>P1726</f>
        <v>1</v>
      </c>
      <c r="Q1727" s="44">
        <f t="shared" si="289"/>
        <v>2.5525</v>
      </c>
      <c r="R1727" s="71">
        <f>+Q1727/R1723</f>
        <v>0.567222222222222</v>
      </c>
      <c r="S1727" s="47"/>
      <c r="T1727" s="47"/>
    </row>
    <row r="1728" s="27" customFormat="1" ht="18" customHeight="1" spans="1:21">
      <c r="A1728" s="34"/>
      <c r="B1728" s="48">
        <v>6</v>
      </c>
      <c r="C1728" s="48" t="s">
        <v>409</v>
      </c>
      <c r="D1728" s="48" t="s">
        <v>410</v>
      </c>
      <c r="E1728" s="48"/>
      <c r="F1728" s="50"/>
      <c r="G1728" s="48"/>
      <c r="H1728" s="73">
        <f>+'材料表 '!$E$179</f>
        <v>0</v>
      </c>
      <c r="I1728" s="52">
        <f>H1728*I1726</f>
        <v>0</v>
      </c>
      <c r="J1728" s="74" t="s">
        <v>392</v>
      </c>
      <c r="K1728" s="75"/>
      <c r="L1728" s="69" t="s">
        <v>447</v>
      </c>
      <c r="M1728" s="70" t="s">
        <v>1038</v>
      </c>
      <c r="N1728" s="34">
        <f>1.041+0.104</f>
        <v>1.145</v>
      </c>
      <c r="O1728" s="34">
        <f>O1726</f>
        <v>2.5</v>
      </c>
      <c r="P1728" s="34">
        <f>P1726</f>
        <v>1</v>
      </c>
      <c r="Q1728" s="44">
        <f t="shared" si="289"/>
        <v>2.8625</v>
      </c>
      <c r="R1728" s="71">
        <f>+Q1728/R1723</f>
        <v>0.636111111111111</v>
      </c>
      <c r="S1728" s="47">
        <v>0.172</v>
      </c>
      <c r="T1728" s="47">
        <f>O1728*P1728*S1728</f>
        <v>0.43</v>
      </c>
      <c r="U1728" s="76">
        <f>T1728/R1723</f>
        <v>0.0955555555555555</v>
      </c>
    </row>
    <row r="1729" s="27" customFormat="1" ht="18" customHeight="1" spans="1:21">
      <c r="A1729" s="34"/>
      <c r="B1729" s="48">
        <v>7</v>
      </c>
      <c r="C1729" s="48" t="s">
        <v>412</v>
      </c>
      <c r="D1729" s="72" t="s">
        <v>413</v>
      </c>
      <c r="E1729" s="72"/>
      <c r="F1729" s="77"/>
      <c r="G1729" s="72"/>
      <c r="H1729" s="73">
        <f>+'材料表 '!$E$180</f>
        <v>0.09</v>
      </c>
      <c r="I1729" s="52">
        <f>(I1726+I1727+I1728)*H1729</f>
        <v>86.8383652596138</v>
      </c>
      <c r="J1729" s="74" t="s">
        <v>392</v>
      </c>
      <c r="K1729" s="75"/>
      <c r="L1729" s="69" t="s">
        <v>429</v>
      </c>
      <c r="M1729" s="70" t="s">
        <v>1010</v>
      </c>
      <c r="N1729" s="102">
        <f>2.9</f>
        <v>2.9</v>
      </c>
      <c r="O1729" s="34">
        <v>0.2</v>
      </c>
      <c r="P1729" s="34">
        <f>P1726</f>
        <v>1</v>
      </c>
      <c r="Q1729" s="44">
        <f t="shared" si="289"/>
        <v>0.58</v>
      </c>
      <c r="R1729" s="71">
        <f>+Q1729/R1723</f>
        <v>0.128888888888889</v>
      </c>
      <c r="S1729" s="47"/>
      <c r="T1729" s="47"/>
    </row>
    <row r="1730" s="27" customFormat="1" ht="18" customHeight="1" spans="1:21">
      <c r="A1730" s="78" t="s">
        <v>285</v>
      </c>
      <c r="B1730" s="48">
        <v>8</v>
      </c>
      <c r="C1730" s="48" t="s">
        <v>363</v>
      </c>
      <c r="D1730" s="72" t="s">
        <v>415</v>
      </c>
      <c r="E1730" s="72"/>
      <c r="F1730" s="77"/>
      <c r="G1730" s="72"/>
      <c r="H1730" s="51"/>
      <c r="I1730" s="74">
        <f>SUM(I1726:I1729)</f>
        <v>1051.70909036643</v>
      </c>
      <c r="J1730" s="74" t="s">
        <v>416</v>
      </c>
      <c r="K1730" s="75"/>
      <c r="L1730" s="69" t="s">
        <v>429</v>
      </c>
      <c r="M1730" s="70" t="s">
        <v>1040</v>
      </c>
      <c r="N1730" s="34">
        <v>0.733</v>
      </c>
      <c r="O1730" s="100">
        <f>O1727*2</f>
        <v>1.66666666666667</v>
      </c>
      <c r="P1730" s="34">
        <f>P1726</f>
        <v>1</v>
      </c>
      <c r="Q1730" s="44">
        <f t="shared" si="289"/>
        <v>1.22166666666667</v>
      </c>
      <c r="R1730" s="71">
        <f>+Q1730/R1723</f>
        <v>0.271481481481482</v>
      </c>
      <c r="S1730" s="79"/>
      <c r="T1730" s="47"/>
    </row>
    <row r="1731" s="27" customFormat="1" ht="18" customHeight="1" spans="1:21">
      <c r="A1731" s="34"/>
      <c r="B1731" s="48" t="s">
        <v>418</v>
      </c>
      <c r="C1731" s="48"/>
      <c r="D1731" s="48"/>
      <c r="E1731" s="48"/>
      <c r="F1731" s="48"/>
      <c r="G1731" s="48"/>
      <c r="H1731" s="48"/>
      <c r="I1731" s="48"/>
      <c r="J1731" s="48"/>
      <c r="K1731" s="80"/>
      <c r="L1731" s="69" t="s">
        <v>404</v>
      </c>
      <c r="M1731" s="70" t="s">
        <v>1041</v>
      </c>
      <c r="N1731" s="34">
        <v>3.727</v>
      </c>
      <c r="O1731" s="34">
        <f>O1723</f>
        <v>1.8</v>
      </c>
      <c r="P1731" s="34">
        <v>1</v>
      </c>
      <c r="Q1731" s="44">
        <f t="shared" si="289"/>
        <v>6.7086</v>
      </c>
      <c r="R1731" s="71">
        <f>+Q1731/R1723</f>
        <v>1.4908</v>
      </c>
      <c r="S1731" s="47"/>
      <c r="T1731" s="47"/>
      <c r="U1731" s="76"/>
    </row>
    <row r="1732" s="27" customFormat="1" ht="18" customHeight="1" spans="1:21">
      <c r="A1732" s="34"/>
      <c r="B1732" s="48">
        <v>1</v>
      </c>
      <c r="C1732" s="48" t="s">
        <v>391</v>
      </c>
      <c r="D1732" s="48" t="s">
        <v>396</v>
      </c>
      <c r="E1732" s="48" t="s">
        <v>37</v>
      </c>
      <c r="F1732" s="50"/>
      <c r="G1732" s="48"/>
      <c r="H1732" s="51" t="s">
        <v>399</v>
      </c>
      <c r="I1732" s="51" t="s">
        <v>420</v>
      </c>
      <c r="J1732" s="51" t="s">
        <v>421</v>
      </c>
      <c r="K1732" s="43"/>
      <c r="L1732" s="69" t="s">
        <v>429</v>
      </c>
      <c r="M1732" s="81" t="s">
        <v>1027</v>
      </c>
      <c r="N1732" s="82">
        <v>0.735</v>
      </c>
      <c r="O1732" s="34">
        <f>O1731</f>
        <v>1.8</v>
      </c>
      <c r="P1732" s="34">
        <v>1</v>
      </c>
      <c r="Q1732" s="44">
        <f t="shared" si="289"/>
        <v>1.323</v>
      </c>
      <c r="R1732" s="71">
        <f>+Q1732/R1723</f>
        <v>0.294</v>
      </c>
      <c r="S1732" s="47"/>
      <c r="T1732" s="47"/>
    </row>
    <row r="1733" s="27" customFormat="1" ht="18" customHeight="1" spans="1:21">
      <c r="A1733" s="34"/>
      <c r="B1733" s="48">
        <v>2</v>
      </c>
      <c r="C1733" s="48"/>
      <c r="D1733" s="48" t="s">
        <v>967</v>
      </c>
      <c r="E1733" s="72" t="s">
        <v>423</v>
      </c>
      <c r="F1733" s="50"/>
      <c r="G1733" s="48"/>
      <c r="H1733" s="51">
        <v>1</v>
      </c>
      <c r="I1733" s="51">
        <f>+辅材及安装费!$G$19</f>
        <v>170</v>
      </c>
      <c r="J1733" s="51">
        <f t="shared" ref="J1733:J1741" si="290">H1733*I1733</f>
        <v>170</v>
      </c>
      <c r="K1733" s="43"/>
      <c r="L1733" s="69" t="s">
        <v>447</v>
      </c>
      <c r="M1733" s="70" t="s">
        <v>1038</v>
      </c>
      <c r="N1733" s="83">
        <v>0.977</v>
      </c>
      <c r="O1733" s="34">
        <f>O1731</f>
        <v>1.8</v>
      </c>
      <c r="P1733" s="34">
        <v>1</v>
      </c>
      <c r="Q1733" s="44">
        <f t="shared" si="289"/>
        <v>1.7586</v>
      </c>
      <c r="R1733" s="84">
        <f>+Q1733/R1723</f>
        <v>0.3908</v>
      </c>
      <c r="S1733" s="47">
        <v>0.185</v>
      </c>
      <c r="T1733" s="47">
        <f>O1733*P1733*S1733</f>
        <v>0.333</v>
      </c>
      <c r="U1733" s="27">
        <f>T1733/R1723</f>
        <v>0.074</v>
      </c>
    </row>
    <row r="1734" s="27" customFormat="1" ht="18" customHeight="1" spans="1:21">
      <c r="A1734" s="34"/>
      <c r="B1734" s="48">
        <v>3</v>
      </c>
      <c r="C1734" s="48"/>
      <c r="D1734" s="48"/>
      <c r="E1734" s="72"/>
      <c r="F1734" s="50"/>
      <c r="G1734" s="48"/>
      <c r="H1734" s="51"/>
      <c r="I1734" s="51"/>
      <c r="J1734" s="51"/>
      <c r="K1734" s="43"/>
      <c r="L1734" s="69" t="s">
        <v>429</v>
      </c>
      <c r="M1734" s="81" t="s">
        <v>1042</v>
      </c>
      <c r="N1734" s="82">
        <v>0.687</v>
      </c>
      <c r="O1734" s="44">
        <f>0.1</f>
        <v>0.1</v>
      </c>
      <c r="P1734" s="34">
        <f>1*2</f>
        <v>2</v>
      </c>
      <c r="Q1734" s="44">
        <f t="shared" si="289"/>
        <v>0.1374</v>
      </c>
      <c r="R1734" s="84">
        <f>+Q1734/R1723</f>
        <v>0.0305333333333333</v>
      </c>
      <c r="S1734" s="47"/>
      <c r="T1734" s="47"/>
    </row>
    <row r="1735" s="27" customFormat="1" ht="18" customHeight="1" spans="1:21">
      <c r="A1735" s="34"/>
      <c r="B1735" s="48">
        <v>4</v>
      </c>
      <c r="C1735" s="48"/>
      <c r="D1735" s="85" t="s">
        <v>426</v>
      </c>
      <c r="E1735" s="48" t="s">
        <v>392</v>
      </c>
      <c r="F1735" s="50"/>
      <c r="G1735" s="48"/>
      <c r="H1735" s="86"/>
      <c r="I1735" s="86"/>
      <c r="J1735" s="51">
        <f>SUM(J1733:J1733)</f>
        <v>170</v>
      </c>
      <c r="K1735" s="75"/>
      <c r="L1735" s="69" t="s">
        <v>404</v>
      </c>
      <c r="M1735" s="70" t="s">
        <v>1055</v>
      </c>
      <c r="N1735" s="83">
        <v>1</v>
      </c>
      <c r="O1735" s="83">
        <f>-1.8*2+2.5*4</f>
        <v>6.4</v>
      </c>
      <c r="P1735" s="34">
        <v>1</v>
      </c>
      <c r="Q1735" s="44">
        <f t="shared" si="289"/>
        <v>6.4</v>
      </c>
      <c r="R1735" s="104">
        <f>Q1735/R1723</f>
        <v>1.42222222222222</v>
      </c>
      <c r="S1735" s="47"/>
      <c r="T1735" s="47"/>
    </row>
    <row r="1736" s="27" customFormat="1" ht="23" customHeight="1" spans="1:21">
      <c r="A1736" s="34"/>
      <c r="B1736" s="48">
        <v>1</v>
      </c>
      <c r="C1736" s="48" t="s">
        <v>394</v>
      </c>
      <c r="D1736" s="88" t="s">
        <v>427</v>
      </c>
      <c r="E1736" s="72" t="str">
        <f>+VLOOKUP(D1736,'材料表 '!C:F,2,0)</f>
        <v>kg</v>
      </c>
      <c r="F1736" s="77">
        <f t="shared" ref="F1736:F1740" si="291">+SUMIF($L$906:$L$946,D1736,$R$906:$R$946)</f>
        <v>1.69629225736096</v>
      </c>
      <c r="G1736" s="89">
        <f>+VLOOKUP(D1736,'材料表 '!C:F,4,0)</f>
        <v>0.03</v>
      </c>
      <c r="H1736" s="74">
        <f t="shared" ref="H1736:H1741" si="292">F1736*(G1736+1)</f>
        <v>1.74718102508179</v>
      </c>
      <c r="I1736" s="74">
        <f>+VLOOKUP(D1736,'材料表 '!C:F,3,0)</f>
        <v>25.8495575221239</v>
      </c>
      <c r="J1736" s="51">
        <f t="shared" si="290"/>
        <v>45.1638564094151</v>
      </c>
      <c r="K1736" s="75">
        <f ca="1">H1736*K1722</f>
        <v>241.970594525627</v>
      </c>
      <c r="L1736" s="69"/>
      <c r="M1736" s="70"/>
      <c r="N1736" s="83"/>
      <c r="O1736" s="83"/>
      <c r="P1736" s="34">
        <v>1</v>
      </c>
      <c r="Q1736" s="83"/>
      <c r="R1736" s="87"/>
      <c r="S1736" s="47"/>
      <c r="T1736" s="47"/>
    </row>
    <row r="1737" s="27" customFormat="1" ht="18" customHeight="1" spans="1:21">
      <c r="A1737" s="34"/>
      <c r="B1737" s="48">
        <v>2</v>
      </c>
      <c r="C1737" s="48"/>
      <c r="D1737" s="88" t="s">
        <v>404</v>
      </c>
      <c r="E1737" s="72" t="str">
        <f>+VLOOKUP(D1737,'材料表 '!C:F,2,0)</f>
        <v>kg</v>
      </c>
      <c r="F1737" s="77">
        <f t="shared" si="291"/>
        <v>1.4908</v>
      </c>
      <c r="G1737" s="89">
        <f>+VLOOKUP(D1737,'材料表 '!C:F,4,0)</f>
        <v>0.03</v>
      </c>
      <c r="H1737" s="74">
        <f t="shared" si="292"/>
        <v>1.535524</v>
      </c>
      <c r="I1737" s="74">
        <f>+VLOOKUP(D1737,'材料表 '!C:F,3,0)</f>
        <v>25.6725663716814</v>
      </c>
      <c r="J1737" s="51">
        <f t="shared" si="290"/>
        <v>39.4208418053097</v>
      </c>
      <c r="K1737" s="75">
        <f ca="1">H1737*K1722</f>
        <v>212.657789808</v>
      </c>
      <c r="L1737" s="69"/>
      <c r="M1737" s="70"/>
      <c r="N1737" s="83"/>
      <c r="O1737" s="83"/>
      <c r="P1737" s="83"/>
      <c r="Q1737" s="83"/>
      <c r="R1737" s="87"/>
      <c r="S1737" s="47"/>
      <c r="T1737" s="47"/>
    </row>
    <row r="1738" s="27" customFormat="1" ht="18" customHeight="1" spans="1:21">
      <c r="A1738" s="34"/>
      <c r="B1738" s="48">
        <v>3</v>
      </c>
      <c r="C1738" s="48"/>
      <c r="D1738" s="88" t="s">
        <v>433</v>
      </c>
      <c r="E1738" s="72" t="str">
        <f>+VLOOKUP(D1738,'材料表 '!C:F,2,0)</f>
        <v>kg</v>
      </c>
      <c r="F1738" s="77">
        <f t="shared" si="291"/>
        <v>0</v>
      </c>
      <c r="G1738" s="89">
        <f>+VLOOKUP(D1738,'材料表 '!C:F,4,0)</f>
        <v>0.03</v>
      </c>
      <c r="H1738" s="74">
        <f t="shared" si="292"/>
        <v>0</v>
      </c>
      <c r="I1738" s="74">
        <f>+VLOOKUP(D1738,'材料表 '!C:F,3,0)</f>
        <v>26.1150442477876</v>
      </c>
      <c r="J1738" s="51">
        <f t="shared" si="290"/>
        <v>0</v>
      </c>
      <c r="K1738" s="75">
        <f ca="1">H1738*K1722</f>
        <v>0</v>
      </c>
      <c r="L1738" s="69"/>
      <c r="N1738" s="83"/>
      <c r="O1738" s="83"/>
      <c r="P1738" s="83"/>
      <c r="Q1738" s="83"/>
      <c r="R1738" s="87"/>
      <c r="S1738" s="47"/>
      <c r="T1738" s="47"/>
    </row>
    <row r="1739" s="27" customFormat="1" ht="18" customHeight="1" spans="1:21">
      <c r="A1739" s="34"/>
      <c r="B1739" s="48">
        <v>4</v>
      </c>
      <c r="C1739" s="48"/>
      <c r="D1739" s="88" t="s">
        <v>429</v>
      </c>
      <c r="E1739" s="72" t="str">
        <f>+VLOOKUP(D1739,'材料表 '!C:F,2,0)</f>
        <v>kg</v>
      </c>
      <c r="F1739" s="77">
        <f t="shared" si="291"/>
        <v>1.27362195565249</v>
      </c>
      <c r="G1739" s="89">
        <f>+VLOOKUP(D1739,'材料表 '!C:F,4,0)</f>
        <v>0.03</v>
      </c>
      <c r="H1739" s="74">
        <f t="shared" si="292"/>
        <v>1.31183061432206</v>
      </c>
      <c r="I1739" s="74">
        <f>+VLOOKUP(D1739,'材料表 '!C:F,3,0)</f>
        <v>26.1150442477876</v>
      </c>
      <c r="J1739" s="51">
        <f t="shared" si="290"/>
        <v>34.2585145386231</v>
      </c>
      <c r="K1739" s="75">
        <f ca="1">H1739*K1722</f>
        <v>181.678045438691</v>
      </c>
      <c r="L1739" s="90" t="s">
        <v>707</v>
      </c>
      <c r="M1739" s="44"/>
      <c r="N1739" s="82"/>
      <c r="O1739" s="44">
        <f>O1731*P1731</f>
        <v>1.8</v>
      </c>
      <c r="P1739" s="44">
        <v>1</v>
      </c>
      <c r="Q1739" s="44">
        <f>+P1739*O1739</f>
        <v>1.8</v>
      </c>
      <c r="R1739" s="84">
        <f>+Q1739/R1723</f>
        <v>0.4</v>
      </c>
      <c r="S1739" s="47"/>
      <c r="T1739" s="47"/>
    </row>
    <row r="1740" s="27" customFormat="1" ht="18" customHeight="1" spans="1:21">
      <c r="A1740" s="34"/>
      <c r="B1740" s="48">
        <v>5</v>
      </c>
      <c r="C1740" s="48"/>
      <c r="D1740" s="88" t="s">
        <v>447</v>
      </c>
      <c r="E1740" s="72" t="str">
        <f>+VLOOKUP(D1740,'材料表 '!C:F,2,0)</f>
        <v>kg</v>
      </c>
      <c r="F1740" s="77">
        <f t="shared" si="291"/>
        <v>1.01511842966194</v>
      </c>
      <c r="G1740" s="89">
        <f>+VLOOKUP(D1740,'材料表 '!C:F,4,0)</f>
        <v>0.03</v>
      </c>
      <c r="H1740" s="74">
        <f t="shared" si="292"/>
        <v>1.0455719825518</v>
      </c>
      <c r="I1740" s="74">
        <f>+VLOOKUP(D1740,'材料表 '!C:F,3,0)</f>
        <v>24.4336283185841</v>
      </c>
      <c r="J1740" s="51">
        <f t="shared" si="290"/>
        <v>25.5471172019957</v>
      </c>
      <c r="K1740" s="43">
        <f ca="1">H1740*K1722</f>
        <v>144.803355007564</v>
      </c>
      <c r="L1740" s="90" t="s">
        <v>435</v>
      </c>
      <c r="M1740" s="44"/>
      <c r="N1740" s="82">
        <f>0.073*1.2</f>
        <v>0.0876</v>
      </c>
      <c r="O1740" s="44">
        <f>O1726*P1726*3+O1731*P1731*4</f>
        <v>14.7</v>
      </c>
      <c r="P1740" s="44">
        <v>1</v>
      </c>
      <c r="Q1740" s="44">
        <f>+P1740*O1740</f>
        <v>14.7</v>
      </c>
      <c r="R1740" s="84">
        <f>+Q1740/R1723</f>
        <v>3.26666666666667</v>
      </c>
      <c r="S1740" s="47"/>
      <c r="T1740" s="47"/>
    </row>
    <row r="1741" s="27" customFormat="1" ht="18" customHeight="1" spans="1:21">
      <c r="A1741" s="34"/>
      <c r="B1741" s="48">
        <v>6</v>
      </c>
      <c r="C1741" s="48"/>
      <c r="D1741" s="88" t="s">
        <v>434</v>
      </c>
      <c r="E1741" s="72" t="str">
        <f>+VLOOKUP(D1741,'材料表 '!C:F,2,0)</f>
        <v>m2</v>
      </c>
      <c r="F1741" s="77">
        <f>U1728+U1733</f>
        <v>0.169555555555556</v>
      </c>
      <c r="G1741" s="89">
        <f>+VLOOKUP(D1741,'材料表 '!C:F,4,0)</f>
        <v>0</v>
      </c>
      <c r="H1741" s="74">
        <f t="shared" si="292"/>
        <v>0.169555555555556</v>
      </c>
      <c r="I1741" s="74">
        <f>+VLOOKUP(D1741,'材料表 '!C:F,3,0)</f>
        <v>49.5575221238938</v>
      </c>
      <c r="J1741" s="51">
        <f t="shared" si="290"/>
        <v>8.40275319567357</v>
      </c>
      <c r="K1741" s="43">
        <f ca="1">H1741*K1722</f>
        <v>23.4820880000001</v>
      </c>
      <c r="L1741" s="90" t="s">
        <v>463</v>
      </c>
      <c r="M1741" s="91" t="s">
        <v>1012</v>
      </c>
      <c r="N1741" s="82">
        <f>0.32*0.3*8*7.85</f>
        <v>6.0288</v>
      </c>
      <c r="O1741" s="44">
        <v>2</v>
      </c>
      <c r="P1741" s="44">
        <f>P1726</f>
        <v>1</v>
      </c>
      <c r="Q1741" s="44">
        <f t="shared" ref="Q1741:Q1745" si="293">+P1741*O1741*N1741</f>
        <v>12.0576</v>
      </c>
      <c r="R1741" s="84">
        <f>+Q1741/R1723</f>
        <v>2.67946666666667</v>
      </c>
      <c r="S1741" s="47"/>
      <c r="T1741" s="47"/>
    </row>
    <row r="1742" s="27" customFormat="1" ht="18" customHeight="1" spans="1:21">
      <c r="A1742" s="34"/>
      <c r="B1742" s="48">
        <v>7</v>
      </c>
      <c r="C1742" s="48"/>
      <c r="D1742" s="88"/>
      <c r="E1742" s="72"/>
      <c r="F1742" s="77">
        <f t="shared" ref="F1742:F1749" si="294">+SUMIF($L$906:$L$946,D1742,$R$906:$R$946)</f>
        <v>0</v>
      </c>
      <c r="G1742" s="89"/>
      <c r="H1742" s="74"/>
      <c r="I1742" s="74"/>
      <c r="J1742" s="51"/>
      <c r="K1742" s="43">
        <f ca="1">H1742*K1722</f>
        <v>0</v>
      </c>
      <c r="L1742" s="69" t="s">
        <v>465</v>
      </c>
      <c r="M1742" s="81" t="s">
        <v>1013</v>
      </c>
      <c r="N1742" s="34">
        <v>9.88</v>
      </c>
      <c r="O1742" s="34">
        <f>0.13</f>
        <v>0.13</v>
      </c>
      <c r="P1742" s="34">
        <f>4*P1741*O1741</f>
        <v>8</v>
      </c>
      <c r="Q1742" s="44">
        <f t="shared" si="293"/>
        <v>10.2752</v>
      </c>
      <c r="R1742" s="84">
        <f>Q1742/R1723</f>
        <v>2.28337777777778</v>
      </c>
      <c r="S1742" s="47"/>
      <c r="T1742" s="47"/>
    </row>
    <row r="1743" s="27" customFormat="1" ht="18" customHeight="1" spans="1:21">
      <c r="A1743" s="34"/>
      <c r="B1743" s="48">
        <v>8</v>
      </c>
      <c r="C1743" s="48"/>
      <c r="D1743" s="88" t="s">
        <v>431</v>
      </c>
      <c r="E1743" s="72" t="str">
        <f>+VLOOKUP(D1743,'材料表 '!C:F,2,0)</f>
        <v>kg</v>
      </c>
      <c r="F1743" s="77">
        <f t="shared" si="294"/>
        <v>0</v>
      </c>
      <c r="G1743" s="89">
        <f>+VLOOKUP(D1743,'材料表 '!C:F,4,0)</f>
        <v>0.03</v>
      </c>
      <c r="H1743" s="74">
        <f t="shared" ref="H1743:H1758" si="295">F1743*(G1743+1)</f>
        <v>0</v>
      </c>
      <c r="I1743" s="74">
        <f>+VLOOKUP(D1743,'材料表 '!C:F,3,0)</f>
        <v>3.80530973451327</v>
      </c>
      <c r="J1743" s="51">
        <f t="shared" ref="J1743:J1758" si="296">H1743*I1743</f>
        <v>0</v>
      </c>
      <c r="K1743" s="43">
        <f ca="1">H1743*K1722</f>
        <v>0</v>
      </c>
      <c r="L1743" s="90" t="s">
        <v>474</v>
      </c>
      <c r="M1743" s="44"/>
      <c r="N1743" s="82"/>
      <c r="O1743" s="44">
        <v>4</v>
      </c>
      <c r="P1743" s="44">
        <v>8</v>
      </c>
      <c r="Q1743" s="44">
        <f>O1743*P1743</f>
        <v>32</v>
      </c>
      <c r="R1743" s="84">
        <f>Q1743/R1723</f>
        <v>7.11111111111111</v>
      </c>
      <c r="S1743" s="47"/>
      <c r="T1743" s="47"/>
    </row>
    <row r="1744" s="27" customFormat="1" ht="18" customHeight="1" spans="1:21">
      <c r="A1744" s="34"/>
      <c r="B1744" s="48">
        <v>9</v>
      </c>
      <c r="C1744" s="48"/>
      <c r="D1744" s="88" t="s">
        <v>461</v>
      </c>
      <c r="E1744" s="72" t="str">
        <f>+VLOOKUP(D1744,'材料表 '!C:F,2,0)</f>
        <v>kg</v>
      </c>
      <c r="F1744" s="77">
        <f t="shared" si="294"/>
        <v>0</v>
      </c>
      <c r="G1744" s="89">
        <f>+VLOOKUP(D1744,'材料表 '!C:F,4,0)</f>
        <v>0.03</v>
      </c>
      <c r="H1744" s="74">
        <f t="shared" si="295"/>
        <v>0</v>
      </c>
      <c r="I1744" s="74">
        <f>+VLOOKUP(D1744,'材料表 '!C:F,3,0)</f>
        <v>3.53982300884956</v>
      </c>
      <c r="J1744" s="51">
        <f t="shared" si="296"/>
        <v>0</v>
      </c>
      <c r="K1744" s="43">
        <f ca="1">H1744*K1722</f>
        <v>0</v>
      </c>
      <c r="L1744" s="90" t="s">
        <v>472</v>
      </c>
      <c r="M1744" s="91"/>
      <c r="N1744" s="82"/>
      <c r="O1744" s="44">
        <v>2</v>
      </c>
      <c r="P1744" s="44">
        <f>O1741*P1741</f>
        <v>2</v>
      </c>
      <c r="Q1744" s="44">
        <f>O1744*P1744</f>
        <v>4</v>
      </c>
      <c r="R1744" s="84">
        <f>Q1744/R1723</f>
        <v>0.888888888888889</v>
      </c>
      <c r="S1744" s="47"/>
      <c r="T1744" s="47"/>
    </row>
    <row r="1745" s="27" customFormat="1" ht="18" customHeight="1" spans="1:20">
      <c r="A1745" s="34"/>
      <c r="B1745" s="48">
        <v>10</v>
      </c>
      <c r="C1745" s="48"/>
      <c r="D1745" s="88" t="s">
        <v>435</v>
      </c>
      <c r="E1745" s="72" t="str">
        <f>+VLOOKUP(D1745,'材料表 '!C:F,2,0)</f>
        <v>kg</v>
      </c>
      <c r="F1745" s="77">
        <f t="shared" si="294"/>
        <v>3.23576881134133</v>
      </c>
      <c r="G1745" s="89">
        <f>+VLOOKUP(D1745,'材料表 '!C:F,4,0)</f>
        <v>0.03</v>
      </c>
      <c r="H1745" s="74">
        <f t="shared" si="295"/>
        <v>3.33284187568157</v>
      </c>
      <c r="I1745" s="74">
        <f>+VLOOKUP(D1745,'材料表 '!C:F,3,0)</f>
        <v>19.4690265486726</v>
      </c>
      <c r="J1745" s="51">
        <f t="shared" si="296"/>
        <v>64.8871869601723</v>
      </c>
      <c r="K1745" s="43">
        <f ca="1">H1745*K1722</f>
        <v>461.571937046892</v>
      </c>
      <c r="L1745" s="69" t="s">
        <v>465</v>
      </c>
      <c r="M1745" s="91"/>
      <c r="N1745" s="82">
        <f>(0.058+0.04*2)*5*7.85</f>
        <v>5.4165</v>
      </c>
      <c r="O1745" s="44">
        <f>O1723</f>
        <v>1.8</v>
      </c>
      <c r="P1745" s="44">
        <v>1</v>
      </c>
      <c r="Q1745" s="44">
        <f t="shared" si="293"/>
        <v>9.7497</v>
      </c>
      <c r="R1745" s="84">
        <f>+Q1745/R1723</f>
        <v>2.1666</v>
      </c>
      <c r="S1745" s="47"/>
      <c r="T1745" s="47"/>
    </row>
    <row r="1746" s="27" customFormat="1" ht="18" customHeight="1" spans="1:20">
      <c r="A1746" s="34"/>
      <c r="B1746" s="48">
        <v>11</v>
      </c>
      <c r="C1746" s="48"/>
      <c r="D1746" s="88" t="s">
        <v>463</v>
      </c>
      <c r="E1746" s="72" t="str">
        <f>+VLOOKUP(D1746,'材料表 '!C:F,2,0)</f>
        <v>kg</v>
      </c>
      <c r="F1746" s="77">
        <f t="shared" si="294"/>
        <v>2.62979280261723</v>
      </c>
      <c r="G1746" s="89">
        <f>+VLOOKUP(D1746,'材料表 '!C:F,4,0)</f>
        <v>0.03</v>
      </c>
      <c r="H1746" s="74">
        <f t="shared" si="295"/>
        <v>2.70868658669575</v>
      </c>
      <c r="I1746" s="74">
        <f>+VLOOKUP(D1746,'材料表 '!C:F,3,0)</f>
        <v>6.01769911504425</v>
      </c>
      <c r="J1746" s="51">
        <f t="shared" si="296"/>
        <v>16.3000608756912</v>
      </c>
      <c r="K1746" s="43">
        <f ca="1">H1746*K1722</f>
        <v>375.131422764668</v>
      </c>
      <c r="L1746" s="69" t="s">
        <v>461</v>
      </c>
      <c r="N1746" s="83"/>
      <c r="O1746" s="83"/>
      <c r="P1746" s="83"/>
      <c r="Q1746" s="83"/>
      <c r="R1746" s="84"/>
      <c r="S1746" s="47"/>
      <c r="T1746" s="47"/>
    </row>
    <row r="1747" s="27" customFormat="1" ht="18" customHeight="1" spans="1:20">
      <c r="A1747" s="34"/>
      <c r="B1747" s="48">
        <v>12</v>
      </c>
      <c r="C1747" s="48"/>
      <c r="D1747" s="88" t="s">
        <v>465</v>
      </c>
      <c r="E1747" s="72" t="str">
        <f>+VLOOKUP(D1747,'材料表 '!C:F,2,0)</f>
        <v>kg</v>
      </c>
      <c r="F1747" s="77">
        <f t="shared" si="294"/>
        <v>4.40764689203926</v>
      </c>
      <c r="G1747" s="89">
        <f>+VLOOKUP(D1747,'材料表 '!C:F,4,0)</f>
        <v>0.03</v>
      </c>
      <c r="H1747" s="74">
        <f t="shared" si="295"/>
        <v>4.53987629880044</v>
      </c>
      <c r="I1747" s="74">
        <f>+VLOOKUP(D1747,'材料表 '!C:F,3,0)</f>
        <v>6.01769911504425</v>
      </c>
      <c r="J1747" s="51">
        <f t="shared" si="296"/>
        <v>27.3196095857018</v>
      </c>
      <c r="K1747" s="43">
        <f ca="1">H1747*K1722</f>
        <v>628.73654837347</v>
      </c>
      <c r="L1747" s="90"/>
      <c r="M1747" s="44"/>
      <c r="N1747" s="82"/>
      <c r="O1747" s="44"/>
      <c r="P1747" s="44"/>
      <c r="Q1747" s="44"/>
      <c r="R1747" s="84"/>
      <c r="S1747" s="47"/>
      <c r="T1747" s="47"/>
    </row>
    <row r="1748" s="27" customFormat="1" ht="18" customHeight="1" spans="1:20">
      <c r="A1748" s="34"/>
      <c r="B1748" s="48">
        <v>13</v>
      </c>
      <c r="C1748" s="48"/>
      <c r="D1748" s="88" t="s">
        <v>474</v>
      </c>
      <c r="E1748" s="72" t="str">
        <f>+VLOOKUP(D1748,'材料表 '!C:F,2,0)</f>
        <v>套</v>
      </c>
      <c r="F1748" s="77">
        <f t="shared" si="294"/>
        <v>6.97928026172301</v>
      </c>
      <c r="G1748" s="89">
        <f>+VLOOKUP(D1748,'材料表 '!C:F,4,0)</f>
        <v>0</v>
      </c>
      <c r="H1748" s="74">
        <f t="shared" si="295"/>
        <v>6.97928026172301</v>
      </c>
      <c r="I1748" s="74">
        <f>+VLOOKUP(D1748,'材料表 '!C:F,3,0)</f>
        <v>2.21238938053097</v>
      </c>
      <c r="J1748" s="51">
        <f t="shared" si="296"/>
        <v>15.4408855347854</v>
      </c>
      <c r="K1748" s="43">
        <f ca="1">H1748*K1722</f>
        <v>966.574482006543</v>
      </c>
      <c r="L1748" s="90"/>
      <c r="M1748" s="44"/>
      <c r="N1748" s="82"/>
      <c r="O1748" s="44"/>
      <c r="P1748" s="44"/>
      <c r="Q1748" s="44"/>
      <c r="R1748" s="84"/>
      <c r="S1748" s="47"/>
      <c r="T1748" s="47"/>
    </row>
    <row r="1749" s="27" customFormat="1" ht="18" customHeight="1" spans="1:20">
      <c r="A1749" s="34"/>
      <c r="B1749" s="48">
        <v>14</v>
      </c>
      <c r="C1749" s="48"/>
      <c r="D1749" s="88" t="s">
        <v>472</v>
      </c>
      <c r="E1749" s="72" t="str">
        <f>+VLOOKUP(D1749,'材料表 '!C:F,2,0)</f>
        <v>套</v>
      </c>
      <c r="F1749" s="77">
        <f t="shared" si="294"/>
        <v>0.872410032715376</v>
      </c>
      <c r="G1749" s="89">
        <f>+VLOOKUP(D1749,'材料表 '!C:F,4,0)</f>
        <v>0</v>
      </c>
      <c r="H1749" s="74">
        <f t="shared" si="295"/>
        <v>0.872410032715376</v>
      </c>
      <c r="I1749" s="74">
        <f>+VLOOKUP(D1749,'材料表 '!C:F,3,0)</f>
        <v>2.47787610619469</v>
      </c>
      <c r="J1749" s="51">
        <f t="shared" si="296"/>
        <v>2.16172397486996</v>
      </c>
      <c r="K1749" s="43">
        <f ca="1">H1749*K1722</f>
        <v>120.821810250818</v>
      </c>
      <c r="L1749" s="90"/>
      <c r="M1749" s="44"/>
      <c r="N1749" s="82"/>
      <c r="O1749" s="44"/>
      <c r="P1749" s="44"/>
      <c r="Q1749" s="44"/>
      <c r="R1749" s="84"/>
      <c r="S1749" s="47"/>
      <c r="T1749" s="47"/>
    </row>
    <row r="1750" s="27" customFormat="1" ht="18" customHeight="1" spans="1:20">
      <c r="A1750" s="34"/>
      <c r="B1750" s="48">
        <v>15</v>
      </c>
      <c r="C1750" s="48"/>
      <c r="D1750" s="88" t="s">
        <v>476</v>
      </c>
      <c r="E1750" s="72" t="str">
        <f>+VLOOKUP(D1750,'材料表 '!C:F,2,0)</f>
        <v>支</v>
      </c>
      <c r="F1750" s="77">
        <f>8*8*(O1731*P1731*2)/500/R1723+16*8*(O1726*P1726+O1731*P1731)/500/R1723</f>
        <v>0.347022222222222</v>
      </c>
      <c r="G1750" s="89">
        <f>+VLOOKUP(D1750,'材料表 '!C:F,4,0)</f>
        <v>0.15</v>
      </c>
      <c r="H1750" s="74">
        <f t="shared" si="295"/>
        <v>0.399075555555555</v>
      </c>
      <c r="I1750" s="74">
        <f>+VLOOKUP(D1750,'材料表 '!C:F,3,0)</f>
        <v>11.5044247787611</v>
      </c>
      <c r="J1750" s="51">
        <f t="shared" si="296"/>
        <v>4.59113470993118</v>
      </c>
      <c r="K1750" s="43">
        <f ca="1">H1750*K1722</f>
        <v>55.2687718399999</v>
      </c>
      <c r="L1750" s="92"/>
      <c r="M1750" s="44"/>
      <c r="N1750" s="82"/>
      <c r="O1750" s="44"/>
      <c r="P1750" s="44"/>
      <c r="Q1750" s="44"/>
      <c r="R1750" s="84"/>
      <c r="S1750" s="47"/>
      <c r="T1750" s="47"/>
    </row>
    <row r="1751" s="27" customFormat="1" ht="18" customHeight="1" spans="1:20">
      <c r="A1751" s="34"/>
      <c r="B1751" s="48">
        <v>16</v>
      </c>
      <c r="C1751" s="48"/>
      <c r="D1751" s="88" t="s">
        <v>576</v>
      </c>
      <c r="E1751" s="72" t="str">
        <f>+VLOOKUP(D1751,'材料表 '!C:F,2,0)</f>
        <v>支</v>
      </c>
      <c r="F1751" s="77">
        <v>0</v>
      </c>
      <c r="G1751" s="89">
        <f>+VLOOKUP(D1751,'材料表 '!C:F,4,0)</f>
        <v>0.15</v>
      </c>
      <c r="H1751" s="74">
        <f t="shared" si="295"/>
        <v>0</v>
      </c>
      <c r="I1751" s="74">
        <f>+VLOOKUP(D1751,'材料表 '!C:F,3,0)</f>
        <v>14.1592920353982</v>
      </c>
      <c r="J1751" s="51">
        <f t="shared" si="296"/>
        <v>0</v>
      </c>
      <c r="K1751" s="43">
        <f ca="1">H1751*K1722</f>
        <v>0</v>
      </c>
      <c r="L1751" s="92"/>
      <c r="M1751" s="44"/>
      <c r="N1751" s="82"/>
      <c r="O1751" s="44"/>
      <c r="P1751" s="44"/>
      <c r="Q1751" s="44"/>
      <c r="R1751" s="84"/>
      <c r="S1751" s="47"/>
      <c r="T1751" s="47"/>
    </row>
    <row r="1752" s="27" customFormat="1" ht="18" customHeight="1" spans="1:20">
      <c r="A1752" s="34"/>
      <c r="B1752" s="48">
        <v>17</v>
      </c>
      <c r="C1752" s="48"/>
      <c r="D1752" s="88" t="s">
        <v>479</v>
      </c>
      <c r="E1752" s="72" t="str">
        <f>+VLOOKUP(D1752,'材料表 '!C:F,2,0)</f>
        <v>kg</v>
      </c>
      <c r="F1752" s="77">
        <v>0</v>
      </c>
      <c r="G1752" s="89">
        <f>+VLOOKUP(D1752,'材料表 '!C:F,4,0)</f>
        <v>0.03</v>
      </c>
      <c r="H1752" s="74">
        <f t="shared" si="295"/>
        <v>0</v>
      </c>
      <c r="I1752" s="74">
        <f>+VLOOKUP(D1752,'材料表 '!C:F,3,0)</f>
        <v>14.1592920353982</v>
      </c>
      <c r="J1752" s="51">
        <f t="shared" si="296"/>
        <v>0</v>
      </c>
      <c r="K1752" s="43">
        <f ca="1">H1752*K1722</f>
        <v>0</v>
      </c>
      <c r="L1752" s="92"/>
      <c r="M1752" s="44"/>
      <c r="N1752" s="82"/>
      <c r="O1752" s="44"/>
      <c r="P1752" s="44"/>
      <c r="Q1752" s="44"/>
      <c r="R1752" s="84"/>
      <c r="S1752" s="47"/>
      <c r="T1752" s="47"/>
    </row>
    <row r="1753" s="27" customFormat="1" ht="18" customHeight="1" spans="1:20">
      <c r="A1753" s="34"/>
      <c r="B1753" s="48">
        <v>18</v>
      </c>
      <c r="C1753" s="48"/>
      <c r="D1753" s="88" t="s">
        <v>500</v>
      </c>
      <c r="E1753" s="72" t="str">
        <f>+VLOOKUP(D1753,'材料表 '!C:F,2,0)</f>
        <v>kg</v>
      </c>
      <c r="F1753" s="77">
        <v>0</v>
      </c>
      <c r="G1753" s="89">
        <f>+VLOOKUP(D1753,'材料表 '!C:F,4,0)</f>
        <v>0.03</v>
      </c>
      <c r="H1753" s="74">
        <f t="shared" si="295"/>
        <v>0</v>
      </c>
      <c r="I1753" s="74">
        <f>+VLOOKUP(D1753,'材料表 '!C:F,3,0)</f>
        <v>14.1592920353982</v>
      </c>
      <c r="J1753" s="51">
        <f t="shared" si="296"/>
        <v>0</v>
      </c>
      <c r="K1753" s="43">
        <f ca="1">H1753*K1722</f>
        <v>0</v>
      </c>
      <c r="L1753" s="92"/>
      <c r="M1753" s="44"/>
      <c r="N1753" s="82"/>
      <c r="O1753" s="44"/>
      <c r="P1753" s="44"/>
      <c r="Q1753" s="44"/>
      <c r="R1753" s="84"/>
      <c r="S1753" s="47"/>
      <c r="T1753" s="47"/>
    </row>
    <row r="1754" s="27" customFormat="1" ht="32" customHeight="1" spans="1:20">
      <c r="A1754" s="34"/>
      <c r="B1754" s="48">
        <v>19</v>
      </c>
      <c r="C1754" s="48"/>
      <c r="D1754" s="88" t="s">
        <v>647</v>
      </c>
      <c r="E1754" s="72" t="str">
        <f>+VLOOKUP(D1754,'材料表 '!C:F,2,0)</f>
        <v>m2</v>
      </c>
      <c r="F1754" s="77">
        <v>0.85</v>
      </c>
      <c r="G1754" s="89">
        <f>+VLOOKUP(D1754,'材料表 '!C:F,4,0)</f>
        <v>0.01</v>
      </c>
      <c r="H1754" s="74">
        <f t="shared" si="295"/>
        <v>0.8585</v>
      </c>
      <c r="I1754" s="74">
        <f>+VLOOKUP(D1754,'材料表 '!C:F,3,0)</f>
        <v>135.398230088496</v>
      </c>
      <c r="J1754" s="51">
        <f t="shared" si="296"/>
        <v>116.239380530973</v>
      </c>
      <c r="K1754" s="43">
        <f ca="1">H1754*K1722</f>
        <v>118.895382</v>
      </c>
      <c r="L1754" s="90"/>
      <c r="M1754" s="44"/>
      <c r="N1754" s="82"/>
      <c r="O1754" s="44"/>
      <c r="P1754" s="44"/>
      <c r="Q1754" s="44"/>
      <c r="R1754" s="84"/>
      <c r="S1754" s="47"/>
      <c r="T1754" s="47"/>
    </row>
    <row r="1755" s="27" customFormat="1" ht="21" customHeight="1" spans="1:20">
      <c r="A1755" s="34"/>
      <c r="B1755" s="48">
        <v>20</v>
      </c>
      <c r="C1755" s="48"/>
      <c r="D1755" s="88" t="s">
        <v>1043</v>
      </c>
      <c r="E1755" s="72" t="str">
        <f>+VLOOKUP(D1755,'材料表 '!C:F,2,0)</f>
        <v>套</v>
      </c>
      <c r="F1755" s="77">
        <f>P1734/R1723</f>
        <v>0.444444444444444</v>
      </c>
      <c r="G1755" s="89">
        <f>+VLOOKUP(D1755,'材料表 '!C:F,4,0)</f>
        <v>0</v>
      </c>
      <c r="H1755" s="74">
        <f t="shared" si="295"/>
        <v>0.444444444444444</v>
      </c>
      <c r="I1755" s="74">
        <f>+VLOOKUP(D1755,'材料表 '!C:F,3,0)</f>
        <v>1.32743362831858</v>
      </c>
      <c r="J1755" s="51">
        <f t="shared" si="296"/>
        <v>0.589970501474924</v>
      </c>
      <c r="K1755" s="43">
        <f ca="1">H1755*K1722</f>
        <v>61.5519999999999</v>
      </c>
      <c r="L1755" s="90"/>
      <c r="M1755" s="44"/>
      <c r="N1755" s="82"/>
      <c r="O1755" s="44"/>
      <c r="P1755" s="44"/>
      <c r="Q1755" s="44"/>
      <c r="R1755" s="84"/>
      <c r="S1755" s="47"/>
      <c r="T1755" s="47"/>
    </row>
    <row r="1756" s="27" customFormat="1" ht="18" customHeight="1" spans="1:20">
      <c r="A1756" s="34"/>
      <c r="B1756" s="48">
        <v>21</v>
      </c>
      <c r="C1756" s="48"/>
      <c r="D1756" s="88" t="s">
        <v>721</v>
      </c>
      <c r="E1756" s="72" t="str">
        <f>+VLOOKUP(D1756,'材料表 '!C:F,2,0)</f>
        <v>套</v>
      </c>
      <c r="F1756" s="77">
        <f>2/R1723</f>
        <v>0.444444444444444</v>
      </c>
      <c r="G1756" s="89">
        <f>+VLOOKUP(D1756,'材料表 '!C:F,4,0)</f>
        <v>0</v>
      </c>
      <c r="H1756" s="74">
        <f t="shared" si="295"/>
        <v>0.444444444444444</v>
      </c>
      <c r="I1756" s="74">
        <f>+VLOOKUP(D1756,'材料表 '!C:F,3,0)</f>
        <v>530.973451327434</v>
      </c>
      <c r="J1756" s="51">
        <f t="shared" si="296"/>
        <v>235.98820058997</v>
      </c>
      <c r="K1756" s="43">
        <f ca="1">H1756*K1722</f>
        <v>61.5519999999999</v>
      </c>
      <c r="L1756" s="92"/>
      <c r="M1756" s="44"/>
      <c r="N1756" s="82"/>
      <c r="O1756" s="44"/>
      <c r="P1756" s="44"/>
      <c r="Q1756" s="44"/>
      <c r="R1756" s="84"/>
      <c r="S1756" s="47"/>
      <c r="T1756" s="47"/>
    </row>
    <row r="1757" s="27" customFormat="1" ht="18" customHeight="1" spans="1:20">
      <c r="A1757" s="34"/>
      <c r="B1757" s="48">
        <v>22</v>
      </c>
      <c r="C1757" s="48"/>
      <c r="D1757" s="88" t="s">
        <v>722</v>
      </c>
      <c r="E1757" s="72" t="str">
        <f>+VLOOKUP(D1757,'材料表 '!C:F,2,0)</f>
        <v>套</v>
      </c>
      <c r="F1757" s="77">
        <f>F1756</f>
        <v>0.444444444444444</v>
      </c>
      <c r="G1757" s="89">
        <f>+VLOOKUP(D1757,'材料表 '!C:F,4,0)</f>
        <v>0</v>
      </c>
      <c r="H1757" s="74">
        <f t="shared" si="295"/>
        <v>0.444444444444444</v>
      </c>
      <c r="I1757" s="74">
        <f>+VLOOKUP(D1757,'材料表 '!C:F,3,0)</f>
        <v>247.787610619469</v>
      </c>
      <c r="J1757" s="51">
        <f t="shared" si="296"/>
        <v>110.127826941986</v>
      </c>
      <c r="K1757" s="43">
        <f ca="1">H1757*K1722</f>
        <v>61.5519999999999</v>
      </c>
      <c r="L1757" s="92"/>
      <c r="M1757" s="44"/>
      <c r="N1757" s="44"/>
      <c r="O1757" s="44"/>
      <c r="P1757" s="44"/>
      <c r="Q1757" s="44"/>
      <c r="R1757" s="84"/>
      <c r="S1757" s="47"/>
      <c r="T1757" s="47"/>
    </row>
    <row r="1758" s="27" customFormat="1" ht="18" customHeight="1" spans="1:20">
      <c r="A1758" s="34"/>
      <c r="B1758" s="48">
        <v>23</v>
      </c>
      <c r="C1758" s="48"/>
      <c r="D1758" s="88" t="s">
        <v>723</v>
      </c>
      <c r="E1758" s="72" t="str">
        <f>+VLOOKUP(D1758,'材料表 '!C:F,2,0)</f>
        <v>套</v>
      </c>
      <c r="F1758" s="77">
        <f>F1756</f>
        <v>0.444444444444444</v>
      </c>
      <c r="G1758" s="89">
        <f>+VLOOKUP(D1758,'材料表 '!C:F,4,0)</f>
        <v>0</v>
      </c>
      <c r="H1758" s="74">
        <f t="shared" si="295"/>
        <v>0.444444444444444</v>
      </c>
      <c r="I1758" s="74">
        <f>+VLOOKUP(D1758,'材料表 '!C:F,3,0)</f>
        <v>75.2212389380531</v>
      </c>
      <c r="J1758" s="51">
        <f t="shared" si="296"/>
        <v>33.4316617502458</v>
      </c>
      <c r="K1758" s="75">
        <f ca="1">H1758*K1722</f>
        <v>61.5519999999999</v>
      </c>
      <c r="L1758" s="92"/>
      <c r="M1758" s="44"/>
      <c r="N1758" s="44"/>
      <c r="O1758" s="44"/>
      <c r="P1758" s="44"/>
      <c r="Q1758" s="44"/>
      <c r="R1758" s="84"/>
      <c r="S1758" s="47"/>
      <c r="T1758" s="47"/>
    </row>
    <row r="1759" s="27" customFormat="1" ht="18" customHeight="1" spans="1:20">
      <c r="A1759" s="34"/>
      <c r="B1759" s="48">
        <v>24</v>
      </c>
      <c r="C1759" s="48"/>
      <c r="D1759" s="88"/>
      <c r="E1759" s="72"/>
      <c r="F1759" s="77"/>
      <c r="G1759" s="89"/>
      <c r="H1759" s="74"/>
      <c r="I1759" s="74"/>
      <c r="J1759" s="51"/>
      <c r="K1759" s="75">
        <f ca="1">H1759*K1722</f>
        <v>0</v>
      </c>
      <c r="L1759" s="92"/>
      <c r="M1759" s="44"/>
      <c r="N1759" s="44"/>
      <c r="O1759" s="44"/>
      <c r="P1759" s="44"/>
      <c r="Q1759" s="44"/>
      <c r="R1759" s="84"/>
      <c r="S1759" s="47"/>
      <c r="T1759" s="47"/>
    </row>
    <row r="1760" s="27" customFormat="1" ht="18" customHeight="1" spans="1:20">
      <c r="A1760" s="34"/>
      <c r="B1760" s="48">
        <v>25</v>
      </c>
      <c r="C1760" s="48"/>
      <c r="D1760" s="88"/>
      <c r="E1760" s="72"/>
      <c r="F1760" s="77"/>
      <c r="G1760" s="89"/>
      <c r="H1760" s="74"/>
      <c r="I1760" s="74"/>
      <c r="J1760" s="51"/>
      <c r="K1760" s="75"/>
      <c r="L1760" s="92"/>
      <c r="M1760" s="44"/>
      <c r="N1760" s="44"/>
      <c r="O1760" s="44"/>
      <c r="P1760" s="44"/>
      <c r="Q1760" s="44"/>
      <c r="R1760" s="84"/>
      <c r="S1760" s="47"/>
      <c r="T1760" s="47"/>
    </row>
    <row r="1761" s="27" customFormat="1" ht="18" customHeight="1" spans="1:20">
      <c r="A1761" s="34"/>
      <c r="B1761" s="48">
        <v>26</v>
      </c>
      <c r="C1761" s="48"/>
      <c r="D1761" s="88" t="s">
        <v>441</v>
      </c>
      <c r="E1761" s="72" t="s">
        <v>43</v>
      </c>
      <c r="F1761" s="77"/>
      <c r="G1761" s="72">
        <v>1</v>
      </c>
      <c r="H1761" s="74">
        <v>1</v>
      </c>
      <c r="I1761" s="74">
        <f>+辅材及安装费!$E$19</f>
        <v>10</v>
      </c>
      <c r="J1761" s="51">
        <f>H1761*I1761</f>
        <v>10</v>
      </c>
      <c r="K1761" s="75"/>
      <c r="L1761" s="92"/>
      <c r="M1761" s="44"/>
      <c r="N1761" s="44"/>
      <c r="O1761" s="44"/>
      <c r="P1761" s="44"/>
      <c r="Q1761" s="44"/>
      <c r="R1761" s="62"/>
      <c r="S1761" s="47"/>
      <c r="T1761" s="47"/>
    </row>
    <row r="1762" s="27" customFormat="1" ht="18" customHeight="1" spans="1:20">
      <c r="A1762" s="34"/>
      <c r="B1762" s="48">
        <v>27</v>
      </c>
      <c r="C1762" s="48"/>
      <c r="D1762" s="93" t="s">
        <v>442</v>
      </c>
      <c r="E1762" s="72"/>
      <c r="F1762" s="77"/>
      <c r="G1762" s="72"/>
      <c r="H1762" s="74"/>
      <c r="I1762" s="74"/>
      <c r="J1762" s="51">
        <f>SUM(J1736:J1761)</f>
        <v>789.87072510682</v>
      </c>
      <c r="K1762" s="75"/>
      <c r="L1762" s="94"/>
      <c r="N1762" s="83"/>
      <c r="O1762" s="83"/>
      <c r="P1762" s="83"/>
      <c r="Q1762" s="83"/>
      <c r="R1762" s="87"/>
      <c r="S1762" s="47"/>
      <c r="T1762" s="47"/>
    </row>
    <row r="1763" s="27" customFormat="1" ht="18" customHeight="1" spans="1:20">
      <c r="A1763" s="34"/>
      <c r="B1763" s="48">
        <v>1</v>
      </c>
      <c r="C1763" s="48" t="s">
        <v>443</v>
      </c>
      <c r="D1763" s="48" t="s">
        <v>444</v>
      </c>
      <c r="E1763" s="72" t="s">
        <v>43</v>
      </c>
      <c r="F1763" s="50"/>
      <c r="G1763" s="48"/>
      <c r="H1763" s="51">
        <v>1</v>
      </c>
      <c r="I1763" s="74">
        <f>+辅材及安装费!$F$19</f>
        <v>5</v>
      </c>
      <c r="J1763" s="95">
        <f>H1763*I1763</f>
        <v>5</v>
      </c>
      <c r="K1763" s="60"/>
      <c r="L1763" s="96"/>
      <c r="M1763" s="97"/>
      <c r="N1763" s="98"/>
      <c r="O1763" s="98"/>
      <c r="P1763" s="98"/>
      <c r="Q1763" s="98"/>
      <c r="R1763" s="99"/>
      <c r="S1763" s="47"/>
      <c r="T1763" s="47"/>
    </row>
    <row r="1764" s="26" customFormat="1" ht="30" customHeight="1" spans="1:20">
      <c r="A1764" s="28"/>
      <c r="B1764" s="29" t="s">
        <v>386</v>
      </c>
      <c r="C1764" s="29"/>
      <c r="D1764" s="29"/>
      <c r="E1764" s="29"/>
      <c r="F1764" s="29"/>
      <c r="G1764" s="29"/>
      <c r="H1764" s="29"/>
      <c r="I1764" s="29"/>
      <c r="J1764" s="29"/>
      <c r="K1764" s="29"/>
      <c r="L1764" s="30"/>
      <c r="M1764" s="31"/>
      <c r="N1764" s="31"/>
      <c r="O1764" s="31"/>
      <c r="P1764" s="31"/>
      <c r="Q1764" s="31"/>
      <c r="R1764" s="32"/>
      <c r="S1764" s="33"/>
      <c r="T1764" s="33"/>
    </row>
    <row r="1765" s="27" customFormat="1" ht="33.75" customHeight="1" spans="1:20">
      <c r="A1765" s="34">
        <v>1</v>
      </c>
      <c r="B1765" s="35" t="s">
        <v>1</v>
      </c>
      <c r="C1765" s="35" t="s">
        <v>387</v>
      </c>
      <c r="D1765" s="36" t="str">
        <f>+A1773</f>
        <v>30mm厚光面福鼎黑石材（造型柱基座）</v>
      </c>
      <c r="E1765" s="37"/>
      <c r="F1765" s="38" t="s">
        <v>99</v>
      </c>
      <c r="G1765" s="39"/>
      <c r="H1765" s="35" t="s">
        <v>388</v>
      </c>
      <c r="I1765" s="40" t="s">
        <v>389</v>
      </c>
      <c r="J1765" s="41" t="s">
        <v>37</v>
      </c>
      <c r="K1765" s="42">
        <f ca="1">VLOOKUP(A1765,'商业工程量清单 '!$A$47:$D$58,4,FALSE)</f>
        <v>6.3</v>
      </c>
      <c r="L1765" s="43"/>
      <c r="M1765" s="44"/>
      <c r="N1765" s="44"/>
      <c r="O1765" s="44"/>
      <c r="P1765" s="45"/>
      <c r="Q1765" s="44"/>
      <c r="R1765" s="46"/>
      <c r="S1765" s="47"/>
      <c r="T1765" s="47"/>
    </row>
    <row r="1766" s="27" customFormat="1" ht="18" customHeight="1" spans="1:20">
      <c r="A1766" s="34"/>
      <c r="B1766" s="48">
        <v>1</v>
      </c>
      <c r="C1766" s="49" t="s">
        <v>390</v>
      </c>
      <c r="D1766" s="48" t="s">
        <v>391</v>
      </c>
      <c r="E1766" s="48"/>
      <c r="F1766" s="50"/>
      <c r="G1766" s="48"/>
      <c r="H1766" s="51"/>
      <c r="I1766" s="52">
        <f>J1778</f>
        <v>210</v>
      </c>
      <c r="J1766" s="53" t="s">
        <v>392</v>
      </c>
      <c r="K1766" s="54"/>
      <c r="L1766" s="55"/>
      <c r="M1766" s="56"/>
      <c r="N1766" s="57"/>
      <c r="O1766" s="57">
        <v>2.4</v>
      </c>
      <c r="P1766" s="57">
        <v>0.9</v>
      </c>
      <c r="Q1766" s="57">
        <v>1</v>
      </c>
      <c r="R1766" s="58">
        <f>+Q1766*P1766*O1766</f>
        <v>2.16</v>
      </c>
      <c r="S1766" s="47"/>
      <c r="T1766" s="47"/>
    </row>
    <row r="1767" s="27" customFormat="1" ht="18" customHeight="1" spans="1:20">
      <c r="A1767" s="34"/>
      <c r="B1767" s="48">
        <v>2</v>
      </c>
      <c r="C1767" s="59"/>
      <c r="D1767" s="48" t="s">
        <v>394</v>
      </c>
      <c r="E1767" s="48"/>
      <c r="F1767" s="50"/>
      <c r="G1767" s="48"/>
      <c r="H1767" s="51"/>
      <c r="I1767" s="52">
        <f>J1802</f>
        <v>774.781021796132</v>
      </c>
      <c r="J1767" s="53" t="s">
        <v>392</v>
      </c>
      <c r="K1767" s="60"/>
      <c r="L1767" s="61" t="s">
        <v>99</v>
      </c>
      <c r="M1767" s="44"/>
      <c r="N1767" s="44"/>
      <c r="O1767" s="44"/>
      <c r="P1767" s="44"/>
      <c r="Q1767" s="44"/>
      <c r="R1767" s="62"/>
      <c r="S1767" s="47"/>
      <c r="T1767" s="47"/>
    </row>
    <row r="1768" s="27" customFormat="1" ht="18" customHeight="1" spans="1:20">
      <c r="A1768" s="34"/>
      <c r="B1768" s="48">
        <v>3</v>
      </c>
      <c r="C1768" s="63"/>
      <c r="D1768" s="48" t="s">
        <v>395</v>
      </c>
      <c r="E1768" s="48"/>
      <c r="F1768" s="50"/>
      <c r="G1768" s="48"/>
      <c r="H1768" s="51"/>
      <c r="I1768" s="52">
        <f>J1803</f>
        <v>5</v>
      </c>
      <c r="J1768" s="53" t="s">
        <v>392</v>
      </c>
      <c r="K1768" s="60"/>
      <c r="L1768" s="60"/>
      <c r="M1768" s="64" t="s">
        <v>396</v>
      </c>
      <c r="N1768" s="65" t="s">
        <v>397</v>
      </c>
      <c r="O1768" s="65" t="s">
        <v>398</v>
      </c>
      <c r="P1768" s="65" t="s">
        <v>399</v>
      </c>
      <c r="Q1768" s="65" t="s">
        <v>400</v>
      </c>
      <c r="R1768" s="66" t="s">
        <v>401</v>
      </c>
      <c r="S1768" s="47"/>
      <c r="T1768" s="47"/>
    </row>
    <row r="1769" s="27" customFormat="1" ht="18" customHeight="1" spans="1:20">
      <c r="A1769" s="34"/>
      <c r="B1769" s="48">
        <v>4</v>
      </c>
      <c r="C1769" s="48" t="s">
        <v>402</v>
      </c>
      <c r="D1769" s="67" t="s">
        <v>403</v>
      </c>
      <c r="E1769" s="67"/>
      <c r="F1769" s="50"/>
      <c r="G1769" s="67"/>
      <c r="H1769" s="68"/>
      <c r="I1769" s="52">
        <f>SUM(I1766:I1768)</f>
        <v>989.781021796132</v>
      </c>
      <c r="J1769" s="53" t="s">
        <v>392</v>
      </c>
      <c r="K1769" s="60"/>
      <c r="L1769" s="69" t="s">
        <v>431</v>
      </c>
      <c r="M1769" s="34" t="s">
        <v>460</v>
      </c>
      <c r="N1769" s="102">
        <v>10.21</v>
      </c>
      <c r="O1769" s="34">
        <f>+P1766</f>
        <v>0.9</v>
      </c>
      <c r="P1769" s="34">
        <v>2</v>
      </c>
      <c r="Q1769" s="44">
        <f t="shared" ref="Q1769:Q1773" si="297">+P1769*O1769*N1769</f>
        <v>18.378</v>
      </c>
      <c r="R1769" s="71">
        <f>+Q1769/R1766</f>
        <v>8.50833333333333</v>
      </c>
      <c r="S1769" s="47"/>
      <c r="T1769" s="47"/>
    </row>
    <row r="1770" s="27" customFormat="1" ht="28" customHeight="1" spans="1:20">
      <c r="A1770" s="34"/>
      <c r="B1770" s="48">
        <v>5</v>
      </c>
      <c r="C1770" s="72" t="s">
        <v>406</v>
      </c>
      <c r="D1770" s="48" t="s">
        <v>407</v>
      </c>
      <c r="E1770" s="48"/>
      <c r="F1770" s="50"/>
      <c r="G1770" s="48"/>
      <c r="H1770" s="73">
        <f>+'材料表 '!$E$178</f>
        <v>0</v>
      </c>
      <c r="I1770" s="52">
        <f>H1770*I1769</f>
        <v>0</v>
      </c>
      <c r="J1770" s="53" t="s">
        <v>392</v>
      </c>
      <c r="K1770" s="60"/>
      <c r="L1770" s="69" t="s">
        <v>461</v>
      </c>
      <c r="M1770" s="34" t="s">
        <v>462</v>
      </c>
      <c r="N1770" s="34">
        <v>3.77</v>
      </c>
      <c r="O1770" s="34">
        <f>+O1766</f>
        <v>2.4</v>
      </c>
      <c r="P1770" s="34">
        <v>2</v>
      </c>
      <c r="Q1770" s="44">
        <f t="shared" si="297"/>
        <v>18.096</v>
      </c>
      <c r="R1770" s="71">
        <f>+Q1770/R1766</f>
        <v>8.37777777777778</v>
      </c>
      <c r="S1770" s="47"/>
      <c r="T1770" s="47"/>
    </row>
    <row r="1771" s="27" customFormat="1" ht="18" customHeight="1" spans="1:20">
      <c r="A1771" s="34"/>
      <c r="B1771" s="48">
        <v>6</v>
      </c>
      <c r="C1771" s="48" t="s">
        <v>409</v>
      </c>
      <c r="D1771" s="48" t="s">
        <v>410</v>
      </c>
      <c r="E1771" s="48"/>
      <c r="F1771" s="50"/>
      <c r="G1771" s="48"/>
      <c r="H1771" s="73">
        <f>+'材料表 '!$E$179</f>
        <v>0</v>
      </c>
      <c r="I1771" s="52">
        <f>H1771*I1769</f>
        <v>0</v>
      </c>
      <c r="J1771" s="53" t="s">
        <v>392</v>
      </c>
      <c r="K1771" s="60"/>
      <c r="L1771" s="69" t="s">
        <v>463</v>
      </c>
      <c r="M1771" s="34" t="s">
        <v>490</v>
      </c>
      <c r="N1771" s="34">
        <f>0.3*0.2*7.85*10</f>
        <v>4.71</v>
      </c>
      <c r="O1771" s="34">
        <v>2</v>
      </c>
      <c r="P1771" s="34">
        <f>+P1769</f>
        <v>2</v>
      </c>
      <c r="Q1771" s="44">
        <f t="shared" si="297"/>
        <v>18.84</v>
      </c>
      <c r="R1771" s="71">
        <f>+Q1771/R1766</f>
        <v>8.72222222222222</v>
      </c>
      <c r="S1771" s="47"/>
      <c r="T1771" s="47"/>
    </row>
    <row r="1772" s="27" customFormat="1" ht="18" customHeight="1" spans="1:20">
      <c r="A1772" s="34"/>
      <c r="B1772" s="48">
        <v>7</v>
      </c>
      <c r="C1772" s="48" t="s">
        <v>412</v>
      </c>
      <c r="D1772" s="72" t="s">
        <v>413</v>
      </c>
      <c r="E1772" s="72"/>
      <c r="F1772" s="77"/>
      <c r="G1772" s="72"/>
      <c r="H1772" s="73">
        <f>+'材料表 '!$E$180</f>
        <v>0.09</v>
      </c>
      <c r="I1772" s="52">
        <f>(I1769+I1770+I1771)*H1772</f>
        <v>89.0802919616519</v>
      </c>
      <c r="J1772" s="53" t="s">
        <v>392</v>
      </c>
      <c r="K1772" s="60"/>
      <c r="L1772" s="69" t="s">
        <v>465</v>
      </c>
      <c r="M1772" s="34" t="s">
        <v>466</v>
      </c>
      <c r="N1772" s="100">
        <f>3.77</f>
        <v>3.77</v>
      </c>
      <c r="O1772" s="34">
        <v>0.155</v>
      </c>
      <c r="P1772" s="34">
        <v>0</v>
      </c>
      <c r="Q1772" s="44">
        <f t="shared" si="297"/>
        <v>0</v>
      </c>
      <c r="R1772" s="71">
        <f>+Q1772/R1766</f>
        <v>0</v>
      </c>
      <c r="S1772" s="47"/>
      <c r="T1772" s="47"/>
    </row>
    <row r="1773" s="27" customFormat="1" ht="18" customHeight="1" spans="1:20">
      <c r="A1773" s="105" t="s">
        <v>288</v>
      </c>
      <c r="B1773" s="48">
        <v>8</v>
      </c>
      <c r="C1773" s="48" t="s">
        <v>363</v>
      </c>
      <c r="D1773" s="106" t="s">
        <v>415</v>
      </c>
      <c r="E1773" s="107"/>
      <c r="F1773" s="108"/>
      <c r="G1773" s="107"/>
      <c r="H1773" s="51"/>
      <c r="I1773" s="74">
        <f>SUM(I1769:I1772)</f>
        <v>1078.86131375778</v>
      </c>
      <c r="J1773" s="53" t="s">
        <v>416</v>
      </c>
      <c r="K1773" s="60"/>
      <c r="L1773" s="69" t="s">
        <v>465</v>
      </c>
      <c r="M1773" s="44" t="s">
        <v>468</v>
      </c>
      <c r="N1773" s="82">
        <v>5.778</v>
      </c>
      <c r="O1773" s="44">
        <v>0.125</v>
      </c>
      <c r="P1773" s="44">
        <f>+P1769*2</f>
        <v>4</v>
      </c>
      <c r="Q1773" s="44">
        <f t="shared" si="297"/>
        <v>2.889</v>
      </c>
      <c r="R1773" s="84">
        <f>+Q1773/R1766</f>
        <v>1.3375</v>
      </c>
      <c r="S1773" s="79"/>
      <c r="T1773" s="47"/>
    </row>
    <row r="1774" s="27" customFormat="1" ht="18" customHeight="1" spans="1:20">
      <c r="A1774" s="34"/>
      <c r="B1774" s="109" t="s">
        <v>418</v>
      </c>
      <c r="C1774" s="110"/>
      <c r="D1774" s="110"/>
      <c r="E1774" s="110"/>
      <c r="F1774" s="110"/>
      <c r="G1774" s="110"/>
      <c r="H1774" s="110"/>
      <c r="I1774" s="110"/>
      <c r="J1774" s="110"/>
      <c r="K1774" s="80"/>
      <c r="L1774" s="90" t="s">
        <v>469</v>
      </c>
      <c r="M1774" s="44"/>
      <c r="N1774" s="82"/>
      <c r="O1774" s="44">
        <f>2*4</f>
        <v>8</v>
      </c>
      <c r="P1774" s="44">
        <v>1</v>
      </c>
      <c r="Q1774" s="44">
        <f>+P1774*O1774</f>
        <v>8</v>
      </c>
      <c r="R1774" s="84">
        <f>+Q1774/R1766</f>
        <v>3.7037037037037</v>
      </c>
      <c r="S1774" s="47"/>
      <c r="T1774" s="47"/>
    </row>
    <row r="1775" s="27" customFormat="1" ht="18" customHeight="1" spans="1:20">
      <c r="A1775" s="34"/>
      <c r="B1775" s="48">
        <v>1</v>
      </c>
      <c r="C1775" s="48" t="s">
        <v>391</v>
      </c>
      <c r="D1775" s="48" t="s">
        <v>396</v>
      </c>
      <c r="E1775" s="48" t="s">
        <v>37</v>
      </c>
      <c r="F1775" s="50"/>
      <c r="G1775" s="48"/>
      <c r="H1775" s="51" t="s">
        <v>399</v>
      </c>
      <c r="I1775" s="51" t="s">
        <v>420</v>
      </c>
      <c r="J1775" s="95" t="s">
        <v>421</v>
      </c>
      <c r="K1775" s="92"/>
      <c r="L1775" s="90"/>
      <c r="M1775" s="44"/>
      <c r="N1775" s="82"/>
      <c r="O1775" s="44"/>
      <c r="P1775" s="44"/>
      <c r="Q1775" s="44"/>
      <c r="R1775" s="84"/>
      <c r="S1775" s="47"/>
      <c r="T1775" s="47"/>
    </row>
    <row r="1776" s="27" customFormat="1" ht="18" customHeight="1" spans="1:20">
      <c r="A1776" s="34"/>
      <c r="B1776" s="48">
        <v>2</v>
      </c>
      <c r="C1776" s="48"/>
      <c r="D1776" s="111" t="s">
        <v>470</v>
      </c>
      <c r="E1776" s="49" t="s">
        <v>423</v>
      </c>
      <c r="F1776" s="112"/>
      <c r="G1776" s="111"/>
      <c r="H1776" s="113">
        <v>1</v>
      </c>
      <c r="I1776" s="113">
        <f>+辅材及安装费!$G$8</f>
        <v>210</v>
      </c>
      <c r="J1776" s="114">
        <f t="shared" ref="J1776:J1790" si="298">H1776*I1776</f>
        <v>210</v>
      </c>
      <c r="K1776" s="92"/>
      <c r="L1776" s="90" t="s">
        <v>471</v>
      </c>
      <c r="M1776" s="44"/>
      <c r="N1776" s="82"/>
      <c r="O1776" s="44"/>
      <c r="P1776" s="44"/>
      <c r="Q1776" s="44">
        <f>+Q1774</f>
        <v>8</v>
      </c>
      <c r="R1776" s="84">
        <f>+Q1776/R1766</f>
        <v>3.7037037037037</v>
      </c>
      <c r="S1776" s="47"/>
      <c r="T1776" s="47"/>
    </row>
    <row r="1777" s="27" customFormat="1" ht="18" customHeight="1" spans="1:20">
      <c r="A1777" s="34"/>
      <c r="B1777" s="48">
        <v>3</v>
      </c>
      <c r="C1777" s="48"/>
      <c r="D1777" s="115"/>
      <c r="E1777" s="63"/>
      <c r="F1777" s="116"/>
      <c r="G1777" s="115"/>
      <c r="H1777" s="117"/>
      <c r="I1777" s="117"/>
      <c r="J1777" s="118"/>
      <c r="K1777" s="92"/>
      <c r="L1777" s="90" t="s">
        <v>472</v>
      </c>
      <c r="M1777" s="44"/>
      <c r="N1777" s="82"/>
      <c r="O1777" s="44"/>
      <c r="P1777" s="44">
        <f>+P1772</f>
        <v>0</v>
      </c>
      <c r="Q1777" s="44">
        <f>+P1777</f>
        <v>0</v>
      </c>
      <c r="R1777" s="84">
        <f>+Q1777/R1766</f>
        <v>0</v>
      </c>
      <c r="S1777" s="47"/>
      <c r="T1777" s="47"/>
    </row>
    <row r="1778" s="27" customFormat="1" ht="18" customHeight="1" spans="1:20">
      <c r="A1778" s="34"/>
      <c r="B1778" s="48">
        <v>4</v>
      </c>
      <c r="C1778" s="48"/>
      <c r="D1778" s="85" t="s">
        <v>426</v>
      </c>
      <c r="E1778" s="48" t="s">
        <v>392</v>
      </c>
      <c r="F1778" s="50"/>
      <c r="G1778" s="48"/>
      <c r="H1778" s="86"/>
      <c r="I1778" s="86"/>
      <c r="J1778" s="95">
        <f>SUM(J1776:J1776)</f>
        <v>210</v>
      </c>
      <c r="K1778" s="92"/>
      <c r="L1778" s="90" t="s">
        <v>473</v>
      </c>
      <c r="M1778" s="44"/>
      <c r="N1778" s="82"/>
      <c r="O1778" s="44"/>
      <c r="P1778" s="44"/>
      <c r="Q1778" s="44">
        <f>+(Q1774)*3</f>
        <v>24</v>
      </c>
      <c r="R1778" s="84">
        <f>+Q1778/R1766</f>
        <v>11.1111111111111</v>
      </c>
      <c r="S1778" s="47"/>
      <c r="T1778" s="47"/>
    </row>
    <row r="1779" s="27" customFormat="1" ht="23" customHeight="1" spans="1:20">
      <c r="A1779" s="34"/>
      <c r="B1779" s="48">
        <v>1</v>
      </c>
      <c r="C1779" s="48" t="s">
        <v>394</v>
      </c>
      <c r="D1779" s="88" t="s">
        <v>431</v>
      </c>
      <c r="E1779" s="72" t="str">
        <f>+VLOOKUP(D1779,'材料表 '!C:F,2,0)</f>
        <v>kg</v>
      </c>
      <c r="F1779" s="77">
        <f>+SUMIF($L$1766:$L$1803,D1779,$R$1766:$R$1803)</f>
        <v>8.50833333333333</v>
      </c>
      <c r="G1779" s="89">
        <f>+VLOOKUP(D1779,'材料表 '!C:F,4,0)</f>
        <v>0.03</v>
      </c>
      <c r="H1779" s="74">
        <f t="shared" ref="H1779:H1790" si="299">F1779*(G1779+1)</f>
        <v>8.76358333333333</v>
      </c>
      <c r="I1779" s="74">
        <f>+VLOOKUP(D1779,'材料表 '!C:F,3,0)</f>
        <v>3.80530973451327</v>
      </c>
      <c r="J1779" s="95">
        <f t="shared" si="298"/>
        <v>33.3481489675516</v>
      </c>
      <c r="K1779" s="60">
        <f ca="1">H1779*K1765</f>
        <v>55.210575</v>
      </c>
      <c r="L1779" s="90"/>
      <c r="M1779" s="44"/>
      <c r="N1779" s="82"/>
      <c r="O1779" s="44"/>
      <c r="P1779" s="44"/>
      <c r="Q1779" s="44"/>
      <c r="R1779" s="84"/>
      <c r="S1779" s="47"/>
      <c r="T1779" s="47"/>
    </row>
    <row r="1780" s="27" customFormat="1" ht="18" customHeight="1" spans="1:20">
      <c r="A1780" s="34"/>
      <c r="B1780" s="48">
        <v>2</v>
      </c>
      <c r="C1780" s="48"/>
      <c r="D1780" s="88" t="s">
        <v>461</v>
      </c>
      <c r="E1780" s="72" t="str">
        <f>+VLOOKUP(D1780,'材料表 '!C:F,2,0)</f>
        <v>kg</v>
      </c>
      <c r="F1780" s="77">
        <f t="shared" ref="F1780:F1788" si="300">+SUMIF($L$1766:$L$1803,D1780,$R$1766:$R$1803)</f>
        <v>8.37777777777778</v>
      </c>
      <c r="G1780" s="89">
        <f>+VLOOKUP(D1780,'材料表 '!C:F,4,0)</f>
        <v>0.03</v>
      </c>
      <c r="H1780" s="74">
        <f t="shared" si="299"/>
        <v>8.62911111111111</v>
      </c>
      <c r="I1780" s="74">
        <f>+VLOOKUP(D1780,'材料表 '!C:F,3,0)</f>
        <v>3.53982300884956</v>
      </c>
      <c r="J1780" s="95">
        <f t="shared" si="298"/>
        <v>30.5455260570305</v>
      </c>
      <c r="K1780" s="60">
        <f ca="1">H1780*K1765</f>
        <v>54.3634</v>
      </c>
      <c r="L1780" s="90"/>
      <c r="M1780" s="44"/>
      <c r="N1780" s="82"/>
      <c r="O1780" s="44"/>
      <c r="P1780" s="44"/>
      <c r="Q1780" s="44"/>
      <c r="R1780" s="84"/>
      <c r="S1780" s="47"/>
      <c r="T1780" s="47"/>
    </row>
    <row r="1781" s="27" customFormat="1" ht="18" customHeight="1" spans="1:20">
      <c r="A1781" s="34"/>
      <c r="B1781" s="48">
        <v>3</v>
      </c>
      <c r="C1781" s="48"/>
      <c r="D1781" s="88" t="s">
        <v>465</v>
      </c>
      <c r="E1781" s="72" t="str">
        <f>+VLOOKUP(D1781,'材料表 '!C:F,2,0)</f>
        <v>kg</v>
      </c>
      <c r="F1781" s="77">
        <f t="shared" si="300"/>
        <v>1.3375</v>
      </c>
      <c r="G1781" s="89">
        <f>+VLOOKUP(D1781,'材料表 '!C:F,4,0)</f>
        <v>0.03</v>
      </c>
      <c r="H1781" s="74">
        <f t="shared" si="299"/>
        <v>1.377625</v>
      </c>
      <c r="I1781" s="74">
        <f>+VLOOKUP(D1781,'材料表 '!C:F,3,0)</f>
        <v>6.01769911504425</v>
      </c>
      <c r="J1781" s="95">
        <f t="shared" si="298"/>
        <v>8.29013274336283</v>
      </c>
      <c r="K1781" s="60">
        <f ca="1">H1781*K1765</f>
        <v>8.6790375</v>
      </c>
      <c r="L1781" s="90" t="s">
        <v>474</v>
      </c>
      <c r="M1781" s="44"/>
      <c r="N1781" s="82"/>
      <c r="O1781" s="44"/>
      <c r="P1781" s="44"/>
      <c r="Q1781" s="44">
        <f>+O1771*P1771*4</f>
        <v>16</v>
      </c>
      <c r="R1781" s="84">
        <f>+Q1781/R1766</f>
        <v>7.40740740740741</v>
      </c>
      <c r="S1781" s="47"/>
      <c r="T1781" s="47"/>
    </row>
    <row r="1782" s="27" customFormat="1" ht="18" customHeight="1" spans="1:20">
      <c r="A1782" s="34"/>
      <c r="B1782" s="48">
        <v>4</v>
      </c>
      <c r="C1782" s="48"/>
      <c r="D1782" s="88" t="s">
        <v>463</v>
      </c>
      <c r="E1782" s="72" t="str">
        <f>+VLOOKUP(D1782,'材料表 '!C:F,2,0)</f>
        <v>kg</v>
      </c>
      <c r="F1782" s="77">
        <f t="shared" si="300"/>
        <v>8.72222222222222</v>
      </c>
      <c r="G1782" s="89">
        <f>+VLOOKUP(D1782,'材料表 '!C:F,4,0)</f>
        <v>0.03</v>
      </c>
      <c r="H1782" s="74">
        <f t="shared" si="299"/>
        <v>8.98388888888889</v>
      </c>
      <c r="I1782" s="74">
        <f>+VLOOKUP(D1782,'材料表 '!C:F,3,0)</f>
        <v>6.01769911504425</v>
      </c>
      <c r="J1782" s="95">
        <f t="shared" si="298"/>
        <v>54.0623402163225</v>
      </c>
      <c r="K1782" s="60">
        <f ca="1">H1782*K1765</f>
        <v>56.5985</v>
      </c>
      <c r="L1782" s="90" t="s">
        <v>475</v>
      </c>
      <c r="M1782" s="44"/>
      <c r="N1782" s="83"/>
      <c r="O1782" s="82">
        <f>O1766</f>
        <v>2.4</v>
      </c>
      <c r="P1782" s="44">
        <f>0.371</f>
        <v>0.371</v>
      </c>
      <c r="Q1782" s="44">
        <f>+P1782*O1782</f>
        <v>0.8904</v>
      </c>
      <c r="R1782" s="84">
        <f>+Q1782/R1766</f>
        <v>0.412222222222222</v>
      </c>
      <c r="S1782" s="47"/>
      <c r="T1782" s="47"/>
    </row>
    <row r="1783" s="27" customFormat="1" ht="18" customHeight="1" spans="1:20">
      <c r="A1783" s="34"/>
      <c r="B1783" s="48">
        <v>5</v>
      </c>
      <c r="C1783" s="48"/>
      <c r="D1783" s="88" t="s">
        <v>469</v>
      </c>
      <c r="E1783" s="72" t="str">
        <f>+VLOOKUP(D1783,'材料表 '!C:F,2,0)</f>
        <v>套</v>
      </c>
      <c r="F1783" s="77">
        <f t="shared" si="300"/>
        <v>3.7037037037037</v>
      </c>
      <c r="G1783" s="89">
        <f>+VLOOKUP(D1783,'材料表 '!C:F,4,0)</f>
        <v>0</v>
      </c>
      <c r="H1783" s="74">
        <f t="shared" si="299"/>
        <v>3.7037037037037</v>
      </c>
      <c r="I1783" s="74">
        <f>+VLOOKUP(D1783,'材料表 '!C:F,3,0)</f>
        <v>5.30973451327434</v>
      </c>
      <c r="J1783" s="95">
        <f t="shared" si="298"/>
        <v>19.6656833824975</v>
      </c>
      <c r="K1783" s="60">
        <f ca="1">H1783*K1765</f>
        <v>23.3333333333333</v>
      </c>
      <c r="L1783" s="92" t="s">
        <v>476</v>
      </c>
      <c r="M1783" s="44"/>
      <c r="N1783" s="82"/>
      <c r="O1783" s="44"/>
      <c r="P1783" s="44"/>
      <c r="Q1783" s="44">
        <f>6*6*(O1766*2+P1766*10)/500</f>
        <v>0.9936</v>
      </c>
      <c r="R1783" s="84">
        <f>+Q1783/R1766</f>
        <v>0.46</v>
      </c>
      <c r="S1783" s="47"/>
      <c r="T1783" s="47"/>
    </row>
    <row r="1784" s="27" customFormat="1" ht="18" customHeight="1" spans="1:20">
      <c r="A1784" s="34"/>
      <c r="B1784" s="48">
        <v>7</v>
      </c>
      <c r="C1784" s="48"/>
      <c r="D1784" s="88" t="s">
        <v>471</v>
      </c>
      <c r="E1784" s="72" t="str">
        <f>+VLOOKUP(D1784,'材料表 '!C:F,2,0)</f>
        <v>套</v>
      </c>
      <c r="F1784" s="77">
        <f t="shared" si="300"/>
        <v>3.7037037037037</v>
      </c>
      <c r="G1784" s="89">
        <f>+VLOOKUP(D1784,'材料表 '!C:F,4,0)</f>
        <v>0</v>
      </c>
      <c r="H1784" s="74">
        <f t="shared" si="299"/>
        <v>3.7037037037037</v>
      </c>
      <c r="I1784" s="74">
        <f>+VLOOKUP(D1784,'材料表 '!C:F,3,0)</f>
        <v>1.32743362831858</v>
      </c>
      <c r="J1784" s="95">
        <f t="shared" si="298"/>
        <v>4.91642084562437</v>
      </c>
      <c r="K1784" s="60">
        <f ca="1">H1784*K1765</f>
        <v>23.3333333333333</v>
      </c>
      <c r="L1784" s="92"/>
      <c r="M1784" s="44"/>
      <c r="N1784" s="82"/>
      <c r="O1784" s="44"/>
      <c r="P1784" s="44"/>
      <c r="Q1784" s="44"/>
      <c r="R1784" s="84">
        <f>+Q1784/R1766</f>
        <v>0</v>
      </c>
      <c r="S1784" s="47"/>
      <c r="T1784" s="47"/>
    </row>
    <row r="1785" s="27" customFormat="1" ht="18" customHeight="1" spans="1:20">
      <c r="A1785" s="34"/>
      <c r="B1785" s="48">
        <v>8</v>
      </c>
      <c r="C1785" s="48"/>
      <c r="D1785" s="88" t="s">
        <v>472</v>
      </c>
      <c r="E1785" s="72" t="str">
        <f>+VLOOKUP(D1785,'材料表 '!C:F,2,0)</f>
        <v>套</v>
      </c>
      <c r="F1785" s="77">
        <f t="shared" si="300"/>
        <v>0</v>
      </c>
      <c r="G1785" s="89">
        <f>+VLOOKUP(D1785,'材料表 '!C:F,4,0)</f>
        <v>0</v>
      </c>
      <c r="H1785" s="74">
        <f t="shared" si="299"/>
        <v>0</v>
      </c>
      <c r="I1785" s="74">
        <f>+VLOOKUP(D1785,'材料表 '!C:F,3,0)</f>
        <v>2.47787610619469</v>
      </c>
      <c r="J1785" s="95">
        <f t="shared" si="298"/>
        <v>0</v>
      </c>
      <c r="K1785" s="60">
        <f ca="1">H1785*K1765</f>
        <v>0</v>
      </c>
      <c r="L1785" s="92"/>
      <c r="M1785" s="44"/>
      <c r="N1785" s="82"/>
      <c r="O1785" s="44"/>
      <c r="P1785" s="44"/>
      <c r="Q1785" s="44"/>
      <c r="R1785" s="84"/>
      <c r="S1785" s="47"/>
      <c r="T1785" s="47"/>
    </row>
    <row r="1786" s="27" customFormat="1" ht="18" customHeight="1" spans="1:20">
      <c r="A1786" s="34"/>
      <c r="B1786" s="48">
        <v>9</v>
      </c>
      <c r="C1786" s="48"/>
      <c r="D1786" s="88" t="s">
        <v>473</v>
      </c>
      <c r="E1786" s="72" t="str">
        <f>+VLOOKUP(D1786,'材料表 '!C:F,2,0)</f>
        <v>套</v>
      </c>
      <c r="F1786" s="77">
        <f t="shared" si="300"/>
        <v>11.1111111111111</v>
      </c>
      <c r="G1786" s="89">
        <f>+VLOOKUP(D1786,'材料表 '!C:F,4,0)</f>
        <v>0</v>
      </c>
      <c r="H1786" s="74">
        <f t="shared" si="299"/>
        <v>11.1111111111111</v>
      </c>
      <c r="I1786" s="74">
        <f>+VLOOKUP(D1786,'材料表 '!C:F,3,0)</f>
        <v>0.247787610619469</v>
      </c>
      <c r="J1786" s="95">
        <f t="shared" si="298"/>
        <v>2.75319567354965</v>
      </c>
      <c r="K1786" s="60">
        <f ca="1">H1786*K1765</f>
        <v>69.9999999999999</v>
      </c>
      <c r="L1786" s="90"/>
      <c r="M1786" s="44"/>
      <c r="N1786" s="82"/>
      <c r="O1786" s="34"/>
      <c r="P1786" s="44"/>
      <c r="Q1786" s="44"/>
      <c r="R1786" s="119"/>
      <c r="S1786" s="47"/>
      <c r="T1786" s="47"/>
    </row>
    <row r="1787" s="27" customFormat="1" ht="18" customHeight="1" spans="1:20">
      <c r="A1787" s="34"/>
      <c r="B1787" s="48">
        <v>10</v>
      </c>
      <c r="C1787" s="48"/>
      <c r="D1787" s="88" t="s">
        <v>474</v>
      </c>
      <c r="E1787" s="72" t="str">
        <f>+VLOOKUP(D1787,'材料表 '!C:F,2,0)</f>
        <v>套</v>
      </c>
      <c r="F1787" s="77">
        <f t="shared" si="300"/>
        <v>7.40740740740741</v>
      </c>
      <c r="G1787" s="89">
        <f>+VLOOKUP(D1787,'材料表 '!C:F,4,0)</f>
        <v>0</v>
      </c>
      <c r="H1787" s="74">
        <f t="shared" si="299"/>
        <v>7.40740740740741</v>
      </c>
      <c r="I1787" s="74">
        <f>+VLOOKUP(D1787,'材料表 '!C:F,3,0)</f>
        <v>2.21238938053097</v>
      </c>
      <c r="J1787" s="95">
        <f t="shared" si="298"/>
        <v>16.3880694854146</v>
      </c>
      <c r="K1787" s="60">
        <f ca="1">H1787*K1765</f>
        <v>46.6666666666667</v>
      </c>
      <c r="L1787" s="92"/>
      <c r="M1787" s="120"/>
      <c r="N1787" s="82"/>
      <c r="O1787" s="44"/>
      <c r="P1787" s="44"/>
      <c r="Q1787" s="44"/>
      <c r="R1787" s="84"/>
      <c r="S1787" s="47"/>
      <c r="T1787" s="47"/>
    </row>
    <row r="1788" s="27" customFormat="1" ht="18" customHeight="1" spans="1:20">
      <c r="A1788" s="34"/>
      <c r="B1788" s="48">
        <v>11</v>
      </c>
      <c r="C1788" s="48"/>
      <c r="D1788" s="88" t="s">
        <v>476</v>
      </c>
      <c r="E1788" s="72" t="str">
        <f>+VLOOKUP(D1788,'材料表 '!C:F,2,0)</f>
        <v>支</v>
      </c>
      <c r="F1788" s="77">
        <f t="shared" si="300"/>
        <v>0.46</v>
      </c>
      <c r="G1788" s="89">
        <f>+VLOOKUP(D1788,'材料表 '!C:F,4,0)</f>
        <v>0.15</v>
      </c>
      <c r="H1788" s="74">
        <f t="shared" si="299"/>
        <v>0.529</v>
      </c>
      <c r="I1788" s="74">
        <f>+VLOOKUP(D1788,'材料表 '!C:F,3,0)</f>
        <v>11.5044247787611</v>
      </c>
      <c r="J1788" s="95">
        <f t="shared" si="298"/>
        <v>6.08584070796462</v>
      </c>
      <c r="K1788" s="60">
        <f ca="1">H1788*K1765</f>
        <v>3.3327</v>
      </c>
      <c r="L1788" s="92"/>
      <c r="M1788" s="44"/>
      <c r="N1788" s="44"/>
      <c r="O1788" s="44"/>
      <c r="P1788" s="44"/>
      <c r="Q1788" s="44"/>
      <c r="R1788" s="84"/>
      <c r="S1788" s="47"/>
      <c r="T1788" s="47"/>
    </row>
    <row r="1789" s="27" customFormat="1" ht="18" customHeight="1" spans="1:20">
      <c r="A1789" s="34"/>
      <c r="B1789" s="48">
        <v>12</v>
      </c>
      <c r="C1789" s="48"/>
      <c r="D1789" s="88" t="s">
        <v>477</v>
      </c>
      <c r="E1789" s="72" t="str">
        <f>+VLOOKUP(D1789,'材料表 '!C:F,2,0)</f>
        <v>kg</v>
      </c>
      <c r="F1789" s="77">
        <v>0.2</v>
      </c>
      <c r="G1789" s="89">
        <f>+VLOOKUP(D1789,'材料表 '!C:F,4,0)</f>
        <v>0.15</v>
      </c>
      <c r="H1789" s="74">
        <f t="shared" si="299"/>
        <v>0.23</v>
      </c>
      <c r="I1789" s="74">
        <f>+VLOOKUP(D1789,'材料表 '!C:F,3,0)</f>
        <v>10.6194690265487</v>
      </c>
      <c r="J1789" s="95">
        <f t="shared" si="298"/>
        <v>2.4424778761062</v>
      </c>
      <c r="K1789" s="60">
        <f ca="1">H1789*K1765</f>
        <v>1.449</v>
      </c>
      <c r="L1789" s="92"/>
      <c r="M1789" s="44"/>
      <c r="N1789" s="44"/>
      <c r="O1789" s="44"/>
      <c r="P1789" s="44"/>
      <c r="Q1789" s="44"/>
      <c r="R1789" s="84"/>
      <c r="S1789" s="47"/>
      <c r="T1789" s="47"/>
    </row>
    <row r="1790" s="27" customFormat="1" ht="18" customHeight="1" spans="1:20">
      <c r="A1790" s="34"/>
      <c r="B1790" s="48">
        <v>13</v>
      </c>
      <c r="C1790" s="48"/>
      <c r="D1790" s="88"/>
      <c r="E1790" s="72"/>
      <c r="F1790" s="77"/>
      <c r="G1790" s="89"/>
      <c r="H1790" s="74"/>
      <c r="I1790" s="74"/>
      <c r="J1790" s="95"/>
      <c r="K1790" s="60">
        <f ca="1">H1790*K1765</f>
        <v>0</v>
      </c>
      <c r="L1790" s="92"/>
      <c r="M1790" s="44"/>
      <c r="N1790" s="44"/>
      <c r="O1790" s="44"/>
      <c r="P1790" s="44"/>
      <c r="Q1790" s="44"/>
      <c r="R1790" s="84"/>
      <c r="S1790" s="47"/>
      <c r="T1790" s="47"/>
    </row>
    <row r="1791" s="27" customFormat="1" ht="29" customHeight="1" spans="1:20">
      <c r="A1791" s="34"/>
      <c r="B1791" s="48">
        <v>14</v>
      </c>
      <c r="C1791" s="48"/>
      <c r="D1791" s="88" t="s">
        <v>288</v>
      </c>
      <c r="E1791" s="72" t="str">
        <f>+VLOOKUP(D1791,'材料表 '!C:F,2,0)</f>
        <v>m2</v>
      </c>
      <c r="F1791" s="77">
        <v>1</v>
      </c>
      <c r="G1791" s="89">
        <f>+VLOOKUP(D1791,'材料表 '!C:F,4,0)</f>
        <v>0.06</v>
      </c>
      <c r="H1791" s="74">
        <f>F1791*(G1791+1)</f>
        <v>1.06</v>
      </c>
      <c r="I1791" s="74">
        <f>+VLOOKUP(D1791,'材料表 '!C:F,3,0)</f>
        <v>553.097345132743</v>
      </c>
      <c r="J1791" s="95">
        <f>H1791*I1791</f>
        <v>586.283185840708</v>
      </c>
      <c r="K1791" s="60">
        <f ca="1">H1791*K1765</f>
        <v>6.678</v>
      </c>
      <c r="L1791" s="92"/>
      <c r="M1791" s="44"/>
      <c r="N1791" s="44"/>
      <c r="O1791" s="44"/>
      <c r="P1791" s="44"/>
      <c r="Q1791" s="44"/>
      <c r="R1791" s="84"/>
      <c r="S1791" s="47"/>
      <c r="T1791" s="47"/>
    </row>
    <row r="1792" s="27" customFormat="1" ht="18" customHeight="1" spans="1:20">
      <c r="A1792" s="34"/>
      <c r="B1792" s="48">
        <v>15</v>
      </c>
      <c r="C1792" s="48"/>
      <c r="D1792" s="88"/>
      <c r="E1792" s="72"/>
      <c r="F1792" s="77"/>
      <c r="G1792" s="89"/>
      <c r="H1792" s="74"/>
      <c r="I1792" s="74"/>
      <c r="J1792" s="95"/>
      <c r="K1792" s="92"/>
      <c r="L1792" s="92"/>
      <c r="M1792" s="44"/>
      <c r="N1792" s="44"/>
      <c r="O1792" s="44"/>
      <c r="P1792" s="44"/>
      <c r="Q1792" s="44"/>
      <c r="R1792" s="84"/>
      <c r="S1792" s="47"/>
      <c r="T1792" s="47"/>
    </row>
    <row r="1793" s="27" customFormat="1" ht="18" customHeight="1" spans="1:20">
      <c r="A1793" s="34"/>
      <c r="B1793" s="48">
        <v>16</v>
      </c>
      <c r="C1793" s="48"/>
      <c r="D1793" s="88"/>
      <c r="E1793" s="72"/>
      <c r="F1793" s="77"/>
      <c r="G1793" s="89"/>
      <c r="H1793" s="74"/>
      <c r="I1793" s="74"/>
      <c r="J1793" s="95"/>
      <c r="K1793" s="92"/>
      <c r="L1793" s="92"/>
      <c r="M1793" s="44"/>
      <c r="N1793" s="44"/>
      <c r="O1793" s="44"/>
      <c r="P1793" s="44"/>
      <c r="Q1793" s="44"/>
      <c r="R1793" s="84"/>
      <c r="S1793" s="47"/>
      <c r="T1793" s="47"/>
    </row>
    <row r="1794" s="27" customFormat="1" ht="18" customHeight="1" spans="1:20">
      <c r="A1794" s="34"/>
      <c r="B1794" s="48">
        <v>17</v>
      </c>
      <c r="C1794" s="48"/>
      <c r="D1794" s="121"/>
      <c r="E1794" s="72"/>
      <c r="F1794" s="77"/>
      <c r="G1794" s="89"/>
      <c r="H1794" s="74"/>
      <c r="I1794" s="74"/>
      <c r="J1794" s="95"/>
      <c r="K1794" s="92"/>
      <c r="L1794" s="92"/>
      <c r="M1794" s="44"/>
      <c r="N1794" s="44"/>
      <c r="O1794" s="44"/>
      <c r="P1794" s="44"/>
      <c r="Q1794" s="101"/>
      <c r="R1794" s="84"/>
      <c r="S1794" s="47"/>
      <c r="T1794" s="47"/>
    </row>
    <row r="1795" s="27" customFormat="1" ht="18" customHeight="1" spans="1:20">
      <c r="A1795" s="34"/>
      <c r="B1795" s="48">
        <v>18</v>
      </c>
      <c r="C1795" s="48"/>
      <c r="D1795" s="88"/>
      <c r="E1795" s="72"/>
      <c r="F1795" s="77"/>
      <c r="G1795" s="89"/>
      <c r="H1795" s="74"/>
      <c r="I1795" s="74"/>
      <c r="J1795" s="95"/>
      <c r="K1795" s="92"/>
      <c r="L1795" s="92"/>
      <c r="M1795" s="44"/>
      <c r="N1795" s="44"/>
      <c r="O1795" s="44"/>
      <c r="P1795" s="44"/>
      <c r="Q1795" s="44"/>
      <c r="R1795" s="84"/>
      <c r="S1795" s="47"/>
      <c r="T1795" s="47"/>
    </row>
    <row r="1796" s="27" customFormat="1" ht="18" customHeight="1" spans="1:20">
      <c r="A1796" s="34"/>
      <c r="B1796" s="48">
        <v>19</v>
      </c>
      <c r="C1796" s="48"/>
      <c r="D1796" s="27"/>
      <c r="E1796" s="72"/>
      <c r="F1796" s="77"/>
      <c r="G1796" s="89"/>
      <c r="H1796" s="74"/>
      <c r="I1796" s="74"/>
      <c r="J1796" s="95"/>
      <c r="K1796" s="92"/>
      <c r="L1796" s="92"/>
      <c r="M1796" s="44"/>
      <c r="N1796" s="44"/>
      <c r="O1796" s="44"/>
      <c r="P1796" s="44"/>
      <c r="Q1796" s="44"/>
      <c r="R1796" s="84"/>
      <c r="S1796" s="47"/>
      <c r="T1796" s="47"/>
    </row>
    <row r="1797" s="27" customFormat="1" ht="18" customHeight="1" spans="1:20">
      <c r="A1797" s="34"/>
      <c r="B1797" s="48">
        <v>20</v>
      </c>
      <c r="C1797" s="48"/>
      <c r="D1797" s="88"/>
      <c r="E1797" s="72"/>
      <c r="F1797" s="77"/>
      <c r="G1797" s="89"/>
      <c r="H1797" s="74"/>
      <c r="I1797" s="74"/>
      <c r="J1797" s="95"/>
      <c r="K1797" s="92"/>
      <c r="L1797" s="92"/>
      <c r="M1797" s="44"/>
      <c r="N1797" s="44"/>
      <c r="O1797" s="44"/>
      <c r="P1797" s="44"/>
      <c r="Q1797" s="44"/>
      <c r="R1797" s="84"/>
      <c r="S1797" s="47"/>
      <c r="T1797" s="47"/>
    </row>
    <row r="1798" s="27" customFormat="1" ht="18" customHeight="1" spans="1:20">
      <c r="A1798" s="34"/>
      <c r="B1798" s="48">
        <v>21</v>
      </c>
      <c r="C1798" s="48"/>
      <c r="D1798" s="88"/>
      <c r="E1798" s="72"/>
      <c r="F1798" s="77"/>
      <c r="G1798" s="89"/>
      <c r="H1798" s="74"/>
      <c r="I1798" s="74"/>
      <c r="J1798" s="95"/>
      <c r="K1798" s="92"/>
      <c r="L1798" s="92"/>
      <c r="M1798" s="44"/>
      <c r="N1798" s="44"/>
      <c r="O1798" s="44"/>
      <c r="P1798" s="44"/>
      <c r="Q1798" s="44"/>
      <c r="R1798" s="84"/>
      <c r="S1798" s="47"/>
      <c r="T1798" s="47"/>
    </row>
    <row r="1799" s="27" customFormat="1" ht="18" customHeight="1" spans="1:20">
      <c r="A1799" s="34"/>
      <c r="B1799" s="48">
        <v>22</v>
      </c>
      <c r="C1799" s="48"/>
      <c r="D1799" s="27"/>
      <c r="E1799" s="72"/>
      <c r="F1799" s="77"/>
      <c r="G1799" s="72"/>
      <c r="H1799" s="74"/>
      <c r="I1799" s="74"/>
      <c r="J1799" s="95"/>
      <c r="K1799" s="92"/>
      <c r="L1799" s="92"/>
      <c r="M1799" s="44"/>
      <c r="N1799" s="44"/>
      <c r="O1799" s="44"/>
      <c r="P1799" s="44"/>
      <c r="Q1799" s="44"/>
      <c r="R1799" s="62"/>
      <c r="S1799" s="47"/>
      <c r="T1799" s="47"/>
    </row>
    <row r="1800" s="27" customFormat="1" ht="18" customHeight="1" spans="1:20">
      <c r="A1800" s="34"/>
      <c r="B1800" s="48">
        <v>23</v>
      </c>
      <c r="C1800" s="48"/>
      <c r="D1800" s="88"/>
      <c r="E1800" s="72"/>
      <c r="F1800" s="77"/>
      <c r="G1800" s="89"/>
      <c r="H1800" s="74"/>
      <c r="I1800" s="74"/>
      <c r="J1800" s="95"/>
      <c r="K1800" s="92"/>
      <c r="L1800" s="92"/>
      <c r="M1800" s="44"/>
      <c r="N1800" s="44"/>
      <c r="O1800" s="44"/>
      <c r="P1800" s="44"/>
      <c r="Q1800" s="44"/>
      <c r="R1800" s="62"/>
      <c r="S1800" s="47"/>
      <c r="T1800" s="47"/>
    </row>
    <row r="1801" s="27" customFormat="1" ht="18" customHeight="1" spans="1:20">
      <c r="A1801" s="34"/>
      <c r="B1801" s="48">
        <v>24</v>
      </c>
      <c r="C1801" s="48"/>
      <c r="D1801" s="88" t="s">
        <v>478</v>
      </c>
      <c r="E1801" s="72" t="s">
        <v>43</v>
      </c>
      <c r="F1801" s="77"/>
      <c r="G1801" s="72">
        <v>1</v>
      </c>
      <c r="H1801" s="74">
        <v>1</v>
      </c>
      <c r="I1801" s="74">
        <f>+辅材及安装费!$E$8</f>
        <v>10</v>
      </c>
      <c r="J1801" s="95">
        <f>H1801*I1801</f>
        <v>10</v>
      </c>
      <c r="K1801" s="92"/>
      <c r="L1801" s="92"/>
      <c r="M1801" s="44"/>
      <c r="N1801" s="44"/>
      <c r="O1801" s="44"/>
      <c r="P1801" s="44"/>
      <c r="Q1801" s="44"/>
      <c r="R1801" s="62"/>
      <c r="S1801" s="47"/>
      <c r="T1801" s="47"/>
    </row>
    <row r="1802" s="27" customFormat="1" ht="18" customHeight="1" spans="1:20">
      <c r="A1802" s="34"/>
      <c r="B1802" s="48">
        <v>25</v>
      </c>
      <c r="C1802" s="48"/>
      <c r="D1802" s="93" t="s">
        <v>442</v>
      </c>
      <c r="E1802" s="72"/>
      <c r="F1802" s="77"/>
      <c r="G1802" s="72"/>
      <c r="H1802" s="74"/>
      <c r="I1802" s="74"/>
      <c r="J1802" s="95">
        <f>SUM(J1779:J1801)</f>
        <v>774.781021796132</v>
      </c>
      <c r="K1802" s="92"/>
      <c r="L1802" s="94"/>
      <c r="M1802" s="27"/>
      <c r="N1802" s="83"/>
      <c r="O1802" s="83"/>
      <c r="P1802" s="83"/>
      <c r="Q1802" s="83"/>
      <c r="R1802" s="87"/>
      <c r="S1802" s="47"/>
      <c r="T1802" s="47"/>
    </row>
    <row r="1803" s="27" customFormat="1" ht="18" customHeight="1" spans="1:20">
      <c r="A1803" s="34"/>
      <c r="B1803" s="48">
        <v>1</v>
      </c>
      <c r="C1803" s="48" t="s">
        <v>443</v>
      </c>
      <c r="D1803" s="48" t="s">
        <v>444</v>
      </c>
      <c r="E1803" s="72" t="s">
        <v>43</v>
      </c>
      <c r="F1803" s="50"/>
      <c r="G1803" s="48"/>
      <c r="H1803" s="51">
        <v>1</v>
      </c>
      <c r="I1803" s="74">
        <f>+辅材及安装费!$F$8</f>
        <v>5</v>
      </c>
      <c r="J1803" s="95">
        <f>H1803*I1803</f>
        <v>5</v>
      </c>
      <c r="K1803" s="118"/>
      <c r="L1803" s="96"/>
      <c r="M1803" s="97"/>
      <c r="N1803" s="98"/>
      <c r="O1803" s="98"/>
      <c r="P1803" s="98"/>
      <c r="Q1803" s="98"/>
      <c r="R1803" s="99"/>
      <c r="S1803" s="47"/>
      <c r="T1803" s="47"/>
    </row>
    <row r="1804" s="26" customFormat="1" ht="30" customHeight="1" spans="1:20">
      <c r="A1804" s="28"/>
      <c r="B1804" s="29" t="s">
        <v>386</v>
      </c>
      <c r="C1804" s="29"/>
      <c r="D1804" s="29"/>
      <c r="E1804" s="29"/>
      <c r="F1804" s="29"/>
      <c r="G1804" s="29"/>
      <c r="H1804" s="29"/>
      <c r="I1804" s="29"/>
      <c r="J1804" s="29"/>
      <c r="K1804" s="29"/>
      <c r="L1804" s="30"/>
      <c r="M1804" s="31"/>
      <c r="N1804" s="31"/>
      <c r="O1804" s="31"/>
      <c r="P1804" s="31"/>
      <c r="Q1804" s="31"/>
      <c r="R1804" s="32"/>
      <c r="S1804" s="33"/>
      <c r="T1804" s="33"/>
    </row>
    <row r="1805" s="27" customFormat="1" ht="33.75" customHeight="1" spans="1:20">
      <c r="A1805" s="34">
        <v>2</v>
      </c>
      <c r="B1805" s="35" t="s">
        <v>1</v>
      </c>
      <c r="C1805" s="35" t="s">
        <v>387</v>
      </c>
      <c r="D1805" s="36" t="str">
        <f>+A1813</f>
        <v>30mm厚光面贝金米黄石材</v>
      </c>
      <c r="E1805" s="37"/>
      <c r="F1805" s="38" t="s">
        <v>99</v>
      </c>
      <c r="G1805" s="39"/>
      <c r="H1805" s="35" t="s">
        <v>388</v>
      </c>
      <c r="I1805" s="40" t="s">
        <v>389</v>
      </c>
      <c r="J1805" s="41" t="s">
        <v>37</v>
      </c>
      <c r="K1805" s="122">
        <f ca="1">VLOOKUP(A1805,'商业工程量清单 '!$A$47:$D$58,4,FALSE)</f>
        <v>442.04052</v>
      </c>
      <c r="L1805" s="43"/>
      <c r="M1805" s="44"/>
      <c r="N1805" s="44"/>
      <c r="O1805" s="44"/>
      <c r="P1805" s="45"/>
      <c r="Q1805" s="44"/>
      <c r="R1805" s="46"/>
      <c r="S1805" s="47"/>
      <c r="T1805" s="47"/>
    </row>
    <row r="1806" s="27" customFormat="1" ht="18" customHeight="1" spans="1:20">
      <c r="A1806" s="34"/>
      <c r="B1806" s="48">
        <v>1</v>
      </c>
      <c r="C1806" s="49" t="s">
        <v>390</v>
      </c>
      <c r="D1806" s="48" t="s">
        <v>391</v>
      </c>
      <c r="E1806" s="48"/>
      <c r="F1806" s="50"/>
      <c r="G1806" s="48"/>
      <c r="H1806" s="51"/>
      <c r="I1806" s="52">
        <f>J1818</f>
        <v>210</v>
      </c>
      <c r="J1806" s="53" t="s">
        <v>392</v>
      </c>
      <c r="K1806" s="54"/>
      <c r="L1806" s="55"/>
      <c r="M1806" s="56"/>
      <c r="N1806" s="57"/>
      <c r="O1806" s="57">
        <v>6.1</v>
      </c>
      <c r="P1806" s="57">
        <v>3.1</v>
      </c>
      <c r="Q1806" s="57">
        <v>1</v>
      </c>
      <c r="R1806" s="58">
        <f>+Q1806*P1806*O1806</f>
        <v>18.91</v>
      </c>
      <c r="S1806" s="47"/>
      <c r="T1806" s="47"/>
    </row>
    <row r="1807" s="27" customFormat="1" ht="18" customHeight="1" spans="1:20">
      <c r="A1807" s="34"/>
      <c r="B1807" s="48">
        <v>2</v>
      </c>
      <c r="C1807" s="59"/>
      <c r="D1807" s="48" t="s">
        <v>394</v>
      </c>
      <c r="E1807" s="48"/>
      <c r="F1807" s="50"/>
      <c r="G1807" s="48"/>
      <c r="H1807" s="51"/>
      <c r="I1807" s="52">
        <f>J1842</f>
        <v>961.13420061493</v>
      </c>
      <c r="J1807" s="53" t="s">
        <v>392</v>
      </c>
      <c r="K1807" s="60"/>
      <c r="L1807" s="61" t="s">
        <v>99</v>
      </c>
      <c r="M1807" s="44"/>
      <c r="N1807" s="44"/>
      <c r="O1807" s="44"/>
      <c r="P1807" s="44"/>
      <c r="Q1807" s="44"/>
      <c r="R1807" s="62"/>
      <c r="S1807" s="47"/>
      <c r="T1807" s="47"/>
    </row>
    <row r="1808" s="27" customFormat="1" ht="18" customHeight="1" spans="1:20">
      <c r="A1808" s="34"/>
      <c r="B1808" s="48">
        <v>3</v>
      </c>
      <c r="C1808" s="63"/>
      <c r="D1808" s="48" t="s">
        <v>395</v>
      </c>
      <c r="E1808" s="48"/>
      <c r="F1808" s="50"/>
      <c r="G1808" s="48"/>
      <c r="H1808" s="51"/>
      <c r="I1808" s="52">
        <f>J1843</f>
        <v>5</v>
      </c>
      <c r="J1808" s="53" t="s">
        <v>392</v>
      </c>
      <c r="K1808" s="60"/>
      <c r="L1808" s="60"/>
      <c r="M1808" s="64" t="s">
        <v>396</v>
      </c>
      <c r="N1808" s="65" t="s">
        <v>397</v>
      </c>
      <c r="O1808" s="65" t="s">
        <v>398</v>
      </c>
      <c r="P1808" s="65" t="s">
        <v>399</v>
      </c>
      <c r="Q1808" s="65" t="s">
        <v>400</v>
      </c>
      <c r="R1808" s="66" t="s">
        <v>401</v>
      </c>
      <c r="S1808" s="47"/>
      <c r="T1808" s="47"/>
    </row>
    <row r="1809" s="27" customFormat="1" ht="18" customHeight="1" spans="1:20">
      <c r="A1809" s="34"/>
      <c r="B1809" s="48">
        <v>4</v>
      </c>
      <c r="C1809" s="48" t="s">
        <v>402</v>
      </c>
      <c r="D1809" s="67" t="s">
        <v>403</v>
      </c>
      <c r="E1809" s="67"/>
      <c r="F1809" s="50"/>
      <c r="G1809" s="67"/>
      <c r="H1809" s="68"/>
      <c r="I1809" s="52">
        <f>SUM(I1806:I1808)</f>
        <v>1176.13420061493</v>
      </c>
      <c r="J1809" s="53" t="s">
        <v>392</v>
      </c>
      <c r="K1809" s="60"/>
      <c r="L1809" s="69" t="s">
        <v>431</v>
      </c>
      <c r="M1809" s="34" t="s">
        <v>460</v>
      </c>
      <c r="N1809" s="102">
        <v>10.21</v>
      </c>
      <c r="O1809" s="34">
        <f>+P1806</f>
        <v>3.1</v>
      </c>
      <c r="P1809" s="34">
        <v>7</v>
      </c>
      <c r="Q1809" s="44">
        <f t="shared" ref="Q1809:Q1813" si="301">+P1809*O1809*N1809</f>
        <v>221.557</v>
      </c>
      <c r="R1809" s="71">
        <f>+Q1809/R1806</f>
        <v>11.716393442623</v>
      </c>
      <c r="S1809" s="47"/>
      <c r="T1809" s="47"/>
    </row>
    <row r="1810" s="27" customFormat="1" ht="28" customHeight="1" spans="1:20">
      <c r="A1810" s="34"/>
      <c r="B1810" s="48">
        <v>5</v>
      </c>
      <c r="C1810" s="72" t="s">
        <v>406</v>
      </c>
      <c r="D1810" s="48" t="s">
        <v>407</v>
      </c>
      <c r="E1810" s="48"/>
      <c r="F1810" s="50"/>
      <c r="G1810" s="48"/>
      <c r="H1810" s="73">
        <f>+'材料表 '!$E$178</f>
        <v>0</v>
      </c>
      <c r="I1810" s="52">
        <f>H1810*I1809</f>
        <v>0</v>
      </c>
      <c r="J1810" s="53" t="s">
        <v>392</v>
      </c>
      <c r="K1810" s="60"/>
      <c r="L1810" s="69" t="s">
        <v>461</v>
      </c>
      <c r="M1810" s="34" t="s">
        <v>462</v>
      </c>
      <c r="N1810" s="34">
        <v>3.77</v>
      </c>
      <c r="O1810" s="34">
        <f>+O1806</f>
        <v>6.1</v>
      </c>
      <c r="P1810" s="34">
        <v>10</v>
      </c>
      <c r="Q1810" s="44">
        <f t="shared" si="301"/>
        <v>229.97</v>
      </c>
      <c r="R1810" s="71">
        <f>+Q1810/R1806</f>
        <v>12.1612903225806</v>
      </c>
      <c r="S1810" s="47"/>
      <c r="T1810" s="47"/>
    </row>
    <row r="1811" s="27" customFormat="1" ht="18" customHeight="1" spans="1:20">
      <c r="A1811" s="34"/>
      <c r="B1811" s="48">
        <v>6</v>
      </c>
      <c r="C1811" s="48" t="s">
        <v>409</v>
      </c>
      <c r="D1811" s="48" t="s">
        <v>410</v>
      </c>
      <c r="E1811" s="48"/>
      <c r="F1811" s="50"/>
      <c r="G1811" s="48"/>
      <c r="H1811" s="73">
        <f>+'材料表 '!$E$179</f>
        <v>0</v>
      </c>
      <c r="I1811" s="52">
        <f>H1811*I1809</f>
        <v>0</v>
      </c>
      <c r="J1811" s="53" t="s">
        <v>392</v>
      </c>
      <c r="K1811" s="60"/>
      <c r="L1811" s="69" t="s">
        <v>463</v>
      </c>
      <c r="M1811" s="34" t="s">
        <v>490</v>
      </c>
      <c r="N1811" s="34">
        <f>0.3*0.2*7.85*10</f>
        <v>4.71</v>
      </c>
      <c r="O1811" s="34">
        <v>2</v>
      </c>
      <c r="P1811" s="34">
        <f>+P1809</f>
        <v>7</v>
      </c>
      <c r="Q1811" s="44">
        <f t="shared" si="301"/>
        <v>65.94</v>
      </c>
      <c r="R1811" s="71">
        <f>+Q1811/R1806</f>
        <v>3.48704389212057</v>
      </c>
      <c r="S1811" s="47"/>
      <c r="T1811" s="47"/>
    </row>
    <row r="1812" s="27" customFormat="1" ht="18" customHeight="1" spans="1:20">
      <c r="A1812" s="34"/>
      <c r="B1812" s="48">
        <v>7</v>
      </c>
      <c r="C1812" s="48" t="s">
        <v>412</v>
      </c>
      <c r="D1812" s="72" t="s">
        <v>413</v>
      </c>
      <c r="E1812" s="72"/>
      <c r="F1812" s="77"/>
      <c r="G1812" s="72"/>
      <c r="H1812" s="73">
        <f>+'材料表 '!$E$180</f>
        <v>0.09</v>
      </c>
      <c r="I1812" s="52">
        <f>(I1809+I1810+I1811)*H1812</f>
        <v>105.852078055344</v>
      </c>
      <c r="J1812" s="53" t="s">
        <v>392</v>
      </c>
      <c r="K1812" s="60"/>
      <c r="L1812" s="69" t="s">
        <v>465</v>
      </c>
      <c r="M1812" s="34" t="s">
        <v>466</v>
      </c>
      <c r="N1812" s="100">
        <f>3.77</f>
        <v>3.77</v>
      </c>
      <c r="O1812" s="34">
        <v>0.155</v>
      </c>
      <c r="P1812" s="34">
        <v>0</v>
      </c>
      <c r="Q1812" s="44">
        <f t="shared" si="301"/>
        <v>0</v>
      </c>
      <c r="R1812" s="71">
        <f>+Q1812/R1806</f>
        <v>0</v>
      </c>
      <c r="S1812" s="47"/>
      <c r="T1812" s="47"/>
    </row>
    <row r="1813" s="27" customFormat="1" ht="18" customHeight="1" spans="1:20">
      <c r="A1813" s="105" t="s">
        <v>289</v>
      </c>
      <c r="B1813" s="48">
        <v>8</v>
      </c>
      <c r="C1813" s="48" t="s">
        <v>363</v>
      </c>
      <c r="D1813" s="106" t="s">
        <v>415</v>
      </c>
      <c r="E1813" s="107"/>
      <c r="F1813" s="108"/>
      <c r="G1813" s="107"/>
      <c r="H1813" s="51"/>
      <c r="I1813" s="74">
        <f>SUM(I1809:I1812)</f>
        <v>1281.98627867027</v>
      </c>
      <c r="J1813" s="53" t="s">
        <v>416</v>
      </c>
      <c r="K1813" s="60"/>
      <c r="L1813" s="69" t="s">
        <v>465</v>
      </c>
      <c r="M1813" s="44" t="s">
        <v>468</v>
      </c>
      <c r="N1813" s="82">
        <v>5.778</v>
      </c>
      <c r="O1813" s="44">
        <v>0.125</v>
      </c>
      <c r="P1813" s="44">
        <f>+P1809*2</f>
        <v>14</v>
      </c>
      <c r="Q1813" s="44">
        <f t="shared" si="301"/>
        <v>10.1115</v>
      </c>
      <c r="R1813" s="84">
        <f>+Q1813/R1806</f>
        <v>0.534717080909572</v>
      </c>
      <c r="S1813" s="79"/>
      <c r="T1813" s="47"/>
    </row>
    <row r="1814" s="27" customFormat="1" ht="18" customHeight="1" spans="1:20">
      <c r="A1814" s="34"/>
      <c r="B1814" s="109" t="s">
        <v>418</v>
      </c>
      <c r="C1814" s="110"/>
      <c r="D1814" s="110"/>
      <c r="E1814" s="110"/>
      <c r="F1814" s="110"/>
      <c r="G1814" s="110"/>
      <c r="H1814" s="110"/>
      <c r="I1814" s="110"/>
      <c r="J1814" s="110"/>
      <c r="K1814" s="80"/>
      <c r="L1814" s="90" t="s">
        <v>469</v>
      </c>
      <c r="M1814" s="44"/>
      <c r="N1814" s="82"/>
      <c r="O1814" s="44">
        <f>22*4</f>
        <v>88</v>
      </c>
      <c r="P1814" s="44">
        <v>1</v>
      </c>
      <c r="Q1814" s="44">
        <f>+P1814*O1814</f>
        <v>88</v>
      </c>
      <c r="R1814" s="84">
        <f>+Q1814/R1806</f>
        <v>4.65362242199894</v>
      </c>
      <c r="S1814" s="47"/>
      <c r="T1814" s="47"/>
    </row>
    <row r="1815" s="27" customFormat="1" ht="18" customHeight="1" spans="1:20">
      <c r="A1815" s="34"/>
      <c r="B1815" s="48">
        <v>1</v>
      </c>
      <c r="C1815" s="48" t="s">
        <v>391</v>
      </c>
      <c r="D1815" s="48" t="s">
        <v>396</v>
      </c>
      <c r="E1815" s="48" t="s">
        <v>37</v>
      </c>
      <c r="F1815" s="50"/>
      <c r="G1815" s="48"/>
      <c r="H1815" s="51" t="s">
        <v>399</v>
      </c>
      <c r="I1815" s="51" t="s">
        <v>420</v>
      </c>
      <c r="J1815" s="95" t="s">
        <v>421</v>
      </c>
      <c r="K1815" s="92"/>
      <c r="L1815" s="90"/>
      <c r="M1815" s="44"/>
      <c r="N1815" s="82"/>
      <c r="O1815" s="44"/>
      <c r="P1815" s="44"/>
      <c r="Q1815" s="44"/>
      <c r="R1815" s="84"/>
      <c r="S1815" s="47"/>
      <c r="T1815" s="47"/>
    </row>
    <row r="1816" s="27" customFormat="1" ht="18" customHeight="1" spans="1:20">
      <c r="A1816" s="34"/>
      <c r="B1816" s="48">
        <v>2</v>
      </c>
      <c r="C1816" s="48"/>
      <c r="D1816" s="111" t="s">
        <v>470</v>
      </c>
      <c r="E1816" s="49" t="s">
        <v>423</v>
      </c>
      <c r="F1816" s="112"/>
      <c r="G1816" s="111"/>
      <c r="H1816" s="113">
        <v>1</v>
      </c>
      <c r="I1816" s="113">
        <f>+辅材及安装费!$G$8</f>
        <v>210</v>
      </c>
      <c r="J1816" s="114">
        <f t="shared" ref="J1816:J1829" si="302">H1816*I1816</f>
        <v>210</v>
      </c>
      <c r="K1816" s="92"/>
      <c r="L1816" s="90" t="s">
        <v>471</v>
      </c>
      <c r="M1816" s="44"/>
      <c r="N1816" s="82"/>
      <c r="O1816" s="44"/>
      <c r="P1816" s="44"/>
      <c r="Q1816" s="44">
        <f>+Q1814</f>
        <v>88</v>
      </c>
      <c r="R1816" s="84">
        <f>+Q1816/R1806</f>
        <v>4.65362242199894</v>
      </c>
      <c r="S1816" s="47"/>
      <c r="T1816" s="47"/>
    </row>
    <row r="1817" s="27" customFormat="1" ht="18" customHeight="1" spans="1:20">
      <c r="A1817" s="34"/>
      <c r="B1817" s="48">
        <v>3</v>
      </c>
      <c r="C1817" s="48"/>
      <c r="D1817" s="115"/>
      <c r="E1817" s="63"/>
      <c r="F1817" s="116"/>
      <c r="G1817" s="115"/>
      <c r="H1817" s="117"/>
      <c r="I1817" s="117"/>
      <c r="J1817" s="118"/>
      <c r="K1817" s="92"/>
      <c r="L1817" s="90" t="s">
        <v>472</v>
      </c>
      <c r="M1817" s="44"/>
      <c r="N1817" s="82"/>
      <c r="O1817" s="44"/>
      <c r="P1817" s="44">
        <f>+P1812</f>
        <v>0</v>
      </c>
      <c r="Q1817" s="44">
        <f>+P1817</f>
        <v>0</v>
      </c>
      <c r="R1817" s="84">
        <f>+Q1817/R1806</f>
        <v>0</v>
      </c>
      <c r="S1817" s="47"/>
      <c r="T1817" s="47"/>
    </row>
    <row r="1818" s="27" customFormat="1" ht="18" customHeight="1" spans="1:20">
      <c r="A1818" s="34"/>
      <c r="B1818" s="48">
        <v>4</v>
      </c>
      <c r="C1818" s="48"/>
      <c r="D1818" s="85" t="s">
        <v>426</v>
      </c>
      <c r="E1818" s="48" t="s">
        <v>392</v>
      </c>
      <c r="F1818" s="50"/>
      <c r="G1818" s="48"/>
      <c r="H1818" s="86"/>
      <c r="I1818" s="86"/>
      <c r="J1818" s="95">
        <f>SUM(J1816:J1816)</f>
        <v>210</v>
      </c>
      <c r="K1818" s="92"/>
      <c r="L1818" s="90" t="s">
        <v>473</v>
      </c>
      <c r="M1818" s="44"/>
      <c r="N1818" s="82"/>
      <c r="O1818" s="44"/>
      <c r="P1818" s="44"/>
      <c r="Q1818" s="44">
        <f>+(Q1814)*3</f>
        <v>264</v>
      </c>
      <c r="R1818" s="84">
        <f>+Q1818/R1806</f>
        <v>13.9608672659968</v>
      </c>
      <c r="S1818" s="47"/>
      <c r="T1818" s="47"/>
    </row>
    <row r="1819" s="27" customFormat="1" ht="23" customHeight="1" spans="1:20">
      <c r="A1819" s="34"/>
      <c r="B1819" s="48">
        <v>1</v>
      </c>
      <c r="C1819" s="48" t="s">
        <v>394</v>
      </c>
      <c r="D1819" s="88" t="s">
        <v>431</v>
      </c>
      <c r="E1819" s="72" t="str">
        <f>+VLOOKUP(D1819,'材料表 '!C:F,2,0)</f>
        <v>kg</v>
      </c>
      <c r="F1819" s="77">
        <f>+SUMIF($L$1806:$L$1843,D1819,$R$1806:$R$1843)</f>
        <v>11.716393442623</v>
      </c>
      <c r="G1819" s="89">
        <f>+VLOOKUP(D1819,'材料表 '!C:F,4,0)</f>
        <v>0.03</v>
      </c>
      <c r="H1819" s="74">
        <f t="shared" ref="H1819:H1829" si="303">F1819*(G1819+1)</f>
        <v>12.0678852459017</v>
      </c>
      <c r="I1819" s="74">
        <f>+VLOOKUP(D1819,'材料表 '!C:F,3,0)</f>
        <v>3.80530973451327</v>
      </c>
      <c r="J1819" s="95">
        <f t="shared" si="302"/>
        <v>45.9220412012188</v>
      </c>
      <c r="K1819" s="60">
        <f ca="1">H1819*K1805</f>
        <v>5334.49426939872</v>
      </c>
      <c r="L1819" s="90"/>
      <c r="M1819" s="44"/>
      <c r="N1819" s="82"/>
      <c r="O1819" s="44"/>
      <c r="P1819" s="44"/>
      <c r="Q1819" s="44"/>
      <c r="R1819" s="84"/>
      <c r="S1819" s="47"/>
      <c r="T1819" s="47"/>
    </row>
    <row r="1820" s="27" customFormat="1" ht="18" customHeight="1" spans="1:20">
      <c r="A1820" s="34"/>
      <c r="B1820" s="48">
        <v>2</v>
      </c>
      <c r="C1820" s="48"/>
      <c r="D1820" s="88" t="s">
        <v>461</v>
      </c>
      <c r="E1820" s="72" t="str">
        <f>+VLOOKUP(D1820,'材料表 '!C:F,2,0)</f>
        <v>kg</v>
      </c>
      <c r="F1820" s="77">
        <f t="shared" ref="F1820:F1828" si="304">+SUMIF($L$1806:$L$1843,D1820,$R$1806:$R$1843)</f>
        <v>12.1612903225806</v>
      </c>
      <c r="G1820" s="89">
        <f>+VLOOKUP(D1820,'材料表 '!C:F,4,0)</f>
        <v>0.03</v>
      </c>
      <c r="H1820" s="74">
        <f t="shared" si="303"/>
        <v>12.526129032258</v>
      </c>
      <c r="I1820" s="74">
        <f>+VLOOKUP(D1820,'材料表 '!C:F,3,0)</f>
        <v>3.53982300884956</v>
      </c>
      <c r="J1820" s="95">
        <f t="shared" si="302"/>
        <v>44.3402797602054</v>
      </c>
      <c r="K1820" s="60">
        <f ca="1">H1820*K1805</f>
        <v>5537.05659100642</v>
      </c>
      <c r="L1820" s="90"/>
      <c r="M1820" s="44"/>
      <c r="N1820" s="82"/>
      <c r="O1820" s="44"/>
      <c r="P1820" s="44"/>
      <c r="Q1820" s="44"/>
      <c r="R1820" s="84"/>
      <c r="S1820" s="47"/>
      <c r="T1820" s="47"/>
    </row>
    <row r="1821" s="27" customFormat="1" ht="18" customHeight="1" spans="1:20">
      <c r="A1821" s="34"/>
      <c r="B1821" s="48">
        <v>3</v>
      </c>
      <c r="C1821" s="48"/>
      <c r="D1821" s="88" t="s">
        <v>465</v>
      </c>
      <c r="E1821" s="72" t="str">
        <f>+VLOOKUP(D1821,'材料表 '!C:F,2,0)</f>
        <v>kg</v>
      </c>
      <c r="F1821" s="77">
        <f t="shared" si="304"/>
        <v>0.534717080909572</v>
      </c>
      <c r="G1821" s="89">
        <f>+VLOOKUP(D1821,'材料表 '!C:F,4,0)</f>
        <v>0.03</v>
      </c>
      <c r="H1821" s="74">
        <f t="shared" si="303"/>
        <v>0.550758593336859</v>
      </c>
      <c r="I1821" s="74">
        <f>+VLOOKUP(D1821,'材料表 '!C:F,3,0)</f>
        <v>6.01769911504425</v>
      </c>
      <c r="J1821" s="95">
        <f t="shared" si="302"/>
        <v>3.31429949972623</v>
      </c>
      <c r="K1821" s="60">
        <f ca="1">H1821*K1805</f>
        <v>243.457614993094</v>
      </c>
      <c r="L1821" s="90" t="s">
        <v>474</v>
      </c>
      <c r="M1821" s="44"/>
      <c r="N1821" s="82"/>
      <c r="O1821" s="44"/>
      <c r="P1821" s="44"/>
      <c r="Q1821" s="44">
        <f>+O1811*P1811*4</f>
        <v>56</v>
      </c>
      <c r="R1821" s="84">
        <f>+Q1821/R1806</f>
        <v>2.9613960867266</v>
      </c>
      <c r="S1821" s="47"/>
      <c r="T1821" s="47"/>
    </row>
    <row r="1822" s="27" customFormat="1" ht="18" customHeight="1" spans="1:20">
      <c r="A1822" s="34"/>
      <c r="B1822" s="48">
        <v>4</v>
      </c>
      <c r="C1822" s="48"/>
      <c r="D1822" s="88" t="s">
        <v>463</v>
      </c>
      <c r="E1822" s="72" t="str">
        <f>+VLOOKUP(D1822,'材料表 '!C:F,2,0)</f>
        <v>kg</v>
      </c>
      <c r="F1822" s="77">
        <f t="shared" si="304"/>
        <v>3.48704389212057</v>
      </c>
      <c r="G1822" s="89">
        <f>+VLOOKUP(D1822,'材料表 '!C:F,4,0)</f>
        <v>0.03</v>
      </c>
      <c r="H1822" s="74">
        <f t="shared" si="303"/>
        <v>3.59165520888419</v>
      </c>
      <c r="I1822" s="74">
        <f>+VLOOKUP(D1822,'材料表 '!C:F,3,0)</f>
        <v>6.01769911504425</v>
      </c>
      <c r="J1822" s="95">
        <f t="shared" si="302"/>
        <v>21.6135003720464</v>
      </c>
      <c r="K1822" s="60">
        <f ca="1">H1822*K1805</f>
        <v>1587.65713619588</v>
      </c>
      <c r="L1822" s="90" t="s">
        <v>475</v>
      </c>
      <c r="M1822" s="44"/>
      <c r="N1822" s="83"/>
      <c r="O1822" s="82">
        <f>O1806</f>
        <v>6.1</v>
      </c>
      <c r="P1822" s="44">
        <f>0.371</f>
        <v>0.371</v>
      </c>
      <c r="Q1822" s="44">
        <f>+P1822*O1822</f>
        <v>2.2631</v>
      </c>
      <c r="R1822" s="84">
        <f>+Q1822/R1806</f>
        <v>0.119677419354839</v>
      </c>
      <c r="S1822" s="47"/>
      <c r="T1822" s="47"/>
    </row>
    <row r="1823" s="27" customFormat="1" ht="18" customHeight="1" spans="1:20">
      <c r="A1823" s="34"/>
      <c r="B1823" s="48">
        <v>5</v>
      </c>
      <c r="C1823" s="48"/>
      <c r="D1823" s="88" t="s">
        <v>469</v>
      </c>
      <c r="E1823" s="72" t="str">
        <f>+VLOOKUP(D1823,'材料表 '!C:F,2,0)</f>
        <v>套</v>
      </c>
      <c r="F1823" s="77">
        <f t="shared" si="304"/>
        <v>4.65362242199894</v>
      </c>
      <c r="G1823" s="89">
        <f>+VLOOKUP(D1823,'材料表 '!C:F,4,0)</f>
        <v>0</v>
      </c>
      <c r="H1823" s="74">
        <f t="shared" si="303"/>
        <v>4.65362242199894</v>
      </c>
      <c r="I1823" s="74">
        <f>+VLOOKUP(D1823,'材料表 '!C:F,3,0)</f>
        <v>5.30973451327434</v>
      </c>
      <c r="J1823" s="95">
        <f t="shared" si="302"/>
        <v>24.7094995858351</v>
      </c>
      <c r="K1823" s="60">
        <f ca="1">H1823*K1805</f>
        <v>2057.08967530407</v>
      </c>
      <c r="L1823" s="92" t="s">
        <v>476</v>
      </c>
      <c r="M1823" s="44"/>
      <c r="N1823" s="82"/>
      <c r="O1823" s="44"/>
      <c r="P1823" s="44"/>
      <c r="Q1823" s="44">
        <f>6*6*(O1806*6+P1806*6)/500</f>
        <v>3.9744</v>
      </c>
      <c r="R1823" s="84">
        <f>+Q1823/R1806</f>
        <v>0.210174510840825</v>
      </c>
      <c r="S1823" s="47"/>
      <c r="T1823" s="47"/>
    </row>
    <row r="1824" s="27" customFormat="1" ht="18" customHeight="1" spans="1:20">
      <c r="A1824" s="34"/>
      <c r="B1824" s="48">
        <v>7</v>
      </c>
      <c r="C1824" s="48"/>
      <c r="D1824" s="88" t="s">
        <v>471</v>
      </c>
      <c r="E1824" s="72" t="str">
        <f>+VLOOKUP(D1824,'材料表 '!C:F,2,0)</f>
        <v>套</v>
      </c>
      <c r="F1824" s="77">
        <f t="shared" si="304"/>
        <v>4.65362242199894</v>
      </c>
      <c r="G1824" s="89">
        <f>+VLOOKUP(D1824,'材料表 '!C:F,4,0)</f>
        <v>0</v>
      </c>
      <c r="H1824" s="74">
        <f t="shared" si="303"/>
        <v>4.65362242199894</v>
      </c>
      <c r="I1824" s="74">
        <f>+VLOOKUP(D1824,'材料表 '!C:F,3,0)</f>
        <v>1.32743362831858</v>
      </c>
      <c r="J1824" s="95">
        <f t="shared" si="302"/>
        <v>6.17737489645875</v>
      </c>
      <c r="K1824" s="60">
        <f ca="1">H1824*K1805</f>
        <v>2057.08967530407</v>
      </c>
      <c r="L1824" s="92"/>
      <c r="M1824" s="44"/>
      <c r="N1824" s="82"/>
      <c r="O1824" s="44"/>
      <c r="P1824" s="44"/>
      <c r="Q1824" s="44"/>
      <c r="R1824" s="84">
        <f>+Q1824/R1806</f>
        <v>0</v>
      </c>
      <c r="S1824" s="47"/>
      <c r="T1824" s="47"/>
    </row>
    <row r="1825" s="27" customFormat="1" ht="18" customHeight="1" spans="1:20">
      <c r="A1825" s="34"/>
      <c r="B1825" s="48">
        <v>8</v>
      </c>
      <c r="C1825" s="48"/>
      <c r="D1825" s="88" t="s">
        <v>472</v>
      </c>
      <c r="E1825" s="72" t="str">
        <f>+VLOOKUP(D1825,'材料表 '!C:F,2,0)</f>
        <v>套</v>
      </c>
      <c r="F1825" s="77">
        <f t="shared" si="304"/>
        <v>0</v>
      </c>
      <c r="G1825" s="89">
        <f>+VLOOKUP(D1825,'材料表 '!C:F,4,0)</f>
        <v>0</v>
      </c>
      <c r="H1825" s="74">
        <f t="shared" si="303"/>
        <v>0</v>
      </c>
      <c r="I1825" s="74">
        <f>+VLOOKUP(D1825,'材料表 '!C:F,3,0)</f>
        <v>2.47787610619469</v>
      </c>
      <c r="J1825" s="95">
        <f t="shared" si="302"/>
        <v>0</v>
      </c>
      <c r="K1825" s="60">
        <f ca="1">H1825*K1805</f>
        <v>0</v>
      </c>
      <c r="L1825" s="92"/>
      <c r="M1825" s="44"/>
      <c r="N1825" s="82"/>
      <c r="O1825" s="44"/>
      <c r="P1825" s="44"/>
      <c r="Q1825" s="44"/>
      <c r="R1825" s="84"/>
      <c r="S1825" s="47"/>
      <c r="T1825" s="47"/>
    </row>
    <row r="1826" s="27" customFormat="1" ht="18" customHeight="1" spans="1:20">
      <c r="A1826" s="34"/>
      <c r="B1826" s="48">
        <v>9</v>
      </c>
      <c r="C1826" s="48"/>
      <c r="D1826" s="88" t="s">
        <v>473</v>
      </c>
      <c r="E1826" s="72" t="str">
        <f>+VLOOKUP(D1826,'材料表 '!C:F,2,0)</f>
        <v>套</v>
      </c>
      <c r="F1826" s="77">
        <f t="shared" si="304"/>
        <v>13.9608672659968</v>
      </c>
      <c r="G1826" s="89">
        <f>+VLOOKUP(D1826,'材料表 '!C:F,4,0)</f>
        <v>0</v>
      </c>
      <c r="H1826" s="74">
        <f t="shared" si="303"/>
        <v>13.9608672659968</v>
      </c>
      <c r="I1826" s="74">
        <f>+VLOOKUP(D1826,'材料表 '!C:F,3,0)</f>
        <v>0.247787610619469</v>
      </c>
      <c r="J1826" s="95">
        <f t="shared" si="302"/>
        <v>3.45932994201691</v>
      </c>
      <c r="K1826" s="60">
        <f ca="1">H1826*K1805</f>
        <v>6171.2690259122</v>
      </c>
      <c r="L1826" s="90"/>
      <c r="M1826" s="44"/>
      <c r="N1826" s="82"/>
      <c r="O1826" s="34"/>
      <c r="P1826" s="44"/>
      <c r="Q1826" s="44"/>
      <c r="R1826" s="119"/>
      <c r="S1826" s="47"/>
      <c r="T1826" s="47"/>
    </row>
    <row r="1827" s="27" customFormat="1" ht="18" customHeight="1" spans="1:20">
      <c r="A1827" s="34"/>
      <c r="B1827" s="48">
        <v>10</v>
      </c>
      <c r="C1827" s="48"/>
      <c r="D1827" s="88" t="s">
        <v>474</v>
      </c>
      <c r="E1827" s="72" t="str">
        <f>+VLOOKUP(D1827,'材料表 '!C:F,2,0)</f>
        <v>套</v>
      </c>
      <c r="F1827" s="77">
        <f t="shared" si="304"/>
        <v>2.9613960867266</v>
      </c>
      <c r="G1827" s="89">
        <f>+VLOOKUP(D1827,'材料表 '!C:F,4,0)</f>
        <v>0</v>
      </c>
      <c r="H1827" s="74">
        <f t="shared" si="303"/>
        <v>2.9613960867266</v>
      </c>
      <c r="I1827" s="74">
        <f>+VLOOKUP(D1827,'材料表 '!C:F,3,0)</f>
        <v>2.21238938053097</v>
      </c>
      <c r="J1827" s="95">
        <f t="shared" si="302"/>
        <v>6.5517612538199</v>
      </c>
      <c r="K1827" s="60">
        <f ca="1">H1827*K1805</f>
        <v>1309.05706610259</v>
      </c>
      <c r="L1827" s="92"/>
      <c r="M1827" s="120"/>
      <c r="N1827" s="82"/>
      <c r="O1827" s="44"/>
      <c r="P1827" s="44"/>
      <c r="Q1827" s="44"/>
      <c r="R1827" s="84"/>
      <c r="S1827" s="47"/>
      <c r="T1827" s="47"/>
    </row>
    <row r="1828" s="27" customFormat="1" ht="18" customHeight="1" spans="1:20">
      <c r="A1828" s="34"/>
      <c r="B1828" s="48">
        <v>11</v>
      </c>
      <c r="C1828" s="48"/>
      <c r="D1828" s="88" t="s">
        <v>476</v>
      </c>
      <c r="E1828" s="72" t="str">
        <f>+VLOOKUP(D1828,'材料表 '!C:F,2,0)</f>
        <v>支</v>
      </c>
      <c r="F1828" s="77">
        <f t="shared" si="304"/>
        <v>0.210174510840825</v>
      </c>
      <c r="G1828" s="89">
        <f>+VLOOKUP(D1828,'材料表 '!C:F,4,0)</f>
        <v>0.15</v>
      </c>
      <c r="H1828" s="74">
        <f t="shared" si="303"/>
        <v>0.241700687466949</v>
      </c>
      <c r="I1828" s="74">
        <f>+VLOOKUP(D1828,'材料表 '!C:F,3,0)</f>
        <v>11.5044247787611</v>
      </c>
      <c r="J1828" s="95">
        <f t="shared" si="302"/>
        <v>2.78062737793836</v>
      </c>
      <c r="K1828" s="60">
        <f ca="1">H1828*K1805</f>
        <v>106.841497572248</v>
      </c>
      <c r="L1828" s="92"/>
      <c r="M1828" s="44"/>
      <c r="N1828" s="44"/>
      <c r="O1828" s="44"/>
      <c r="P1828" s="44"/>
      <c r="Q1828" s="44"/>
      <c r="R1828" s="84"/>
      <c r="S1828" s="47"/>
      <c r="T1828" s="47"/>
    </row>
    <row r="1829" s="27" customFormat="1" ht="18" customHeight="1" spans="1:20">
      <c r="A1829" s="34"/>
      <c r="B1829" s="48">
        <v>12</v>
      </c>
      <c r="C1829" s="48"/>
      <c r="D1829" s="88" t="s">
        <v>477</v>
      </c>
      <c r="E1829" s="72" t="str">
        <f>+VLOOKUP(D1829,'材料表 '!C:F,2,0)</f>
        <v>kg</v>
      </c>
      <c r="F1829" s="77">
        <v>0.2</v>
      </c>
      <c r="G1829" s="89">
        <f>+VLOOKUP(D1829,'材料表 '!C:F,4,0)</f>
        <v>0.15</v>
      </c>
      <c r="H1829" s="74">
        <f t="shared" si="303"/>
        <v>0.23</v>
      </c>
      <c r="I1829" s="74">
        <f>+VLOOKUP(D1829,'材料表 '!C:F,3,0)</f>
        <v>10.6194690265487</v>
      </c>
      <c r="J1829" s="95">
        <f t="shared" si="302"/>
        <v>2.4424778761062</v>
      </c>
      <c r="K1829" s="60">
        <f ca="1">H1829*K1805</f>
        <v>101.6693196</v>
      </c>
      <c r="L1829" s="92"/>
      <c r="M1829" s="44"/>
      <c r="N1829" s="44"/>
      <c r="O1829" s="44"/>
      <c r="P1829" s="44"/>
      <c r="Q1829" s="44"/>
      <c r="R1829" s="84"/>
      <c r="S1829" s="47"/>
      <c r="T1829" s="47"/>
    </row>
    <row r="1830" s="27" customFormat="1" ht="18" customHeight="1" spans="1:20">
      <c r="A1830" s="34"/>
      <c r="B1830" s="48">
        <v>13</v>
      </c>
      <c r="C1830" s="48"/>
      <c r="D1830" s="88"/>
      <c r="E1830" s="72"/>
      <c r="F1830" s="77"/>
      <c r="G1830" s="89"/>
      <c r="H1830" s="74"/>
      <c r="I1830" s="74"/>
      <c r="J1830" s="95"/>
      <c r="K1830" s="60">
        <f ca="1">H1830*K1805</f>
        <v>0</v>
      </c>
      <c r="L1830" s="92"/>
      <c r="M1830" s="44"/>
      <c r="N1830" s="44"/>
      <c r="O1830" s="44"/>
      <c r="P1830" s="44"/>
      <c r="Q1830" s="44"/>
      <c r="R1830" s="84"/>
      <c r="S1830" s="47"/>
      <c r="T1830" s="47"/>
    </row>
    <row r="1831" s="27" customFormat="1" ht="29" customHeight="1" spans="1:20">
      <c r="A1831" s="34"/>
      <c r="B1831" s="48">
        <v>14</v>
      </c>
      <c r="C1831" s="48"/>
      <c r="D1831" s="88" t="s">
        <v>289</v>
      </c>
      <c r="E1831" s="72" t="str">
        <f>+VLOOKUP(D1831,'材料表 '!C:F,2,0)</f>
        <v>m2</v>
      </c>
      <c r="F1831" s="77">
        <v>1</v>
      </c>
      <c r="G1831" s="89">
        <f>+VLOOKUP(D1831,'材料表 '!C:F,4,0)</f>
        <v>0.02</v>
      </c>
      <c r="H1831" s="74">
        <f>F1831*(G1831+1)</f>
        <v>1.02</v>
      </c>
      <c r="I1831" s="74">
        <f>+VLOOKUP(D1831,'材料表 '!C:F,3,0)</f>
        <v>774.336283185841</v>
      </c>
      <c r="J1831" s="95">
        <f>H1831*I1831</f>
        <v>789.823008849558</v>
      </c>
      <c r="K1831" s="60">
        <f ca="1">H1831*K1805</f>
        <v>450.8813304</v>
      </c>
      <c r="L1831" s="92"/>
      <c r="M1831" s="44"/>
      <c r="N1831" s="44"/>
      <c r="O1831" s="44"/>
      <c r="P1831" s="44"/>
      <c r="Q1831" s="44"/>
      <c r="R1831" s="84"/>
      <c r="S1831" s="47"/>
      <c r="T1831" s="47"/>
    </row>
    <row r="1832" s="27" customFormat="1" ht="18" customHeight="1" spans="1:20">
      <c r="A1832" s="34"/>
      <c r="B1832" s="48">
        <v>15</v>
      </c>
      <c r="C1832" s="48"/>
      <c r="D1832" s="88"/>
      <c r="E1832" s="72"/>
      <c r="F1832" s="77"/>
      <c r="G1832" s="89"/>
      <c r="H1832" s="74"/>
      <c r="I1832" s="74"/>
      <c r="J1832" s="95"/>
      <c r="K1832" s="92"/>
      <c r="L1832" s="92"/>
      <c r="M1832" s="44"/>
      <c r="N1832" s="44"/>
      <c r="O1832" s="44"/>
      <c r="P1832" s="44"/>
      <c r="Q1832" s="44"/>
      <c r="R1832" s="84"/>
      <c r="S1832" s="47"/>
      <c r="T1832" s="47"/>
    </row>
    <row r="1833" s="27" customFormat="1" ht="18" customHeight="1" spans="1:20">
      <c r="A1833" s="34"/>
      <c r="B1833" s="48">
        <v>16</v>
      </c>
      <c r="C1833" s="48"/>
      <c r="D1833" s="88"/>
      <c r="E1833" s="72"/>
      <c r="F1833" s="77"/>
      <c r="G1833" s="89"/>
      <c r="H1833" s="74"/>
      <c r="I1833" s="74"/>
      <c r="J1833" s="95"/>
      <c r="K1833" s="92"/>
      <c r="L1833" s="92"/>
      <c r="M1833" s="44"/>
      <c r="N1833" s="44"/>
      <c r="O1833" s="44"/>
      <c r="P1833" s="44"/>
      <c r="Q1833" s="44"/>
      <c r="R1833" s="84"/>
      <c r="S1833" s="47"/>
      <c r="T1833" s="47"/>
    </row>
    <row r="1834" s="27" customFormat="1" ht="18" customHeight="1" spans="1:20">
      <c r="A1834" s="34"/>
      <c r="B1834" s="48">
        <v>17</v>
      </c>
      <c r="C1834" s="48"/>
      <c r="D1834" s="121"/>
      <c r="E1834" s="72"/>
      <c r="F1834" s="77"/>
      <c r="G1834" s="89"/>
      <c r="H1834" s="74"/>
      <c r="I1834" s="74"/>
      <c r="J1834" s="95"/>
      <c r="K1834" s="92"/>
      <c r="L1834" s="92"/>
      <c r="M1834" s="44"/>
      <c r="N1834" s="44"/>
      <c r="O1834" s="44"/>
      <c r="P1834" s="44"/>
      <c r="Q1834" s="101"/>
      <c r="R1834" s="84"/>
      <c r="S1834" s="47"/>
      <c r="T1834" s="47"/>
    </row>
    <row r="1835" s="27" customFormat="1" ht="18" customHeight="1" spans="1:20">
      <c r="A1835" s="34"/>
      <c r="B1835" s="48">
        <v>18</v>
      </c>
      <c r="C1835" s="48"/>
      <c r="D1835" s="88"/>
      <c r="E1835" s="72"/>
      <c r="F1835" s="77"/>
      <c r="G1835" s="89"/>
      <c r="H1835" s="74"/>
      <c r="I1835" s="74"/>
      <c r="J1835" s="95"/>
      <c r="K1835" s="92"/>
      <c r="L1835" s="92"/>
      <c r="M1835" s="44"/>
      <c r="N1835" s="44"/>
      <c r="O1835" s="44"/>
      <c r="P1835" s="44"/>
      <c r="Q1835" s="44"/>
      <c r="R1835" s="84"/>
      <c r="S1835" s="47"/>
      <c r="T1835" s="47"/>
    </row>
    <row r="1836" s="27" customFormat="1" ht="18" customHeight="1" spans="1:20">
      <c r="A1836" s="34"/>
      <c r="B1836" s="48">
        <v>19</v>
      </c>
      <c r="C1836" s="48"/>
      <c r="D1836" s="27"/>
      <c r="E1836" s="72"/>
      <c r="F1836" s="77"/>
      <c r="G1836" s="89"/>
      <c r="H1836" s="74"/>
      <c r="I1836" s="74"/>
      <c r="J1836" s="95"/>
      <c r="K1836" s="92"/>
      <c r="L1836" s="92"/>
      <c r="M1836" s="44"/>
      <c r="N1836" s="44"/>
      <c r="O1836" s="44"/>
      <c r="P1836" s="44"/>
      <c r="Q1836" s="44"/>
      <c r="R1836" s="84"/>
      <c r="S1836" s="47"/>
      <c r="T1836" s="47"/>
    </row>
    <row r="1837" s="27" customFormat="1" ht="18" customHeight="1" spans="1:20">
      <c r="A1837" s="34"/>
      <c r="B1837" s="48">
        <v>20</v>
      </c>
      <c r="C1837" s="48"/>
      <c r="D1837" s="88"/>
      <c r="E1837" s="72"/>
      <c r="F1837" s="77"/>
      <c r="G1837" s="89"/>
      <c r="H1837" s="74"/>
      <c r="I1837" s="74"/>
      <c r="J1837" s="95"/>
      <c r="K1837" s="92"/>
      <c r="L1837" s="92"/>
      <c r="M1837" s="44"/>
      <c r="N1837" s="44"/>
      <c r="O1837" s="44"/>
      <c r="P1837" s="44"/>
      <c r="Q1837" s="44"/>
      <c r="R1837" s="84"/>
      <c r="S1837" s="47"/>
      <c r="T1837" s="47"/>
    </row>
    <row r="1838" s="27" customFormat="1" ht="18" customHeight="1" spans="1:20">
      <c r="A1838" s="34"/>
      <c r="B1838" s="48">
        <v>21</v>
      </c>
      <c r="C1838" s="48"/>
      <c r="D1838" s="88"/>
      <c r="E1838" s="72"/>
      <c r="F1838" s="77"/>
      <c r="G1838" s="89"/>
      <c r="H1838" s="74"/>
      <c r="I1838" s="74"/>
      <c r="J1838" s="95"/>
      <c r="K1838" s="92"/>
      <c r="L1838" s="92"/>
      <c r="M1838" s="44"/>
      <c r="N1838" s="44"/>
      <c r="O1838" s="44"/>
      <c r="P1838" s="44"/>
      <c r="Q1838" s="44"/>
      <c r="R1838" s="84"/>
      <c r="S1838" s="47"/>
      <c r="T1838" s="47"/>
    </row>
    <row r="1839" s="27" customFormat="1" ht="18" customHeight="1" spans="1:20">
      <c r="A1839" s="34"/>
      <c r="B1839" s="48">
        <v>22</v>
      </c>
      <c r="C1839" s="48"/>
      <c r="D1839" s="27"/>
      <c r="E1839" s="72"/>
      <c r="F1839" s="77"/>
      <c r="G1839" s="72"/>
      <c r="H1839" s="74"/>
      <c r="I1839" s="74"/>
      <c r="J1839" s="95"/>
      <c r="K1839" s="92"/>
      <c r="L1839" s="92"/>
      <c r="M1839" s="44"/>
      <c r="N1839" s="44"/>
      <c r="O1839" s="44"/>
      <c r="P1839" s="44"/>
      <c r="Q1839" s="44"/>
      <c r="R1839" s="62"/>
      <c r="S1839" s="47"/>
      <c r="T1839" s="47"/>
    </row>
    <row r="1840" s="27" customFormat="1" ht="18" customHeight="1" spans="1:20">
      <c r="A1840" s="34"/>
      <c r="B1840" s="48">
        <v>23</v>
      </c>
      <c r="C1840" s="48"/>
      <c r="D1840" s="88"/>
      <c r="E1840" s="72"/>
      <c r="F1840" s="77"/>
      <c r="G1840" s="89"/>
      <c r="H1840" s="74"/>
      <c r="I1840" s="74"/>
      <c r="J1840" s="95"/>
      <c r="K1840" s="92"/>
      <c r="L1840" s="92"/>
      <c r="M1840" s="44"/>
      <c r="N1840" s="44"/>
      <c r="O1840" s="44"/>
      <c r="P1840" s="44"/>
      <c r="Q1840" s="44"/>
      <c r="R1840" s="62"/>
      <c r="S1840" s="47"/>
      <c r="T1840" s="47"/>
    </row>
    <row r="1841" s="27" customFormat="1" ht="18" customHeight="1" spans="1:20">
      <c r="A1841" s="34"/>
      <c r="B1841" s="48">
        <v>24</v>
      </c>
      <c r="C1841" s="48"/>
      <c r="D1841" s="88" t="s">
        <v>478</v>
      </c>
      <c r="E1841" s="72" t="s">
        <v>43</v>
      </c>
      <c r="F1841" s="77"/>
      <c r="G1841" s="72">
        <v>1</v>
      </c>
      <c r="H1841" s="74">
        <v>1</v>
      </c>
      <c r="I1841" s="74">
        <f>+辅材及安装费!$E$8</f>
        <v>10</v>
      </c>
      <c r="J1841" s="95">
        <f>H1841*I1841</f>
        <v>10</v>
      </c>
      <c r="K1841" s="92"/>
      <c r="L1841" s="92"/>
      <c r="M1841" s="44"/>
      <c r="N1841" s="44"/>
      <c r="O1841" s="44"/>
      <c r="P1841" s="44"/>
      <c r="Q1841" s="44"/>
      <c r="R1841" s="62"/>
      <c r="S1841" s="47"/>
      <c r="T1841" s="47"/>
    </row>
    <row r="1842" s="27" customFormat="1" ht="18" customHeight="1" spans="1:20">
      <c r="A1842" s="34"/>
      <c r="B1842" s="48">
        <v>25</v>
      </c>
      <c r="C1842" s="48"/>
      <c r="D1842" s="93" t="s">
        <v>442</v>
      </c>
      <c r="E1842" s="72"/>
      <c r="F1842" s="77"/>
      <c r="G1842" s="72"/>
      <c r="H1842" s="74"/>
      <c r="I1842" s="74"/>
      <c r="J1842" s="95">
        <f>SUM(J1819:J1841)</f>
        <v>961.13420061493</v>
      </c>
      <c r="K1842" s="92"/>
      <c r="L1842" s="94"/>
      <c r="M1842" s="27"/>
      <c r="N1842" s="83"/>
      <c r="O1842" s="83"/>
      <c r="P1842" s="83"/>
      <c r="Q1842" s="83"/>
      <c r="R1842" s="87"/>
      <c r="S1842" s="47"/>
      <c r="T1842" s="47"/>
    </row>
    <row r="1843" s="27" customFormat="1" ht="18" customHeight="1" spans="1:20">
      <c r="A1843" s="34"/>
      <c r="B1843" s="48">
        <v>1</v>
      </c>
      <c r="C1843" s="48" t="s">
        <v>443</v>
      </c>
      <c r="D1843" s="48" t="s">
        <v>444</v>
      </c>
      <c r="E1843" s="72" t="s">
        <v>43</v>
      </c>
      <c r="F1843" s="50"/>
      <c r="G1843" s="48"/>
      <c r="H1843" s="51">
        <v>1</v>
      </c>
      <c r="I1843" s="74">
        <f>+辅材及安装费!$F$8</f>
        <v>5</v>
      </c>
      <c r="J1843" s="95">
        <f>H1843*I1843</f>
        <v>5</v>
      </c>
      <c r="K1843" s="118"/>
      <c r="L1843" s="96"/>
      <c r="M1843" s="97"/>
      <c r="N1843" s="98"/>
      <c r="O1843" s="98"/>
      <c r="P1843" s="98"/>
      <c r="Q1843" s="98"/>
      <c r="R1843" s="99"/>
      <c r="S1843" s="47"/>
      <c r="T1843" s="47"/>
    </row>
    <row r="1844" s="26" customFormat="1" ht="30" customHeight="1" spans="1:20">
      <c r="A1844" s="28"/>
      <c r="B1844" s="29" t="s">
        <v>386</v>
      </c>
      <c r="C1844" s="29"/>
      <c r="D1844" s="29"/>
      <c r="E1844" s="29"/>
      <c r="F1844" s="29"/>
      <c r="G1844" s="29"/>
      <c r="H1844" s="29"/>
      <c r="I1844" s="29"/>
      <c r="J1844" s="29"/>
      <c r="K1844" s="29"/>
      <c r="L1844" s="30"/>
      <c r="M1844" s="31"/>
      <c r="N1844" s="31"/>
      <c r="O1844" s="31"/>
      <c r="P1844" s="31"/>
      <c r="Q1844" s="31"/>
      <c r="R1844" s="32"/>
      <c r="S1844" s="33"/>
      <c r="T1844" s="33"/>
    </row>
    <row r="1845" s="27" customFormat="1" ht="33.75" customHeight="1" spans="1:20">
      <c r="A1845" s="34">
        <v>3</v>
      </c>
      <c r="B1845" s="35" t="s">
        <v>1</v>
      </c>
      <c r="C1845" s="35" t="s">
        <v>387</v>
      </c>
      <c r="D1845" s="36" t="str">
        <f>+A1853</f>
        <v>30mm厚光面贝金米黄石材（弧形）</v>
      </c>
      <c r="E1845" s="37"/>
      <c r="F1845" s="38" t="s">
        <v>99</v>
      </c>
      <c r="G1845" s="39"/>
      <c r="H1845" s="35" t="s">
        <v>388</v>
      </c>
      <c r="I1845" s="40" t="s">
        <v>389</v>
      </c>
      <c r="J1845" s="41" t="s">
        <v>37</v>
      </c>
      <c r="K1845" s="123">
        <f ca="1">VLOOKUP(A1845,'商业工程量清单 '!$A$47:$D$58,4,FALSE)</f>
        <v>44.204052</v>
      </c>
      <c r="L1845" s="43"/>
      <c r="M1845" s="44"/>
      <c r="N1845" s="44"/>
      <c r="O1845" s="44"/>
      <c r="P1845" s="45"/>
      <c r="Q1845" s="44"/>
      <c r="R1845" s="46"/>
      <c r="S1845" s="47"/>
      <c r="T1845" s="47"/>
    </row>
    <row r="1846" s="27" customFormat="1" ht="18" customHeight="1" spans="1:20">
      <c r="A1846" s="34"/>
      <c r="B1846" s="48">
        <v>1</v>
      </c>
      <c r="C1846" s="49" t="s">
        <v>390</v>
      </c>
      <c r="D1846" s="48" t="s">
        <v>391</v>
      </c>
      <c r="E1846" s="48"/>
      <c r="F1846" s="50"/>
      <c r="G1846" s="48"/>
      <c r="H1846" s="51"/>
      <c r="I1846" s="52">
        <f>J1858</f>
        <v>210</v>
      </c>
      <c r="J1846" s="53" t="s">
        <v>392</v>
      </c>
      <c r="K1846" s="54"/>
      <c r="L1846" s="55"/>
      <c r="M1846" s="56"/>
      <c r="N1846" s="57"/>
      <c r="O1846" s="57">
        <v>6.1</v>
      </c>
      <c r="P1846" s="57">
        <v>3.1</v>
      </c>
      <c r="Q1846" s="57">
        <v>1</v>
      </c>
      <c r="R1846" s="58">
        <f>+Q1846*P1846*O1846</f>
        <v>18.91</v>
      </c>
      <c r="S1846" s="47"/>
      <c r="T1846" s="47"/>
    </row>
    <row r="1847" s="27" customFormat="1" ht="18" customHeight="1" spans="1:20">
      <c r="A1847" s="34"/>
      <c r="B1847" s="48">
        <v>2</v>
      </c>
      <c r="C1847" s="59"/>
      <c r="D1847" s="48" t="s">
        <v>394</v>
      </c>
      <c r="E1847" s="48"/>
      <c r="F1847" s="50"/>
      <c r="G1847" s="48"/>
      <c r="H1847" s="51"/>
      <c r="I1847" s="52">
        <f>J1882</f>
        <v>3655.30947894778</v>
      </c>
      <c r="J1847" s="53" t="s">
        <v>392</v>
      </c>
      <c r="K1847" s="60"/>
      <c r="L1847" s="61" t="s">
        <v>99</v>
      </c>
      <c r="M1847" s="44"/>
      <c r="N1847" s="44"/>
      <c r="O1847" s="44"/>
      <c r="P1847" s="44"/>
      <c r="Q1847" s="44"/>
      <c r="R1847" s="62"/>
      <c r="S1847" s="47"/>
      <c r="T1847" s="47"/>
    </row>
    <row r="1848" s="27" customFormat="1" ht="18" customHeight="1" spans="1:20">
      <c r="A1848" s="34"/>
      <c r="B1848" s="48">
        <v>3</v>
      </c>
      <c r="C1848" s="63"/>
      <c r="D1848" s="48" t="s">
        <v>395</v>
      </c>
      <c r="E1848" s="48"/>
      <c r="F1848" s="50"/>
      <c r="G1848" s="48"/>
      <c r="H1848" s="51"/>
      <c r="I1848" s="52">
        <f>J1883</f>
        <v>5</v>
      </c>
      <c r="J1848" s="53" t="s">
        <v>392</v>
      </c>
      <c r="K1848" s="60"/>
      <c r="L1848" s="60"/>
      <c r="M1848" s="64" t="s">
        <v>396</v>
      </c>
      <c r="N1848" s="65" t="s">
        <v>397</v>
      </c>
      <c r="O1848" s="65" t="s">
        <v>398</v>
      </c>
      <c r="P1848" s="65" t="s">
        <v>399</v>
      </c>
      <c r="Q1848" s="65" t="s">
        <v>400</v>
      </c>
      <c r="R1848" s="66" t="s">
        <v>401</v>
      </c>
      <c r="S1848" s="47"/>
      <c r="T1848" s="47"/>
    </row>
    <row r="1849" s="27" customFormat="1" ht="18" customHeight="1" spans="1:20">
      <c r="A1849" s="34"/>
      <c r="B1849" s="48">
        <v>4</v>
      </c>
      <c r="C1849" s="48" t="s">
        <v>402</v>
      </c>
      <c r="D1849" s="67" t="s">
        <v>403</v>
      </c>
      <c r="E1849" s="67"/>
      <c r="F1849" s="50"/>
      <c r="G1849" s="67"/>
      <c r="H1849" s="68"/>
      <c r="I1849" s="52">
        <f>SUM(I1846:I1848)</f>
        <v>3870.30947894778</v>
      </c>
      <c r="J1849" s="53" t="s">
        <v>392</v>
      </c>
      <c r="K1849" s="60"/>
      <c r="L1849" s="69" t="s">
        <v>431</v>
      </c>
      <c r="M1849" s="34" t="s">
        <v>460</v>
      </c>
      <c r="N1849" s="102">
        <v>10.21</v>
      </c>
      <c r="O1849" s="34">
        <f>+P1846</f>
        <v>3.1</v>
      </c>
      <c r="P1849" s="34">
        <v>7</v>
      </c>
      <c r="Q1849" s="44">
        <f t="shared" ref="Q1849:Q1853" si="305">+P1849*O1849*N1849</f>
        <v>221.557</v>
      </c>
      <c r="R1849" s="71">
        <f>+Q1849/R1846</f>
        <v>11.716393442623</v>
      </c>
      <c r="S1849" s="47"/>
      <c r="T1849" s="47"/>
    </row>
    <row r="1850" s="27" customFormat="1" ht="28" customHeight="1" spans="1:20">
      <c r="A1850" s="34"/>
      <c r="B1850" s="48">
        <v>5</v>
      </c>
      <c r="C1850" s="72" t="s">
        <v>406</v>
      </c>
      <c r="D1850" s="48" t="s">
        <v>407</v>
      </c>
      <c r="E1850" s="48"/>
      <c r="F1850" s="50"/>
      <c r="G1850" s="48"/>
      <c r="H1850" s="73">
        <f>+'材料表 '!$E$178</f>
        <v>0</v>
      </c>
      <c r="I1850" s="52">
        <f>H1850*I1849</f>
        <v>0</v>
      </c>
      <c r="J1850" s="53" t="s">
        <v>392</v>
      </c>
      <c r="K1850" s="60"/>
      <c r="L1850" s="69" t="s">
        <v>461</v>
      </c>
      <c r="M1850" s="34" t="s">
        <v>462</v>
      </c>
      <c r="N1850" s="34">
        <v>3.77</v>
      </c>
      <c r="O1850" s="34">
        <f>+O1846</f>
        <v>6.1</v>
      </c>
      <c r="P1850" s="34">
        <v>10</v>
      </c>
      <c r="Q1850" s="44">
        <f t="shared" si="305"/>
        <v>229.97</v>
      </c>
      <c r="R1850" s="71">
        <f>+Q1850/R1846</f>
        <v>12.1612903225806</v>
      </c>
      <c r="S1850" s="47"/>
      <c r="T1850" s="47"/>
    </row>
    <row r="1851" s="27" customFormat="1" ht="18" customHeight="1" spans="1:20">
      <c r="A1851" s="34"/>
      <c r="B1851" s="48">
        <v>6</v>
      </c>
      <c r="C1851" s="48" t="s">
        <v>409</v>
      </c>
      <c r="D1851" s="48" t="s">
        <v>410</v>
      </c>
      <c r="E1851" s="48"/>
      <c r="F1851" s="50"/>
      <c r="G1851" s="48"/>
      <c r="H1851" s="73">
        <f>+'材料表 '!$E$179</f>
        <v>0</v>
      </c>
      <c r="I1851" s="52">
        <f>H1851*I1849</f>
        <v>0</v>
      </c>
      <c r="J1851" s="53" t="s">
        <v>392</v>
      </c>
      <c r="K1851" s="60"/>
      <c r="L1851" s="69" t="s">
        <v>463</v>
      </c>
      <c r="M1851" s="34" t="s">
        <v>490</v>
      </c>
      <c r="N1851" s="34">
        <f>0.3*0.2*7.85*10</f>
        <v>4.71</v>
      </c>
      <c r="O1851" s="34">
        <v>2</v>
      </c>
      <c r="P1851" s="34">
        <f>+P1849</f>
        <v>7</v>
      </c>
      <c r="Q1851" s="44">
        <f t="shared" si="305"/>
        <v>65.94</v>
      </c>
      <c r="R1851" s="71">
        <f>+Q1851/R1846</f>
        <v>3.48704389212057</v>
      </c>
      <c r="S1851" s="47"/>
      <c r="T1851" s="47"/>
    </row>
    <row r="1852" s="27" customFormat="1" ht="18" customHeight="1" spans="1:20">
      <c r="A1852" s="34"/>
      <c r="B1852" s="48">
        <v>7</v>
      </c>
      <c r="C1852" s="48" t="s">
        <v>412</v>
      </c>
      <c r="D1852" s="72" t="s">
        <v>413</v>
      </c>
      <c r="E1852" s="72"/>
      <c r="F1852" s="77"/>
      <c r="G1852" s="72"/>
      <c r="H1852" s="73">
        <f>+'材料表 '!$E$180</f>
        <v>0.09</v>
      </c>
      <c r="I1852" s="52">
        <f>(I1849+I1850+I1851)*H1852</f>
        <v>348.327853105301</v>
      </c>
      <c r="J1852" s="53" t="s">
        <v>392</v>
      </c>
      <c r="K1852" s="60"/>
      <c r="L1852" s="69" t="s">
        <v>465</v>
      </c>
      <c r="M1852" s="34" t="s">
        <v>466</v>
      </c>
      <c r="N1852" s="100">
        <f>3.77</f>
        <v>3.77</v>
      </c>
      <c r="O1852" s="34">
        <v>0.155</v>
      </c>
      <c r="P1852" s="34">
        <v>0</v>
      </c>
      <c r="Q1852" s="44">
        <f t="shared" si="305"/>
        <v>0</v>
      </c>
      <c r="R1852" s="71">
        <f>+Q1852/R1846</f>
        <v>0</v>
      </c>
      <c r="S1852" s="47"/>
      <c r="T1852" s="47"/>
    </row>
    <row r="1853" s="27" customFormat="1" ht="18" customHeight="1" spans="1:20">
      <c r="A1853" s="105" t="s">
        <v>290</v>
      </c>
      <c r="B1853" s="48">
        <v>8</v>
      </c>
      <c r="C1853" s="48" t="s">
        <v>363</v>
      </c>
      <c r="D1853" s="106" t="s">
        <v>415</v>
      </c>
      <c r="E1853" s="107"/>
      <c r="F1853" s="108"/>
      <c r="G1853" s="107"/>
      <c r="H1853" s="51"/>
      <c r="I1853" s="74">
        <f>SUM(I1849:I1852)</f>
        <v>4218.63733205308</v>
      </c>
      <c r="J1853" s="53" t="s">
        <v>416</v>
      </c>
      <c r="K1853" s="60"/>
      <c r="L1853" s="69" t="s">
        <v>465</v>
      </c>
      <c r="M1853" s="44" t="s">
        <v>468</v>
      </c>
      <c r="N1853" s="82">
        <v>5.778</v>
      </c>
      <c r="O1853" s="44">
        <v>0.125</v>
      </c>
      <c r="P1853" s="44">
        <f>+P1849*2</f>
        <v>14</v>
      </c>
      <c r="Q1853" s="44">
        <f t="shared" si="305"/>
        <v>10.1115</v>
      </c>
      <c r="R1853" s="84">
        <f>+Q1853/R1846</f>
        <v>0.534717080909572</v>
      </c>
      <c r="S1853" s="79"/>
      <c r="T1853" s="47"/>
    </row>
    <row r="1854" s="27" customFormat="1" ht="18" customHeight="1" spans="1:20">
      <c r="A1854" s="34"/>
      <c r="B1854" s="109" t="s">
        <v>418</v>
      </c>
      <c r="C1854" s="110"/>
      <c r="D1854" s="110"/>
      <c r="E1854" s="110"/>
      <c r="F1854" s="110"/>
      <c r="G1854" s="110"/>
      <c r="H1854" s="110"/>
      <c r="I1854" s="110"/>
      <c r="J1854" s="110"/>
      <c r="K1854" s="80"/>
      <c r="L1854" s="90" t="s">
        <v>469</v>
      </c>
      <c r="M1854" s="44"/>
      <c r="N1854" s="82"/>
      <c r="O1854" s="44">
        <f>22*4</f>
        <v>88</v>
      </c>
      <c r="P1854" s="44">
        <v>1</v>
      </c>
      <c r="Q1854" s="44">
        <f>+P1854*O1854</f>
        <v>88</v>
      </c>
      <c r="R1854" s="84">
        <f>+Q1854/R1846</f>
        <v>4.65362242199894</v>
      </c>
      <c r="S1854" s="47"/>
      <c r="T1854" s="47"/>
    </row>
    <row r="1855" s="27" customFormat="1" ht="18" customHeight="1" spans="1:20">
      <c r="A1855" s="34"/>
      <c r="B1855" s="48">
        <v>1</v>
      </c>
      <c r="C1855" s="48" t="s">
        <v>391</v>
      </c>
      <c r="D1855" s="48" t="s">
        <v>396</v>
      </c>
      <c r="E1855" s="48" t="s">
        <v>37</v>
      </c>
      <c r="F1855" s="50"/>
      <c r="G1855" s="48"/>
      <c r="H1855" s="51" t="s">
        <v>399</v>
      </c>
      <c r="I1855" s="51" t="s">
        <v>420</v>
      </c>
      <c r="J1855" s="95" t="s">
        <v>421</v>
      </c>
      <c r="K1855" s="92"/>
      <c r="L1855" s="90"/>
      <c r="M1855" s="44"/>
      <c r="N1855" s="82"/>
      <c r="O1855" s="44"/>
      <c r="P1855" s="44"/>
      <c r="Q1855" s="44"/>
      <c r="R1855" s="84"/>
      <c r="S1855" s="47"/>
      <c r="T1855" s="47"/>
    </row>
    <row r="1856" s="27" customFormat="1" ht="18" customHeight="1" spans="1:20">
      <c r="A1856" s="34"/>
      <c r="B1856" s="48">
        <v>2</v>
      </c>
      <c r="C1856" s="48"/>
      <c r="D1856" s="111" t="s">
        <v>470</v>
      </c>
      <c r="E1856" s="49" t="s">
        <v>423</v>
      </c>
      <c r="F1856" s="112"/>
      <c r="G1856" s="111"/>
      <c r="H1856" s="113">
        <v>1</v>
      </c>
      <c r="I1856" s="113">
        <f>+辅材及安装费!$G$8</f>
        <v>210</v>
      </c>
      <c r="J1856" s="114">
        <f t="shared" ref="J1856:J1871" si="306">H1856*I1856</f>
        <v>210</v>
      </c>
      <c r="K1856" s="92"/>
      <c r="L1856" s="90" t="s">
        <v>471</v>
      </c>
      <c r="M1856" s="44"/>
      <c r="N1856" s="82"/>
      <c r="O1856" s="44"/>
      <c r="P1856" s="44"/>
      <c r="Q1856" s="44">
        <f>+Q1854</f>
        <v>88</v>
      </c>
      <c r="R1856" s="84">
        <f>+Q1856/R1846</f>
        <v>4.65362242199894</v>
      </c>
      <c r="S1856" s="47"/>
      <c r="T1856" s="47"/>
    </row>
    <row r="1857" s="27" customFormat="1" ht="18" customHeight="1" spans="1:20">
      <c r="A1857" s="34"/>
      <c r="B1857" s="48">
        <v>3</v>
      </c>
      <c r="C1857" s="48"/>
      <c r="D1857" s="115"/>
      <c r="E1857" s="63"/>
      <c r="F1857" s="116"/>
      <c r="G1857" s="115"/>
      <c r="H1857" s="117"/>
      <c r="I1857" s="117"/>
      <c r="J1857" s="118"/>
      <c r="K1857" s="92"/>
      <c r="L1857" s="90" t="s">
        <v>472</v>
      </c>
      <c r="M1857" s="44"/>
      <c r="N1857" s="82"/>
      <c r="O1857" s="44"/>
      <c r="P1857" s="44">
        <f>+P1852</f>
        <v>0</v>
      </c>
      <c r="Q1857" s="44">
        <f>+P1857</f>
        <v>0</v>
      </c>
      <c r="R1857" s="84">
        <f>+Q1857/R1846</f>
        <v>0</v>
      </c>
      <c r="S1857" s="47"/>
      <c r="T1857" s="47"/>
    </row>
    <row r="1858" s="27" customFormat="1" ht="18" customHeight="1" spans="1:20">
      <c r="A1858" s="34"/>
      <c r="B1858" s="48">
        <v>4</v>
      </c>
      <c r="C1858" s="48"/>
      <c r="D1858" s="85" t="s">
        <v>426</v>
      </c>
      <c r="E1858" s="48" t="s">
        <v>392</v>
      </c>
      <c r="F1858" s="50"/>
      <c r="G1858" s="48"/>
      <c r="H1858" s="86"/>
      <c r="I1858" s="86"/>
      <c r="J1858" s="95">
        <f>SUM(J1856:J1856)</f>
        <v>210</v>
      </c>
      <c r="K1858" s="92"/>
      <c r="L1858" s="90" t="s">
        <v>473</v>
      </c>
      <c r="M1858" s="44"/>
      <c r="N1858" s="82"/>
      <c r="O1858" s="44"/>
      <c r="P1858" s="44"/>
      <c r="Q1858" s="44">
        <f>+(Q1854)*3</f>
        <v>264</v>
      </c>
      <c r="R1858" s="84">
        <f>+Q1858/R1846</f>
        <v>13.9608672659968</v>
      </c>
      <c r="S1858" s="47"/>
      <c r="T1858" s="47"/>
    </row>
    <row r="1859" s="27" customFormat="1" ht="23" customHeight="1" spans="1:20">
      <c r="A1859" s="34"/>
      <c r="B1859" s="48">
        <v>1</v>
      </c>
      <c r="C1859" s="48" t="s">
        <v>394</v>
      </c>
      <c r="D1859" s="88" t="s">
        <v>431</v>
      </c>
      <c r="E1859" s="72" t="str">
        <f>+VLOOKUP(D1859,'材料表 '!C:F,2,0)</f>
        <v>kg</v>
      </c>
      <c r="F1859" s="77">
        <f>+SUMIF($L$1846:$L$1883,D1859,$R$1846:$R$1883)</f>
        <v>11.716393442623</v>
      </c>
      <c r="G1859" s="89">
        <f>+VLOOKUP(D1859,'材料表 '!C:F,4,0)</f>
        <v>0.03</v>
      </c>
      <c r="H1859" s="74">
        <f t="shared" ref="H1859:H1871" si="307">F1859*(G1859+1)</f>
        <v>12.0678852459017</v>
      </c>
      <c r="I1859" s="74">
        <f>+VLOOKUP(D1859,'材料表 '!C:F,3,0)</f>
        <v>3.80530973451327</v>
      </c>
      <c r="J1859" s="95">
        <f t="shared" si="306"/>
        <v>45.9220412012188</v>
      </c>
      <c r="K1859" s="60">
        <f ca="1">H1859*K1845</f>
        <v>533.449426939872</v>
      </c>
      <c r="L1859" s="90"/>
      <c r="M1859" s="44"/>
      <c r="N1859" s="82"/>
      <c r="O1859" s="44"/>
      <c r="P1859" s="44"/>
      <c r="Q1859" s="44"/>
      <c r="R1859" s="84"/>
      <c r="S1859" s="47"/>
      <c r="T1859" s="47"/>
    </row>
    <row r="1860" s="27" customFormat="1" ht="18" customHeight="1" spans="1:20">
      <c r="A1860" s="34"/>
      <c r="B1860" s="48">
        <v>2</v>
      </c>
      <c r="C1860" s="48"/>
      <c r="D1860" s="88" t="s">
        <v>461</v>
      </c>
      <c r="E1860" s="72" t="str">
        <f>+VLOOKUP(D1860,'材料表 '!C:F,2,0)</f>
        <v>kg</v>
      </c>
      <c r="F1860" s="77">
        <f t="shared" ref="F1860:F1868" si="308">+SUMIF($L$1846:$L$1883,D1860,$R$1846:$R$1883)</f>
        <v>12.1612903225806</v>
      </c>
      <c r="G1860" s="89">
        <f>+VLOOKUP(D1860,'材料表 '!C:F,4,0)</f>
        <v>0.03</v>
      </c>
      <c r="H1860" s="74">
        <f t="shared" si="307"/>
        <v>12.526129032258</v>
      </c>
      <c r="I1860" s="74">
        <f>+VLOOKUP(D1860,'材料表 '!C:F,3,0)</f>
        <v>3.53982300884956</v>
      </c>
      <c r="J1860" s="95">
        <f t="shared" si="306"/>
        <v>44.3402797602054</v>
      </c>
      <c r="K1860" s="60">
        <f ca="1">H1860*K1845</f>
        <v>553.705659100642</v>
      </c>
      <c r="L1860" s="90"/>
      <c r="M1860" s="44"/>
      <c r="N1860" s="82"/>
      <c r="O1860" s="44"/>
      <c r="P1860" s="44"/>
      <c r="Q1860" s="44"/>
      <c r="R1860" s="84"/>
      <c r="S1860" s="47"/>
      <c r="T1860" s="47"/>
    </row>
    <row r="1861" s="27" customFormat="1" ht="18" customHeight="1" spans="1:20">
      <c r="A1861" s="34"/>
      <c r="B1861" s="48">
        <v>3</v>
      </c>
      <c r="C1861" s="48"/>
      <c r="D1861" s="88" t="s">
        <v>465</v>
      </c>
      <c r="E1861" s="72" t="str">
        <f>+VLOOKUP(D1861,'材料表 '!C:F,2,0)</f>
        <v>kg</v>
      </c>
      <c r="F1861" s="77">
        <f t="shared" si="308"/>
        <v>0.534717080909572</v>
      </c>
      <c r="G1861" s="89">
        <f>+VLOOKUP(D1861,'材料表 '!C:F,4,0)</f>
        <v>0.03</v>
      </c>
      <c r="H1861" s="74">
        <f t="shared" si="307"/>
        <v>0.550758593336859</v>
      </c>
      <c r="I1861" s="74">
        <f>+VLOOKUP(D1861,'材料表 '!C:F,3,0)</f>
        <v>6.01769911504425</v>
      </c>
      <c r="J1861" s="95">
        <f t="shared" si="306"/>
        <v>3.31429949972623</v>
      </c>
      <c r="K1861" s="60">
        <f ca="1">H1861*K1845</f>
        <v>24.3457614993094</v>
      </c>
      <c r="L1861" s="90" t="s">
        <v>474</v>
      </c>
      <c r="M1861" s="44"/>
      <c r="N1861" s="82"/>
      <c r="O1861" s="44"/>
      <c r="P1861" s="44"/>
      <c r="Q1861" s="44">
        <f>+O1851*P1851*4</f>
        <v>56</v>
      </c>
      <c r="R1861" s="84">
        <f>+Q1861/R1846</f>
        <v>2.9613960867266</v>
      </c>
      <c r="S1861" s="47"/>
      <c r="T1861" s="47"/>
    </row>
    <row r="1862" s="27" customFormat="1" ht="18" customHeight="1" spans="1:20">
      <c r="A1862" s="34"/>
      <c r="B1862" s="48">
        <v>4</v>
      </c>
      <c r="C1862" s="48"/>
      <c r="D1862" s="88" t="s">
        <v>463</v>
      </c>
      <c r="E1862" s="72" t="str">
        <f>+VLOOKUP(D1862,'材料表 '!C:F,2,0)</f>
        <v>kg</v>
      </c>
      <c r="F1862" s="77">
        <f t="shared" si="308"/>
        <v>3.48704389212057</v>
      </c>
      <c r="G1862" s="89">
        <f>+VLOOKUP(D1862,'材料表 '!C:F,4,0)</f>
        <v>0.03</v>
      </c>
      <c r="H1862" s="74">
        <f t="shared" si="307"/>
        <v>3.59165520888419</v>
      </c>
      <c r="I1862" s="74">
        <f>+VLOOKUP(D1862,'材料表 '!C:F,3,0)</f>
        <v>6.01769911504425</v>
      </c>
      <c r="J1862" s="95">
        <f t="shared" si="306"/>
        <v>21.6135003720464</v>
      </c>
      <c r="K1862" s="60">
        <f ca="1">H1862*K1845</f>
        <v>158.765713619588</v>
      </c>
      <c r="L1862" s="90" t="s">
        <v>475</v>
      </c>
      <c r="M1862" s="44"/>
      <c r="N1862" s="83"/>
      <c r="O1862" s="82">
        <f>O1846</f>
        <v>6.1</v>
      </c>
      <c r="P1862" s="44">
        <f>0.371</f>
        <v>0.371</v>
      </c>
      <c r="Q1862" s="44">
        <f>+P1862*O1862</f>
        <v>2.2631</v>
      </c>
      <c r="R1862" s="84">
        <f>+Q1862/R1846</f>
        <v>0.119677419354839</v>
      </c>
      <c r="S1862" s="47"/>
      <c r="T1862" s="47"/>
    </row>
    <row r="1863" s="27" customFormat="1" ht="18" customHeight="1" spans="1:20">
      <c r="A1863" s="34"/>
      <c r="B1863" s="48">
        <v>5</v>
      </c>
      <c r="C1863" s="48"/>
      <c r="D1863" s="88" t="s">
        <v>469</v>
      </c>
      <c r="E1863" s="72" t="str">
        <f>+VLOOKUP(D1863,'材料表 '!C:F,2,0)</f>
        <v>套</v>
      </c>
      <c r="F1863" s="77">
        <f t="shared" si="308"/>
        <v>4.65362242199894</v>
      </c>
      <c r="G1863" s="89">
        <f>+VLOOKUP(D1863,'材料表 '!C:F,4,0)</f>
        <v>0</v>
      </c>
      <c r="H1863" s="74">
        <f t="shared" si="307"/>
        <v>4.65362242199894</v>
      </c>
      <c r="I1863" s="74">
        <f>+VLOOKUP(D1863,'材料表 '!C:F,3,0)</f>
        <v>5.30973451327434</v>
      </c>
      <c r="J1863" s="95">
        <f t="shared" si="306"/>
        <v>24.7094995858351</v>
      </c>
      <c r="K1863" s="60">
        <f ca="1">H1863*K1845</f>
        <v>205.708967530407</v>
      </c>
      <c r="L1863" s="92" t="s">
        <v>476</v>
      </c>
      <c r="M1863" s="44"/>
      <c r="N1863" s="82"/>
      <c r="O1863" s="44"/>
      <c r="P1863" s="44"/>
      <c r="Q1863" s="44">
        <f>6*6*(O1846*6+P1846*6)/500</f>
        <v>3.9744</v>
      </c>
      <c r="R1863" s="84">
        <f>+Q1863/R1846</f>
        <v>0.210174510840825</v>
      </c>
      <c r="S1863" s="47"/>
      <c r="T1863" s="47"/>
    </row>
    <row r="1864" s="27" customFormat="1" ht="18" customHeight="1" spans="1:20">
      <c r="A1864" s="34"/>
      <c r="B1864" s="48">
        <v>7</v>
      </c>
      <c r="C1864" s="48"/>
      <c r="D1864" s="88" t="s">
        <v>471</v>
      </c>
      <c r="E1864" s="72" t="str">
        <f>+VLOOKUP(D1864,'材料表 '!C:F,2,0)</f>
        <v>套</v>
      </c>
      <c r="F1864" s="77">
        <f t="shared" si="308"/>
        <v>4.65362242199894</v>
      </c>
      <c r="G1864" s="89">
        <f>+VLOOKUP(D1864,'材料表 '!C:F,4,0)</f>
        <v>0</v>
      </c>
      <c r="H1864" s="74">
        <f t="shared" si="307"/>
        <v>4.65362242199894</v>
      </c>
      <c r="I1864" s="74">
        <f>+VLOOKUP(D1864,'材料表 '!C:F,3,0)</f>
        <v>1.32743362831858</v>
      </c>
      <c r="J1864" s="95">
        <f t="shared" si="306"/>
        <v>6.17737489645875</v>
      </c>
      <c r="K1864" s="60">
        <f ca="1">H1864*K1845</f>
        <v>205.708967530407</v>
      </c>
      <c r="L1864" s="92"/>
      <c r="M1864" s="44"/>
      <c r="N1864" s="82"/>
      <c r="O1864" s="44"/>
      <c r="P1864" s="44"/>
      <c r="Q1864" s="44"/>
      <c r="R1864" s="84">
        <f>+Q1864/R1846</f>
        <v>0</v>
      </c>
      <c r="S1864" s="47"/>
      <c r="T1864" s="47"/>
    </row>
    <row r="1865" s="27" customFormat="1" ht="18" customHeight="1" spans="1:20">
      <c r="A1865" s="34"/>
      <c r="B1865" s="48">
        <v>8</v>
      </c>
      <c r="C1865" s="48"/>
      <c r="D1865" s="88" t="s">
        <v>472</v>
      </c>
      <c r="E1865" s="72" t="str">
        <f>+VLOOKUP(D1865,'材料表 '!C:F,2,0)</f>
        <v>套</v>
      </c>
      <c r="F1865" s="77">
        <f t="shared" si="308"/>
        <v>0</v>
      </c>
      <c r="G1865" s="89">
        <f>+VLOOKUP(D1865,'材料表 '!C:F,4,0)</f>
        <v>0</v>
      </c>
      <c r="H1865" s="74">
        <f t="shared" si="307"/>
        <v>0</v>
      </c>
      <c r="I1865" s="74">
        <f>+VLOOKUP(D1865,'材料表 '!C:F,3,0)</f>
        <v>2.47787610619469</v>
      </c>
      <c r="J1865" s="95">
        <f t="shared" si="306"/>
        <v>0</v>
      </c>
      <c r="K1865" s="60">
        <f ca="1">H1865*K1845</f>
        <v>0</v>
      </c>
      <c r="L1865" s="92"/>
      <c r="M1865" s="44"/>
      <c r="N1865" s="82"/>
      <c r="O1865" s="44"/>
      <c r="P1865" s="44"/>
      <c r="Q1865" s="44"/>
      <c r="R1865" s="84"/>
      <c r="S1865" s="47"/>
      <c r="T1865" s="47"/>
    </row>
    <row r="1866" s="27" customFormat="1" ht="18" customHeight="1" spans="1:20">
      <c r="A1866" s="34"/>
      <c r="B1866" s="48">
        <v>9</v>
      </c>
      <c r="C1866" s="48"/>
      <c r="D1866" s="88" t="s">
        <v>473</v>
      </c>
      <c r="E1866" s="72" t="str">
        <f>+VLOOKUP(D1866,'材料表 '!C:F,2,0)</f>
        <v>套</v>
      </c>
      <c r="F1866" s="77">
        <f t="shared" si="308"/>
        <v>13.9608672659968</v>
      </c>
      <c r="G1866" s="89">
        <f>+VLOOKUP(D1866,'材料表 '!C:F,4,0)</f>
        <v>0</v>
      </c>
      <c r="H1866" s="74">
        <f t="shared" si="307"/>
        <v>13.9608672659968</v>
      </c>
      <c r="I1866" s="74">
        <f>+VLOOKUP(D1866,'材料表 '!C:F,3,0)</f>
        <v>0.247787610619469</v>
      </c>
      <c r="J1866" s="95">
        <f t="shared" si="306"/>
        <v>3.45932994201691</v>
      </c>
      <c r="K1866" s="60">
        <f ca="1">H1866*K1845</f>
        <v>617.12690259122</v>
      </c>
      <c r="L1866" s="90"/>
      <c r="M1866" s="44"/>
      <c r="N1866" s="82"/>
      <c r="O1866" s="34"/>
      <c r="P1866" s="44"/>
      <c r="Q1866" s="44"/>
      <c r="R1866" s="119"/>
      <c r="S1866" s="47"/>
      <c r="T1866" s="47"/>
    </row>
    <row r="1867" s="27" customFormat="1" ht="18" customHeight="1" spans="1:20">
      <c r="A1867" s="34"/>
      <c r="B1867" s="48">
        <v>10</v>
      </c>
      <c r="C1867" s="48"/>
      <c r="D1867" s="88" t="s">
        <v>474</v>
      </c>
      <c r="E1867" s="72" t="str">
        <f>+VLOOKUP(D1867,'材料表 '!C:F,2,0)</f>
        <v>套</v>
      </c>
      <c r="F1867" s="77">
        <f t="shared" si="308"/>
        <v>2.9613960867266</v>
      </c>
      <c r="G1867" s="89">
        <f>+VLOOKUP(D1867,'材料表 '!C:F,4,0)</f>
        <v>0</v>
      </c>
      <c r="H1867" s="74">
        <f t="shared" si="307"/>
        <v>2.9613960867266</v>
      </c>
      <c r="I1867" s="74">
        <f>+VLOOKUP(D1867,'材料表 '!C:F,3,0)</f>
        <v>2.21238938053097</v>
      </c>
      <c r="J1867" s="95">
        <f t="shared" si="306"/>
        <v>6.5517612538199</v>
      </c>
      <c r="K1867" s="60">
        <f ca="1">H1867*K1845</f>
        <v>130.905706610259</v>
      </c>
      <c r="L1867" s="92"/>
      <c r="M1867" s="120"/>
      <c r="N1867" s="82"/>
      <c r="O1867" s="44"/>
      <c r="P1867" s="44"/>
      <c r="Q1867" s="44"/>
      <c r="R1867" s="84"/>
      <c r="S1867" s="47"/>
      <c r="T1867" s="47"/>
    </row>
    <row r="1868" s="27" customFormat="1" ht="18" customHeight="1" spans="1:20">
      <c r="A1868" s="34"/>
      <c r="B1868" s="48">
        <v>11</v>
      </c>
      <c r="C1868" s="48"/>
      <c r="D1868" s="88" t="s">
        <v>476</v>
      </c>
      <c r="E1868" s="72" t="str">
        <f>+VLOOKUP(D1868,'材料表 '!C:F,2,0)</f>
        <v>支</v>
      </c>
      <c r="F1868" s="77">
        <f t="shared" si="308"/>
        <v>0.210174510840825</v>
      </c>
      <c r="G1868" s="89">
        <f>+VLOOKUP(D1868,'材料表 '!C:F,4,0)</f>
        <v>0.15</v>
      </c>
      <c r="H1868" s="74">
        <f t="shared" si="307"/>
        <v>0.241700687466949</v>
      </c>
      <c r="I1868" s="74">
        <f>+VLOOKUP(D1868,'材料表 '!C:F,3,0)</f>
        <v>11.5044247787611</v>
      </c>
      <c r="J1868" s="95">
        <f t="shared" si="306"/>
        <v>2.78062737793836</v>
      </c>
      <c r="K1868" s="60">
        <f ca="1">H1868*K1845</f>
        <v>10.6841497572248</v>
      </c>
      <c r="L1868" s="92"/>
      <c r="M1868" s="44"/>
      <c r="N1868" s="44"/>
      <c r="O1868" s="44"/>
      <c r="P1868" s="44"/>
      <c r="Q1868" s="44"/>
      <c r="R1868" s="84"/>
      <c r="S1868" s="47"/>
      <c r="T1868" s="47"/>
    </row>
    <row r="1869" s="27" customFormat="1" ht="18" customHeight="1" spans="1:20">
      <c r="A1869" s="34"/>
      <c r="B1869" s="48">
        <v>12</v>
      </c>
      <c r="C1869" s="48"/>
      <c r="D1869" s="88" t="s">
        <v>477</v>
      </c>
      <c r="E1869" s="72" t="str">
        <f>+VLOOKUP(D1869,'材料表 '!C:F,2,0)</f>
        <v>kg</v>
      </c>
      <c r="F1869" s="77">
        <v>0.2</v>
      </c>
      <c r="G1869" s="89">
        <f>+VLOOKUP(D1869,'材料表 '!C:F,4,0)</f>
        <v>0.15</v>
      </c>
      <c r="H1869" s="74">
        <f t="shared" si="307"/>
        <v>0.23</v>
      </c>
      <c r="I1869" s="74">
        <f>+VLOOKUP(D1869,'材料表 '!C:F,3,0)</f>
        <v>10.6194690265487</v>
      </c>
      <c r="J1869" s="95">
        <f t="shared" si="306"/>
        <v>2.4424778761062</v>
      </c>
      <c r="K1869" s="60">
        <f ca="1">H1869*K1845</f>
        <v>10.16693196</v>
      </c>
      <c r="L1869" s="92"/>
      <c r="M1869" s="44"/>
      <c r="N1869" s="44"/>
      <c r="O1869" s="44"/>
      <c r="P1869" s="44"/>
      <c r="Q1869" s="44"/>
      <c r="R1869" s="84"/>
      <c r="S1869" s="47"/>
      <c r="T1869" s="47"/>
    </row>
    <row r="1870" s="27" customFormat="1" ht="18" customHeight="1" spans="1:20">
      <c r="A1870" s="34"/>
      <c r="B1870" s="48">
        <v>13</v>
      </c>
      <c r="C1870" s="48"/>
      <c r="D1870" s="88" t="s">
        <v>479</v>
      </c>
      <c r="E1870" s="72" t="str">
        <f>+VLOOKUP(D1870,'材料表 '!C:F,2,0)</f>
        <v>kg</v>
      </c>
      <c r="F1870" s="77">
        <f>R1850</f>
        <v>12.1612903225806</v>
      </c>
      <c r="G1870" s="89">
        <f>+VLOOKUP(D1870,'材料表 '!C:F,4,0)</f>
        <v>0.03</v>
      </c>
      <c r="H1870" s="74">
        <f t="shared" si="307"/>
        <v>12.526129032258</v>
      </c>
      <c r="I1870" s="74">
        <f>+VLOOKUP(D1870,'材料表 '!C:F,3,0)</f>
        <v>14.1592920353982</v>
      </c>
      <c r="J1870" s="95">
        <f t="shared" si="306"/>
        <v>177.361119040821</v>
      </c>
      <c r="K1870" s="60">
        <f ca="1">H1870*K1845</f>
        <v>553.705659100642</v>
      </c>
      <c r="L1870" s="92"/>
      <c r="M1870" s="44"/>
      <c r="N1870" s="44"/>
      <c r="O1870" s="44"/>
      <c r="P1870" s="44"/>
      <c r="Q1870" s="44"/>
      <c r="R1870" s="84"/>
      <c r="S1870" s="47"/>
      <c r="T1870" s="47"/>
    </row>
    <row r="1871" s="27" customFormat="1" ht="29" customHeight="1" spans="1:20">
      <c r="A1871" s="34"/>
      <c r="B1871" s="48">
        <v>14</v>
      </c>
      <c r="C1871" s="48"/>
      <c r="D1871" s="88" t="s">
        <v>290</v>
      </c>
      <c r="E1871" s="72" t="str">
        <f>+VLOOKUP(D1871,'材料表 '!C:F,2,0)</f>
        <v>m2</v>
      </c>
      <c r="F1871" s="77">
        <v>1</v>
      </c>
      <c r="G1871" s="89">
        <f>+VLOOKUP(D1871,'材料表 '!C:F,4,0)</f>
        <v>0.06</v>
      </c>
      <c r="H1871" s="74">
        <f t="shared" si="307"/>
        <v>1.06</v>
      </c>
      <c r="I1871" s="74">
        <f>+VLOOKUP(D1871,'材料表 '!C:F,3,0)</f>
        <v>3119.46902654867</v>
      </c>
      <c r="J1871" s="95">
        <f t="shared" si="306"/>
        <v>3306.63716814159</v>
      </c>
      <c r="K1871" s="60">
        <f ca="1">H1871*K1845</f>
        <v>46.85629512</v>
      </c>
      <c r="L1871" s="92"/>
      <c r="M1871" s="44"/>
      <c r="N1871" s="44"/>
      <c r="O1871" s="44"/>
      <c r="P1871" s="44"/>
      <c r="Q1871" s="44"/>
      <c r="R1871" s="84"/>
      <c r="S1871" s="47"/>
      <c r="T1871" s="47"/>
    </row>
    <row r="1872" s="27" customFormat="1" ht="18" customHeight="1" spans="1:20">
      <c r="A1872" s="34"/>
      <c r="B1872" s="48">
        <v>15</v>
      </c>
      <c r="C1872" s="48"/>
      <c r="D1872" s="88"/>
      <c r="E1872" s="72"/>
      <c r="F1872" s="77"/>
      <c r="G1872" s="89"/>
      <c r="H1872" s="74"/>
      <c r="I1872" s="74"/>
      <c r="J1872" s="95"/>
      <c r="K1872" s="92">
        <f ca="1">H1872*K1845</f>
        <v>0</v>
      </c>
      <c r="L1872" s="92"/>
      <c r="M1872" s="44"/>
      <c r="N1872" s="44"/>
      <c r="O1872" s="44"/>
      <c r="P1872" s="44"/>
      <c r="Q1872" s="44"/>
      <c r="R1872" s="84"/>
      <c r="S1872" s="47"/>
      <c r="T1872" s="47"/>
    </row>
    <row r="1873" s="27" customFormat="1" ht="18" customHeight="1" spans="1:20">
      <c r="A1873" s="34"/>
      <c r="B1873" s="48">
        <v>16</v>
      </c>
      <c r="C1873" s="48"/>
      <c r="D1873" s="88"/>
      <c r="E1873" s="72"/>
      <c r="F1873" s="77"/>
      <c r="G1873" s="89"/>
      <c r="H1873" s="74"/>
      <c r="I1873" s="74"/>
      <c r="J1873" s="95"/>
      <c r="K1873" s="92">
        <f ca="1">H1873*K1845</f>
        <v>0</v>
      </c>
      <c r="L1873" s="92"/>
      <c r="M1873" s="44"/>
      <c r="N1873" s="44"/>
      <c r="O1873" s="44"/>
      <c r="P1873" s="44"/>
      <c r="Q1873" s="44"/>
      <c r="R1873" s="84"/>
      <c r="S1873" s="47"/>
      <c r="T1873" s="47"/>
    </row>
    <row r="1874" s="27" customFormat="1" ht="18" customHeight="1" spans="1:20">
      <c r="A1874" s="34"/>
      <c r="B1874" s="48">
        <v>17</v>
      </c>
      <c r="C1874" s="48"/>
      <c r="D1874" s="121"/>
      <c r="E1874" s="72"/>
      <c r="F1874" s="77"/>
      <c r="G1874" s="89"/>
      <c r="H1874" s="74"/>
      <c r="I1874" s="74"/>
      <c r="J1874" s="95"/>
      <c r="K1874" s="92"/>
      <c r="L1874" s="92"/>
      <c r="M1874" s="44"/>
      <c r="N1874" s="44"/>
      <c r="O1874" s="44"/>
      <c r="P1874" s="44"/>
      <c r="Q1874" s="101"/>
      <c r="R1874" s="84"/>
      <c r="S1874" s="47"/>
      <c r="T1874" s="47"/>
    </row>
    <row r="1875" s="27" customFormat="1" ht="18" customHeight="1" spans="1:20">
      <c r="A1875" s="34"/>
      <c r="B1875" s="48">
        <v>18</v>
      </c>
      <c r="C1875" s="48"/>
      <c r="D1875" s="88"/>
      <c r="E1875" s="72"/>
      <c r="F1875" s="77"/>
      <c r="G1875" s="89"/>
      <c r="H1875" s="74"/>
      <c r="I1875" s="74"/>
      <c r="J1875" s="95"/>
      <c r="K1875" s="92"/>
      <c r="L1875" s="92"/>
      <c r="M1875" s="44"/>
      <c r="N1875" s="44"/>
      <c r="O1875" s="44"/>
      <c r="P1875" s="44"/>
      <c r="Q1875" s="44"/>
      <c r="R1875" s="84"/>
      <c r="S1875" s="47"/>
      <c r="T1875" s="47"/>
    </row>
    <row r="1876" s="27" customFormat="1" ht="18" customHeight="1" spans="1:20">
      <c r="A1876" s="34"/>
      <c r="B1876" s="48">
        <v>19</v>
      </c>
      <c r="C1876" s="48"/>
      <c r="D1876" s="27"/>
      <c r="E1876" s="72"/>
      <c r="F1876" s="77"/>
      <c r="G1876" s="89"/>
      <c r="H1876" s="74"/>
      <c r="I1876" s="74"/>
      <c r="J1876" s="95"/>
      <c r="K1876" s="92"/>
      <c r="L1876" s="92"/>
      <c r="M1876" s="44"/>
      <c r="N1876" s="44"/>
      <c r="O1876" s="44"/>
      <c r="P1876" s="44"/>
      <c r="Q1876" s="44"/>
      <c r="R1876" s="84"/>
      <c r="S1876" s="47"/>
      <c r="T1876" s="47"/>
    </row>
    <row r="1877" s="27" customFormat="1" ht="18" customHeight="1" spans="1:20">
      <c r="A1877" s="34"/>
      <c r="B1877" s="48">
        <v>20</v>
      </c>
      <c r="C1877" s="48"/>
      <c r="D1877" s="88"/>
      <c r="E1877" s="72"/>
      <c r="F1877" s="77"/>
      <c r="G1877" s="89"/>
      <c r="H1877" s="74"/>
      <c r="I1877" s="74"/>
      <c r="J1877" s="95"/>
      <c r="K1877" s="92"/>
      <c r="L1877" s="92"/>
      <c r="M1877" s="44"/>
      <c r="N1877" s="44"/>
      <c r="O1877" s="44"/>
      <c r="P1877" s="44"/>
      <c r="Q1877" s="44"/>
      <c r="R1877" s="84"/>
      <c r="S1877" s="47"/>
      <c r="T1877" s="47"/>
    </row>
    <row r="1878" s="27" customFormat="1" ht="18" customHeight="1" spans="1:20">
      <c r="A1878" s="34"/>
      <c r="B1878" s="48">
        <v>21</v>
      </c>
      <c r="C1878" s="48"/>
      <c r="D1878" s="88"/>
      <c r="E1878" s="72"/>
      <c r="F1878" s="77"/>
      <c r="G1878" s="89"/>
      <c r="H1878" s="74"/>
      <c r="I1878" s="74"/>
      <c r="J1878" s="95"/>
      <c r="K1878" s="92"/>
      <c r="L1878" s="92"/>
      <c r="M1878" s="44"/>
      <c r="N1878" s="44"/>
      <c r="O1878" s="44"/>
      <c r="P1878" s="44"/>
      <c r="Q1878" s="44"/>
      <c r="R1878" s="84"/>
      <c r="S1878" s="47"/>
      <c r="T1878" s="47"/>
    </row>
    <row r="1879" s="27" customFormat="1" ht="18" customHeight="1" spans="1:20">
      <c r="A1879" s="34"/>
      <c r="B1879" s="48">
        <v>22</v>
      </c>
      <c r="C1879" s="48"/>
      <c r="D1879" s="27"/>
      <c r="E1879" s="72"/>
      <c r="F1879" s="77"/>
      <c r="G1879" s="72"/>
      <c r="H1879" s="74"/>
      <c r="I1879" s="74"/>
      <c r="J1879" s="95"/>
      <c r="K1879" s="92"/>
      <c r="L1879" s="92"/>
      <c r="M1879" s="44"/>
      <c r="N1879" s="44"/>
      <c r="O1879" s="44"/>
      <c r="P1879" s="44"/>
      <c r="Q1879" s="44"/>
      <c r="R1879" s="62"/>
      <c r="S1879" s="47"/>
      <c r="T1879" s="47"/>
    </row>
    <row r="1880" s="27" customFormat="1" ht="18" customHeight="1" spans="1:20">
      <c r="A1880" s="34"/>
      <c r="B1880" s="48">
        <v>23</v>
      </c>
      <c r="C1880" s="48"/>
      <c r="D1880" s="88"/>
      <c r="E1880" s="72"/>
      <c r="F1880" s="77"/>
      <c r="G1880" s="89"/>
      <c r="H1880" s="74"/>
      <c r="I1880" s="74"/>
      <c r="J1880" s="95"/>
      <c r="K1880" s="92"/>
      <c r="L1880" s="92"/>
      <c r="M1880" s="44"/>
      <c r="N1880" s="44"/>
      <c r="O1880" s="44"/>
      <c r="P1880" s="44"/>
      <c r="Q1880" s="44"/>
      <c r="R1880" s="62"/>
      <c r="S1880" s="47"/>
      <c r="T1880" s="47"/>
    </row>
    <row r="1881" s="27" customFormat="1" ht="18" customHeight="1" spans="1:20">
      <c r="A1881" s="34"/>
      <c r="B1881" s="48">
        <v>24</v>
      </c>
      <c r="C1881" s="48"/>
      <c r="D1881" s="88" t="s">
        <v>478</v>
      </c>
      <c r="E1881" s="72" t="s">
        <v>43</v>
      </c>
      <c r="F1881" s="77"/>
      <c r="G1881" s="72">
        <v>1</v>
      </c>
      <c r="H1881" s="74">
        <v>1</v>
      </c>
      <c r="I1881" s="74">
        <f>+辅材及安装费!$E$8</f>
        <v>10</v>
      </c>
      <c r="J1881" s="95">
        <f>H1881*I1881</f>
        <v>10</v>
      </c>
      <c r="K1881" s="92"/>
      <c r="L1881" s="92"/>
      <c r="M1881" s="44"/>
      <c r="N1881" s="44"/>
      <c r="O1881" s="44"/>
      <c r="P1881" s="44"/>
      <c r="Q1881" s="44"/>
      <c r="R1881" s="62"/>
      <c r="S1881" s="47"/>
      <c r="T1881" s="47"/>
    </row>
    <row r="1882" s="27" customFormat="1" ht="18" customHeight="1" spans="1:20">
      <c r="A1882" s="34"/>
      <c r="B1882" s="48">
        <v>25</v>
      </c>
      <c r="C1882" s="48"/>
      <c r="D1882" s="93" t="s">
        <v>442</v>
      </c>
      <c r="E1882" s="72"/>
      <c r="F1882" s="77"/>
      <c r="G1882" s="72"/>
      <c r="H1882" s="74"/>
      <c r="I1882" s="74"/>
      <c r="J1882" s="95">
        <f>SUM(J1859:J1881)</f>
        <v>3655.30947894778</v>
      </c>
      <c r="K1882" s="92"/>
      <c r="L1882" s="94"/>
      <c r="M1882" s="27"/>
      <c r="N1882" s="83"/>
      <c r="O1882" s="83"/>
      <c r="P1882" s="83"/>
      <c r="Q1882" s="83"/>
      <c r="R1882" s="87"/>
      <c r="S1882" s="47"/>
      <c r="T1882" s="47"/>
    </row>
    <row r="1883" s="27" customFormat="1" ht="18" customHeight="1" spans="1:20">
      <c r="A1883" s="34"/>
      <c r="B1883" s="48">
        <v>1</v>
      </c>
      <c r="C1883" s="48" t="s">
        <v>443</v>
      </c>
      <c r="D1883" s="48" t="s">
        <v>444</v>
      </c>
      <c r="E1883" s="72" t="s">
        <v>43</v>
      </c>
      <c r="F1883" s="50"/>
      <c r="G1883" s="48"/>
      <c r="H1883" s="51">
        <v>1</v>
      </c>
      <c r="I1883" s="74">
        <f>+辅材及安装费!$F$8</f>
        <v>5</v>
      </c>
      <c r="J1883" s="95">
        <f>H1883*I1883</f>
        <v>5</v>
      </c>
      <c r="K1883" s="118"/>
      <c r="L1883" s="96"/>
      <c r="M1883" s="97"/>
      <c r="N1883" s="98"/>
      <c r="O1883" s="98"/>
      <c r="P1883" s="98"/>
      <c r="Q1883" s="98"/>
      <c r="R1883" s="99"/>
      <c r="S1883" s="47"/>
      <c r="T1883" s="47"/>
    </row>
    <row r="1884" s="26" customFormat="1" ht="30" customHeight="1" spans="1:20">
      <c r="A1884" s="28"/>
      <c r="B1884" s="29" t="s">
        <v>386</v>
      </c>
      <c r="C1884" s="29"/>
      <c r="D1884" s="29"/>
      <c r="E1884" s="29"/>
      <c r="F1884" s="29"/>
      <c r="G1884" s="29"/>
      <c r="H1884" s="29"/>
      <c r="I1884" s="29"/>
      <c r="J1884" s="29"/>
      <c r="K1884" s="29"/>
      <c r="L1884" s="30"/>
      <c r="M1884" s="31"/>
      <c r="N1884" s="31"/>
      <c r="O1884" s="31"/>
      <c r="P1884" s="31"/>
      <c r="Q1884" s="31"/>
      <c r="R1884" s="32"/>
      <c r="S1884" s="33"/>
      <c r="T1884" s="33"/>
    </row>
    <row r="1885" s="27" customFormat="1" ht="33.75" customHeight="1" spans="1:20">
      <c r="A1885" s="34">
        <v>4</v>
      </c>
      <c r="B1885" s="35" t="s">
        <v>1</v>
      </c>
      <c r="C1885" s="35" t="s">
        <v>387</v>
      </c>
      <c r="D1885" s="36" t="str">
        <f>+A1893</f>
        <v>25mm厚透光云石造型柱</v>
      </c>
      <c r="E1885" s="37"/>
      <c r="F1885" s="38" t="s">
        <v>99</v>
      </c>
      <c r="G1885" s="39"/>
      <c r="H1885" s="35" t="s">
        <v>388</v>
      </c>
      <c r="I1885" s="40" t="s">
        <v>389</v>
      </c>
      <c r="J1885" s="41" t="s">
        <v>37</v>
      </c>
      <c r="K1885" s="123">
        <f ca="1">VLOOKUP(A1885,'商业工程量清单 '!$A$47:$D$58,4,FALSE)</f>
        <v>13.6</v>
      </c>
      <c r="L1885" s="43"/>
      <c r="M1885" s="44"/>
      <c r="N1885" s="44"/>
      <c r="O1885" s="44"/>
      <c r="P1885" s="45"/>
      <c r="Q1885" s="44"/>
      <c r="R1885" s="46"/>
      <c r="S1885" s="47"/>
      <c r="T1885" s="47"/>
    </row>
    <row r="1886" s="27" customFormat="1" ht="18" customHeight="1" spans="1:20">
      <c r="A1886" s="34"/>
      <c r="B1886" s="48">
        <v>1</v>
      </c>
      <c r="C1886" s="49" t="s">
        <v>390</v>
      </c>
      <c r="D1886" s="48" t="s">
        <v>391</v>
      </c>
      <c r="E1886" s="48"/>
      <c r="F1886" s="50"/>
      <c r="G1886" s="48"/>
      <c r="H1886" s="51"/>
      <c r="I1886" s="52">
        <f>J1898</f>
        <v>210</v>
      </c>
      <c r="J1886" s="53" t="s">
        <v>392</v>
      </c>
      <c r="K1886" s="54"/>
      <c r="L1886" s="55"/>
      <c r="M1886" s="56"/>
      <c r="N1886" s="57"/>
      <c r="O1886" s="57">
        <v>0.463</v>
      </c>
      <c r="P1886" s="57">
        <v>6.8</v>
      </c>
      <c r="Q1886" s="57">
        <v>1</v>
      </c>
      <c r="R1886" s="58">
        <f>+Q1886*P1886*O1886</f>
        <v>3.1484</v>
      </c>
      <c r="S1886" s="47"/>
      <c r="T1886" s="47"/>
    </row>
    <row r="1887" s="27" customFormat="1" ht="18" customHeight="1" spans="1:20">
      <c r="A1887" s="34"/>
      <c r="B1887" s="48">
        <v>2</v>
      </c>
      <c r="C1887" s="59"/>
      <c r="D1887" s="48" t="s">
        <v>394</v>
      </c>
      <c r="E1887" s="48"/>
      <c r="F1887" s="50"/>
      <c r="G1887" s="48"/>
      <c r="H1887" s="51"/>
      <c r="I1887" s="52">
        <f>J1922</f>
        <v>791.60467589662</v>
      </c>
      <c r="J1887" s="53" t="s">
        <v>392</v>
      </c>
      <c r="K1887" s="60"/>
      <c r="L1887" s="61" t="s">
        <v>99</v>
      </c>
      <c r="M1887" s="44"/>
      <c r="N1887" s="44"/>
      <c r="O1887" s="44"/>
      <c r="P1887" s="44"/>
      <c r="Q1887" s="44"/>
      <c r="R1887" s="62"/>
      <c r="S1887" s="47"/>
      <c r="T1887" s="47"/>
    </row>
    <row r="1888" s="27" customFormat="1" ht="18" customHeight="1" spans="1:20">
      <c r="A1888" s="34"/>
      <c r="B1888" s="48">
        <v>3</v>
      </c>
      <c r="C1888" s="63"/>
      <c r="D1888" s="48" t="s">
        <v>395</v>
      </c>
      <c r="E1888" s="48"/>
      <c r="F1888" s="50"/>
      <c r="G1888" s="48"/>
      <c r="H1888" s="51"/>
      <c r="I1888" s="52">
        <f>J1923</f>
        <v>5</v>
      </c>
      <c r="J1888" s="53" t="s">
        <v>392</v>
      </c>
      <c r="K1888" s="60"/>
      <c r="L1888" s="60"/>
      <c r="M1888" s="64" t="s">
        <v>396</v>
      </c>
      <c r="N1888" s="65" t="s">
        <v>397</v>
      </c>
      <c r="O1888" s="65" t="s">
        <v>398</v>
      </c>
      <c r="P1888" s="65" t="s">
        <v>399</v>
      </c>
      <c r="Q1888" s="65" t="s">
        <v>400</v>
      </c>
      <c r="R1888" s="66" t="s">
        <v>401</v>
      </c>
      <c r="S1888" s="47"/>
      <c r="T1888" s="47"/>
    </row>
    <row r="1889" s="27" customFormat="1" ht="18" customHeight="1" spans="1:20">
      <c r="A1889" s="34"/>
      <c r="B1889" s="48">
        <v>4</v>
      </c>
      <c r="C1889" s="48" t="s">
        <v>402</v>
      </c>
      <c r="D1889" s="67" t="s">
        <v>403</v>
      </c>
      <c r="E1889" s="67"/>
      <c r="F1889" s="50"/>
      <c r="G1889" s="67"/>
      <c r="H1889" s="68"/>
      <c r="I1889" s="52">
        <f>SUM(I1886:I1888)</f>
        <v>1006.60467589662</v>
      </c>
      <c r="J1889" s="53" t="s">
        <v>392</v>
      </c>
      <c r="K1889" s="60"/>
      <c r="L1889" s="69" t="s">
        <v>431</v>
      </c>
      <c r="M1889" s="34" t="s">
        <v>460</v>
      </c>
      <c r="N1889" s="102">
        <v>10.21</v>
      </c>
      <c r="O1889" s="34">
        <f>+P1886</f>
        <v>6.8</v>
      </c>
      <c r="P1889" s="34">
        <v>0.5</v>
      </c>
      <c r="Q1889" s="44">
        <f t="shared" ref="Q1889:Q1893" si="309">+P1889*O1889*N1889</f>
        <v>34.714</v>
      </c>
      <c r="R1889" s="71">
        <f>+Q1889/R1886</f>
        <v>11.0259179265659</v>
      </c>
      <c r="S1889" s="47"/>
      <c r="T1889" s="47"/>
    </row>
    <row r="1890" s="27" customFormat="1" ht="28" customHeight="1" spans="1:20">
      <c r="A1890" s="34"/>
      <c r="B1890" s="48">
        <v>5</v>
      </c>
      <c r="C1890" s="72" t="s">
        <v>406</v>
      </c>
      <c r="D1890" s="48" t="s">
        <v>407</v>
      </c>
      <c r="E1890" s="48"/>
      <c r="F1890" s="50"/>
      <c r="G1890" s="48"/>
      <c r="H1890" s="73">
        <f>+'材料表 '!$E$178</f>
        <v>0</v>
      </c>
      <c r="I1890" s="52">
        <f>H1890*I1889</f>
        <v>0</v>
      </c>
      <c r="J1890" s="53" t="s">
        <v>392</v>
      </c>
      <c r="K1890" s="60"/>
      <c r="L1890" s="69" t="s">
        <v>461</v>
      </c>
      <c r="M1890" s="34" t="s">
        <v>462</v>
      </c>
      <c r="N1890" s="34">
        <v>3.77</v>
      </c>
      <c r="O1890" s="34">
        <f>+O1886</f>
        <v>0.463</v>
      </c>
      <c r="P1890" s="34">
        <v>6</v>
      </c>
      <c r="Q1890" s="44">
        <f t="shared" si="309"/>
        <v>10.47306</v>
      </c>
      <c r="R1890" s="71">
        <f>+Q1890/R1886</f>
        <v>3.32647058823529</v>
      </c>
      <c r="S1890" s="47"/>
      <c r="T1890" s="47"/>
    </row>
    <row r="1891" s="27" customFormat="1" ht="18" customHeight="1" spans="1:20">
      <c r="A1891" s="34"/>
      <c r="B1891" s="48">
        <v>6</v>
      </c>
      <c r="C1891" s="48" t="s">
        <v>409</v>
      </c>
      <c r="D1891" s="48" t="s">
        <v>410</v>
      </c>
      <c r="E1891" s="48"/>
      <c r="F1891" s="50"/>
      <c r="G1891" s="48"/>
      <c r="H1891" s="73">
        <f>+'材料表 '!$E$179</f>
        <v>0</v>
      </c>
      <c r="I1891" s="52">
        <f>H1891*I1889</f>
        <v>0</v>
      </c>
      <c r="J1891" s="53" t="s">
        <v>392</v>
      </c>
      <c r="K1891" s="60"/>
      <c r="L1891" s="69" t="s">
        <v>463</v>
      </c>
      <c r="M1891" s="34" t="s">
        <v>490</v>
      </c>
      <c r="N1891" s="34">
        <f>0.3*0.2*7.85*10</f>
        <v>4.71</v>
      </c>
      <c r="O1891" s="34">
        <v>2</v>
      </c>
      <c r="P1891" s="34">
        <f>+P1889</f>
        <v>0.5</v>
      </c>
      <c r="Q1891" s="44">
        <f t="shared" si="309"/>
        <v>4.71</v>
      </c>
      <c r="R1891" s="71">
        <f>+Q1891/R1886</f>
        <v>1.49599796722145</v>
      </c>
      <c r="S1891" s="47"/>
      <c r="T1891" s="47"/>
    </row>
    <row r="1892" s="27" customFormat="1" ht="18" customHeight="1" spans="1:20">
      <c r="A1892" s="34"/>
      <c r="B1892" s="48">
        <v>7</v>
      </c>
      <c r="C1892" s="48" t="s">
        <v>412</v>
      </c>
      <c r="D1892" s="72" t="s">
        <v>413</v>
      </c>
      <c r="E1892" s="72"/>
      <c r="F1892" s="77"/>
      <c r="G1892" s="72"/>
      <c r="H1892" s="73">
        <f>+'材料表 '!$E$180</f>
        <v>0.09</v>
      </c>
      <c r="I1892" s="52">
        <f>(I1889+I1890+I1891)*H1892</f>
        <v>90.5944208306958</v>
      </c>
      <c r="J1892" s="53" t="s">
        <v>392</v>
      </c>
      <c r="K1892" s="60"/>
      <c r="L1892" s="69" t="s">
        <v>465</v>
      </c>
      <c r="M1892" s="34" t="s">
        <v>466</v>
      </c>
      <c r="N1892" s="100">
        <f>3.77</f>
        <v>3.77</v>
      </c>
      <c r="O1892" s="34">
        <v>0.155</v>
      </c>
      <c r="P1892" s="34">
        <v>0</v>
      </c>
      <c r="Q1892" s="44">
        <f t="shared" si="309"/>
        <v>0</v>
      </c>
      <c r="R1892" s="71">
        <f>+Q1892/R1886</f>
        <v>0</v>
      </c>
      <c r="S1892" s="47"/>
      <c r="T1892" s="47"/>
    </row>
    <row r="1893" s="27" customFormat="1" ht="18" customHeight="1" spans="1:20">
      <c r="A1893" s="105" t="s">
        <v>291</v>
      </c>
      <c r="B1893" s="48">
        <v>8</v>
      </c>
      <c r="C1893" s="48" t="s">
        <v>363</v>
      </c>
      <c r="D1893" s="106" t="s">
        <v>415</v>
      </c>
      <c r="E1893" s="107"/>
      <c r="F1893" s="108"/>
      <c r="G1893" s="107"/>
      <c r="H1893" s="51"/>
      <c r="I1893" s="74">
        <f>SUM(I1889:I1892)</f>
        <v>1097.19909672732</v>
      </c>
      <c r="J1893" s="53" t="s">
        <v>416</v>
      </c>
      <c r="K1893" s="60"/>
      <c r="L1893" s="69" t="s">
        <v>465</v>
      </c>
      <c r="M1893" s="44" t="s">
        <v>468</v>
      </c>
      <c r="N1893" s="82">
        <v>5.778</v>
      </c>
      <c r="O1893" s="44">
        <v>0.125</v>
      </c>
      <c r="P1893" s="44">
        <f>+P1889*2</f>
        <v>1</v>
      </c>
      <c r="Q1893" s="44">
        <f t="shared" si="309"/>
        <v>0.72225</v>
      </c>
      <c r="R1893" s="84">
        <f>+Q1893/R1886</f>
        <v>0.22940223605641</v>
      </c>
      <c r="S1893" s="79"/>
      <c r="T1893" s="47"/>
    </row>
    <row r="1894" s="27" customFormat="1" ht="18" customHeight="1" spans="1:20">
      <c r="A1894" s="34"/>
      <c r="B1894" s="109" t="s">
        <v>418</v>
      </c>
      <c r="C1894" s="110"/>
      <c r="D1894" s="110"/>
      <c r="E1894" s="110"/>
      <c r="F1894" s="110"/>
      <c r="G1894" s="110"/>
      <c r="H1894" s="110"/>
      <c r="I1894" s="110"/>
      <c r="J1894" s="110"/>
      <c r="K1894" s="80"/>
      <c r="L1894" s="90" t="s">
        <v>469</v>
      </c>
      <c r="M1894" s="44"/>
      <c r="N1894" s="82"/>
      <c r="O1894" s="44">
        <f>3*4</f>
        <v>12</v>
      </c>
      <c r="P1894" s="44">
        <v>1</v>
      </c>
      <c r="Q1894" s="44">
        <f>+P1894*O1894</f>
        <v>12</v>
      </c>
      <c r="R1894" s="84">
        <f>+Q1894/R1886</f>
        <v>3.81145978909922</v>
      </c>
      <c r="S1894" s="47"/>
      <c r="T1894" s="47"/>
    </row>
    <row r="1895" s="27" customFormat="1" ht="18" customHeight="1" spans="1:20">
      <c r="A1895" s="34"/>
      <c r="B1895" s="48">
        <v>1</v>
      </c>
      <c r="C1895" s="48" t="s">
        <v>391</v>
      </c>
      <c r="D1895" s="48" t="s">
        <v>396</v>
      </c>
      <c r="E1895" s="48" t="s">
        <v>37</v>
      </c>
      <c r="F1895" s="50"/>
      <c r="G1895" s="48"/>
      <c r="H1895" s="51" t="s">
        <v>399</v>
      </c>
      <c r="I1895" s="51" t="s">
        <v>420</v>
      </c>
      <c r="J1895" s="95" t="s">
        <v>421</v>
      </c>
      <c r="K1895" s="92"/>
      <c r="L1895" s="90"/>
      <c r="M1895" s="44"/>
      <c r="N1895" s="82"/>
      <c r="O1895" s="44"/>
      <c r="P1895" s="44"/>
      <c r="Q1895" s="44"/>
      <c r="R1895" s="84"/>
      <c r="S1895" s="47"/>
      <c r="T1895" s="47"/>
    </row>
    <row r="1896" s="27" customFormat="1" ht="18" customHeight="1" spans="1:20">
      <c r="A1896" s="34"/>
      <c r="B1896" s="48">
        <v>2</v>
      </c>
      <c r="C1896" s="48"/>
      <c r="D1896" s="111" t="s">
        <v>470</v>
      </c>
      <c r="E1896" s="49" t="s">
        <v>423</v>
      </c>
      <c r="F1896" s="112"/>
      <c r="G1896" s="111"/>
      <c r="H1896" s="113">
        <v>1</v>
      </c>
      <c r="I1896" s="113">
        <f>+辅材及安装费!$G$8</f>
        <v>210</v>
      </c>
      <c r="J1896" s="114">
        <f t="shared" ref="J1896:J1911" si="310">H1896*I1896</f>
        <v>210</v>
      </c>
      <c r="K1896" s="92"/>
      <c r="L1896" s="90" t="s">
        <v>471</v>
      </c>
      <c r="M1896" s="44"/>
      <c r="N1896" s="82"/>
      <c r="O1896" s="44"/>
      <c r="P1896" s="44"/>
      <c r="Q1896" s="44">
        <f>+Q1894</f>
        <v>12</v>
      </c>
      <c r="R1896" s="84">
        <f>+Q1896/R1886</f>
        <v>3.81145978909922</v>
      </c>
      <c r="S1896" s="47"/>
      <c r="T1896" s="47"/>
    </row>
    <row r="1897" s="27" customFormat="1" ht="18" customHeight="1" spans="1:20">
      <c r="A1897" s="34"/>
      <c r="B1897" s="48">
        <v>3</v>
      </c>
      <c r="C1897" s="48"/>
      <c r="D1897" s="115"/>
      <c r="E1897" s="63"/>
      <c r="F1897" s="116"/>
      <c r="G1897" s="115"/>
      <c r="H1897" s="117"/>
      <c r="I1897" s="117"/>
      <c r="J1897" s="118"/>
      <c r="K1897" s="92"/>
      <c r="L1897" s="90" t="s">
        <v>472</v>
      </c>
      <c r="M1897" s="44"/>
      <c r="N1897" s="82"/>
      <c r="O1897" s="44"/>
      <c r="P1897" s="44">
        <f>+P1892</f>
        <v>0</v>
      </c>
      <c r="Q1897" s="44">
        <f>+P1897</f>
        <v>0</v>
      </c>
      <c r="R1897" s="84">
        <f>+Q1897/R1886</f>
        <v>0</v>
      </c>
      <c r="S1897" s="47"/>
      <c r="T1897" s="47"/>
    </row>
    <row r="1898" s="27" customFormat="1" ht="18" customHeight="1" spans="1:20">
      <c r="A1898" s="34"/>
      <c r="B1898" s="48">
        <v>4</v>
      </c>
      <c r="C1898" s="48"/>
      <c r="D1898" s="85" t="s">
        <v>426</v>
      </c>
      <c r="E1898" s="48" t="s">
        <v>392</v>
      </c>
      <c r="F1898" s="50"/>
      <c r="G1898" s="48"/>
      <c r="H1898" s="86"/>
      <c r="I1898" s="86"/>
      <c r="J1898" s="95">
        <f>SUM(J1896:J1896)</f>
        <v>210</v>
      </c>
      <c r="K1898" s="92"/>
      <c r="L1898" s="90" t="s">
        <v>473</v>
      </c>
      <c r="M1898" s="44"/>
      <c r="N1898" s="82"/>
      <c r="O1898" s="44"/>
      <c r="P1898" s="44"/>
      <c r="Q1898" s="44">
        <f>+(Q1894)*3</f>
        <v>36</v>
      </c>
      <c r="R1898" s="84">
        <f>+Q1898/R1886</f>
        <v>11.4343793672977</v>
      </c>
      <c r="S1898" s="47"/>
      <c r="T1898" s="47"/>
    </row>
    <row r="1899" s="27" customFormat="1" ht="23" customHeight="1" spans="1:20">
      <c r="A1899" s="34"/>
      <c r="B1899" s="48">
        <v>1</v>
      </c>
      <c r="C1899" s="48" t="s">
        <v>394</v>
      </c>
      <c r="D1899" s="88" t="s">
        <v>431</v>
      </c>
      <c r="E1899" s="72" t="str">
        <f>+VLOOKUP(D1899,'材料表 '!C:F,2,0)</f>
        <v>kg</v>
      </c>
      <c r="F1899" s="77">
        <f>+SUMIF($L$1886:$L$1923,D1899,$R$1886:$R$1923)</f>
        <v>11.0259179265659</v>
      </c>
      <c r="G1899" s="89">
        <f>+VLOOKUP(D1899,'材料表 '!C:F,4,0)</f>
        <v>0.03</v>
      </c>
      <c r="H1899" s="74">
        <f t="shared" ref="H1899:H1911" si="311">F1899*(G1899+1)</f>
        <v>11.3566954643629</v>
      </c>
      <c r="I1899" s="74">
        <f>+VLOOKUP(D1899,'材料表 '!C:F,3,0)</f>
        <v>3.80530973451327</v>
      </c>
      <c r="J1899" s="95">
        <f t="shared" si="310"/>
        <v>43.2157438024428</v>
      </c>
      <c r="K1899" s="60">
        <f ca="1">H1899*K1885</f>
        <v>154.451058315335</v>
      </c>
      <c r="L1899" s="90"/>
      <c r="M1899" s="44"/>
      <c r="N1899" s="82"/>
      <c r="O1899" s="44"/>
      <c r="P1899" s="44"/>
      <c r="Q1899" s="44"/>
      <c r="R1899" s="84"/>
      <c r="S1899" s="47"/>
      <c r="T1899" s="47"/>
    </row>
    <row r="1900" s="27" customFormat="1" ht="18" customHeight="1" spans="1:20">
      <c r="A1900" s="34"/>
      <c r="B1900" s="48">
        <v>2</v>
      </c>
      <c r="C1900" s="48"/>
      <c r="D1900" s="88" t="s">
        <v>461</v>
      </c>
      <c r="E1900" s="72" t="str">
        <f>+VLOOKUP(D1900,'材料表 '!C:F,2,0)</f>
        <v>kg</v>
      </c>
      <c r="F1900" s="77">
        <f t="shared" ref="F1900:F1909" si="312">+SUMIF($L$1886:$L$1923,D1900,$R$1886:$R$1923)</f>
        <v>3.32647058823529</v>
      </c>
      <c r="G1900" s="89">
        <f>+VLOOKUP(D1900,'材料表 '!C:F,4,0)</f>
        <v>0.03</v>
      </c>
      <c r="H1900" s="74">
        <f t="shared" si="311"/>
        <v>3.42626470588235</v>
      </c>
      <c r="I1900" s="74">
        <f>+VLOOKUP(D1900,'材料表 '!C:F,3,0)</f>
        <v>3.53982300884956</v>
      </c>
      <c r="J1900" s="95">
        <f t="shared" si="310"/>
        <v>12.1283706402915</v>
      </c>
      <c r="K1900" s="60">
        <f ca="1">H1900*K1885</f>
        <v>46.5972</v>
      </c>
      <c r="L1900" s="90"/>
      <c r="M1900" s="44"/>
      <c r="N1900" s="82"/>
      <c r="O1900" s="44"/>
      <c r="P1900" s="44"/>
      <c r="Q1900" s="44"/>
      <c r="R1900" s="84"/>
      <c r="S1900" s="47"/>
      <c r="T1900" s="47"/>
    </row>
    <row r="1901" s="27" customFormat="1" ht="18" customHeight="1" spans="1:20">
      <c r="A1901" s="34"/>
      <c r="B1901" s="48">
        <v>3</v>
      </c>
      <c r="C1901" s="48"/>
      <c r="D1901" s="88" t="s">
        <v>465</v>
      </c>
      <c r="E1901" s="72" t="str">
        <f>+VLOOKUP(D1901,'材料表 '!C:F,2,0)</f>
        <v>kg</v>
      </c>
      <c r="F1901" s="77">
        <f t="shared" si="312"/>
        <v>0.22940223605641</v>
      </c>
      <c r="G1901" s="89">
        <f>+VLOOKUP(D1901,'材料表 '!C:F,4,0)</f>
        <v>0.03</v>
      </c>
      <c r="H1901" s="74">
        <f t="shared" si="311"/>
        <v>0.236284303138102</v>
      </c>
      <c r="I1901" s="74">
        <f>+VLOOKUP(D1901,'材料表 '!C:F,3,0)</f>
        <v>6.01769911504425</v>
      </c>
      <c r="J1901" s="95">
        <f t="shared" si="310"/>
        <v>1.42188784189301</v>
      </c>
      <c r="K1901" s="60">
        <f ca="1">H1901*K1885</f>
        <v>3.21346652267819</v>
      </c>
      <c r="L1901" s="90" t="s">
        <v>474</v>
      </c>
      <c r="M1901" s="44"/>
      <c r="N1901" s="82"/>
      <c r="O1901" s="44"/>
      <c r="P1901" s="44"/>
      <c r="Q1901" s="44">
        <f>+O1891*P1891*4</f>
        <v>4</v>
      </c>
      <c r="R1901" s="84">
        <f>+Q1901/R1886</f>
        <v>1.27048659636641</v>
      </c>
      <c r="S1901" s="47"/>
      <c r="T1901" s="47"/>
    </row>
    <row r="1902" s="27" customFormat="1" ht="18" customHeight="1" spans="1:20">
      <c r="A1902" s="34"/>
      <c r="B1902" s="48">
        <v>4</v>
      </c>
      <c r="C1902" s="48"/>
      <c r="D1902" s="88" t="s">
        <v>463</v>
      </c>
      <c r="E1902" s="72" t="str">
        <f>+VLOOKUP(D1902,'材料表 '!C:F,2,0)</f>
        <v>kg</v>
      </c>
      <c r="F1902" s="77">
        <f t="shared" si="312"/>
        <v>1.49599796722145</v>
      </c>
      <c r="G1902" s="89">
        <f>+VLOOKUP(D1902,'材料表 '!C:F,4,0)</f>
        <v>0.03</v>
      </c>
      <c r="H1902" s="74">
        <f t="shared" si="311"/>
        <v>1.54087790623809</v>
      </c>
      <c r="I1902" s="74">
        <f>+VLOOKUP(D1902,'材料表 '!C:F,3,0)</f>
        <v>6.01769911504425</v>
      </c>
      <c r="J1902" s="95">
        <f t="shared" si="310"/>
        <v>9.27253961276021</v>
      </c>
      <c r="K1902" s="60">
        <f ca="1">H1902*K1885</f>
        <v>20.955939524838</v>
      </c>
      <c r="L1902" s="90" t="s">
        <v>475</v>
      </c>
      <c r="M1902" s="44"/>
      <c r="N1902" s="83"/>
      <c r="O1902" s="82"/>
      <c r="P1902" s="44"/>
      <c r="Q1902" s="44"/>
      <c r="R1902" s="84"/>
      <c r="S1902" s="47"/>
      <c r="T1902" s="47"/>
    </row>
    <row r="1903" s="27" customFormat="1" ht="18" customHeight="1" spans="1:20">
      <c r="A1903" s="34"/>
      <c r="B1903" s="48">
        <v>5</v>
      </c>
      <c r="C1903" s="48"/>
      <c r="D1903" s="88" t="s">
        <v>469</v>
      </c>
      <c r="E1903" s="72" t="str">
        <f>+VLOOKUP(D1903,'材料表 '!C:F,2,0)</f>
        <v>套</v>
      </c>
      <c r="F1903" s="77">
        <f t="shared" si="312"/>
        <v>3.81145978909922</v>
      </c>
      <c r="G1903" s="89">
        <f>+VLOOKUP(D1903,'材料表 '!C:F,4,0)</f>
        <v>0</v>
      </c>
      <c r="H1903" s="74">
        <f t="shared" si="311"/>
        <v>3.81145978909922</v>
      </c>
      <c r="I1903" s="74">
        <f>+VLOOKUP(D1903,'材料表 '!C:F,3,0)</f>
        <v>5.30973451327434</v>
      </c>
      <c r="J1903" s="95">
        <f t="shared" si="310"/>
        <v>20.2378395881375</v>
      </c>
      <c r="K1903" s="60">
        <f ca="1">H1903*K1885</f>
        <v>51.8358531317494</v>
      </c>
      <c r="L1903" s="92" t="s">
        <v>476</v>
      </c>
      <c r="M1903" s="44"/>
      <c r="N1903" s="82"/>
      <c r="O1903" s="44"/>
      <c r="P1903" s="44"/>
      <c r="Q1903" s="44">
        <f>6*6*(O1886*2+P1886*4)/500</f>
        <v>2.025072</v>
      </c>
      <c r="R1903" s="84">
        <f>+Q1903/R1886</f>
        <v>0.643206708169229</v>
      </c>
      <c r="S1903" s="47"/>
      <c r="T1903" s="47"/>
    </row>
    <row r="1904" s="27" customFormat="1" ht="18" customHeight="1" spans="1:20">
      <c r="A1904" s="34"/>
      <c r="B1904" s="48">
        <v>7</v>
      </c>
      <c r="C1904" s="48"/>
      <c r="D1904" s="88" t="s">
        <v>471</v>
      </c>
      <c r="E1904" s="72" t="str">
        <f>+VLOOKUP(D1904,'材料表 '!C:F,2,0)</f>
        <v>套</v>
      </c>
      <c r="F1904" s="77">
        <f t="shared" si="312"/>
        <v>3.81145978909922</v>
      </c>
      <c r="G1904" s="89">
        <f>+VLOOKUP(D1904,'材料表 '!C:F,4,0)</f>
        <v>0</v>
      </c>
      <c r="H1904" s="74">
        <f t="shared" si="311"/>
        <v>3.81145978909922</v>
      </c>
      <c r="I1904" s="74">
        <f>+VLOOKUP(D1904,'材料表 '!C:F,3,0)</f>
        <v>1.32743362831858</v>
      </c>
      <c r="J1904" s="95">
        <f t="shared" si="310"/>
        <v>5.05945989703435</v>
      </c>
      <c r="K1904" s="60">
        <f ca="1">H1904*K1885</f>
        <v>51.8358531317494</v>
      </c>
      <c r="L1904" s="92"/>
      <c r="M1904" s="44"/>
      <c r="N1904" s="82"/>
      <c r="O1904" s="44"/>
      <c r="P1904" s="44"/>
      <c r="Q1904" s="44"/>
      <c r="R1904" s="84">
        <f>+Q1904/R1886</f>
        <v>0</v>
      </c>
      <c r="S1904" s="47"/>
      <c r="T1904" s="47"/>
    </row>
    <row r="1905" s="27" customFormat="1" ht="18" customHeight="1" spans="1:20">
      <c r="A1905" s="34"/>
      <c r="B1905" s="48">
        <v>8</v>
      </c>
      <c r="C1905" s="48"/>
      <c r="D1905" s="88" t="s">
        <v>472</v>
      </c>
      <c r="E1905" s="72" t="str">
        <f>+VLOOKUP(D1905,'材料表 '!C:F,2,0)</f>
        <v>套</v>
      </c>
      <c r="F1905" s="77">
        <f t="shared" si="312"/>
        <v>0</v>
      </c>
      <c r="G1905" s="89">
        <f>+VLOOKUP(D1905,'材料表 '!C:F,4,0)</f>
        <v>0</v>
      </c>
      <c r="H1905" s="74">
        <f t="shared" si="311"/>
        <v>0</v>
      </c>
      <c r="I1905" s="74">
        <f>+VLOOKUP(D1905,'材料表 '!C:F,3,0)</f>
        <v>2.47787610619469</v>
      </c>
      <c r="J1905" s="95">
        <f t="shared" si="310"/>
        <v>0</v>
      </c>
      <c r="K1905" s="60">
        <f ca="1">H1905*K1885</f>
        <v>0</v>
      </c>
      <c r="L1905" s="92"/>
      <c r="M1905" s="44"/>
      <c r="N1905" s="82"/>
      <c r="O1905" s="44"/>
      <c r="P1905" s="44"/>
      <c r="Q1905" s="44"/>
      <c r="R1905" s="84"/>
      <c r="S1905" s="47"/>
      <c r="T1905" s="47"/>
    </row>
    <row r="1906" s="27" customFormat="1" ht="18" customHeight="1" spans="1:20">
      <c r="A1906" s="34"/>
      <c r="B1906" s="48">
        <v>9</v>
      </c>
      <c r="C1906" s="48"/>
      <c r="D1906" s="88" t="s">
        <v>473</v>
      </c>
      <c r="E1906" s="72" t="str">
        <f>+VLOOKUP(D1906,'材料表 '!C:F,2,0)</f>
        <v>套</v>
      </c>
      <c r="F1906" s="77">
        <f t="shared" si="312"/>
        <v>11.4343793672977</v>
      </c>
      <c r="G1906" s="89">
        <f>+VLOOKUP(D1906,'材料表 '!C:F,4,0)</f>
        <v>0</v>
      </c>
      <c r="H1906" s="74">
        <f t="shared" si="311"/>
        <v>11.4343793672977</v>
      </c>
      <c r="I1906" s="74">
        <f>+VLOOKUP(D1906,'材料表 '!C:F,3,0)</f>
        <v>0.247787610619469</v>
      </c>
      <c r="J1906" s="95">
        <f t="shared" si="310"/>
        <v>2.83329754233925</v>
      </c>
      <c r="K1906" s="60">
        <f ca="1">H1906*K1885</f>
        <v>155.507559395249</v>
      </c>
      <c r="L1906" s="90"/>
      <c r="M1906" s="44"/>
      <c r="N1906" s="82"/>
      <c r="O1906" s="34"/>
      <c r="P1906" s="44"/>
      <c r="Q1906" s="44"/>
      <c r="R1906" s="119"/>
      <c r="S1906" s="47"/>
      <c r="T1906" s="47"/>
    </row>
    <row r="1907" s="27" customFormat="1" ht="18" customHeight="1" spans="1:20">
      <c r="A1907" s="34"/>
      <c r="B1907" s="48">
        <v>10</v>
      </c>
      <c r="C1907" s="48"/>
      <c r="D1907" s="88" t="s">
        <v>474</v>
      </c>
      <c r="E1907" s="72" t="str">
        <f>+VLOOKUP(D1907,'材料表 '!C:F,2,0)</f>
        <v>套</v>
      </c>
      <c r="F1907" s="77">
        <f t="shared" si="312"/>
        <v>1.27048659636641</v>
      </c>
      <c r="G1907" s="89">
        <f>+VLOOKUP(D1907,'材料表 '!C:F,4,0)</f>
        <v>0</v>
      </c>
      <c r="H1907" s="74">
        <f t="shared" si="311"/>
        <v>1.27048659636641</v>
      </c>
      <c r="I1907" s="74">
        <f>+VLOOKUP(D1907,'材料表 '!C:F,3,0)</f>
        <v>2.21238938053097</v>
      </c>
      <c r="J1907" s="95">
        <f t="shared" si="310"/>
        <v>2.81081105390798</v>
      </c>
      <c r="K1907" s="60">
        <f ca="1">H1907*K1885</f>
        <v>17.2786177105832</v>
      </c>
      <c r="L1907" s="92"/>
      <c r="M1907" s="120"/>
      <c r="N1907" s="82"/>
      <c r="O1907" s="44"/>
      <c r="P1907" s="44"/>
      <c r="Q1907" s="44"/>
      <c r="R1907" s="84"/>
      <c r="S1907" s="47"/>
      <c r="T1907" s="47"/>
    </row>
    <row r="1908" s="27" customFormat="1" ht="18" customHeight="1" spans="1:20">
      <c r="A1908" s="34"/>
      <c r="B1908" s="48">
        <v>11</v>
      </c>
      <c r="C1908" s="48"/>
      <c r="D1908" s="88" t="s">
        <v>476</v>
      </c>
      <c r="E1908" s="72" t="str">
        <f>+VLOOKUP(D1908,'材料表 '!C:F,2,0)</f>
        <v>支</v>
      </c>
      <c r="F1908" s="77">
        <f t="shared" si="312"/>
        <v>0.643206708169229</v>
      </c>
      <c r="G1908" s="89">
        <f>+VLOOKUP(D1908,'材料表 '!C:F,4,0)</f>
        <v>0.15</v>
      </c>
      <c r="H1908" s="74">
        <f t="shared" si="311"/>
        <v>0.739687714394613</v>
      </c>
      <c r="I1908" s="74">
        <f>+VLOOKUP(D1908,'材料表 '!C:F,3,0)</f>
        <v>11.5044247787611</v>
      </c>
      <c r="J1908" s="95">
        <f t="shared" si="310"/>
        <v>8.50968167002655</v>
      </c>
      <c r="K1908" s="60">
        <f ca="1">H1908*K1885</f>
        <v>10.0597529157667</v>
      </c>
      <c r="L1908" s="92"/>
      <c r="M1908" s="44"/>
      <c r="N1908" s="44"/>
      <c r="O1908" s="44"/>
      <c r="P1908" s="44"/>
      <c r="Q1908" s="44"/>
      <c r="R1908" s="84"/>
      <c r="S1908" s="47"/>
      <c r="T1908" s="47"/>
    </row>
    <row r="1909" s="27" customFormat="1" ht="18" customHeight="1" spans="1:20">
      <c r="A1909" s="34"/>
      <c r="B1909" s="48">
        <v>12</v>
      </c>
      <c r="C1909" s="48"/>
      <c r="D1909" s="88" t="s">
        <v>477</v>
      </c>
      <c r="E1909" s="72" t="str">
        <f>+VLOOKUP(D1909,'材料表 '!C:F,2,0)</f>
        <v>kg</v>
      </c>
      <c r="F1909" s="77">
        <v>0.2</v>
      </c>
      <c r="G1909" s="89">
        <f>+VLOOKUP(D1909,'材料表 '!C:F,4,0)</f>
        <v>0.15</v>
      </c>
      <c r="H1909" s="74">
        <f t="shared" si="311"/>
        <v>0.23</v>
      </c>
      <c r="I1909" s="74">
        <f>+VLOOKUP(D1909,'材料表 '!C:F,3,0)</f>
        <v>10.6194690265487</v>
      </c>
      <c r="J1909" s="95">
        <f t="shared" si="310"/>
        <v>2.4424778761062</v>
      </c>
      <c r="K1909" s="60">
        <f ca="1">H1909*K1885</f>
        <v>3.128</v>
      </c>
      <c r="L1909" s="92"/>
      <c r="M1909" s="44"/>
      <c r="N1909" s="44"/>
      <c r="O1909" s="44"/>
      <c r="P1909" s="44"/>
      <c r="Q1909" s="44"/>
      <c r="R1909" s="84"/>
      <c r="S1909" s="47"/>
      <c r="T1909" s="47"/>
    </row>
    <row r="1910" s="27" customFormat="1" ht="18" customHeight="1" spans="1:20">
      <c r="A1910" s="34"/>
      <c r="B1910" s="48">
        <v>13</v>
      </c>
      <c r="C1910" s="48"/>
      <c r="D1910" s="88" t="s">
        <v>479</v>
      </c>
      <c r="E1910" s="72" t="str">
        <f>+VLOOKUP(D1910,'材料表 '!C:F,2,0)</f>
        <v>kg</v>
      </c>
      <c r="F1910" s="77">
        <v>0</v>
      </c>
      <c r="G1910" s="89">
        <f>+VLOOKUP(D1910,'材料表 '!C:F,4,0)</f>
        <v>0.03</v>
      </c>
      <c r="H1910" s="74">
        <f t="shared" si="311"/>
        <v>0</v>
      </c>
      <c r="I1910" s="74">
        <f>+VLOOKUP(D1910,'材料表 '!C:F,3,0)</f>
        <v>14.1592920353982</v>
      </c>
      <c r="J1910" s="95">
        <f t="shared" si="310"/>
        <v>0</v>
      </c>
      <c r="K1910" s="60">
        <f ca="1">H1910*K1885</f>
        <v>0</v>
      </c>
      <c r="L1910" s="92"/>
      <c r="M1910" s="44"/>
      <c r="N1910" s="44"/>
      <c r="O1910" s="44"/>
      <c r="P1910" s="44"/>
      <c r="Q1910" s="44"/>
      <c r="R1910" s="84"/>
      <c r="S1910" s="47"/>
      <c r="T1910" s="47"/>
    </row>
    <row r="1911" s="27" customFormat="1" ht="29" customHeight="1" spans="1:20">
      <c r="A1911" s="34"/>
      <c r="B1911" s="48">
        <v>14</v>
      </c>
      <c r="C1911" s="48"/>
      <c r="D1911" s="88" t="s">
        <v>291</v>
      </c>
      <c r="E1911" s="72" t="str">
        <f>+VLOOKUP(D1911,'材料表 '!C:F,2,0)</f>
        <v>m2</v>
      </c>
      <c r="F1911" s="77">
        <v>1</v>
      </c>
      <c r="G1911" s="89">
        <f>+VLOOKUP(D1911,'材料表 '!C:F,4,0)</f>
        <v>0.05</v>
      </c>
      <c r="H1911" s="74">
        <f t="shared" si="311"/>
        <v>1.05</v>
      </c>
      <c r="I1911" s="74">
        <f>+VLOOKUP(D1911,'材料表 '!C:F,3,0)</f>
        <v>641.592920353982</v>
      </c>
      <c r="J1911" s="95">
        <f t="shared" si="310"/>
        <v>673.672566371681</v>
      </c>
      <c r="K1911" s="60">
        <f ca="1">H1911*K1885</f>
        <v>14.28</v>
      </c>
      <c r="L1911" s="92"/>
      <c r="M1911" s="44"/>
      <c r="N1911" s="44"/>
      <c r="O1911" s="44"/>
      <c r="P1911" s="44"/>
      <c r="Q1911" s="44"/>
      <c r="R1911" s="84"/>
      <c r="S1911" s="47"/>
      <c r="T1911" s="47"/>
    </row>
    <row r="1912" s="27" customFormat="1" ht="18" customHeight="1" spans="1:20">
      <c r="A1912" s="34"/>
      <c r="B1912" s="48">
        <v>15</v>
      </c>
      <c r="C1912" s="48"/>
      <c r="D1912" s="88"/>
      <c r="E1912" s="72"/>
      <c r="F1912" s="77"/>
      <c r="G1912" s="89"/>
      <c r="H1912" s="74"/>
      <c r="I1912" s="74"/>
      <c r="J1912" s="95"/>
      <c r="K1912" s="92">
        <f ca="1">H1912*K1885</f>
        <v>0</v>
      </c>
      <c r="L1912" s="92"/>
      <c r="M1912" s="44"/>
      <c r="N1912" s="44"/>
      <c r="O1912" s="44"/>
      <c r="P1912" s="44"/>
      <c r="Q1912" s="44"/>
      <c r="R1912" s="84"/>
      <c r="S1912" s="47"/>
      <c r="T1912" s="47"/>
    </row>
    <row r="1913" s="27" customFormat="1" ht="18" customHeight="1" spans="1:20">
      <c r="A1913" s="34"/>
      <c r="B1913" s="48">
        <v>16</v>
      </c>
      <c r="C1913" s="48"/>
      <c r="D1913" s="88"/>
      <c r="E1913" s="72"/>
      <c r="F1913" s="77"/>
      <c r="G1913" s="89"/>
      <c r="H1913" s="74"/>
      <c r="I1913" s="74"/>
      <c r="J1913" s="95"/>
      <c r="K1913" s="92">
        <f ca="1">H1913*K1885</f>
        <v>0</v>
      </c>
      <c r="L1913" s="92"/>
      <c r="M1913" s="44"/>
      <c r="N1913" s="44"/>
      <c r="O1913" s="44"/>
      <c r="P1913" s="44"/>
      <c r="Q1913" s="44"/>
      <c r="R1913" s="84"/>
      <c r="S1913" s="47"/>
      <c r="T1913" s="47"/>
    </row>
    <row r="1914" s="27" customFormat="1" ht="18" customHeight="1" spans="1:20">
      <c r="A1914" s="34"/>
      <c r="B1914" s="48">
        <v>17</v>
      </c>
      <c r="C1914" s="48"/>
      <c r="D1914" s="121"/>
      <c r="E1914" s="72"/>
      <c r="F1914" s="77"/>
      <c r="G1914" s="89"/>
      <c r="H1914" s="74"/>
      <c r="I1914" s="74"/>
      <c r="J1914" s="95"/>
      <c r="K1914" s="92"/>
      <c r="L1914" s="92"/>
      <c r="M1914" s="44"/>
      <c r="N1914" s="44"/>
      <c r="O1914" s="44"/>
      <c r="P1914" s="44"/>
      <c r="Q1914" s="101"/>
      <c r="R1914" s="84"/>
      <c r="S1914" s="47"/>
      <c r="T1914" s="47"/>
    </row>
    <row r="1915" s="27" customFormat="1" ht="18" customHeight="1" spans="1:20">
      <c r="A1915" s="34"/>
      <c r="B1915" s="48">
        <v>18</v>
      </c>
      <c r="C1915" s="48"/>
      <c r="D1915" s="88"/>
      <c r="E1915" s="72"/>
      <c r="F1915" s="77"/>
      <c r="G1915" s="89"/>
      <c r="H1915" s="74"/>
      <c r="I1915" s="74"/>
      <c r="J1915" s="95"/>
      <c r="K1915" s="92"/>
      <c r="L1915" s="92"/>
      <c r="M1915" s="44"/>
      <c r="N1915" s="44"/>
      <c r="O1915" s="44"/>
      <c r="P1915" s="44"/>
      <c r="Q1915" s="44"/>
      <c r="R1915" s="84"/>
      <c r="S1915" s="47"/>
      <c r="T1915" s="47"/>
    </row>
    <row r="1916" s="27" customFormat="1" ht="18" customHeight="1" spans="1:20">
      <c r="A1916" s="34"/>
      <c r="B1916" s="48">
        <v>19</v>
      </c>
      <c r="C1916" s="48"/>
      <c r="D1916" s="27"/>
      <c r="E1916" s="72"/>
      <c r="F1916" s="77"/>
      <c r="G1916" s="89"/>
      <c r="H1916" s="74"/>
      <c r="I1916" s="74"/>
      <c r="J1916" s="95"/>
      <c r="K1916" s="92"/>
      <c r="L1916" s="92"/>
      <c r="M1916" s="44"/>
      <c r="N1916" s="44"/>
      <c r="O1916" s="44"/>
      <c r="P1916" s="44"/>
      <c r="Q1916" s="44"/>
      <c r="R1916" s="84"/>
      <c r="S1916" s="47"/>
      <c r="T1916" s="47"/>
    </row>
    <row r="1917" s="27" customFormat="1" ht="18" customHeight="1" spans="1:20">
      <c r="A1917" s="34"/>
      <c r="B1917" s="48">
        <v>20</v>
      </c>
      <c r="C1917" s="48"/>
      <c r="D1917" s="88"/>
      <c r="E1917" s="72"/>
      <c r="F1917" s="77"/>
      <c r="G1917" s="89"/>
      <c r="H1917" s="74"/>
      <c r="I1917" s="74"/>
      <c r="J1917" s="95"/>
      <c r="K1917" s="92"/>
      <c r="L1917" s="92"/>
      <c r="M1917" s="44"/>
      <c r="N1917" s="44"/>
      <c r="O1917" s="44"/>
      <c r="P1917" s="44"/>
      <c r="Q1917" s="44"/>
      <c r="R1917" s="84"/>
      <c r="S1917" s="47"/>
      <c r="T1917" s="47"/>
    </row>
    <row r="1918" s="27" customFormat="1" ht="18" customHeight="1" spans="1:20">
      <c r="A1918" s="34"/>
      <c r="B1918" s="48">
        <v>21</v>
      </c>
      <c r="C1918" s="48"/>
      <c r="D1918" s="88"/>
      <c r="E1918" s="72"/>
      <c r="F1918" s="77"/>
      <c r="G1918" s="89"/>
      <c r="H1918" s="74"/>
      <c r="I1918" s="74"/>
      <c r="J1918" s="95"/>
      <c r="K1918" s="92"/>
      <c r="L1918" s="92"/>
      <c r="M1918" s="44"/>
      <c r="N1918" s="44"/>
      <c r="O1918" s="44"/>
      <c r="P1918" s="44"/>
      <c r="Q1918" s="44"/>
      <c r="R1918" s="84"/>
      <c r="S1918" s="47"/>
      <c r="T1918" s="47"/>
    </row>
    <row r="1919" s="27" customFormat="1" ht="18" customHeight="1" spans="1:20">
      <c r="A1919" s="34"/>
      <c r="B1919" s="48">
        <v>22</v>
      </c>
      <c r="C1919" s="48"/>
      <c r="D1919" s="27"/>
      <c r="E1919" s="72"/>
      <c r="F1919" s="77"/>
      <c r="G1919" s="72"/>
      <c r="H1919" s="74"/>
      <c r="I1919" s="74"/>
      <c r="J1919" s="95"/>
      <c r="K1919" s="92"/>
      <c r="L1919" s="92"/>
      <c r="M1919" s="44"/>
      <c r="N1919" s="44"/>
      <c r="O1919" s="44"/>
      <c r="P1919" s="44"/>
      <c r="Q1919" s="44"/>
      <c r="R1919" s="62"/>
      <c r="S1919" s="47"/>
      <c r="T1919" s="47"/>
    </row>
    <row r="1920" s="27" customFormat="1" ht="18" customHeight="1" spans="1:20">
      <c r="A1920" s="34"/>
      <c r="B1920" s="48">
        <v>23</v>
      </c>
      <c r="C1920" s="48"/>
      <c r="D1920" s="88"/>
      <c r="E1920" s="72"/>
      <c r="F1920" s="77"/>
      <c r="G1920" s="89"/>
      <c r="H1920" s="74"/>
      <c r="I1920" s="74"/>
      <c r="J1920" s="95"/>
      <c r="K1920" s="92"/>
      <c r="L1920" s="92"/>
      <c r="M1920" s="44"/>
      <c r="N1920" s="44"/>
      <c r="O1920" s="44"/>
      <c r="P1920" s="44"/>
      <c r="Q1920" s="44"/>
      <c r="R1920" s="62"/>
      <c r="S1920" s="47"/>
      <c r="T1920" s="47"/>
    </row>
    <row r="1921" s="27" customFormat="1" ht="18" customHeight="1" spans="1:20">
      <c r="A1921" s="34"/>
      <c r="B1921" s="48">
        <v>24</v>
      </c>
      <c r="C1921" s="48"/>
      <c r="D1921" s="88" t="s">
        <v>478</v>
      </c>
      <c r="E1921" s="72" t="s">
        <v>43</v>
      </c>
      <c r="F1921" s="77"/>
      <c r="G1921" s="72">
        <v>1</v>
      </c>
      <c r="H1921" s="74">
        <v>1</v>
      </c>
      <c r="I1921" s="74">
        <f>+辅材及安装费!$E$8</f>
        <v>10</v>
      </c>
      <c r="J1921" s="95">
        <f>H1921*I1921</f>
        <v>10</v>
      </c>
      <c r="K1921" s="92"/>
      <c r="L1921" s="92"/>
      <c r="M1921" s="44"/>
      <c r="N1921" s="44"/>
      <c r="O1921" s="44"/>
      <c r="P1921" s="44"/>
      <c r="Q1921" s="44"/>
      <c r="R1921" s="62"/>
      <c r="S1921" s="47"/>
      <c r="T1921" s="47"/>
    </row>
    <row r="1922" s="27" customFormat="1" ht="18" customHeight="1" spans="1:20">
      <c r="A1922" s="34"/>
      <c r="B1922" s="48">
        <v>25</v>
      </c>
      <c r="C1922" s="48"/>
      <c r="D1922" s="93" t="s">
        <v>442</v>
      </c>
      <c r="E1922" s="72"/>
      <c r="F1922" s="77"/>
      <c r="G1922" s="72"/>
      <c r="H1922" s="74"/>
      <c r="I1922" s="74"/>
      <c r="J1922" s="95">
        <f>SUM(J1899:J1921)</f>
        <v>791.60467589662</v>
      </c>
      <c r="K1922" s="92"/>
      <c r="L1922" s="94"/>
      <c r="M1922" s="27"/>
      <c r="N1922" s="83"/>
      <c r="O1922" s="83"/>
      <c r="P1922" s="83"/>
      <c r="Q1922" s="83"/>
      <c r="R1922" s="87"/>
      <c r="S1922" s="47"/>
      <c r="T1922" s="47"/>
    </row>
    <row r="1923" s="27" customFormat="1" ht="18" customHeight="1" spans="1:20">
      <c r="A1923" s="34"/>
      <c r="B1923" s="48">
        <v>1</v>
      </c>
      <c r="C1923" s="48" t="s">
        <v>443</v>
      </c>
      <c r="D1923" s="48" t="s">
        <v>444</v>
      </c>
      <c r="E1923" s="72" t="s">
        <v>43</v>
      </c>
      <c r="F1923" s="50"/>
      <c r="G1923" s="48"/>
      <c r="H1923" s="51">
        <v>1</v>
      </c>
      <c r="I1923" s="74">
        <f>+辅材及安装费!$F$8</f>
        <v>5</v>
      </c>
      <c r="J1923" s="95">
        <f>H1923*I1923</f>
        <v>5</v>
      </c>
      <c r="K1923" s="118"/>
      <c r="L1923" s="96"/>
      <c r="M1923" s="97"/>
      <c r="N1923" s="98"/>
      <c r="O1923" s="98"/>
      <c r="P1923" s="98"/>
      <c r="Q1923" s="98"/>
      <c r="R1923" s="99"/>
      <c r="S1923" s="47"/>
      <c r="T1923" s="47"/>
    </row>
    <row r="1924" s="26" customFormat="1" ht="30" customHeight="1" spans="1:20">
      <c r="A1924" s="28"/>
      <c r="B1924" s="29" t="s">
        <v>386</v>
      </c>
      <c r="C1924" s="29"/>
      <c r="D1924" s="29"/>
      <c r="E1924" s="29"/>
      <c r="F1924" s="29"/>
      <c r="G1924" s="29"/>
      <c r="H1924" s="29"/>
      <c r="I1924" s="29"/>
      <c r="J1924" s="29"/>
      <c r="K1924" s="29"/>
      <c r="L1924" s="30"/>
      <c r="M1924" s="31"/>
      <c r="N1924" s="31"/>
      <c r="O1924" s="31"/>
      <c r="P1924" s="31"/>
      <c r="Q1924" s="31"/>
      <c r="R1924" s="32"/>
      <c r="S1924" s="33"/>
      <c r="T1924" s="33"/>
    </row>
    <row r="1925" s="27" customFormat="1" ht="33.75" customHeight="1" spans="1:20">
      <c r="A1925" s="34">
        <v>5</v>
      </c>
      <c r="B1925" s="35" t="s">
        <v>1</v>
      </c>
      <c r="C1925" s="35" t="s">
        <v>387</v>
      </c>
      <c r="D1925" s="36" t="str">
        <f>+A1933</f>
        <v>30mm厚光面深灰色石材</v>
      </c>
      <c r="E1925" s="37"/>
      <c r="F1925" s="38" t="s">
        <v>99</v>
      </c>
      <c r="G1925" s="39"/>
      <c r="H1925" s="35" t="s">
        <v>388</v>
      </c>
      <c r="I1925" s="40" t="s">
        <v>389</v>
      </c>
      <c r="J1925" s="41" t="s">
        <v>37</v>
      </c>
      <c r="K1925" s="123">
        <f ca="1">VLOOKUP(A1925,'商业工程量清单 '!$A$47:$D$58,4,FALSE)</f>
        <v>7.833</v>
      </c>
      <c r="L1925" s="43"/>
      <c r="M1925" s="44"/>
      <c r="N1925" s="44"/>
      <c r="O1925" s="44"/>
      <c r="P1925" s="45"/>
      <c r="Q1925" s="44"/>
      <c r="R1925" s="46"/>
      <c r="S1925" s="47"/>
      <c r="T1925" s="47"/>
    </row>
    <row r="1926" s="27" customFormat="1" ht="18" customHeight="1" spans="1:20">
      <c r="A1926" s="34"/>
      <c r="B1926" s="48">
        <v>1</v>
      </c>
      <c r="C1926" s="49" t="s">
        <v>390</v>
      </c>
      <c r="D1926" s="48" t="s">
        <v>391</v>
      </c>
      <c r="E1926" s="48"/>
      <c r="F1926" s="50"/>
      <c r="G1926" s="48"/>
      <c r="H1926" s="51"/>
      <c r="I1926" s="52">
        <f>J1938</f>
        <v>210</v>
      </c>
      <c r="J1926" s="53" t="s">
        <v>392</v>
      </c>
      <c r="K1926" s="54"/>
      <c r="L1926" s="55" t="s">
        <v>1036</v>
      </c>
      <c r="M1926" s="56"/>
      <c r="N1926" s="57"/>
      <c r="O1926" s="57">
        <v>0.75</v>
      </c>
      <c r="P1926" s="57">
        <v>3.1</v>
      </c>
      <c r="Q1926" s="57">
        <v>1</v>
      </c>
      <c r="R1926" s="58">
        <f>+Q1926*P1926*O1926</f>
        <v>2.325</v>
      </c>
      <c r="S1926" s="47"/>
      <c r="T1926" s="47"/>
    </row>
    <row r="1927" s="27" customFormat="1" ht="18" customHeight="1" spans="1:20">
      <c r="A1927" s="34"/>
      <c r="B1927" s="48">
        <v>2</v>
      </c>
      <c r="C1927" s="59"/>
      <c r="D1927" s="48" t="s">
        <v>394</v>
      </c>
      <c r="E1927" s="48"/>
      <c r="F1927" s="50"/>
      <c r="G1927" s="48"/>
      <c r="H1927" s="51"/>
      <c r="I1927" s="52">
        <f>J1962</f>
        <v>900.957531258921</v>
      </c>
      <c r="J1927" s="53" t="s">
        <v>392</v>
      </c>
      <c r="K1927" s="60"/>
      <c r="L1927" s="61" t="s">
        <v>99</v>
      </c>
      <c r="M1927" s="44"/>
      <c r="N1927" s="44"/>
      <c r="O1927" s="44"/>
      <c r="P1927" s="44"/>
      <c r="Q1927" s="44"/>
      <c r="R1927" s="62"/>
      <c r="S1927" s="47"/>
      <c r="T1927" s="47"/>
    </row>
    <row r="1928" s="27" customFormat="1" ht="18" customHeight="1" spans="1:20">
      <c r="A1928" s="34"/>
      <c r="B1928" s="48">
        <v>3</v>
      </c>
      <c r="C1928" s="63"/>
      <c r="D1928" s="48" t="s">
        <v>395</v>
      </c>
      <c r="E1928" s="48"/>
      <c r="F1928" s="50"/>
      <c r="G1928" s="48"/>
      <c r="H1928" s="51"/>
      <c r="I1928" s="52">
        <f>J1963</f>
        <v>5</v>
      </c>
      <c r="J1928" s="53" t="s">
        <v>392</v>
      </c>
      <c r="K1928" s="60"/>
      <c r="L1928" s="60"/>
      <c r="M1928" s="64" t="s">
        <v>396</v>
      </c>
      <c r="N1928" s="65" t="s">
        <v>397</v>
      </c>
      <c r="O1928" s="65" t="s">
        <v>398</v>
      </c>
      <c r="P1928" s="65" t="s">
        <v>399</v>
      </c>
      <c r="Q1928" s="65" t="s">
        <v>400</v>
      </c>
      <c r="R1928" s="66" t="s">
        <v>401</v>
      </c>
      <c r="S1928" s="47"/>
      <c r="T1928" s="47"/>
    </row>
    <row r="1929" s="27" customFormat="1" ht="18" customHeight="1" spans="1:20">
      <c r="A1929" s="34"/>
      <c r="B1929" s="48">
        <v>4</v>
      </c>
      <c r="C1929" s="48" t="s">
        <v>402</v>
      </c>
      <c r="D1929" s="67" t="s">
        <v>403</v>
      </c>
      <c r="E1929" s="67"/>
      <c r="F1929" s="50"/>
      <c r="G1929" s="67"/>
      <c r="H1929" s="68"/>
      <c r="I1929" s="52">
        <f>SUM(I1926:I1928)</f>
        <v>1115.95753125892</v>
      </c>
      <c r="J1929" s="53" t="s">
        <v>392</v>
      </c>
      <c r="K1929" s="60"/>
      <c r="L1929" s="69" t="s">
        <v>431</v>
      </c>
      <c r="M1929" s="34" t="s">
        <v>460</v>
      </c>
      <c r="N1929" s="102">
        <v>10.21</v>
      </c>
      <c r="O1929" s="34">
        <f>+P1926</f>
        <v>3.1</v>
      </c>
      <c r="P1929" s="34">
        <v>2</v>
      </c>
      <c r="Q1929" s="44">
        <f t="shared" ref="Q1929:Q1933" si="313">+P1929*O1929*N1929</f>
        <v>63.302</v>
      </c>
      <c r="R1929" s="71">
        <f>+Q1929/R1926</f>
        <v>27.2266666666667</v>
      </c>
      <c r="S1929" s="47"/>
      <c r="T1929" s="47"/>
    </row>
    <row r="1930" s="27" customFormat="1" ht="28" customHeight="1" spans="1:20">
      <c r="A1930" s="34"/>
      <c r="B1930" s="48">
        <v>5</v>
      </c>
      <c r="C1930" s="72" t="s">
        <v>406</v>
      </c>
      <c r="D1930" s="48" t="s">
        <v>407</v>
      </c>
      <c r="E1930" s="48"/>
      <c r="F1930" s="50"/>
      <c r="G1930" s="48"/>
      <c r="H1930" s="73">
        <f>+'材料表 '!$E$178</f>
        <v>0</v>
      </c>
      <c r="I1930" s="52">
        <f>H1930*I1929</f>
        <v>0</v>
      </c>
      <c r="J1930" s="53" t="s">
        <v>392</v>
      </c>
      <c r="K1930" s="60"/>
      <c r="L1930" s="69" t="s">
        <v>461</v>
      </c>
      <c r="M1930" s="34" t="s">
        <v>462</v>
      </c>
      <c r="N1930" s="34">
        <v>3.77</v>
      </c>
      <c r="O1930" s="34">
        <f>+O1926</f>
        <v>0.75</v>
      </c>
      <c r="P1930" s="34">
        <v>6</v>
      </c>
      <c r="Q1930" s="44">
        <f t="shared" si="313"/>
        <v>16.965</v>
      </c>
      <c r="R1930" s="71">
        <f>+Q1930/R1926</f>
        <v>7.29677419354839</v>
      </c>
      <c r="S1930" s="47"/>
      <c r="T1930" s="47"/>
    </row>
    <row r="1931" s="27" customFormat="1" ht="18" customHeight="1" spans="1:20">
      <c r="A1931" s="34"/>
      <c r="B1931" s="48">
        <v>6</v>
      </c>
      <c r="C1931" s="48" t="s">
        <v>409</v>
      </c>
      <c r="D1931" s="48" t="s">
        <v>410</v>
      </c>
      <c r="E1931" s="48"/>
      <c r="F1931" s="50"/>
      <c r="G1931" s="48"/>
      <c r="H1931" s="73">
        <f>+'材料表 '!$E$179</f>
        <v>0</v>
      </c>
      <c r="I1931" s="52">
        <f>H1931*I1929</f>
        <v>0</v>
      </c>
      <c r="J1931" s="53" t="s">
        <v>392</v>
      </c>
      <c r="K1931" s="60"/>
      <c r="L1931" s="69" t="s">
        <v>463</v>
      </c>
      <c r="M1931" s="34" t="s">
        <v>490</v>
      </c>
      <c r="N1931" s="34">
        <f>0.3*0.2*7.85*10</f>
        <v>4.71</v>
      </c>
      <c r="O1931" s="34">
        <v>2</v>
      </c>
      <c r="P1931" s="34">
        <f>+P1929</f>
        <v>2</v>
      </c>
      <c r="Q1931" s="44">
        <f t="shared" si="313"/>
        <v>18.84</v>
      </c>
      <c r="R1931" s="71">
        <f>+Q1931/R1926</f>
        <v>8.10322580645161</v>
      </c>
      <c r="S1931" s="47"/>
      <c r="T1931" s="47"/>
    </row>
    <row r="1932" s="27" customFormat="1" ht="18" customHeight="1" spans="1:20">
      <c r="A1932" s="34"/>
      <c r="B1932" s="48">
        <v>7</v>
      </c>
      <c r="C1932" s="48" t="s">
        <v>412</v>
      </c>
      <c r="D1932" s="72" t="s">
        <v>413</v>
      </c>
      <c r="E1932" s="72"/>
      <c r="F1932" s="77"/>
      <c r="G1932" s="72"/>
      <c r="H1932" s="73">
        <f>+'材料表 '!$E$180</f>
        <v>0.09</v>
      </c>
      <c r="I1932" s="52">
        <f>(I1929+I1930+I1931)*H1932</f>
        <v>100.436177813303</v>
      </c>
      <c r="J1932" s="53" t="s">
        <v>392</v>
      </c>
      <c r="K1932" s="60"/>
      <c r="L1932" s="69" t="s">
        <v>465</v>
      </c>
      <c r="M1932" s="34" t="s">
        <v>466</v>
      </c>
      <c r="N1932" s="100">
        <f>3.77</f>
        <v>3.77</v>
      </c>
      <c r="O1932" s="34">
        <v>0.155</v>
      </c>
      <c r="P1932" s="34">
        <v>0</v>
      </c>
      <c r="Q1932" s="44">
        <f t="shared" si="313"/>
        <v>0</v>
      </c>
      <c r="R1932" s="71">
        <f>+Q1932/R1926</f>
        <v>0</v>
      </c>
      <c r="S1932" s="47"/>
      <c r="T1932" s="47"/>
    </row>
    <row r="1933" s="27" customFormat="1" ht="18" customHeight="1" spans="1:20">
      <c r="A1933" s="105" t="s">
        <v>293</v>
      </c>
      <c r="B1933" s="48">
        <v>8</v>
      </c>
      <c r="C1933" s="48" t="s">
        <v>363</v>
      </c>
      <c r="D1933" s="106" t="s">
        <v>415</v>
      </c>
      <c r="E1933" s="107"/>
      <c r="F1933" s="108"/>
      <c r="G1933" s="107"/>
      <c r="H1933" s="51"/>
      <c r="I1933" s="74">
        <f>SUM(I1929:I1932)</f>
        <v>1216.39370907222</v>
      </c>
      <c r="J1933" s="53" t="s">
        <v>416</v>
      </c>
      <c r="K1933" s="60"/>
      <c r="L1933" s="69" t="s">
        <v>465</v>
      </c>
      <c r="M1933" s="44" t="s">
        <v>468</v>
      </c>
      <c r="N1933" s="82">
        <v>5.778</v>
      </c>
      <c r="O1933" s="44">
        <v>0.125</v>
      </c>
      <c r="P1933" s="44">
        <f>+P1929*2</f>
        <v>4</v>
      </c>
      <c r="Q1933" s="44">
        <f t="shared" si="313"/>
        <v>2.889</v>
      </c>
      <c r="R1933" s="84">
        <f>+Q1933/R1926</f>
        <v>1.24258064516129</v>
      </c>
      <c r="S1933" s="79"/>
      <c r="T1933" s="47"/>
    </row>
    <row r="1934" s="27" customFormat="1" ht="18" customHeight="1" spans="1:20">
      <c r="A1934" s="34"/>
      <c r="B1934" s="109" t="s">
        <v>418</v>
      </c>
      <c r="C1934" s="110"/>
      <c r="D1934" s="110"/>
      <c r="E1934" s="110"/>
      <c r="F1934" s="110"/>
      <c r="G1934" s="110"/>
      <c r="H1934" s="110"/>
      <c r="I1934" s="110"/>
      <c r="J1934" s="110"/>
      <c r="K1934" s="80"/>
      <c r="L1934" s="90" t="s">
        <v>469</v>
      </c>
      <c r="M1934" s="44"/>
      <c r="N1934" s="82"/>
      <c r="O1934" s="44">
        <f>3*4</f>
        <v>12</v>
      </c>
      <c r="P1934" s="44">
        <v>1</v>
      </c>
      <c r="Q1934" s="44">
        <f>+P1934*O1934</f>
        <v>12</v>
      </c>
      <c r="R1934" s="84">
        <f>+Q1934/R1926</f>
        <v>5.16129032258065</v>
      </c>
      <c r="S1934" s="47"/>
      <c r="T1934" s="47"/>
    </row>
    <row r="1935" s="27" customFormat="1" ht="18" customHeight="1" spans="1:20">
      <c r="A1935" s="34"/>
      <c r="B1935" s="48">
        <v>1</v>
      </c>
      <c r="C1935" s="48" t="s">
        <v>391</v>
      </c>
      <c r="D1935" s="48" t="s">
        <v>396</v>
      </c>
      <c r="E1935" s="48" t="s">
        <v>37</v>
      </c>
      <c r="F1935" s="50"/>
      <c r="G1935" s="48"/>
      <c r="H1935" s="51" t="s">
        <v>399</v>
      </c>
      <c r="I1935" s="51" t="s">
        <v>420</v>
      </c>
      <c r="J1935" s="95" t="s">
        <v>421</v>
      </c>
      <c r="K1935" s="92"/>
      <c r="L1935" s="90"/>
      <c r="M1935" s="44"/>
      <c r="N1935" s="82"/>
      <c r="O1935" s="44"/>
      <c r="P1935" s="44"/>
      <c r="Q1935" s="44"/>
      <c r="R1935" s="84"/>
      <c r="S1935" s="47"/>
      <c r="T1935" s="47"/>
    </row>
    <row r="1936" s="27" customFormat="1" ht="18" customHeight="1" spans="1:20">
      <c r="A1936" s="34"/>
      <c r="B1936" s="48">
        <v>2</v>
      </c>
      <c r="C1936" s="48"/>
      <c r="D1936" s="111" t="s">
        <v>470</v>
      </c>
      <c r="E1936" s="49" t="s">
        <v>423</v>
      </c>
      <c r="F1936" s="112"/>
      <c r="G1936" s="111"/>
      <c r="H1936" s="113">
        <v>1</v>
      </c>
      <c r="I1936" s="113">
        <f>+辅材及安装费!$G$8</f>
        <v>210</v>
      </c>
      <c r="J1936" s="114">
        <f t="shared" ref="J1936:J1951" si="314">H1936*I1936</f>
        <v>210</v>
      </c>
      <c r="K1936" s="92"/>
      <c r="L1936" s="90" t="s">
        <v>471</v>
      </c>
      <c r="M1936" s="44"/>
      <c r="N1936" s="82"/>
      <c r="O1936" s="44"/>
      <c r="P1936" s="44"/>
      <c r="Q1936" s="44">
        <f>+Q1934</f>
        <v>12</v>
      </c>
      <c r="R1936" s="84">
        <f>+Q1936/R1926</f>
        <v>5.16129032258065</v>
      </c>
      <c r="S1936" s="47"/>
      <c r="T1936" s="47"/>
    </row>
    <row r="1937" s="27" customFormat="1" ht="18" customHeight="1" spans="1:20">
      <c r="A1937" s="34"/>
      <c r="B1937" s="48">
        <v>3</v>
      </c>
      <c r="C1937" s="48"/>
      <c r="D1937" s="115"/>
      <c r="E1937" s="63"/>
      <c r="F1937" s="116"/>
      <c r="G1937" s="115"/>
      <c r="H1937" s="117"/>
      <c r="I1937" s="117"/>
      <c r="J1937" s="118"/>
      <c r="K1937" s="92"/>
      <c r="L1937" s="90" t="s">
        <v>472</v>
      </c>
      <c r="M1937" s="44"/>
      <c r="N1937" s="82"/>
      <c r="O1937" s="44"/>
      <c r="P1937" s="44">
        <f>+P1932</f>
        <v>0</v>
      </c>
      <c r="Q1937" s="44">
        <f>+P1937</f>
        <v>0</v>
      </c>
      <c r="R1937" s="84">
        <f>+Q1937/R1926</f>
        <v>0</v>
      </c>
      <c r="S1937" s="47"/>
      <c r="T1937" s="47"/>
    </row>
    <row r="1938" s="27" customFormat="1" ht="18" customHeight="1" spans="1:20">
      <c r="A1938" s="34"/>
      <c r="B1938" s="48">
        <v>4</v>
      </c>
      <c r="C1938" s="48"/>
      <c r="D1938" s="85" t="s">
        <v>426</v>
      </c>
      <c r="E1938" s="48" t="s">
        <v>392</v>
      </c>
      <c r="F1938" s="50"/>
      <c r="G1938" s="48"/>
      <c r="H1938" s="86"/>
      <c r="I1938" s="86"/>
      <c r="J1938" s="95">
        <f>SUM(J1936:J1936)</f>
        <v>210</v>
      </c>
      <c r="K1938" s="92"/>
      <c r="L1938" s="90" t="s">
        <v>473</v>
      </c>
      <c r="M1938" s="44"/>
      <c r="N1938" s="82"/>
      <c r="O1938" s="44"/>
      <c r="P1938" s="44"/>
      <c r="Q1938" s="44">
        <f>+(Q1934)*3</f>
        <v>36</v>
      </c>
      <c r="R1938" s="84">
        <f>+Q1938/R1926</f>
        <v>15.4838709677419</v>
      </c>
      <c r="S1938" s="47"/>
      <c r="T1938" s="47"/>
    </row>
    <row r="1939" s="27" customFormat="1" ht="23" customHeight="1" spans="1:20">
      <c r="A1939" s="34"/>
      <c r="B1939" s="48">
        <v>1</v>
      </c>
      <c r="C1939" s="48" t="s">
        <v>394</v>
      </c>
      <c r="D1939" s="88" t="s">
        <v>431</v>
      </c>
      <c r="E1939" s="72" t="str">
        <f>+VLOOKUP(D1939,'材料表 '!C:F,2,0)</f>
        <v>kg</v>
      </c>
      <c r="F1939" s="77">
        <f>+SUMIF($L$1926:$L$1963,D1939,$R$1926:$R$1963)</f>
        <v>27.2266666666667</v>
      </c>
      <c r="G1939" s="89">
        <f>+VLOOKUP(D1939,'材料表 '!C:F,4,0)</f>
        <v>0.03</v>
      </c>
      <c r="H1939" s="74">
        <f t="shared" ref="H1939:H1951" si="315">F1939*(G1939+1)</f>
        <v>28.0434666666667</v>
      </c>
      <c r="I1939" s="74">
        <f>+VLOOKUP(D1939,'材料表 '!C:F,3,0)</f>
        <v>3.80530973451327</v>
      </c>
      <c r="J1939" s="95">
        <f t="shared" si="314"/>
        <v>106.714076696165</v>
      </c>
      <c r="K1939" s="60">
        <f ca="1">H1939*K1925</f>
        <v>219.6644744</v>
      </c>
      <c r="L1939" s="90"/>
      <c r="M1939" s="44"/>
      <c r="N1939" s="82"/>
      <c r="O1939" s="44"/>
      <c r="P1939" s="44"/>
      <c r="Q1939" s="44"/>
      <c r="R1939" s="84"/>
      <c r="S1939" s="47"/>
      <c r="T1939" s="47"/>
    </row>
    <row r="1940" s="27" customFormat="1" ht="18" customHeight="1" spans="1:20">
      <c r="A1940" s="34"/>
      <c r="B1940" s="48">
        <v>2</v>
      </c>
      <c r="C1940" s="48"/>
      <c r="D1940" s="88" t="s">
        <v>461</v>
      </c>
      <c r="E1940" s="72" t="str">
        <f>+VLOOKUP(D1940,'材料表 '!C:F,2,0)</f>
        <v>kg</v>
      </c>
      <c r="F1940" s="77">
        <f t="shared" ref="F1940:F1948" si="316">+SUMIF($L$1926:$L$1963,D1940,$R$1926:$R$1963)</f>
        <v>7.29677419354839</v>
      </c>
      <c r="G1940" s="89">
        <f>+VLOOKUP(D1940,'材料表 '!C:F,4,0)</f>
        <v>0.03</v>
      </c>
      <c r="H1940" s="74">
        <f t="shared" si="315"/>
        <v>7.51567741935484</v>
      </c>
      <c r="I1940" s="74">
        <f>+VLOOKUP(D1940,'材料表 '!C:F,3,0)</f>
        <v>3.53982300884956</v>
      </c>
      <c r="J1940" s="95">
        <f t="shared" si="314"/>
        <v>26.6041678561234</v>
      </c>
      <c r="K1940" s="60">
        <f ca="1">H1940*K1925</f>
        <v>58.8703012258065</v>
      </c>
      <c r="L1940" s="90"/>
      <c r="M1940" s="44"/>
      <c r="N1940" s="82"/>
      <c r="O1940" s="44"/>
      <c r="P1940" s="44"/>
      <c r="Q1940" s="44"/>
      <c r="R1940" s="84"/>
      <c r="S1940" s="47"/>
      <c r="T1940" s="47"/>
    </row>
    <row r="1941" s="27" customFormat="1" ht="18" customHeight="1" spans="1:20">
      <c r="A1941" s="34"/>
      <c r="B1941" s="48">
        <v>3</v>
      </c>
      <c r="C1941" s="48"/>
      <c r="D1941" s="88" t="s">
        <v>465</v>
      </c>
      <c r="E1941" s="72" t="str">
        <f>+VLOOKUP(D1941,'材料表 '!C:F,2,0)</f>
        <v>kg</v>
      </c>
      <c r="F1941" s="77">
        <f t="shared" si="316"/>
        <v>1.24258064516129</v>
      </c>
      <c r="G1941" s="89">
        <f>+VLOOKUP(D1941,'材料表 '!C:F,4,0)</f>
        <v>0.03</v>
      </c>
      <c r="H1941" s="74">
        <f t="shared" si="315"/>
        <v>1.27985806451613</v>
      </c>
      <c r="I1941" s="74">
        <f>+VLOOKUP(D1941,'材料表 '!C:F,3,0)</f>
        <v>6.01769911504425</v>
      </c>
      <c r="J1941" s="95">
        <f t="shared" si="314"/>
        <v>7.70180074222095</v>
      </c>
      <c r="K1941" s="60">
        <f ca="1">H1941*K1925</f>
        <v>10.0251282193548</v>
      </c>
      <c r="L1941" s="90" t="s">
        <v>474</v>
      </c>
      <c r="M1941" s="44"/>
      <c r="N1941" s="82"/>
      <c r="O1941" s="44"/>
      <c r="P1941" s="44"/>
      <c r="Q1941" s="44">
        <f>+O1931*P1931*4</f>
        <v>16</v>
      </c>
      <c r="R1941" s="84">
        <f>+Q1941/R1926</f>
        <v>6.88172043010753</v>
      </c>
      <c r="S1941" s="47"/>
      <c r="T1941" s="47"/>
    </row>
    <row r="1942" s="27" customFormat="1" ht="18" customHeight="1" spans="1:20">
      <c r="A1942" s="34"/>
      <c r="B1942" s="48">
        <v>4</v>
      </c>
      <c r="C1942" s="48"/>
      <c r="D1942" s="88" t="s">
        <v>463</v>
      </c>
      <c r="E1942" s="72" t="str">
        <f>+VLOOKUP(D1942,'材料表 '!C:F,2,0)</f>
        <v>kg</v>
      </c>
      <c r="F1942" s="77">
        <f t="shared" si="316"/>
        <v>8.10322580645161</v>
      </c>
      <c r="G1942" s="89">
        <f>+VLOOKUP(D1942,'材料表 '!C:F,4,0)</f>
        <v>0.03</v>
      </c>
      <c r="H1942" s="74">
        <f t="shared" si="315"/>
        <v>8.34632258064516</v>
      </c>
      <c r="I1942" s="74">
        <f>+VLOOKUP(D1942,'材料表 '!C:F,3,0)</f>
        <v>6.01769911504425</v>
      </c>
      <c r="J1942" s="95">
        <f t="shared" si="314"/>
        <v>50.2256580074222</v>
      </c>
      <c r="K1942" s="60">
        <f ca="1">H1942*K1925</f>
        <v>65.3767447741935</v>
      </c>
      <c r="L1942" s="90" t="s">
        <v>475</v>
      </c>
      <c r="M1942" s="44"/>
      <c r="N1942" s="83"/>
      <c r="O1942" s="82">
        <f>O1926</f>
        <v>0.75</v>
      </c>
      <c r="P1942" s="44">
        <f>0.371</f>
        <v>0.371</v>
      </c>
      <c r="Q1942" s="44">
        <f>+P1942*O1942</f>
        <v>0.27825</v>
      </c>
      <c r="R1942" s="84">
        <f>+Q1942/R1926</f>
        <v>0.119677419354839</v>
      </c>
      <c r="S1942" s="47"/>
      <c r="T1942" s="47"/>
    </row>
    <row r="1943" s="27" customFormat="1" ht="18" customHeight="1" spans="1:20">
      <c r="A1943" s="34"/>
      <c r="B1943" s="48">
        <v>5</v>
      </c>
      <c r="C1943" s="48"/>
      <c r="D1943" s="88" t="s">
        <v>469</v>
      </c>
      <c r="E1943" s="72" t="str">
        <f>+VLOOKUP(D1943,'材料表 '!C:F,2,0)</f>
        <v>套</v>
      </c>
      <c r="F1943" s="77">
        <f t="shared" si="316"/>
        <v>5.16129032258065</v>
      </c>
      <c r="G1943" s="89">
        <f>+VLOOKUP(D1943,'材料表 '!C:F,4,0)</f>
        <v>0</v>
      </c>
      <c r="H1943" s="74">
        <f t="shared" si="315"/>
        <v>5.16129032258065</v>
      </c>
      <c r="I1943" s="74">
        <f>+VLOOKUP(D1943,'材料表 '!C:F,3,0)</f>
        <v>5.30973451327434</v>
      </c>
      <c r="J1943" s="95">
        <f t="shared" si="314"/>
        <v>27.4050813588353</v>
      </c>
      <c r="K1943" s="60">
        <f ca="1">H1943*K1925</f>
        <v>40.4283870967742</v>
      </c>
      <c r="L1943" s="92" t="s">
        <v>476</v>
      </c>
      <c r="M1943" s="44"/>
      <c r="N1943" s="82"/>
      <c r="O1943" s="44"/>
      <c r="P1943" s="44"/>
      <c r="Q1943" s="44">
        <f>6*6*(O1926*4+P1926*5)/500</f>
        <v>1.332</v>
      </c>
      <c r="R1943" s="84">
        <f>+Q1943/R1926</f>
        <v>0.572903225806452</v>
      </c>
      <c r="S1943" s="47"/>
      <c r="T1943" s="47"/>
    </row>
    <row r="1944" s="27" customFormat="1" ht="18" customHeight="1" spans="1:20">
      <c r="A1944" s="34"/>
      <c r="B1944" s="48">
        <v>7</v>
      </c>
      <c r="C1944" s="48"/>
      <c r="D1944" s="88" t="s">
        <v>471</v>
      </c>
      <c r="E1944" s="72" t="str">
        <f>+VLOOKUP(D1944,'材料表 '!C:F,2,0)</f>
        <v>套</v>
      </c>
      <c r="F1944" s="77">
        <f t="shared" si="316"/>
        <v>5.16129032258065</v>
      </c>
      <c r="G1944" s="89">
        <f>+VLOOKUP(D1944,'材料表 '!C:F,4,0)</f>
        <v>0</v>
      </c>
      <c r="H1944" s="74">
        <f t="shared" si="315"/>
        <v>5.16129032258065</v>
      </c>
      <c r="I1944" s="74">
        <f>+VLOOKUP(D1944,'材料表 '!C:F,3,0)</f>
        <v>1.32743362831858</v>
      </c>
      <c r="J1944" s="95">
        <f t="shared" si="314"/>
        <v>6.85127033970881</v>
      </c>
      <c r="K1944" s="60">
        <f ca="1">H1944*K1925</f>
        <v>40.4283870967742</v>
      </c>
      <c r="L1944" s="92"/>
      <c r="M1944" s="44"/>
      <c r="N1944" s="82"/>
      <c r="O1944" s="44"/>
      <c r="P1944" s="44"/>
      <c r="Q1944" s="44"/>
      <c r="R1944" s="84">
        <f>+Q1944/R1926</f>
        <v>0</v>
      </c>
      <c r="S1944" s="47"/>
      <c r="T1944" s="47"/>
    </row>
    <row r="1945" s="27" customFormat="1" ht="18" customHeight="1" spans="1:20">
      <c r="A1945" s="34"/>
      <c r="B1945" s="48">
        <v>8</v>
      </c>
      <c r="C1945" s="48"/>
      <c r="D1945" s="88" t="s">
        <v>472</v>
      </c>
      <c r="E1945" s="72" t="str">
        <f>+VLOOKUP(D1945,'材料表 '!C:F,2,0)</f>
        <v>套</v>
      </c>
      <c r="F1945" s="77">
        <f t="shared" si="316"/>
        <v>0</v>
      </c>
      <c r="G1945" s="89">
        <f>+VLOOKUP(D1945,'材料表 '!C:F,4,0)</f>
        <v>0</v>
      </c>
      <c r="H1945" s="74">
        <f t="shared" si="315"/>
        <v>0</v>
      </c>
      <c r="I1945" s="74">
        <f>+VLOOKUP(D1945,'材料表 '!C:F,3,0)</f>
        <v>2.47787610619469</v>
      </c>
      <c r="J1945" s="95">
        <f t="shared" si="314"/>
        <v>0</v>
      </c>
      <c r="K1945" s="60">
        <f ca="1">H1945*K1925</f>
        <v>0</v>
      </c>
      <c r="L1945" s="92"/>
      <c r="M1945" s="44"/>
      <c r="N1945" s="82"/>
      <c r="O1945" s="44"/>
      <c r="P1945" s="44"/>
      <c r="Q1945" s="44"/>
      <c r="R1945" s="84"/>
      <c r="S1945" s="47"/>
      <c r="T1945" s="47"/>
    </row>
    <row r="1946" s="27" customFormat="1" ht="18" customHeight="1" spans="1:20">
      <c r="A1946" s="34"/>
      <c r="B1946" s="48">
        <v>9</v>
      </c>
      <c r="C1946" s="48"/>
      <c r="D1946" s="88" t="s">
        <v>473</v>
      </c>
      <c r="E1946" s="72" t="str">
        <f>+VLOOKUP(D1946,'材料表 '!C:F,2,0)</f>
        <v>套</v>
      </c>
      <c r="F1946" s="77">
        <f t="shared" si="316"/>
        <v>15.4838709677419</v>
      </c>
      <c r="G1946" s="89">
        <f>+VLOOKUP(D1946,'材料表 '!C:F,4,0)</f>
        <v>0</v>
      </c>
      <c r="H1946" s="74">
        <f t="shared" si="315"/>
        <v>15.4838709677419</v>
      </c>
      <c r="I1946" s="74">
        <f>+VLOOKUP(D1946,'材料表 '!C:F,3,0)</f>
        <v>0.247787610619469</v>
      </c>
      <c r="J1946" s="95">
        <f t="shared" si="314"/>
        <v>3.83671139023693</v>
      </c>
      <c r="K1946" s="60">
        <f ca="1">H1946*K1925</f>
        <v>121.285161290322</v>
      </c>
      <c r="L1946" s="90"/>
      <c r="M1946" s="44"/>
      <c r="N1946" s="82"/>
      <c r="O1946" s="34"/>
      <c r="P1946" s="44"/>
      <c r="Q1946" s="44"/>
      <c r="R1946" s="119"/>
      <c r="S1946" s="47"/>
      <c r="T1946" s="47"/>
    </row>
    <row r="1947" s="27" customFormat="1" ht="18" customHeight="1" spans="1:20">
      <c r="A1947" s="34"/>
      <c r="B1947" s="48">
        <v>10</v>
      </c>
      <c r="C1947" s="48"/>
      <c r="D1947" s="88" t="s">
        <v>474</v>
      </c>
      <c r="E1947" s="72" t="str">
        <f>+VLOOKUP(D1947,'材料表 '!C:F,2,0)</f>
        <v>套</v>
      </c>
      <c r="F1947" s="77">
        <f t="shared" si="316"/>
        <v>6.88172043010753</v>
      </c>
      <c r="G1947" s="89">
        <f>+VLOOKUP(D1947,'材料表 '!C:F,4,0)</f>
        <v>0</v>
      </c>
      <c r="H1947" s="74">
        <f t="shared" si="315"/>
        <v>6.88172043010753</v>
      </c>
      <c r="I1947" s="74">
        <f>+VLOOKUP(D1947,'材料表 '!C:F,3,0)</f>
        <v>2.21238938053097</v>
      </c>
      <c r="J1947" s="95">
        <f t="shared" si="314"/>
        <v>15.2250451993529</v>
      </c>
      <c r="K1947" s="60">
        <f ca="1">H1947*K1925</f>
        <v>53.9045161290323</v>
      </c>
      <c r="L1947" s="92"/>
      <c r="M1947" s="120"/>
      <c r="N1947" s="82"/>
      <c r="O1947" s="44"/>
      <c r="P1947" s="44"/>
      <c r="Q1947" s="44"/>
      <c r="R1947" s="84"/>
      <c r="S1947" s="47"/>
      <c r="T1947" s="47"/>
    </row>
    <row r="1948" s="27" customFormat="1" ht="18" customHeight="1" spans="1:20">
      <c r="A1948" s="34"/>
      <c r="B1948" s="48">
        <v>11</v>
      </c>
      <c r="C1948" s="48"/>
      <c r="D1948" s="88" t="s">
        <v>476</v>
      </c>
      <c r="E1948" s="72" t="str">
        <f>+VLOOKUP(D1948,'材料表 '!C:F,2,0)</f>
        <v>支</v>
      </c>
      <c r="F1948" s="77">
        <f t="shared" si="316"/>
        <v>0.572903225806452</v>
      </c>
      <c r="G1948" s="89">
        <f>+VLOOKUP(D1948,'材料表 '!C:F,4,0)</f>
        <v>0.15</v>
      </c>
      <c r="H1948" s="74">
        <f t="shared" si="315"/>
        <v>0.65883870967742</v>
      </c>
      <c r="I1948" s="74">
        <f>+VLOOKUP(D1948,'材料表 '!C:F,3,0)</f>
        <v>11.5044247787611</v>
      </c>
      <c r="J1948" s="95">
        <f t="shared" si="314"/>
        <v>7.5795603768199</v>
      </c>
      <c r="K1948" s="60">
        <f ca="1">H1948*K1925</f>
        <v>5.16068361290323</v>
      </c>
      <c r="L1948" s="92"/>
      <c r="M1948" s="44"/>
      <c r="N1948" s="44"/>
      <c r="O1948" s="44"/>
      <c r="P1948" s="44"/>
      <c r="Q1948" s="44"/>
      <c r="R1948" s="84"/>
      <c r="S1948" s="47"/>
      <c r="T1948" s="47"/>
    </row>
    <row r="1949" s="27" customFormat="1" ht="18" customHeight="1" spans="1:20">
      <c r="A1949" s="34"/>
      <c r="B1949" s="48">
        <v>12</v>
      </c>
      <c r="C1949" s="48"/>
      <c r="D1949" s="88" t="s">
        <v>477</v>
      </c>
      <c r="E1949" s="72" t="str">
        <f>+VLOOKUP(D1949,'材料表 '!C:F,2,0)</f>
        <v>kg</v>
      </c>
      <c r="F1949" s="77">
        <v>0.2</v>
      </c>
      <c r="G1949" s="89">
        <f>+VLOOKUP(D1949,'材料表 '!C:F,4,0)</f>
        <v>0.15</v>
      </c>
      <c r="H1949" s="74">
        <f t="shared" si="315"/>
        <v>0.23</v>
      </c>
      <c r="I1949" s="74">
        <f>+VLOOKUP(D1949,'材料表 '!C:F,3,0)</f>
        <v>10.6194690265487</v>
      </c>
      <c r="J1949" s="95">
        <f t="shared" si="314"/>
        <v>2.4424778761062</v>
      </c>
      <c r="K1949" s="60">
        <f ca="1">H1949*K1925</f>
        <v>1.80159</v>
      </c>
      <c r="L1949" s="92"/>
      <c r="M1949" s="44"/>
      <c r="N1949" s="44"/>
      <c r="O1949" s="44"/>
      <c r="P1949" s="44"/>
      <c r="Q1949" s="44"/>
      <c r="R1949" s="84"/>
      <c r="S1949" s="47"/>
      <c r="T1949" s="47"/>
    </row>
    <row r="1950" s="27" customFormat="1" ht="18" customHeight="1" spans="1:20">
      <c r="A1950" s="34"/>
      <c r="B1950" s="48">
        <v>13</v>
      </c>
      <c r="C1950" s="48"/>
      <c r="D1950" s="88" t="s">
        <v>479</v>
      </c>
      <c r="E1950" s="72" t="str">
        <f>+VLOOKUP(D1950,'材料表 '!C:F,2,0)</f>
        <v>kg</v>
      </c>
      <c r="F1950" s="77">
        <v>0</v>
      </c>
      <c r="G1950" s="89">
        <f>+VLOOKUP(D1950,'材料表 '!C:F,4,0)</f>
        <v>0.03</v>
      </c>
      <c r="H1950" s="74">
        <f t="shared" si="315"/>
        <v>0</v>
      </c>
      <c r="I1950" s="74">
        <f>+VLOOKUP(D1950,'材料表 '!C:F,3,0)</f>
        <v>14.1592920353982</v>
      </c>
      <c r="J1950" s="95">
        <f t="shared" si="314"/>
        <v>0</v>
      </c>
      <c r="K1950" s="60">
        <f ca="1">H1950*K1925</f>
        <v>0</v>
      </c>
      <c r="L1950" s="92"/>
      <c r="M1950" s="44"/>
      <c r="N1950" s="44"/>
      <c r="O1950" s="44"/>
      <c r="P1950" s="44"/>
      <c r="Q1950" s="44"/>
      <c r="R1950" s="84"/>
      <c r="S1950" s="47"/>
      <c r="T1950" s="47"/>
    </row>
    <row r="1951" s="27" customFormat="1" ht="25" customHeight="1" spans="1:20">
      <c r="A1951" s="34"/>
      <c r="B1951" s="48">
        <v>14</v>
      </c>
      <c r="C1951" s="48"/>
      <c r="D1951" s="88" t="s">
        <v>293</v>
      </c>
      <c r="E1951" s="72" t="str">
        <f>+VLOOKUP(D1951,'材料表 '!C:F,2,0)</f>
        <v>m2</v>
      </c>
      <c r="F1951" s="77">
        <v>1</v>
      </c>
      <c r="G1951" s="89">
        <f>+VLOOKUP(D1951,'材料表 '!C:F,4,0)</f>
        <v>0.02</v>
      </c>
      <c r="H1951" s="74">
        <f t="shared" si="315"/>
        <v>1.02</v>
      </c>
      <c r="I1951" s="74">
        <f>+VLOOKUP(D1951,'材料表 '!C:F,3,0)</f>
        <v>623.893805309735</v>
      </c>
      <c r="J1951" s="95">
        <f t="shared" si="314"/>
        <v>636.37168141593</v>
      </c>
      <c r="K1951" s="60">
        <f ca="1">H1951*K1925</f>
        <v>7.98966</v>
      </c>
      <c r="L1951" s="92"/>
      <c r="M1951" s="44"/>
      <c r="N1951" s="44"/>
      <c r="O1951" s="44"/>
      <c r="P1951" s="44"/>
      <c r="Q1951" s="44"/>
      <c r="R1951" s="84"/>
      <c r="S1951" s="47"/>
      <c r="T1951" s="47"/>
    </row>
    <row r="1952" s="27" customFormat="1" ht="18" customHeight="1" spans="1:20">
      <c r="A1952" s="34"/>
      <c r="B1952" s="48">
        <v>15</v>
      </c>
      <c r="C1952" s="48"/>
      <c r="D1952" s="88"/>
      <c r="E1952" s="72"/>
      <c r="F1952" s="77"/>
      <c r="G1952" s="89"/>
      <c r="H1952" s="74"/>
      <c r="I1952" s="74"/>
      <c r="J1952" s="95"/>
      <c r="K1952" s="92">
        <f ca="1">H1952*K1925</f>
        <v>0</v>
      </c>
      <c r="L1952" s="92"/>
      <c r="M1952" s="44"/>
      <c r="N1952" s="44"/>
      <c r="O1952" s="44"/>
      <c r="P1952" s="44"/>
      <c r="Q1952" s="44"/>
      <c r="R1952" s="84"/>
      <c r="S1952" s="47"/>
      <c r="T1952" s="47"/>
    </row>
    <row r="1953" s="27" customFormat="1" ht="18" customHeight="1" spans="1:20">
      <c r="A1953" s="34"/>
      <c r="B1953" s="48">
        <v>16</v>
      </c>
      <c r="C1953" s="48"/>
      <c r="D1953" s="88"/>
      <c r="E1953" s="72"/>
      <c r="F1953" s="77"/>
      <c r="G1953" s="89"/>
      <c r="H1953" s="74"/>
      <c r="I1953" s="74"/>
      <c r="J1953" s="95"/>
      <c r="K1953" s="92">
        <f ca="1">H1953*K1925</f>
        <v>0</v>
      </c>
      <c r="L1953" s="92"/>
      <c r="M1953" s="44"/>
      <c r="N1953" s="44"/>
      <c r="O1953" s="44"/>
      <c r="P1953" s="44"/>
      <c r="Q1953" s="44"/>
      <c r="R1953" s="84"/>
      <c r="S1953" s="47"/>
      <c r="T1953" s="47"/>
    </row>
    <row r="1954" s="27" customFormat="1" ht="18" customHeight="1" spans="1:20">
      <c r="A1954" s="34"/>
      <c r="B1954" s="48">
        <v>17</v>
      </c>
      <c r="C1954" s="48"/>
      <c r="D1954" s="121"/>
      <c r="E1954" s="72"/>
      <c r="F1954" s="77"/>
      <c r="G1954" s="89"/>
      <c r="H1954" s="74"/>
      <c r="I1954" s="74"/>
      <c r="J1954" s="95"/>
      <c r="K1954" s="92"/>
      <c r="L1954" s="92"/>
      <c r="M1954" s="44"/>
      <c r="N1954" s="44"/>
      <c r="O1954" s="44"/>
      <c r="P1954" s="44"/>
      <c r="Q1954" s="101"/>
      <c r="R1954" s="84"/>
      <c r="S1954" s="47"/>
      <c r="T1954" s="47"/>
    </row>
    <row r="1955" s="27" customFormat="1" ht="18" customHeight="1" spans="1:20">
      <c r="A1955" s="34"/>
      <c r="B1955" s="48">
        <v>18</v>
      </c>
      <c r="C1955" s="48"/>
      <c r="D1955" s="88"/>
      <c r="E1955" s="72"/>
      <c r="F1955" s="77"/>
      <c r="G1955" s="89"/>
      <c r="H1955" s="74"/>
      <c r="I1955" s="74"/>
      <c r="J1955" s="95"/>
      <c r="K1955" s="92"/>
      <c r="L1955" s="92"/>
      <c r="M1955" s="44"/>
      <c r="N1955" s="44"/>
      <c r="O1955" s="44"/>
      <c r="P1955" s="44"/>
      <c r="Q1955" s="44"/>
      <c r="R1955" s="84"/>
      <c r="S1955" s="47"/>
      <c r="T1955" s="47"/>
    </row>
    <row r="1956" s="27" customFormat="1" ht="18" customHeight="1" spans="1:20">
      <c r="A1956" s="34"/>
      <c r="B1956" s="48">
        <v>19</v>
      </c>
      <c r="C1956" s="48"/>
      <c r="D1956" s="27"/>
      <c r="E1956" s="72"/>
      <c r="F1956" s="77"/>
      <c r="G1956" s="89"/>
      <c r="H1956" s="74"/>
      <c r="I1956" s="74"/>
      <c r="J1956" s="95"/>
      <c r="K1956" s="92"/>
      <c r="L1956" s="92"/>
      <c r="M1956" s="44"/>
      <c r="N1956" s="44"/>
      <c r="O1956" s="44"/>
      <c r="P1956" s="44"/>
      <c r="Q1956" s="44"/>
      <c r="R1956" s="84"/>
      <c r="S1956" s="47"/>
      <c r="T1956" s="47"/>
    </row>
    <row r="1957" s="27" customFormat="1" ht="18" customHeight="1" spans="1:20">
      <c r="A1957" s="34"/>
      <c r="B1957" s="48">
        <v>20</v>
      </c>
      <c r="C1957" s="48"/>
      <c r="D1957" s="88"/>
      <c r="E1957" s="72"/>
      <c r="F1957" s="77"/>
      <c r="G1957" s="89"/>
      <c r="H1957" s="74"/>
      <c r="I1957" s="74"/>
      <c r="J1957" s="95"/>
      <c r="K1957" s="92"/>
      <c r="L1957" s="92"/>
      <c r="M1957" s="44"/>
      <c r="N1957" s="44"/>
      <c r="O1957" s="44"/>
      <c r="P1957" s="44"/>
      <c r="Q1957" s="44"/>
      <c r="R1957" s="84"/>
      <c r="S1957" s="47"/>
      <c r="T1957" s="47"/>
    </row>
    <row r="1958" s="27" customFormat="1" ht="18" customHeight="1" spans="1:20">
      <c r="A1958" s="34"/>
      <c r="B1958" s="48">
        <v>21</v>
      </c>
      <c r="C1958" s="48"/>
      <c r="D1958" s="88"/>
      <c r="E1958" s="72"/>
      <c r="F1958" s="77"/>
      <c r="G1958" s="89"/>
      <c r="H1958" s="74"/>
      <c r="I1958" s="74"/>
      <c r="J1958" s="95"/>
      <c r="K1958" s="92"/>
      <c r="L1958" s="92"/>
      <c r="M1958" s="44"/>
      <c r="N1958" s="44"/>
      <c r="O1958" s="44"/>
      <c r="P1958" s="44"/>
      <c r="Q1958" s="44"/>
      <c r="R1958" s="84"/>
      <c r="S1958" s="47"/>
      <c r="T1958" s="47"/>
    </row>
    <row r="1959" s="27" customFormat="1" ht="18" customHeight="1" spans="1:20">
      <c r="A1959" s="34"/>
      <c r="B1959" s="48">
        <v>22</v>
      </c>
      <c r="C1959" s="48"/>
      <c r="D1959" s="27"/>
      <c r="E1959" s="72"/>
      <c r="F1959" s="77"/>
      <c r="G1959" s="72"/>
      <c r="H1959" s="74"/>
      <c r="I1959" s="74"/>
      <c r="J1959" s="95"/>
      <c r="K1959" s="92"/>
      <c r="L1959" s="92"/>
      <c r="M1959" s="44"/>
      <c r="N1959" s="44"/>
      <c r="O1959" s="44"/>
      <c r="P1959" s="44"/>
      <c r="Q1959" s="44"/>
      <c r="R1959" s="62"/>
      <c r="S1959" s="47"/>
      <c r="T1959" s="47"/>
    </row>
    <row r="1960" s="27" customFormat="1" ht="18" customHeight="1" spans="1:20">
      <c r="A1960" s="34"/>
      <c r="B1960" s="48">
        <v>23</v>
      </c>
      <c r="C1960" s="48"/>
      <c r="D1960" s="88"/>
      <c r="E1960" s="72"/>
      <c r="F1960" s="77"/>
      <c r="G1960" s="89"/>
      <c r="H1960" s="74"/>
      <c r="I1960" s="74"/>
      <c r="J1960" s="95"/>
      <c r="K1960" s="92"/>
      <c r="L1960" s="92"/>
      <c r="M1960" s="44"/>
      <c r="N1960" s="44"/>
      <c r="O1960" s="44"/>
      <c r="P1960" s="44"/>
      <c r="Q1960" s="44"/>
      <c r="R1960" s="62"/>
      <c r="S1960" s="47"/>
      <c r="T1960" s="47"/>
    </row>
    <row r="1961" s="27" customFormat="1" ht="18" customHeight="1" spans="1:20">
      <c r="A1961" s="34"/>
      <c r="B1961" s="48">
        <v>24</v>
      </c>
      <c r="C1961" s="48"/>
      <c r="D1961" s="88" t="s">
        <v>478</v>
      </c>
      <c r="E1961" s="72" t="s">
        <v>43</v>
      </c>
      <c r="F1961" s="77"/>
      <c r="G1961" s="72">
        <v>1</v>
      </c>
      <c r="H1961" s="74">
        <v>1</v>
      </c>
      <c r="I1961" s="74">
        <f>+辅材及安装费!$E$8</f>
        <v>10</v>
      </c>
      <c r="J1961" s="95">
        <f>H1961*I1961</f>
        <v>10</v>
      </c>
      <c r="K1961" s="92"/>
      <c r="L1961" s="92"/>
      <c r="M1961" s="44"/>
      <c r="N1961" s="44"/>
      <c r="O1961" s="44"/>
      <c r="P1961" s="44"/>
      <c r="Q1961" s="44"/>
      <c r="R1961" s="62"/>
      <c r="S1961" s="47"/>
      <c r="T1961" s="47"/>
    </row>
    <row r="1962" s="27" customFormat="1" ht="18" customHeight="1" spans="1:20">
      <c r="A1962" s="34"/>
      <c r="B1962" s="48">
        <v>25</v>
      </c>
      <c r="C1962" s="48"/>
      <c r="D1962" s="93" t="s">
        <v>442</v>
      </c>
      <c r="E1962" s="72"/>
      <c r="F1962" s="77"/>
      <c r="G1962" s="72"/>
      <c r="H1962" s="74"/>
      <c r="I1962" s="74"/>
      <c r="J1962" s="95">
        <f>SUM(J1939:J1961)</f>
        <v>900.957531258921</v>
      </c>
      <c r="K1962" s="92"/>
      <c r="L1962" s="94"/>
      <c r="M1962" s="27"/>
      <c r="N1962" s="83"/>
      <c r="O1962" s="83"/>
      <c r="P1962" s="83"/>
      <c r="Q1962" s="83"/>
      <c r="R1962" s="87"/>
      <c r="S1962" s="47"/>
      <c r="T1962" s="47"/>
    </row>
    <row r="1963" s="27" customFormat="1" ht="18" customHeight="1" spans="1:20">
      <c r="A1963" s="34"/>
      <c r="B1963" s="48">
        <v>1</v>
      </c>
      <c r="C1963" s="48" t="s">
        <v>443</v>
      </c>
      <c r="D1963" s="48" t="s">
        <v>444</v>
      </c>
      <c r="E1963" s="72" t="s">
        <v>43</v>
      </c>
      <c r="F1963" s="50"/>
      <c r="G1963" s="48"/>
      <c r="H1963" s="51">
        <v>1</v>
      </c>
      <c r="I1963" s="74">
        <f>+辅材及安装费!$F$8</f>
        <v>5</v>
      </c>
      <c r="J1963" s="95">
        <f>H1963*I1963</f>
        <v>5</v>
      </c>
      <c r="K1963" s="118"/>
      <c r="L1963" s="96"/>
      <c r="M1963" s="97"/>
      <c r="N1963" s="98"/>
      <c r="O1963" s="98"/>
      <c r="P1963" s="98"/>
      <c r="Q1963" s="98"/>
      <c r="R1963" s="99"/>
      <c r="S1963" s="47"/>
      <c r="T1963" s="47"/>
    </row>
    <row r="1964" s="26" customFormat="1" ht="30" customHeight="1" spans="1:20">
      <c r="A1964" s="28"/>
      <c r="B1964" s="29" t="s">
        <v>386</v>
      </c>
      <c r="C1964" s="29"/>
      <c r="D1964" s="29"/>
      <c r="E1964" s="29"/>
      <c r="F1964" s="29"/>
      <c r="G1964" s="29"/>
      <c r="H1964" s="29"/>
      <c r="I1964" s="29"/>
      <c r="J1964" s="29"/>
      <c r="K1964" s="29"/>
      <c r="L1964" s="30"/>
      <c r="M1964" s="31"/>
      <c r="N1964" s="31"/>
      <c r="O1964" s="31"/>
      <c r="P1964" s="31"/>
      <c r="Q1964" s="31"/>
      <c r="R1964" s="32"/>
      <c r="S1964" s="33"/>
      <c r="T1964" s="33"/>
    </row>
    <row r="1965" s="27" customFormat="1" ht="33.75" customHeight="1" spans="1:20">
      <c r="A1965" s="34">
        <v>6</v>
      </c>
      <c r="B1965" s="35" t="s">
        <v>1</v>
      </c>
      <c r="C1965" s="35" t="s">
        <v>387</v>
      </c>
      <c r="D1965" s="36" t="str">
        <f>+A1973</f>
        <v>40mm厚自然面贝金米黄石材</v>
      </c>
      <c r="E1965" s="37"/>
      <c r="F1965" s="38" t="s">
        <v>99</v>
      </c>
      <c r="G1965" s="39"/>
      <c r="H1965" s="35" t="s">
        <v>388</v>
      </c>
      <c r="I1965" s="40" t="s">
        <v>389</v>
      </c>
      <c r="J1965" s="41" t="s">
        <v>37</v>
      </c>
      <c r="K1965" s="123">
        <f ca="1">VLOOKUP(A1965,'商业工程量清单 '!$A$47:$D$58,4,FALSE)</f>
        <v>23.3432</v>
      </c>
      <c r="L1965" s="43"/>
      <c r="M1965" s="44"/>
      <c r="N1965" s="44"/>
      <c r="O1965" s="44"/>
      <c r="P1965" s="45"/>
      <c r="Q1965" s="44"/>
      <c r="R1965" s="46"/>
      <c r="S1965" s="47"/>
      <c r="T1965" s="47"/>
    </row>
    <row r="1966" s="27" customFormat="1" ht="18" customHeight="1" spans="1:20">
      <c r="A1966" s="34"/>
      <c r="B1966" s="48">
        <v>1</v>
      </c>
      <c r="C1966" s="49" t="s">
        <v>390</v>
      </c>
      <c r="D1966" s="48" t="s">
        <v>391</v>
      </c>
      <c r="E1966" s="48"/>
      <c r="F1966" s="50"/>
      <c r="G1966" s="48"/>
      <c r="H1966" s="51"/>
      <c r="I1966" s="52">
        <f>J1978</f>
        <v>210</v>
      </c>
      <c r="J1966" s="53" t="s">
        <v>392</v>
      </c>
      <c r="K1966" s="54"/>
      <c r="L1966" s="55" t="s">
        <v>1056</v>
      </c>
      <c r="M1966" s="56"/>
      <c r="N1966" s="57"/>
      <c r="O1966" s="57">
        <v>5.805</v>
      </c>
      <c r="P1966" s="57">
        <v>2.52</v>
      </c>
      <c r="Q1966" s="57">
        <v>1</v>
      </c>
      <c r="R1966" s="58">
        <f>+Q1966*P1966*O1966</f>
        <v>14.6286</v>
      </c>
      <c r="S1966" s="47"/>
      <c r="T1966" s="47"/>
    </row>
    <row r="1967" s="27" customFormat="1" ht="18" customHeight="1" spans="1:20">
      <c r="A1967" s="34"/>
      <c r="B1967" s="48">
        <v>2</v>
      </c>
      <c r="C1967" s="59"/>
      <c r="D1967" s="48" t="s">
        <v>394</v>
      </c>
      <c r="E1967" s="48"/>
      <c r="F1967" s="50"/>
      <c r="G1967" s="48"/>
      <c r="H1967" s="51"/>
      <c r="I1967" s="52">
        <f>J2002</f>
        <v>1253.71341705586</v>
      </c>
      <c r="J1967" s="53" t="s">
        <v>392</v>
      </c>
      <c r="K1967" s="60"/>
      <c r="L1967" s="61" t="s">
        <v>99</v>
      </c>
      <c r="M1967" s="44"/>
      <c r="N1967" s="44"/>
      <c r="O1967" s="44"/>
      <c r="P1967" s="44"/>
      <c r="Q1967" s="44"/>
      <c r="R1967" s="62"/>
      <c r="S1967" s="47"/>
      <c r="T1967" s="47"/>
    </row>
    <row r="1968" s="27" customFormat="1" ht="18" customHeight="1" spans="1:20">
      <c r="A1968" s="34"/>
      <c r="B1968" s="48">
        <v>3</v>
      </c>
      <c r="C1968" s="63"/>
      <c r="D1968" s="48" t="s">
        <v>395</v>
      </c>
      <c r="E1968" s="48"/>
      <c r="F1968" s="50"/>
      <c r="G1968" s="48"/>
      <c r="H1968" s="51"/>
      <c r="I1968" s="52">
        <f>J2003</f>
        <v>5</v>
      </c>
      <c r="J1968" s="53" t="s">
        <v>392</v>
      </c>
      <c r="K1968" s="60"/>
      <c r="L1968" s="60"/>
      <c r="M1968" s="64" t="s">
        <v>396</v>
      </c>
      <c r="N1968" s="65" t="s">
        <v>397</v>
      </c>
      <c r="O1968" s="65" t="s">
        <v>398</v>
      </c>
      <c r="P1968" s="65" t="s">
        <v>399</v>
      </c>
      <c r="Q1968" s="65" t="s">
        <v>400</v>
      </c>
      <c r="R1968" s="66" t="s">
        <v>401</v>
      </c>
      <c r="S1968" s="47"/>
      <c r="T1968" s="47"/>
    </row>
    <row r="1969" s="27" customFormat="1" ht="18" customHeight="1" spans="1:20">
      <c r="A1969" s="34"/>
      <c r="B1969" s="48">
        <v>4</v>
      </c>
      <c r="C1969" s="48" t="s">
        <v>402</v>
      </c>
      <c r="D1969" s="67" t="s">
        <v>403</v>
      </c>
      <c r="E1969" s="67"/>
      <c r="F1969" s="50"/>
      <c r="G1969" s="67"/>
      <c r="H1969" s="68"/>
      <c r="I1969" s="52">
        <f>SUM(I1966:I1968)</f>
        <v>1468.71341705586</v>
      </c>
      <c r="J1969" s="53" t="s">
        <v>392</v>
      </c>
      <c r="K1969" s="60"/>
      <c r="L1969" s="69" t="s">
        <v>431</v>
      </c>
      <c r="M1969" s="34" t="s">
        <v>460</v>
      </c>
      <c r="N1969" s="102">
        <v>10.21</v>
      </c>
      <c r="O1969" s="34">
        <f>+P1966</f>
        <v>2.52</v>
      </c>
      <c r="P1969" s="34">
        <v>6</v>
      </c>
      <c r="Q1969" s="44">
        <f t="shared" ref="Q1969:Q1973" si="317">+P1969*O1969*N1969</f>
        <v>154.3752</v>
      </c>
      <c r="R1969" s="71">
        <f>+Q1969/R1966</f>
        <v>10.5529715762274</v>
      </c>
      <c r="S1969" s="47"/>
      <c r="T1969" s="47"/>
    </row>
    <row r="1970" s="27" customFormat="1" ht="28" customHeight="1" spans="1:20">
      <c r="A1970" s="34"/>
      <c r="B1970" s="48">
        <v>5</v>
      </c>
      <c r="C1970" s="72" t="s">
        <v>406</v>
      </c>
      <c r="D1970" s="48" t="s">
        <v>407</v>
      </c>
      <c r="E1970" s="48"/>
      <c r="F1970" s="50"/>
      <c r="G1970" s="48"/>
      <c r="H1970" s="73">
        <f>+'材料表 '!$E$178</f>
        <v>0</v>
      </c>
      <c r="I1970" s="52">
        <f>H1970*I1969</f>
        <v>0</v>
      </c>
      <c r="J1970" s="53" t="s">
        <v>392</v>
      </c>
      <c r="K1970" s="60"/>
      <c r="L1970" s="69" t="s">
        <v>461</v>
      </c>
      <c r="M1970" s="34" t="s">
        <v>462</v>
      </c>
      <c r="N1970" s="34">
        <v>3.77</v>
      </c>
      <c r="O1970" s="34">
        <f>+O1966</f>
        <v>5.805</v>
      </c>
      <c r="P1970" s="34">
        <v>6</v>
      </c>
      <c r="Q1970" s="44">
        <f t="shared" si="317"/>
        <v>131.3091</v>
      </c>
      <c r="R1970" s="71">
        <f>+Q1970/R1966</f>
        <v>8.97619047619048</v>
      </c>
      <c r="S1970" s="47"/>
      <c r="T1970" s="47"/>
    </row>
    <row r="1971" s="27" customFormat="1" ht="18" customHeight="1" spans="1:20">
      <c r="A1971" s="34"/>
      <c r="B1971" s="48">
        <v>6</v>
      </c>
      <c r="C1971" s="48" t="s">
        <v>409</v>
      </c>
      <c r="D1971" s="48" t="s">
        <v>410</v>
      </c>
      <c r="E1971" s="48"/>
      <c r="F1971" s="50"/>
      <c r="G1971" s="48"/>
      <c r="H1971" s="73">
        <f>+'材料表 '!$E$179</f>
        <v>0</v>
      </c>
      <c r="I1971" s="52">
        <f>H1971*I1969</f>
        <v>0</v>
      </c>
      <c r="J1971" s="53" t="s">
        <v>392</v>
      </c>
      <c r="K1971" s="60"/>
      <c r="L1971" s="69" t="s">
        <v>463</v>
      </c>
      <c r="M1971" s="34" t="s">
        <v>490</v>
      </c>
      <c r="N1971" s="34">
        <f>0.3*0.2*7.85*10</f>
        <v>4.71</v>
      </c>
      <c r="O1971" s="34">
        <v>2</v>
      </c>
      <c r="P1971" s="34">
        <f>+P1969</f>
        <v>6</v>
      </c>
      <c r="Q1971" s="44">
        <f t="shared" si="317"/>
        <v>56.52</v>
      </c>
      <c r="R1971" s="71">
        <f>+Q1971/R1966</f>
        <v>3.86366432878061</v>
      </c>
      <c r="S1971" s="47"/>
      <c r="T1971" s="47"/>
    </row>
    <row r="1972" s="27" customFormat="1" ht="18" customHeight="1" spans="1:20">
      <c r="A1972" s="34"/>
      <c r="B1972" s="48">
        <v>7</v>
      </c>
      <c r="C1972" s="48" t="s">
        <v>412</v>
      </c>
      <c r="D1972" s="72" t="s">
        <v>413</v>
      </c>
      <c r="E1972" s="72"/>
      <c r="F1972" s="77"/>
      <c r="G1972" s="72"/>
      <c r="H1972" s="73">
        <f>+'材料表 '!$E$180</f>
        <v>0.09</v>
      </c>
      <c r="I1972" s="52">
        <f>(I1969+I1970+I1971)*H1972</f>
        <v>132.184207535028</v>
      </c>
      <c r="J1972" s="53" t="s">
        <v>392</v>
      </c>
      <c r="K1972" s="60"/>
      <c r="L1972" s="69" t="s">
        <v>465</v>
      </c>
      <c r="M1972" s="34" t="s">
        <v>466</v>
      </c>
      <c r="N1972" s="100">
        <f>3.77</f>
        <v>3.77</v>
      </c>
      <c r="O1972" s="34">
        <v>0.155</v>
      </c>
      <c r="P1972" s="34">
        <v>0</v>
      </c>
      <c r="Q1972" s="44">
        <f t="shared" si="317"/>
        <v>0</v>
      </c>
      <c r="R1972" s="71">
        <f>+Q1972/R1966</f>
        <v>0</v>
      </c>
      <c r="S1972" s="47"/>
      <c r="T1972" s="47"/>
    </row>
    <row r="1973" s="27" customFormat="1" ht="18" customHeight="1" spans="1:20">
      <c r="A1973" s="105" t="s">
        <v>295</v>
      </c>
      <c r="B1973" s="48">
        <v>8</v>
      </c>
      <c r="C1973" s="48" t="s">
        <v>363</v>
      </c>
      <c r="D1973" s="106" t="s">
        <v>415</v>
      </c>
      <c r="E1973" s="107"/>
      <c r="F1973" s="108"/>
      <c r="G1973" s="107"/>
      <c r="H1973" s="51"/>
      <c r="I1973" s="74">
        <f>SUM(I1969:I1972)</f>
        <v>1600.89762459089</v>
      </c>
      <c r="J1973" s="53" t="s">
        <v>416</v>
      </c>
      <c r="K1973" s="60"/>
      <c r="L1973" s="69" t="s">
        <v>465</v>
      </c>
      <c r="M1973" s="44" t="s">
        <v>468</v>
      </c>
      <c r="N1973" s="82">
        <v>5.778</v>
      </c>
      <c r="O1973" s="44">
        <v>0.125</v>
      </c>
      <c r="P1973" s="44">
        <f>+P1969*2</f>
        <v>12</v>
      </c>
      <c r="Q1973" s="44">
        <f t="shared" si="317"/>
        <v>8.667</v>
      </c>
      <c r="R1973" s="84">
        <f>+Q1973/R1966</f>
        <v>0.592469545957918</v>
      </c>
      <c r="S1973" s="79"/>
      <c r="T1973" s="47"/>
    </row>
    <row r="1974" s="27" customFormat="1" ht="18" customHeight="1" spans="1:20">
      <c r="A1974" s="34"/>
      <c r="B1974" s="109" t="s">
        <v>418</v>
      </c>
      <c r="C1974" s="110"/>
      <c r="D1974" s="110"/>
      <c r="E1974" s="110"/>
      <c r="F1974" s="110"/>
      <c r="G1974" s="110"/>
      <c r="H1974" s="110"/>
      <c r="I1974" s="110"/>
      <c r="J1974" s="110"/>
      <c r="K1974" s="80"/>
      <c r="L1974" s="90" t="s">
        <v>469</v>
      </c>
      <c r="M1974" s="44"/>
      <c r="N1974" s="82"/>
      <c r="O1974" s="44">
        <f>12*4</f>
        <v>48</v>
      </c>
      <c r="P1974" s="44">
        <v>1</v>
      </c>
      <c r="Q1974" s="44">
        <f>+P1974*O1974</f>
        <v>48</v>
      </c>
      <c r="R1974" s="84">
        <f>+Q1974/R1966</f>
        <v>3.28124359132111</v>
      </c>
      <c r="S1974" s="47"/>
      <c r="T1974" s="47"/>
    </row>
    <row r="1975" s="27" customFormat="1" ht="18" customHeight="1" spans="1:20">
      <c r="A1975" s="34"/>
      <c r="B1975" s="48">
        <v>1</v>
      </c>
      <c r="C1975" s="48" t="s">
        <v>391</v>
      </c>
      <c r="D1975" s="48" t="s">
        <v>396</v>
      </c>
      <c r="E1975" s="48" t="s">
        <v>37</v>
      </c>
      <c r="F1975" s="50"/>
      <c r="G1975" s="48"/>
      <c r="H1975" s="51" t="s">
        <v>399</v>
      </c>
      <c r="I1975" s="51" t="s">
        <v>420</v>
      </c>
      <c r="J1975" s="95" t="s">
        <v>421</v>
      </c>
      <c r="K1975" s="92"/>
      <c r="L1975" s="90"/>
      <c r="M1975" s="44"/>
      <c r="N1975" s="82"/>
      <c r="O1975" s="44"/>
      <c r="P1975" s="44"/>
      <c r="Q1975" s="44"/>
      <c r="R1975" s="84"/>
      <c r="S1975" s="47"/>
      <c r="T1975" s="47"/>
    </row>
    <row r="1976" s="27" customFormat="1" ht="18" customHeight="1" spans="1:20">
      <c r="A1976" s="34"/>
      <c r="B1976" s="48">
        <v>2</v>
      </c>
      <c r="C1976" s="48"/>
      <c r="D1976" s="111" t="s">
        <v>470</v>
      </c>
      <c r="E1976" s="49" t="s">
        <v>423</v>
      </c>
      <c r="F1976" s="112"/>
      <c r="G1976" s="111"/>
      <c r="H1976" s="113">
        <v>1</v>
      </c>
      <c r="I1976" s="113">
        <f>+辅材及安装费!$G$8</f>
        <v>210</v>
      </c>
      <c r="J1976" s="114">
        <f t="shared" ref="J1976:J1991" si="318">H1976*I1976</f>
        <v>210</v>
      </c>
      <c r="K1976" s="92"/>
      <c r="L1976" s="90" t="s">
        <v>471</v>
      </c>
      <c r="M1976" s="44"/>
      <c r="N1976" s="82"/>
      <c r="O1976" s="44"/>
      <c r="P1976" s="44"/>
      <c r="Q1976" s="44">
        <f>+Q1974</f>
        <v>48</v>
      </c>
      <c r="R1976" s="84">
        <f>+Q1976/R1966</f>
        <v>3.28124359132111</v>
      </c>
      <c r="S1976" s="47"/>
      <c r="T1976" s="47"/>
    </row>
    <row r="1977" s="27" customFormat="1" ht="18" customHeight="1" spans="1:20">
      <c r="A1977" s="34"/>
      <c r="B1977" s="48">
        <v>3</v>
      </c>
      <c r="C1977" s="48"/>
      <c r="D1977" s="115"/>
      <c r="E1977" s="63"/>
      <c r="F1977" s="116"/>
      <c r="G1977" s="115"/>
      <c r="H1977" s="117"/>
      <c r="I1977" s="117"/>
      <c r="J1977" s="118"/>
      <c r="K1977" s="92"/>
      <c r="L1977" s="90" t="s">
        <v>472</v>
      </c>
      <c r="M1977" s="44"/>
      <c r="N1977" s="82"/>
      <c r="O1977" s="44"/>
      <c r="P1977" s="44">
        <f>+P1972</f>
        <v>0</v>
      </c>
      <c r="Q1977" s="44">
        <f>+P1977</f>
        <v>0</v>
      </c>
      <c r="R1977" s="84">
        <f>+Q1977/R1966</f>
        <v>0</v>
      </c>
      <c r="S1977" s="47"/>
      <c r="T1977" s="47"/>
    </row>
    <row r="1978" s="27" customFormat="1" ht="18" customHeight="1" spans="1:20">
      <c r="A1978" s="34"/>
      <c r="B1978" s="48">
        <v>4</v>
      </c>
      <c r="C1978" s="48"/>
      <c r="D1978" s="85" t="s">
        <v>426</v>
      </c>
      <c r="E1978" s="48" t="s">
        <v>392</v>
      </c>
      <c r="F1978" s="50"/>
      <c r="G1978" s="48"/>
      <c r="H1978" s="86"/>
      <c r="I1978" s="86"/>
      <c r="J1978" s="95">
        <f>SUM(J1976:J1976)</f>
        <v>210</v>
      </c>
      <c r="K1978" s="92"/>
      <c r="L1978" s="90" t="s">
        <v>473</v>
      </c>
      <c r="M1978" s="44"/>
      <c r="N1978" s="82"/>
      <c r="O1978" s="44"/>
      <c r="P1978" s="44"/>
      <c r="Q1978" s="44">
        <f>+(Q1974)*3</f>
        <v>144</v>
      </c>
      <c r="R1978" s="84">
        <f>+Q1978/R1966</f>
        <v>9.84373077396333</v>
      </c>
      <c r="S1978" s="47"/>
      <c r="T1978" s="47"/>
    </row>
    <row r="1979" s="27" customFormat="1" ht="23" customHeight="1" spans="1:20">
      <c r="A1979" s="34"/>
      <c r="B1979" s="48">
        <v>1</v>
      </c>
      <c r="C1979" s="48" t="s">
        <v>394</v>
      </c>
      <c r="D1979" s="88" t="s">
        <v>431</v>
      </c>
      <c r="E1979" s="72" t="str">
        <f>+VLOOKUP(D1979,'材料表 '!C:F,2,0)</f>
        <v>kg</v>
      </c>
      <c r="F1979" s="77">
        <f>+SUMIF($L$1966:$L$2003,D1979,$R$1966:$R$2003)</f>
        <v>10.5529715762274</v>
      </c>
      <c r="G1979" s="89">
        <f>+VLOOKUP(D1979,'材料表 '!C:F,4,0)</f>
        <v>0.03</v>
      </c>
      <c r="H1979" s="74">
        <f t="shared" ref="H1979:H1991" si="319">F1979*(G1979+1)</f>
        <v>10.8695607235142</v>
      </c>
      <c r="I1979" s="74">
        <f>+VLOOKUP(D1979,'材料表 '!C:F,3,0)</f>
        <v>3.80530973451327</v>
      </c>
      <c r="J1979" s="95">
        <f t="shared" si="318"/>
        <v>41.3620452310718</v>
      </c>
      <c r="K1979" s="60">
        <f ca="1">H1979*K1965</f>
        <v>253.730329881137</v>
      </c>
      <c r="L1979" s="90"/>
      <c r="M1979" s="44"/>
      <c r="N1979" s="82"/>
      <c r="O1979" s="44"/>
      <c r="P1979" s="44"/>
      <c r="Q1979" s="44"/>
      <c r="R1979" s="84"/>
      <c r="S1979" s="47"/>
      <c r="T1979" s="47"/>
    </row>
    <row r="1980" s="27" customFormat="1" ht="18" customHeight="1" spans="1:20">
      <c r="A1980" s="34"/>
      <c r="B1980" s="48">
        <v>2</v>
      </c>
      <c r="C1980" s="48"/>
      <c r="D1980" s="88" t="s">
        <v>461</v>
      </c>
      <c r="E1980" s="72" t="str">
        <f>+VLOOKUP(D1980,'材料表 '!C:F,2,0)</f>
        <v>kg</v>
      </c>
      <c r="F1980" s="77">
        <f t="shared" ref="F1980:F1988" si="320">+SUMIF($L$1966:$L$2003,D1980,$R$1966:$R$2003)</f>
        <v>8.97619047619048</v>
      </c>
      <c r="G1980" s="89">
        <f>+VLOOKUP(D1980,'材料表 '!C:F,4,0)</f>
        <v>0.03</v>
      </c>
      <c r="H1980" s="74">
        <f t="shared" si="319"/>
        <v>9.24547619047619</v>
      </c>
      <c r="I1980" s="74">
        <f>+VLOOKUP(D1980,'材料表 '!C:F,3,0)</f>
        <v>3.53982300884956</v>
      </c>
      <c r="J1980" s="95">
        <f t="shared" si="318"/>
        <v>32.7273493468184</v>
      </c>
      <c r="K1980" s="60">
        <f ca="1">H1980*K1965</f>
        <v>215.818999809524</v>
      </c>
      <c r="L1980" s="90"/>
      <c r="M1980" s="44"/>
      <c r="N1980" s="82"/>
      <c r="O1980" s="44"/>
      <c r="P1980" s="44"/>
      <c r="Q1980" s="44"/>
      <c r="R1980" s="84"/>
      <c r="S1980" s="47"/>
      <c r="T1980" s="47"/>
    </row>
    <row r="1981" s="27" customFormat="1" ht="18" customHeight="1" spans="1:20">
      <c r="A1981" s="34"/>
      <c r="B1981" s="48">
        <v>3</v>
      </c>
      <c r="C1981" s="48"/>
      <c r="D1981" s="88" t="s">
        <v>465</v>
      </c>
      <c r="E1981" s="72" t="str">
        <f>+VLOOKUP(D1981,'材料表 '!C:F,2,0)</f>
        <v>kg</v>
      </c>
      <c r="F1981" s="77">
        <f t="shared" si="320"/>
        <v>0.592469545957918</v>
      </c>
      <c r="G1981" s="89">
        <f>+VLOOKUP(D1981,'材料表 '!C:F,4,0)</f>
        <v>0.03</v>
      </c>
      <c r="H1981" s="74">
        <f t="shared" si="319"/>
        <v>0.610243632336656</v>
      </c>
      <c r="I1981" s="74">
        <f>+VLOOKUP(D1981,'材料表 '!C:F,3,0)</f>
        <v>6.01769911504425</v>
      </c>
      <c r="J1981" s="95">
        <f t="shared" si="318"/>
        <v>3.67226256627368</v>
      </c>
      <c r="K1981" s="60">
        <f ca="1">H1981*K1965</f>
        <v>14.245039158361</v>
      </c>
      <c r="L1981" s="90" t="s">
        <v>474</v>
      </c>
      <c r="M1981" s="44"/>
      <c r="N1981" s="82"/>
      <c r="O1981" s="44"/>
      <c r="P1981" s="44"/>
      <c r="Q1981" s="44">
        <f>+O1971*P1971*4</f>
        <v>48</v>
      </c>
      <c r="R1981" s="84">
        <f>+Q1981/R1966</f>
        <v>3.28124359132111</v>
      </c>
      <c r="S1981" s="47"/>
      <c r="T1981" s="47"/>
    </row>
    <row r="1982" s="27" customFormat="1" ht="18" customHeight="1" spans="1:20">
      <c r="A1982" s="34"/>
      <c r="B1982" s="48">
        <v>4</v>
      </c>
      <c r="C1982" s="48"/>
      <c r="D1982" s="88" t="s">
        <v>463</v>
      </c>
      <c r="E1982" s="72" t="str">
        <f>+VLOOKUP(D1982,'材料表 '!C:F,2,0)</f>
        <v>kg</v>
      </c>
      <c r="F1982" s="77">
        <f t="shared" si="320"/>
        <v>3.86366432878061</v>
      </c>
      <c r="G1982" s="89">
        <f>+VLOOKUP(D1982,'材料表 '!C:F,4,0)</f>
        <v>0.03</v>
      </c>
      <c r="H1982" s="74">
        <f t="shared" si="319"/>
        <v>3.97957425864403</v>
      </c>
      <c r="I1982" s="74">
        <f>+VLOOKUP(D1982,'材料表 '!C:F,3,0)</f>
        <v>6.01769911504425</v>
      </c>
      <c r="J1982" s="95">
        <f t="shared" si="318"/>
        <v>23.947880494495</v>
      </c>
      <c r="K1982" s="60">
        <f ca="1">H1982*K1965</f>
        <v>92.8959978343793</v>
      </c>
      <c r="L1982" s="90"/>
      <c r="M1982" s="44"/>
      <c r="N1982" s="83"/>
      <c r="O1982" s="82"/>
      <c r="P1982" s="44"/>
      <c r="Q1982" s="44"/>
      <c r="R1982" s="84"/>
      <c r="S1982" s="47"/>
      <c r="T1982" s="47"/>
    </row>
    <row r="1983" s="27" customFormat="1" ht="18" customHeight="1" spans="1:20">
      <c r="A1983" s="34"/>
      <c r="B1983" s="48">
        <v>5</v>
      </c>
      <c r="C1983" s="48"/>
      <c r="D1983" s="88" t="s">
        <v>469</v>
      </c>
      <c r="E1983" s="72" t="str">
        <f>+VLOOKUP(D1983,'材料表 '!C:F,2,0)</f>
        <v>套</v>
      </c>
      <c r="F1983" s="77">
        <f t="shared" si="320"/>
        <v>3.28124359132111</v>
      </c>
      <c r="G1983" s="89">
        <f>+VLOOKUP(D1983,'材料表 '!C:F,4,0)</f>
        <v>0</v>
      </c>
      <c r="H1983" s="74">
        <f t="shared" si="319"/>
        <v>3.28124359132111</v>
      </c>
      <c r="I1983" s="74">
        <f>+VLOOKUP(D1983,'材料表 '!C:F,3,0)</f>
        <v>5.30973451327434</v>
      </c>
      <c r="J1983" s="95">
        <f t="shared" si="318"/>
        <v>17.4225323432979</v>
      </c>
      <c r="K1983" s="60">
        <f ca="1">H1983*K1965</f>
        <v>76.5947254009269</v>
      </c>
      <c r="L1983" s="92" t="s">
        <v>476</v>
      </c>
      <c r="M1983" s="44"/>
      <c r="N1983" s="82"/>
      <c r="O1983" s="44"/>
      <c r="P1983" s="44"/>
      <c r="Q1983" s="44">
        <f>6*6*(O1966*4+P1966*5)/500</f>
        <v>2.57904</v>
      </c>
      <c r="R1983" s="84">
        <f>+Q1983/R1966</f>
        <v>0.176301218161683</v>
      </c>
      <c r="S1983" s="47"/>
      <c r="T1983" s="47"/>
    </row>
    <row r="1984" s="27" customFormat="1" ht="18" customHeight="1" spans="1:20">
      <c r="A1984" s="34"/>
      <c r="B1984" s="48">
        <v>7</v>
      </c>
      <c r="C1984" s="48"/>
      <c r="D1984" s="88" t="s">
        <v>471</v>
      </c>
      <c r="E1984" s="72" t="str">
        <f>+VLOOKUP(D1984,'材料表 '!C:F,2,0)</f>
        <v>套</v>
      </c>
      <c r="F1984" s="77">
        <f t="shared" si="320"/>
        <v>3.28124359132111</v>
      </c>
      <c r="G1984" s="89">
        <f>+VLOOKUP(D1984,'材料表 '!C:F,4,0)</f>
        <v>0</v>
      </c>
      <c r="H1984" s="74">
        <f t="shared" si="319"/>
        <v>3.28124359132111</v>
      </c>
      <c r="I1984" s="74">
        <f>+VLOOKUP(D1984,'材料表 '!C:F,3,0)</f>
        <v>1.32743362831858</v>
      </c>
      <c r="J1984" s="95">
        <f t="shared" si="318"/>
        <v>4.35563308582447</v>
      </c>
      <c r="K1984" s="60">
        <f ca="1">H1984*K1965</f>
        <v>76.5947254009269</v>
      </c>
      <c r="L1984" s="92"/>
      <c r="M1984" s="44"/>
      <c r="N1984" s="82"/>
      <c r="O1984" s="44"/>
      <c r="P1984" s="44"/>
      <c r="Q1984" s="44"/>
      <c r="R1984" s="84">
        <f>+Q1984/R1966</f>
        <v>0</v>
      </c>
      <c r="S1984" s="47"/>
      <c r="T1984" s="47"/>
    </row>
    <row r="1985" s="27" customFormat="1" ht="18" customHeight="1" spans="1:20">
      <c r="A1985" s="34"/>
      <c r="B1985" s="48">
        <v>8</v>
      </c>
      <c r="C1985" s="48"/>
      <c r="D1985" s="88" t="s">
        <v>472</v>
      </c>
      <c r="E1985" s="72" t="str">
        <f>+VLOOKUP(D1985,'材料表 '!C:F,2,0)</f>
        <v>套</v>
      </c>
      <c r="F1985" s="77">
        <f t="shared" si="320"/>
        <v>0</v>
      </c>
      <c r="G1985" s="89">
        <f>+VLOOKUP(D1985,'材料表 '!C:F,4,0)</f>
        <v>0</v>
      </c>
      <c r="H1985" s="74">
        <f t="shared" si="319"/>
        <v>0</v>
      </c>
      <c r="I1985" s="74">
        <f>+VLOOKUP(D1985,'材料表 '!C:F,3,0)</f>
        <v>2.47787610619469</v>
      </c>
      <c r="J1985" s="95">
        <f t="shared" si="318"/>
        <v>0</v>
      </c>
      <c r="K1985" s="60">
        <f ca="1">H1985*K1965</f>
        <v>0</v>
      </c>
      <c r="L1985" s="92"/>
      <c r="M1985" s="44"/>
      <c r="N1985" s="82"/>
      <c r="O1985" s="44"/>
      <c r="P1985" s="44"/>
      <c r="Q1985" s="44"/>
      <c r="R1985" s="84"/>
      <c r="S1985" s="47"/>
      <c r="T1985" s="47"/>
    </row>
    <row r="1986" s="27" customFormat="1" ht="18" customHeight="1" spans="1:20">
      <c r="A1986" s="34"/>
      <c r="B1986" s="48">
        <v>9</v>
      </c>
      <c r="C1986" s="48"/>
      <c r="D1986" s="88" t="s">
        <v>473</v>
      </c>
      <c r="E1986" s="72" t="str">
        <f>+VLOOKUP(D1986,'材料表 '!C:F,2,0)</f>
        <v>套</v>
      </c>
      <c r="F1986" s="77">
        <f t="shared" si="320"/>
        <v>9.84373077396333</v>
      </c>
      <c r="G1986" s="89">
        <f>+VLOOKUP(D1986,'材料表 '!C:F,4,0)</f>
        <v>0</v>
      </c>
      <c r="H1986" s="74">
        <f t="shared" si="319"/>
        <v>9.84373077396333</v>
      </c>
      <c r="I1986" s="74">
        <f>+VLOOKUP(D1986,'材料表 '!C:F,3,0)</f>
        <v>0.247787610619469</v>
      </c>
      <c r="J1986" s="95">
        <f t="shared" si="318"/>
        <v>2.43915452806171</v>
      </c>
      <c r="K1986" s="60">
        <f ca="1">H1986*K1965</f>
        <v>229.784176202781</v>
      </c>
      <c r="L1986" s="90"/>
      <c r="M1986" s="44"/>
      <c r="N1986" s="82"/>
      <c r="O1986" s="34"/>
      <c r="P1986" s="44"/>
      <c r="Q1986" s="44"/>
      <c r="R1986" s="119"/>
      <c r="S1986" s="47"/>
      <c r="T1986" s="47"/>
    </row>
    <row r="1987" s="27" customFormat="1" ht="18" customHeight="1" spans="1:20">
      <c r="A1987" s="34"/>
      <c r="B1987" s="48">
        <v>10</v>
      </c>
      <c r="C1987" s="48"/>
      <c r="D1987" s="88" t="s">
        <v>474</v>
      </c>
      <c r="E1987" s="72" t="str">
        <f>+VLOOKUP(D1987,'材料表 '!C:F,2,0)</f>
        <v>套</v>
      </c>
      <c r="F1987" s="77">
        <f t="shared" si="320"/>
        <v>3.28124359132111</v>
      </c>
      <c r="G1987" s="89">
        <f>+VLOOKUP(D1987,'材料表 '!C:F,4,0)</f>
        <v>0</v>
      </c>
      <c r="H1987" s="74">
        <f t="shared" si="319"/>
        <v>3.28124359132111</v>
      </c>
      <c r="I1987" s="74">
        <f>+VLOOKUP(D1987,'材料表 '!C:F,3,0)</f>
        <v>2.21238938053097</v>
      </c>
      <c r="J1987" s="95">
        <f t="shared" si="318"/>
        <v>7.25938847637413</v>
      </c>
      <c r="K1987" s="60">
        <f ca="1">H1987*K1965</f>
        <v>76.5947254009269</v>
      </c>
      <c r="L1987" s="92"/>
      <c r="M1987" s="120"/>
      <c r="N1987" s="82"/>
      <c r="O1987" s="44"/>
      <c r="P1987" s="44"/>
      <c r="Q1987" s="44"/>
      <c r="R1987" s="84"/>
      <c r="S1987" s="47"/>
      <c r="T1987" s="47"/>
    </row>
    <row r="1988" s="27" customFormat="1" ht="18" customHeight="1" spans="1:20">
      <c r="A1988" s="34"/>
      <c r="B1988" s="48">
        <v>11</v>
      </c>
      <c r="C1988" s="48"/>
      <c r="D1988" s="88" t="s">
        <v>476</v>
      </c>
      <c r="E1988" s="72" t="str">
        <f>+VLOOKUP(D1988,'材料表 '!C:F,2,0)</f>
        <v>支</v>
      </c>
      <c r="F1988" s="77">
        <f t="shared" si="320"/>
        <v>0.176301218161683</v>
      </c>
      <c r="G1988" s="89">
        <f>+VLOOKUP(D1988,'材料表 '!C:F,4,0)</f>
        <v>0.15</v>
      </c>
      <c r="H1988" s="74">
        <f t="shared" si="319"/>
        <v>0.202746400885935</v>
      </c>
      <c r="I1988" s="74">
        <f>+VLOOKUP(D1988,'材料表 '!C:F,3,0)</f>
        <v>11.5044247787611</v>
      </c>
      <c r="J1988" s="95">
        <f t="shared" si="318"/>
        <v>2.33248071815679</v>
      </c>
      <c r="K1988" s="60">
        <f ca="1">H1988*K1965</f>
        <v>4.73274978516056</v>
      </c>
      <c r="L1988" s="92"/>
      <c r="M1988" s="44"/>
      <c r="N1988" s="44"/>
      <c r="O1988" s="44"/>
      <c r="P1988" s="44"/>
      <c r="Q1988" s="44"/>
      <c r="R1988" s="84"/>
      <c r="S1988" s="47"/>
      <c r="T1988" s="47"/>
    </row>
    <row r="1989" s="27" customFormat="1" ht="18" customHeight="1" spans="1:20">
      <c r="A1989" s="34"/>
      <c r="B1989" s="48">
        <v>12</v>
      </c>
      <c r="C1989" s="48"/>
      <c r="D1989" s="88" t="s">
        <v>477</v>
      </c>
      <c r="E1989" s="72" t="str">
        <f>+VLOOKUP(D1989,'材料表 '!C:F,2,0)</f>
        <v>kg</v>
      </c>
      <c r="F1989" s="77">
        <v>0.2</v>
      </c>
      <c r="G1989" s="89">
        <f>+VLOOKUP(D1989,'材料表 '!C:F,4,0)</f>
        <v>0.15</v>
      </c>
      <c r="H1989" s="74">
        <f t="shared" si="319"/>
        <v>0.23</v>
      </c>
      <c r="I1989" s="74">
        <f>+VLOOKUP(D1989,'材料表 '!C:F,3,0)</f>
        <v>10.6194690265487</v>
      </c>
      <c r="J1989" s="95">
        <f t="shared" si="318"/>
        <v>2.4424778761062</v>
      </c>
      <c r="K1989" s="60">
        <f ca="1">H1989*K1965</f>
        <v>5.368936</v>
      </c>
      <c r="L1989" s="92"/>
      <c r="M1989" s="44"/>
      <c r="N1989" s="44"/>
      <c r="O1989" s="44"/>
      <c r="P1989" s="44"/>
      <c r="Q1989" s="44"/>
      <c r="R1989" s="84"/>
      <c r="S1989" s="47"/>
      <c r="T1989" s="47"/>
    </row>
    <row r="1990" s="27" customFormat="1" ht="18" customHeight="1" spans="1:20">
      <c r="A1990" s="34"/>
      <c r="B1990" s="48">
        <v>13</v>
      </c>
      <c r="C1990" s="48"/>
      <c r="D1990" s="88" t="s">
        <v>479</v>
      </c>
      <c r="E1990" s="72" t="str">
        <f>+VLOOKUP(D1990,'材料表 '!C:F,2,0)</f>
        <v>kg</v>
      </c>
      <c r="F1990" s="77">
        <v>0</v>
      </c>
      <c r="G1990" s="89">
        <f>+VLOOKUP(D1990,'材料表 '!C:F,4,0)</f>
        <v>0.03</v>
      </c>
      <c r="H1990" s="74">
        <f t="shared" si="319"/>
        <v>0</v>
      </c>
      <c r="I1990" s="74">
        <f>+VLOOKUP(D1990,'材料表 '!C:F,3,0)</f>
        <v>14.1592920353982</v>
      </c>
      <c r="J1990" s="95">
        <f t="shared" si="318"/>
        <v>0</v>
      </c>
      <c r="K1990" s="60">
        <f ca="1">H1990*K1965</f>
        <v>0</v>
      </c>
      <c r="L1990" s="92"/>
      <c r="M1990" s="44"/>
      <c r="N1990" s="44"/>
      <c r="O1990" s="44"/>
      <c r="P1990" s="44"/>
      <c r="Q1990" s="44"/>
      <c r="R1990" s="84"/>
      <c r="S1990" s="47"/>
      <c r="T1990" s="47"/>
    </row>
    <row r="1991" s="27" customFormat="1" ht="25" customHeight="1" spans="1:20">
      <c r="A1991" s="34"/>
      <c r="B1991" s="48">
        <v>14</v>
      </c>
      <c r="C1991" s="48"/>
      <c r="D1991" s="88" t="s">
        <v>295</v>
      </c>
      <c r="E1991" s="72" t="str">
        <f>+VLOOKUP(D1991,'材料表 '!C:F,2,0)</f>
        <v>m2</v>
      </c>
      <c r="F1991" s="77">
        <v>1</v>
      </c>
      <c r="G1991" s="89">
        <f>+VLOOKUP(D1991,'材料表 '!C:F,4,0)</f>
        <v>0.02</v>
      </c>
      <c r="H1991" s="74">
        <f t="shared" si="319"/>
        <v>1.02</v>
      </c>
      <c r="I1991" s="74">
        <f>+VLOOKUP(D1991,'材料表 '!C:F,3,0)</f>
        <v>1084.07079646018</v>
      </c>
      <c r="J1991" s="95">
        <f t="shared" si="318"/>
        <v>1105.75221238938</v>
      </c>
      <c r="K1991" s="60">
        <f ca="1">H1991*K1965</f>
        <v>23.810064</v>
      </c>
      <c r="L1991" s="92"/>
      <c r="M1991" s="44"/>
      <c r="N1991" s="44"/>
      <c r="O1991" s="44"/>
      <c r="P1991" s="44"/>
      <c r="Q1991" s="44"/>
      <c r="R1991" s="84"/>
      <c r="S1991" s="47"/>
      <c r="T1991" s="47"/>
    </row>
    <row r="1992" s="27" customFormat="1" ht="18" customHeight="1" spans="1:20">
      <c r="A1992" s="34"/>
      <c r="B1992" s="48">
        <v>15</v>
      </c>
      <c r="C1992" s="48"/>
      <c r="D1992" s="88"/>
      <c r="E1992" s="72"/>
      <c r="F1992" s="77"/>
      <c r="G1992" s="89"/>
      <c r="H1992" s="74"/>
      <c r="I1992" s="74"/>
      <c r="J1992" s="95"/>
      <c r="K1992" s="92">
        <f ca="1">H1992*K1965</f>
        <v>0</v>
      </c>
      <c r="L1992" s="92"/>
      <c r="M1992" s="44"/>
      <c r="N1992" s="44"/>
      <c r="O1992" s="44"/>
      <c r="P1992" s="44"/>
      <c r="Q1992" s="44"/>
      <c r="R1992" s="84"/>
      <c r="S1992" s="47"/>
      <c r="T1992" s="47"/>
    </row>
    <row r="1993" s="27" customFormat="1" ht="18" customHeight="1" spans="1:20">
      <c r="A1993" s="34"/>
      <c r="B1993" s="48">
        <v>16</v>
      </c>
      <c r="C1993" s="48"/>
      <c r="D1993" s="88"/>
      <c r="E1993" s="72"/>
      <c r="F1993" s="77"/>
      <c r="G1993" s="89"/>
      <c r="H1993" s="74"/>
      <c r="I1993" s="74"/>
      <c r="J1993" s="95"/>
      <c r="K1993" s="92">
        <f ca="1">H1993*K1965</f>
        <v>0</v>
      </c>
      <c r="L1993" s="92"/>
      <c r="M1993" s="44"/>
      <c r="N1993" s="44"/>
      <c r="O1993" s="44"/>
      <c r="P1993" s="44"/>
      <c r="Q1993" s="44"/>
      <c r="R1993" s="84"/>
      <c r="S1993" s="47"/>
      <c r="T1993" s="47"/>
    </row>
    <row r="1994" s="27" customFormat="1" ht="18" customHeight="1" spans="1:20">
      <c r="A1994" s="34"/>
      <c r="B1994" s="48">
        <v>17</v>
      </c>
      <c r="C1994" s="48"/>
      <c r="D1994" s="121"/>
      <c r="E1994" s="72"/>
      <c r="F1994" s="77"/>
      <c r="G1994" s="89"/>
      <c r="H1994" s="74"/>
      <c r="I1994" s="74"/>
      <c r="J1994" s="95"/>
      <c r="K1994" s="92"/>
      <c r="L1994" s="92"/>
      <c r="M1994" s="44"/>
      <c r="N1994" s="44"/>
      <c r="O1994" s="44"/>
      <c r="P1994" s="44"/>
      <c r="Q1994" s="101"/>
      <c r="R1994" s="84"/>
      <c r="S1994" s="47"/>
      <c r="T1994" s="47"/>
    </row>
    <row r="1995" s="27" customFormat="1" ht="18" customHeight="1" spans="1:20">
      <c r="A1995" s="34"/>
      <c r="B1995" s="48">
        <v>18</v>
      </c>
      <c r="C1995" s="48"/>
      <c r="D1995" s="88"/>
      <c r="E1995" s="72"/>
      <c r="F1995" s="77"/>
      <c r="G1995" s="89"/>
      <c r="H1995" s="74"/>
      <c r="I1995" s="74"/>
      <c r="J1995" s="95"/>
      <c r="K1995" s="92"/>
      <c r="L1995" s="92"/>
      <c r="M1995" s="44"/>
      <c r="N1995" s="44"/>
      <c r="O1995" s="44"/>
      <c r="P1995" s="44"/>
      <c r="Q1995" s="44"/>
      <c r="R1995" s="84"/>
      <c r="S1995" s="47"/>
      <c r="T1995" s="47"/>
    </row>
    <row r="1996" s="27" customFormat="1" ht="18" customHeight="1" spans="1:20">
      <c r="A1996" s="34"/>
      <c r="B1996" s="48">
        <v>19</v>
      </c>
      <c r="C1996" s="48"/>
      <c r="D1996" s="27"/>
      <c r="E1996" s="72"/>
      <c r="F1996" s="77"/>
      <c r="G1996" s="89"/>
      <c r="H1996" s="74"/>
      <c r="I1996" s="74"/>
      <c r="J1996" s="95"/>
      <c r="K1996" s="92"/>
      <c r="L1996" s="92"/>
      <c r="M1996" s="44"/>
      <c r="N1996" s="44"/>
      <c r="O1996" s="44"/>
      <c r="P1996" s="44"/>
      <c r="Q1996" s="44"/>
      <c r="R1996" s="84"/>
      <c r="S1996" s="47"/>
      <c r="T1996" s="47"/>
    </row>
    <row r="1997" s="27" customFormat="1" ht="18" customHeight="1" spans="1:20">
      <c r="A1997" s="34"/>
      <c r="B1997" s="48">
        <v>20</v>
      </c>
      <c r="C1997" s="48"/>
      <c r="D1997" s="88"/>
      <c r="E1997" s="72"/>
      <c r="F1997" s="77"/>
      <c r="G1997" s="89"/>
      <c r="H1997" s="74"/>
      <c r="I1997" s="74"/>
      <c r="J1997" s="95"/>
      <c r="K1997" s="92"/>
      <c r="L1997" s="92"/>
      <c r="M1997" s="44"/>
      <c r="N1997" s="44"/>
      <c r="O1997" s="44"/>
      <c r="P1997" s="44"/>
      <c r="Q1997" s="44"/>
      <c r="R1997" s="84"/>
      <c r="S1997" s="47"/>
      <c r="T1997" s="47"/>
    </row>
    <row r="1998" s="27" customFormat="1" ht="18" customHeight="1" spans="1:20">
      <c r="A1998" s="34"/>
      <c r="B1998" s="48">
        <v>21</v>
      </c>
      <c r="C1998" s="48"/>
      <c r="D1998" s="88"/>
      <c r="E1998" s="72"/>
      <c r="F1998" s="77"/>
      <c r="G1998" s="89"/>
      <c r="H1998" s="74"/>
      <c r="I1998" s="74"/>
      <c r="J1998" s="95"/>
      <c r="K1998" s="92"/>
      <c r="L1998" s="92"/>
      <c r="M1998" s="44"/>
      <c r="N1998" s="44"/>
      <c r="O1998" s="44"/>
      <c r="P1998" s="44"/>
      <c r="Q1998" s="44"/>
      <c r="R1998" s="84"/>
      <c r="S1998" s="47"/>
      <c r="T1998" s="47"/>
    </row>
    <row r="1999" s="27" customFormat="1" ht="18" customHeight="1" spans="1:20">
      <c r="A1999" s="34"/>
      <c r="B1999" s="48">
        <v>22</v>
      </c>
      <c r="C1999" s="48"/>
      <c r="D1999" s="27"/>
      <c r="E1999" s="72"/>
      <c r="F1999" s="77"/>
      <c r="G1999" s="72"/>
      <c r="H1999" s="74"/>
      <c r="I1999" s="74"/>
      <c r="J1999" s="95"/>
      <c r="K1999" s="92"/>
      <c r="L1999" s="92"/>
      <c r="M1999" s="44"/>
      <c r="N1999" s="44"/>
      <c r="O1999" s="44"/>
      <c r="P1999" s="44"/>
      <c r="Q1999" s="44"/>
      <c r="R1999" s="62"/>
      <c r="S1999" s="47"/>
      <c r="T1999" s="47"/>
    </row>
    <row r="2000" s="27" customFormat="1" ht="18" customHeight="1" spans="1:20">
      <c r="A2000" s="34"/>
      <c r="B2000" s="48">
        <v>23</v>
      </c>
      <c r="C2000" s="48"/>
      <c r="D2000" s="88"/>
      <c r="E2000" s="72"/>
      <c r="F2000" s="77"/>
      <c r="G2000" s="89"/>
      <c r="H2000" s="74"/>
      <c r="I2000" s="74"/>
      <c r="J2000" s="95"/>
      <c r="K2000" s="92"/>
      <c r="L2000" s="92"/>
      <c r="M2000" s="44"/>
      <c r="N2000" s="44"/>
      <c r="O2000" s="44"/>
      <c r="P2000" s="44"/>
      <c r="Q2000" s="44"/>
      <c r="R2000" s="62"/>
      <c r="S2000" s="47"/>
      <c r="T2000" s="47"/>
    </row>
    <row r="2001" s="27" customFormat="1" ht="18" customHeight="1" spans="1:20">
      <c r="A2001" s="34"/>
      <c r="B2001" s="48">
        <v>24</v>
      </c>
      <c r="C2001" s="48"/>
      <c r="D2001" s="88" t="s">
        <v>478</v>
      </c>
      <c r="E2001" s="72" t="s">
        <v>43</v>
      </c>
      <c r="F2001" s="77"/>
      <c r="G2001" s="72">
        <v>1</v>
      </c>
      <c r="H2001" s="74">
        <v>1</v>
      </c>
      <c r="I2001" s="74">
        <f>+辅材及安装费!$E$8</f>
        <v>10</v>
      </c>
      <c r="J2001" s="95">
        <f>H2001*I2001</f>
        <v>10</v>
      </c>
      <c r="K2001" s="92"/>
      <c r="L2001" s="92"/>
      <c r="M2001" s="44"/>
      <c r="N2001" s="44"/>
      <c r="O2001" s="44"/>
      <c r="P2001" s="44"/>
      <c r="Q2001" s="44"/>
      <c r="R2001" s="62"/>
      <c r="S2001" s="47"/>
      <c r="T2001" s="47"/>
    </row>
    <row r="2002" s="27" customFormat="1" ht="18" customHeight="1" spans="1:20">
      <c r="A2002" s="34"/>
      <c r="B2002" s="48">
        <v>25</v>
      </c>
      <c r="C2002" s="48"/>
      <c r="D2002" s="93" t="s">
        <v>442</v>
      </c>
      <c r="E2002" s="72"/>
      <c r="F2002" s="77"/>
      <c r="G2002" s="72"/>
      <c r="H2002" s="74"/>
      <c r="I2002" s="74"/>
      <c r="J2002" s="95">
        <f>SUM(J1979:J2001)</f>
        <v>1253.71341705586</v>
      </c>
      <c r="K2002" s="92"/>
      <c r="L2002" s="94"/>
      <c r="M2002" s="27"/>
      <c r="N2002" s="83"/>
      <c r="O2002" s="83"/>
      <c r="P2002" s="83"/>
      <c r="Q2002" s="83"/>
      <c r="R2002" s="87"/>
      <c r="S2002" s="47"/>
      <c r="T2002" s="47"/>
    </row>
    <row r="2003" s="27" customFormat="1" ht="18" customHeight="1" spans="1:20">
      <c r="A2003" s="34"/>
      <c r="B2003" s="48">
        <v>1</v>
      </c>
      <c r="C2003" s="48" t="s">
        <v>443</v>
      </c>
      <c r="D2003" s="48" t="s">
        <v>444</v>
      </c>
      <c r="E2003" s="72" t="s">
        <v>43</v>
      </c>
      <c r="F2003" s="50"/>
      <c r="G2003" s="48"/>
      <c r="H2003" s="51">
        <v>1</v>
      </c>
      <c r="I2003" s="74">
        <f>+辅材及安装费!$F$8</f>
        <v>5</v>
      </c>
      <c r="J2003" s="95">
        <f>H2003*I2003</f>
        <v>5</v>
      </c>
      <c r="K2003" s="118"/>
      <c r="L2003" s="96"/>
      <c r="M2003" s="97"/>
      <c r="N2003" s="98"/>
      <c r="O2003" s="98"/>
      <c r="P2003" s="98"/>
      <c r="Q2003" s="98"/>
      <c r="R2003" s="99"/>
      <c r="S2003" s="47"/>
      <c r="T2003" s="47"/>
    </row>
    <row r="2004" s="26" customFormat="1" ht="30" customHeight="1" spans="1:20">
      <c r="A2004" s="28"/>
      <c r="B2004" s="29" t="s">
        <v>386</v>
      </c>
      <c r="C2004" s="29"/>
      <c r="D2004" s="29"/>
      <c r="E2004" s="29"/>
      <c r="F2004" s="29"/>
      <c r="G2004" s="29"/>
      <c r="H2004" s="29"/>
      <c r="I2004" s="29"/>
      <c r="J2004" s="29"/>
      <c r="K2004" s="29"/>
      <c r="L2004" s="30"/>
      <c r="M2004" s="31"/>
      <c r="N2004" s="31"/>
      <c r="O2004" s="31"/>
      <c r="P2004" s="31"/>
      <c r="Q2004" s="31"/>
      <c r="R2004" s="32"/>
      <c r="S2004" s="33"/>
      <c r="T2004" s="33"/>
    </row>
    <row r="2005" s="27" customFormat="1" ht="33.75" customHeight="1" spans="1:20">
      <c r="A2005" s="34">
        <v>7</v>
      </c>
      <c r="B2005" s="35" t="s">
        <v>1</v>
      </c>
      <c r="C2005" s="35" t="s">
        <v>387</v>
      </c>
      <c r="D2005" s="36" t="str">
        <f>+A2013</f>
        <v>40mm厚拉槽面贝金米黄石材</v>
      </c>
      <c r="E2005" s="37"/>
      <c r="F2005" s="38" t="s">
        <v>99</v>
      </c>
      <c r="G2005" s="39"/>
      <c r="H2005" s="35" t="s">
        <v>388</v>
      </c>
      <c r="I2005" s="40" t="s">
        <v>389</v>
      </c>
      <c r="J2005" s="41" t="s">
        <v>37</v>
      </c>
      <c r="K2005" s="123">
        <f ca="1">VLOOKUP(A2005,'商业工程量清单 '!$A$47:$D$58,4,FALSE)</f>
        <v>176.0352</v>
      </c>
      <c r="L2005" s="43"/>
      <c r="M2005" s="44"/>
      <c r="N2005" s="44"/>
      <c r="O2005" s="44"/>
      <c r="P2005" s="45"/>
      <c r="Q2005" s="44"/>
      <c r="R2005" s="46"/>
      <c r="S2005" s="47"/>
      <c r="T2005" s="47"/>
    </row>
    <row r="2006" s="27" customFormat="1" ht="18" customHeight="1" spans="1:20">
      <c r="A2006" s="34"/>
      <c r="B2006" s="48">
        <v>1</v>
      </c>
      <c r="C2006" s="49" t="s">
        <v>390</v>
      </c>
      <c r="D2006" s="48" t="s">
        <v>391</v>
      </c>
      <c r="E2006" s="48"/>
      <c r="F2006" s="50"/>
      <c r="G2006" s="48"/>
      <c r="H2006" s="51"/>
      <c r="I2006" s="52">
        <f>J2018</f>
        <v>210</v>
      </c>
      <c r="J2006" s="53" t="s">
        <v>392</v>
      </c>
      <c r="K2006" s="54"/>
      <c r="L2006" s="55" t="s">
        <v>1056</v>
      </c>
      <c r="M2006" s="56"/>
      <c r="N2006" s="57"/>
      <c r="O2006" s="57">
        <v>5.805</v>
      </c>
      <c r="P2006" s="57">
        <v>2.52</v>
      </c>
      <c r="Q2006" s="57">
        <v>1</v>
      </c>
      <c r="R2006" s="58">
        <f>+Q2006*P2006*O2006</f>
        <v>14.6286</v>
      </c>
      <c r="S2006" s="47"/>
      <c r="T2006" s="47"/>
    </row>
    <row r="2007" s="27" customFormat="1" ht="18" customHeight="1" spans="1:20">
      <c r="A2007" s="34"/>
      <c r="B2007" s="48">
        <v>2</v>
      </c>
      <c r="C2007" s="59"/>
      <c r="D2007" s="48" t="s">
        <v>394</v>
      </c>
      <c r="E2007" s="48"/>
      <c r="F2007" s="50"/>
      <c r="G2007" s="48"/>
      <c r="H2007" s="51"/>
      <c r="I2007" s="52">
        <f>J2042</f>
        <v>1479.37713387002</v>
      </c>
      <c r="J2007" s="53" t="s">
        <v>392</v>
      </c>
      <c r="K2007" s="60"/>
      <c r="L2007" s="61" t="s">
        <v>99</v>
      </c>
      <c r="M2007" s="44"/>
      <c r="N2007" s="44"/>
      <c r="O2007" s="44"/>
      <c r="P2007" s="44"/>
      <c r="Q2007" s="44"/>
      <c r="R2007" s="62"/>
      <c r="S2007" s="47"/>
      <c r="T2007" s="47"/>
    </row>
    <row r="2008" s="27" customFormat="1" ht="18" customHeight="1" spans="1:20">
      <c r="A2008" s="34"/>
      <c r="B2008" s="48">
        <v>3</v>
      </c>
      <c r="C2008" s="63"/>
      <c r="D2008" s="48" t="s">
        <v>395</v>
      </c>
      <c r="E2008" s="48"/>
      <c r="F2008" s="50"/>
      <c r="G2008" s="48"/>
      <c r="H2008" s="51"/>
      <c r="I2008" s="52">
        <f>J2043</f>
        <v>5</v>
      </c>
      <c r="J2008" s="53" t="s">
        <v>392</v>
      </c>
      <c r="K2008" s="60"/>
      <c r="L2008" s="60"/>
      <c r="M2008" s="64" t="s">
        <v>396</v>
      </c>
      <c r="N2008" s="65" t="s">
        <v>397</v>
      </c>
      <c r="O2008" s="65" t="s">
        <v>398</v>
      </c>
      <c r="P2008" s="65" t="s">
        <v>399</v>
      </c>
      <c r="Q2008" s="65" t="s">
        <v>400</v>
      </c>
      <c r="R2008" s="66" t="s">
        <v>401</v>
      </c>
      <c r="S2008" s="47"/>
      <c r="T2008" s="47"/>
    </row>
    <row r="2009" s="27" customFormat="1" ht="18" customHeight="1" spans="1:20">
      <c r="A2009" s="34"/>
      <c r="B2009" s="48">
        <v>4</v>
      </c>
      <c r="C2009" s="48" t="s">
        <v>402</v>
      </c>
      <c r="D2009" s="67" t="s">
        <v>403</v>
      </c>
      <c r="E2009" s="67"/>
      <c r="F2009" s="50"/>
      <c r="G2009" s="67"/>
      <c r="H2009" s="68"/>
      <c r="I2009" s="52">
        <f>SUM(I2006:I2008)</f>
        <v>1694.37713387002</v>
      </c>
      <c r="J2009" s="53" t="s">
        <v>392</v>
      </c>
      <c r="K2009" s="60"/>
      <c r="L2009" s="69" t="s">
        <v>431</v>
      </c>
      <c r="M2009" s="34" t="s">
        <v>460</v>
      </c>
      <c r="N2009" s="102">
        <v>10.21</v>
      </c>
      <c r="O2009" s="34">
        <f>+P2006</f>
        <v>2.52</v>
      </c>
      <c r="P2009" s="34">
        <v>6</v>
      </c>
      <c r="Q2009" s="44">
        <f t="shared" ref="Q2009:Q2013" si="321">+P2009*O2009*N2009</f>
        <v>154.3752</v>
      </c>
      <c r="R2009" s="71">
        <f>+Q2009/R2006</f>
        <v>10.5529715762274</v>
      </c>
      <c r="S2009" s="47"/>
      <c r="T2009" s="47"/>
    </row>
    <row r="2010" s="27" customFormat="1" ht="28" customHeight="1" spans="1:20">
      <c r="A2010" s="34"/>
      <c r="B2010" s="48">
        <v>5</v>
      </c>
      <c r="C2010" s="72" t="s">
        <v>406</v>
      </c>
      <c r="D2010" s="48" t="s">
        <v>407</v>
      </c>
      <c r="E2010" s="48"/>
      <c r="F2010" s="50"/>
      <c r="G2010" s="48"/>
      <c r="H2010" s="73">
        <f>+'材料表 '!$E$178</f>
        <v>0</v>
      </c>
      <c r="I2010" s="52">
        <f>H2010*I2009</f>
        <v>0</v>
      </c>
      <c r="J2010" s="53" t="s">
        <v>392</v>
      </c>
      <c r="K2010" s="60"/>
      <c r="L2010" s="69" t="s">
        <v>461</v>
      </c>
      <c r="M2010" s="34" t="s">
        <v>462</v>
      </c>
      <c r="N2010" s="34">
        <v>3.77</v>
      </c>
      <c r="O2010" s="34">
        <f>+O2006</f>
        <v>5.805</v>
      </c>
      <c r="P2010" s="34">
        <v>6</v>
      </c>
      <c r="Q2010" s="44">
        <f t="shared" si="321"/>
        <v>131.3091</v>
      </c>
      <c r="R2010" s="71">
        <f>+Q2010/R2006</f>
        <v>8.97619047619048</v>
      </c>
      <c r="S2010" s="47"/>
      <c r="T2010" s="47"/>
    </row>
    <row r="2011" s="27" customFormat="1" ht="18" customHeight="1" spans="1:20">
      <c r="A2011" s="34"/>
      <c r="B2011" s="48">
        <v>6</v>
      </c>
      <c r="C2011" s="48" t="s">
        <v>409</v>
      </c>
      <c r="D2011" s="48" t="s">
        <v>410</v>
      </c>
      <c r="E2011" s="48"/>
      <c r="F2011" s="50"/>
      <c r="G2011" s="48"/>
      <c r="H2011" s="73">
        <f>+'材料表 '!$E$179</f>
        <v>0</v>
      </c>
      <c r="I2011" s="52">
        <f>H2011*I2009</f>
        <v>0</v>
      </c>
      <c r="J2011" s="53" t="s">
        <v>392</v>
      </c>
      <c r="K2011" s="60"/>
      <c r="L2011" s="69" t="s">
        <v>463</v>
      </c>
      <c r="M2011" s="34" t="s">
        <v>490</v>
      </c>
      <c r="N2011" s="34">
        <f>0.3*0.2*7.85*10</f>
        <v>4.71</v>
      </c>
      <c r="O2011" s="34">
        <v>2</v>
      </c>
      <c r="P2011" s="34">
        <f>+P2009</f>
        <v>6</v>
      </c>
      <c r="Q2011" s="44">
        <f t="shared" si="321"/>
        <v>56.52</v>
      </c>
      <c r="R2011" s="71">
        <f>+Q2011/R2006</f>
        <v>3.86366432878061</v>
      </c>
      <c r="S2011" s="47"/>
      <c r="T2011" s="47"/>
    </row>
    <row r="2012" s="27" customFormat="1" ht="18" customHeight="1" spans="1:20">
      <c r="A2012" s="34"/>
      <c r="B2012" s="48">
        <v>7</v>
      </c>
      <c r="C2012" s="48" t="s">
        <v>412</v>
      </c>
      <c r="D2012" s="72" t="s">
        <v>413</v>
      </c>
      <c r="E2012" s="72"/>
      <c r="F2012" s="77"/>
      <c r="G2012" s="72"/>
      <c r="H2012" s="73">
        <f>+'材料表 '!$E$180</f>
        <v>0.09</v>
      </c>
      <c r="I2012" s="52">
        <f>(I2009+I2010+I2011)*H2012</f>
        <v>152.493942048301</v>
      </c>
      <c r="J2012" s="53" t="s">
        <v>392</v>
      </c>
      <c r="K2012" s="60"/>
      <c r="L2012" s="69" t="s">
        <v>465</v>
      </c>
      <c r="M2012" s="34" t="s">
        <v>466</v>
      </c>
      <c r="N2012" s="100">
        <f>3.77</f>
        <v>3.77</v>
      </c>
      <c r="O2012" s="34">
        <v>0.155</v>
      </c>
      <c r="P2012" s="34">
        <v>0</v>
      </c>
      <c r="Q2012" s="44">
        <f t="shared" si="321"/>
        <v>0</v>
      </c>
      <c r="R2012" s="71">
        <f>+Q2012/R2006</f>
        <v>0</v>
      </c>
      <c r="S2012" s="47"/>
      <c r="T2012" s="47"/>
    </row>
    <row r="2013" s="27" customFormat="1" ht="18" customHeight="1" spans="1:20">
      <c r="A2013" s="105" t="s">
        <v>297</v>
      </c>
      <c r="B2013" s="48">
        <v>8</v>
      </c>
      <c r="C2013" s="48" t="s">
        <v>363</v>
      </c>
      <c r="D2013" s="106" t="s">
        <v>415</v>
      </c>
      <c r="E2013" s="107"/>
      <c r="F2013" s="108"/>
      <c r="G2013" s="107"/>
      <c r="H2013" s="51"/>
      <c r="I2013" s="74">
        <f>SUM(I2009:I2012)</f>
        <v>1846.87107591832</v>
      </c>
      <c r="J2013" s="53" t="s">
        <v>416</v>
      </c>
      <c r="K2013" s="60"/>
      <c r="L2013" s="69" t="s">
        <v>465</v>
      </c>
      <c r="M2013" s="44" t="s">
        <v>468</v>
      </c>
      <c r="N2013" s="82">
        <v>5.778</v>
      </c>
      <c r="O2013" s="44">
        <v>0.125</v>
      </c>
      <c r="P2013" s="44">
        <f>+P2009*2</f>
        <v>12</v>
      </c>
      <c r="Q2013" s="44">
        <f t="shared" si="321"/>
        <v>8.667</v>
      </c>
      <c r="R2013" s="84">
        <f>+Q2013/R2006</f>
        <v>0.592469545957918</v>
      </c>
      <c r="S2013" s="79"/>
      <c r="T2013" s="47"/>
    </row>
    <row r="2014" s="27" customFormat="1" ht="18" customHeight="1" spans="1:20">
      <c r="A2014" s="34"/>
      <c r="B2014" s="109" t="s">
        <v>418</v>
      </c>
      <c r="C2014" s="110"/>
      <c r="D2014" s="110"/>
      <c r="E2014" s="110"/>
      <c r="F2014" s="110"/>
      <c r="G2014" s="110"/>
      <c r="H2014" s="110"/>
      <c r="I2014" s="110"/>
      <c r="J2014" s="110"/>
      <c r="K2014" s="80"/>
      <c r="L2014" s="90" t="s">
        <v>469</v>
      </c>
      <c r="M2014" s="44"/>
      <c r="N2014" s="82"/>
      <c r="O2014" s="44">
        <f>12*4</f>
        <v>48</v>
      </c>
      <c r="P2014" s="44">
        <v>1</v>
      </c>
      <c r="Q2014" s="44">
        <f>+P2014*O2014</f>
        <v>48</v>
      </c>
      <c r="R2014" s="84">
        <f>+Q2014/R2006</f>
        <v>3.28124359132111</v>
      </c>
      <c r="S2014" s="47"/>
      <c r="T2014" s="47"/>
    </row>
    <row r="2015" s="27" customFormat="1" ht="18" customHeight="1" spans="1:20">
      <c r="A2015" s="34"/>
      <c r="B2015" s="48">
        <v>1</v>
      </c>
      <c r="C2015" s="48" t="s">
        <v>391</v>
      </c>
      <c r="D2015" s="48" t="s">
        <v>396</v>
      </c>
      <c r="E2015" s="48" t="s">
        <v>37</v>
      </c>
      <c r="F2015" s="50"/>
      <c r="G2015" s="48"/>
      <c r="H2015" s="51" t="s">
        <v>399</v>
      </c>
      <c r="I2015" s="51" t="s">
        <v>420</v>
      </c>
      <c r="J2015" s="95" t="s">
        <v>421</v>
      </c>
      <c r="K2015" s="92"/>
      <c r="L2015" s="90"/>
      <c r="M2015" s="44"/>
      <c r="N2015" s="82"/>
      <c r="O2015" s="44"/>
      <c r="P2015" s="44"/>
      <c r="Q2015" s="44"/>
      <c r="R2015" s="84"/>
      <c r="S2015" s="47"/>
      <c r="T2015" s="47"/>
    </row>
    <row r="2016" s="27" customFormat="1" ht="18" customHeight="1" spans="1:20">
      <c r="A2016" s="34"/>
      <c r="B2016" s="48">
        <v>2</v>
      </c>
      <c r="C2016" s="48"/>
      <c r="D2016" s="111" t="s">
        <v>470</v>
      </c>
      <c r="E2016" s="49" t="s">
        <v>423</v>
      </c>
      <c r="F2016" s="112"/>
      <c r="G2016" s="111"/>
      <c r="H2016" s="113">
        <v>1</v>
      </c>
      <c r="I2016" s="113">
        <f>+辅材及安装费!$G$8</f>
        <v>210</v>
      </c>
      <c r="J2016" s="114">
        <f t="shared" ref="J2016:J2031" si="322">H2016*I2016</f>
        <v>210</v>
      </c>
      <c r="K2016" s="92"/>
      <c r="L2016" s="90" t="s">
        <v>471</v>
      </c>
      <c r="M2016" s="44"/>
      <c r="N2016" s="82"/>
      <c r="O2016" s="44"/>
      <c r="P2016" s="44"/>
      <c r="Q2016" s="44">
        <f>+Q2014</f>
        <v>48</v>
      </c>
      <c r="R2016" s="84">
        <f>+Q2016/R2006</f>
        <v>3.28124359132111</v>
      </c>
      <c r="S2016" s="47"/>
      <c r="T2016" s="47"/>
    </row>
    <row r="2017" s="27" customFormat="1" ht="18" customHeight="1" spans="1:20">
      <c r="A2017" s="34"/>
      <c r="B2017" s="48">
        <v>3</v>
      </c>
      <c r="C2017" s="48"/>
      <c r="D2017" s="115"/>
      <c r="E2017" s="63"/>
      <c r="F2017" s="116"/>
      <c r="G2017" s="115"/>
      <c r="H2017" s="117"/>
      <c r="I2017" s="117"/>
      <c r="J2017" s="118"/>
      <c r="K2017" s="92"/>
      <c r="L2017" s="90" t="s">
        <v>472</v>
      </c>
      <c r="M2017" s="44"/>
      <c r="N2017" s="82"/>
      <c r="O2017" s="44"/>
      <c r="P2017" s="44">
        <f>+P2012</f>
        <v>0</v>
      </c>
      <c r="Q2017" s="44">
        <f>+P2017</f>
        <v>0</v>
      </c>
      <c r="R2017" s="84">
        <f>+Q2017/R2006</f>
        <v>0</v>
      </c>
      <c r="S2017" s="47"/>
      <c r="T2017" s="47"/>
    </row>
    <row r="2018" s="27" customFormat="1" ht="18" customHeight="1" spans="1:20">
      <c r="A2018" s="34"/>
      <c r="B2018" s="48">
        <v>4</v>
      </c>
      <c r="C2018" s="48"/>
      <c r="D2018" s="85" t="s">
        <v>426</v>
      </c>
      <c r="E2018" s="48" t="s">
        <v>392</v>
      </c>
      <c r="F2018" s="50"/>
      <c r="G2018" s="48"/>
      <c r="H2018" s="86"/>
      <c r="I2018" s="86"/>
      <c r="J2018" s="95">
        <f>SUM(J2016:J2016)</f>
        <v>210</v>
      </c>
      <c r="K2018" s="92"/>
      <c r="L2018" s="90" t="s">
        <v>473</v>
      </c>
      <c r="M2018" s="44"/>
      <c r="N2018" s="82"/>
      <c r="O2018" s="44"/>
      <c r="P2018" s="44"/>
      <c r="Q2018" s="44">
        <f>+(Q2014)*3</f>
        <v>144</v>
      </c>
      <c r="R2018" s="84">
        <f>+Q2018/R2006</f>
        <v>9.84373077396333</v>
      </c>
      <c r="S2018" s="47"/>
      <c r="T2018" s="47"/>
    </row>
    <row r="2019" s="27" customFormat="1" ht="23" customHeight="1" spans="1:20">
      <c r="A2019" s="34"/>
      <c r="B2019" s="48">
        <v>1</v>
      </c>
      <c r="C2019" s="48" t="s">
        <v>394</v>
      </c>
      <c r="D2019" s="88" t="s">
        <v>431</v>
      </c>
      <c r="E2019" s="72" t="str">
        <f>+VLOOKUP(D2019,'材料表 '!C:F,2,0)</f>
        <v>kg</v>
      </c>
      <c r="F2019" s="77">
        <f>+SUMIF($L$2006:$L$2043,D2019,$R$2006:$R$2043)</f>
        <v>10.5529715762274</v>
      </c>
      <c r="G2019" s="89">
        <f>+VLOOKUP(D2019,'材料表 '!C:F,4,0)</f>
        <v>0.03</v>
      </c>
      <c r="H2019" s="74">
        <f t="shared" ref="H2019:H2031" si="323">F2019*(G2019+1)</f>
        <v>10.8695607235142</v>
      </c>
      <c r="I2019" s="74">
        <f>+VLOOKUP(D2019,'材料表 '!C:F,3,0)</f>
        <v>3.80530973451327</v>
      </c>
      <c r="J2019" s="95">
        <f t="shared" si="322"/>
        <v>41.3620452310718</v>
      </c>
      <c r="K2019" s="60">
        <f ca="1">H2019*K2005</f>
        <v>1913.42529587597</v>
      </c>
      <c r="L2019" s="90"/>
      <c r="M2019" s="44"/>
      <c r="N2019" s="82"/>
      <c r="O2019" s="44"/>
      <c r="P2019" s="44"/>
      <c r="Q2019" s="44"/>
      <c r="R2019" s="84"/>
      <c r="S2019" s="47"/>
      <c r="T2019" s="47"/>
    </row>
    <row r="2020" s="27" customFormat="1" ht="18" customHeight="1" spans="1:20">
      <c r="A2020" s="34"/>
      <c r="B2020" s="48">
        <v>2</v>
      </c>
      <c r="C2020" s="48"/>
      <c r="D2020" s="88" t="s">
        <v>461</v>
      </c>
      <c r="E2020" s="72" t="str">
        <f>+VLOOKUP(D2020,'材料表 '!C:F,2,0)</f>
        <v>kg</v>
      </c>
      <c r="F2020" s="77">
        <f t="shared" ref="F2020:F2028" si="324">+SUMIF($L$2006:$L$2043,D2020,$R$2006:$R$2043)</f>
        <v>8.97619047619048</v>
      </c>
      <c r="G2020" s="89">
        <f>+VLOOKUP(D2020,'材料表 '!C:F,4,0)</f>
        <v>0.03</v>
      </c>
      <c r="H2020" s="74">
        <f t="shared" si="323"/>
        <v>9.24547619047619</v>
      </c>
      <c r="I2020" s="74">
        <f>+VLOOKUP(D2020,'材料表 '!C:F,3,0)</f>
        <v>3.53982300884956</v>
      </c>
      <c r="J2020" s="95">
        <f t="shared" si="322"/>
        <v>32.7273493468184</v>
      </c>
      <c r="K2020" s="60">
        <f ca="1">H2020*K2005</f>
        <v>1627.52925028571</v>
      </c>
      <c r="L2020" s="90"/>
      <c r="M2020" s="44"/>
      <c r="N2020" s="82"/>
      <c r="O2020" s="44"/>
      <c r="P2020" s="44"/>
      <c r="Q2020" s="44"/>
      <c r="R2020" s="84"/>
      <c r="S2020" s="47"/>
      <c r="T2020" s="47"/>
    </row>
    <row r="2021" s="27" customFormat="1" ht="18" customHeight="1" spans="1:20">
      <c r="A2021" s="34"/>
      <c r="B2021" s="48">
        <v>3</v>
      </c>
      <c r="C2021" s="48"/>
      <c r="D2021" s="88" t="s">
        <v>465</v>
      </c>
      <c r="E2021" s="72" t="str">
        <f>+VLOOKUP(D2021,'材料表 '!C:F,2,0)</f>
        <v>kg</v>
      </c>
      <c r="F2021" s="77">
        <f t="shared" si="324"/>
        <v>0.592469545957918</v>
      </c>
      <c r="G2021" s="89">
        <f>+VLOOKUP(D2021,'材料表 '!C:F,4,0)</f>
        <v>0.03</v>
      </c>
      <c r="H2021" s="74">
        <f t="shared" si="323"/>
        <v>0.610243632336656</v>
      </c>
      <c r="I2021" s="74">
        <f>+VLOOKUP(D2021,'材料表 '!C:F,3,0)</f>
        <v>6.01769911504425</v>
      </c>
      <c r="J2021" s="95">
        <f t="shared" si="322"/>
        <v>3.67226256627368</v>
      </c>
      <c r="K2021" s="60">
        <f ca="1">H2021*K2005</f>
        <v>107.42435986711</v>
      </c>
      <c r="L2021" s="90" t="s">
        <v>474</v>
      </c>
      <c r="M2021" s="44"/>
      <c r="N2021" s="82"/>
      <c r="O2021" s="44"/>
      <c r="P2021" s="44"/>
      <c r="Q2021" s="44">
        <f>+O2011*P2011*4</f>
        <v>48</v>
      </c>
      <c r="R2021" s="84">
        <f>+Q2021/R2006</f>
        <v>3.28124359132111</v>
      </c>
      <c r="S2021" s="47"/>
      <c r="T2021" s="47"/>
    </row>
    <row r="2022" s="27" customFormat="1" ht="18" customHeight="1" spans="1:20">
      <c r="A2022" s="34"/>
      <c r="B2022" s="48">
        <v>4</v>
      </c>
      <c r="C2022" s="48"/>
      <c r="D2022" s="88" t="s">
        <v>463</v>
      </c>
      <c r="E2022" s="72" t="str">
        <f>+VLOOKUP(D2022,'材料表 '!C:F,2,0)</f>
        <v>kg</v>
      </c>
      <c r="F2022" s="77">
        <f t="shared" si="324"/>
        <v>3.86366432878061</v>
      </c>
      <c r="G2022" s="89">
        <f>+VLOOKUP(D2022,'材料表 '!C:F,4,0)</f>
        <v>0.03</v>
      </c>
      <c r="H2022" s="74">
        <f t="shared" si="323"/>
        <v>3.97957425864403</v>
      </c>
      <c r="I2022" s="74">
        <f>+VLOOKUP(D2022,'材料表 '!C:F,3,0)</f>
        <v>6.01769911504425</v>
      </c>
      <c r="J2022" s="95">
        <f t="shared" si="322"/>
        <v>23.947880494495</v>
      </c>
      <c r="K2022" s="60">
        <f ca="1">H2022*K2005</f>
        <v>700.545150535254</v>
      </c>
      <c r="L2022" s="90"/>
      <c r="M2022" s="44"/>
      <c r="N2022" s="83"/>
      <c r="O2022" s="82"/>
      <c r="P2022" s="44"/>
      <c r="Q2022" s="44"/>
      <c r="R2022" s="84"/>
      <c r="S2022" s="47"/>
      <c r="T2022" s="47"/>
    </row>
    <row r="2023" s="27" customFormat="1" ht="18" customHeight="1" spans="1:20">
      <c r="A2023" s="34"/>
      <c r="B2023" s="48">
        <v>5</v>
      </c>
      <c r="C2023" s="48"/>
      <c r="D2023" s="88" t="s">
        <v>469</v>
      </c>
      <c r="E2023" s="72" t="str">
        <f>+VLOOKUP(D2023,'材料表 '!C:F,2,0)</f>
        <v>套</v>
      </c>
      <c r="F2023" s="77">
        <f t="shared" si="324"/>
        <v>3.28124359132111</v>
      </c>
      <c r="G2023" s="89">
        <f>+VLOOKUP(D2023,'材料表 '!C:F,4,0)</f>
        <v>0</v>
      </c>
      <c r="H2023" s="74">
        <f t="shared" si="323"/>
        <v>3.28124359132111</v>
      </c>
      <c r="I2023" s="74">
        <f>+VLOOKUP(D2023,'材料表 '!C:F,3,0)</f>
        <v>5.30973451327434</v>
      </c>
      <c r="J2023" s="95">
        <f t="shared" si="322"/>
        <v>17.4225323432979</v>
      </c>
      <c r="K2023" s="60">
        <f ca="1">H2023*K2005</f>
        <v>577.61437184693</v>
      </c>
      <c r="L2023" s="92" t="s">
        <v>476</v>
      </c>
      <c r="M2023" s="44"/>
      <c r="N2023" s="82"/>
      <c r="O2023" s="44"/>
      <c r="P2023" s="44"/>
      <c r="Q2023" s="44">
        <f>6*6*(O2006*4+P2006*5)/500</f>
        <v>2.57904</v>
      </c>
      <c r="R2023" s="84">
        <f>+Q2023/R2006</f>
        <v>0.176301218161683</v>
      </c>
      <c r="S2023" s="47"/>
      <c r="T2023" s="47"/>
    </row>
    <row r="2024" s="27" customFormat="1" ht="18" customHeight="1" spans="1:20">
      <c r="A2024" s="34"/>
      <c r="B2024" s="48">
        <v>7</v>
      </c>
      <c r="C2024" s="48"/>
      <c r="D2024" s="88" t="s">
        <v>471</v>
      </c>
      <c r="E2024" s="72" t="str">
        <f>+VLOOKUP(D2024,'材料表 '!C:F,2,0)</f>
        <v>套</v>
      </c>
      <c r="F2024" s="77">
        <f t="shared" si="324"/>
        <v>3.28124359132111</v>
      </c>
      <c r="G2024" s="89">
        <f>+VLOOKUP(D2024,'材料表 '!C:F,4,0)</f>
        <v>0</v>
      </c>
      <c r="H2024" s="74">
        <f t="shared" si="323"/>
        <v>3.28124359132111</v>
      </c>
      <c r="I2024" s="74">
        <f>+VLOOKUP(D2024,'材料表 '!C:F,3,0)</f>
        <v>1.32743362831858</v>
      </c>
      <c r="J2024" s="95">
        <f t="shared" si="322"/>
        <v>4.35563308582447</v>
      </c>
      <c r="K2024" s="60">
        <f ca="1">H2024*K2005</f>
        <v>577.61437184693</v>
      </c>
      <c r="L2024" s="92"/>
      <c r="M2024" s="44"/>
      <c r="N2024" s="82"/>
      <c r="O2024" s="44"/>
      <c r="P2024" s="44"/>
      <c r="Q2024" s="44"/>
      <c r="R2024" s="84">
        <f>+Q2024/R2006</f>
        <v>0</v>
      </c>
      <c r="S2024" s="47"/>
      <c r="T2024" s="47"/>
    </row>
    <row r="2025" s="27" customFormat="1" ht="18" customHeight="1" spans="1:20">
      <c r="A2025" s="34"/>
      <c r="B2025" s="48">
        <v>8</v>
      </c>
      <c r="C2025" s="48"/>
      <c r="D2025" s="88" t="s">
        <v>472</v>
      </c>
      <c r="E2025" s="72" t="str">
        <f>+VLOOKUP(D2025,'材料表 '!C:F,2,0)</f>
        <v>套</v>
      </c>
      <c r="F2025" s="77">
        <f t="shared" si="324"/>
        <v>0</v>
      </c>
      <c r="G2025" s="89">
        <f>+VLOOKUP(D2025,'材料表 '!C:F,4,0)</f>
        <v>0</v>
      </c>
      <c r="H2025" s="74">
        <f t="shared" si="323"/>
        <v>0</v>
      </c>
      <c r="I2025" s="74">
        <f>+VLOOKUP(D2025,'材料表 '!C:F,3,0)</f>
        <v>2.47787610619469</v>
      </c>
      <c r="J2025" s="95">
        <f t="shared" si="322"/>
        <v>0</v>
      </c>
      <c r="K2025" s="60">
        <f ca="1">H2025*K2005</f>
        <v>0</v>
      </c>
      <c r="L2025" s="92"/>
      <c r="M2025" s="44"/>
      <c r="N2025" s="82"/>
      <c r="O2025" s="44"/>
      <c r="P2025" s="44"/>
      <c r="Q2025" s="44"/>
      <c r="R2025" s="84"/>
      <c r="S2025" s="47"/>
      <c r="T2025" s="47"/>
    </row>
    <row r="2026" s="27" customFormat="1" ht="18" customHeight="1" spans="1:20">
      <c r="A2026" s="34"/>
      <c r="B2026" s="48">
        <v>9</v>
      </c>
      <c r="C2026" s="48"/>
      <c r="D2026" s="88" t="s">
        <v>473</v>
      </c>
      <c r="E2026" s="72" t="str">
        <f>+VLOOKUP(D2026,'材料表 '!C:F,2,0)</f>
        <v>套</v>
      </c>
      <c r="F2026" s="77">
        <f t="shared" si="324"/>
        <v>9.84373077396333</v>
      </c>
      <c r="G2026" s="89">
        <f>+VLOOKUP(D2026,'材料表 '!C:F,4,0)</f>
        <v>0</v>
      </c>
      <c r="H2026" s="74">
        <f t="shared" si="323"/>
        <v>9.84373077396333</v>
      </c>
      <c r="I2026" s="74">
        <f>+VLOOKUP(D2026,'材料表 '!C:F,3,0)</f>
        <v>0.247787610619469</v>
      </c>
      <c r="J2026" s="95">
        <f t="shared" si="322"/>
        <v>2.43915452806171</v>
      </c>
      <c r="K2026" s="60">
        <f ca="1">H2026*K2005</f>
        <v>1732.84311554079</v>
      </c>
      <c r="L2026" s="90"/>
      <c r="M2026" s="44"/>
      <c r="N2026" s="82"/>
      <c r="O2026" s="34"/>
      <c r="P2026" s="44"/>
      <c r="Q2026" s="44"/>
      <c r="R2026" s="119"/>
      <c r="S2026" s="47"/>
      <c r="T2026" s="47"/>
    </row>
    <row r="2027" s="27" customFormat="1" ht="18" customHeight="1" spans="1:20">
      <c r="A2027" s="34"/>
      <c r="B2027" s="48">
        <v>10</v>
      </c>
      <c r="C2027" s="48"/>
      <c r="D2027" s="88" t="s">
        <v>474</v>
      </c>
      <c r="E2027" s="72" t="str">
        <f>+VLOOKUP(D2027,'材料表 '!C:F,2,0)</f>
        <v>套</v>
      </c>
      <c r="F2027" s="77">
        <f t="shared" si="324"/>
        <v>3.28124359132111</v>
      </c>
      <c r="G2027" s="89">
        <f>+VLOOKUP(D2027,'材料表 '!C:F,4,0)</f>
        <v>0</v>
      </c>
      <c r="H2027" s="74">
        <f t="shared" si="323"/>
        <v>3.28124359132111</v>
      </c>
      <c r="I2027" s="74">
        <f>+VLOOKUP(D2027,'材料表 '!C:F,3,0)</f>
        <v>2.21238938053097</v>
      </c>
      <c r="J2027" s="95">
        <f t="shared" si="322"/>
        <v>7.25938847637413</v>
      </c>
      <c r="K2027" s="60">
        <f ca="1">H2027*K2005</f>
        <v>577.61437184693</v>
      </c>
      <c r="L2027" s="92"/>
      <c r="M2027" s="120"/>
      <c r="N2027" s="82"/>
      <c r="O2027" s="44"/>
      <c r="P2027" s="44"/>
      <c r="Q2027" s="44"/>
      <c r="R2027" s="84"/>
      <c r="S2027" s="47"/>
      <c r="T2027" s="47"/>
    </row>
    <row r="2028" s="27" customFormat="1" ht="18" customHeight="1" spans="1:20">
      <c r="A2028" s="34"/>
      <c r="B2028" s="48">
        <v>11</v>
      </c>
      <c r="C2028" s="48"/>
      <c r="D2028" s="88" t="s">
        <v>476</v>
      </c>
      <c r="E2028" s="72" t="str">
        <f>+VLOOKUP(D2028,'材料表 '!C:F,2,0)</f>
        <v>支</v>
      </c>
      <c r="F2028" s="77">
        <f t="shared" si="324"/>
        <v>0.176301218161683</v>
      </c>
      <c r="G2028" s="89">
        <f>+VLOOKUP(D2028,'材料表 '!C:F,4,0)</f>
        <v>0.15</v>
      </c>
      <c r="H2028" s="74">
        <f t="shared" si="323"/>
        <v>0.202746400885935</v>
      </c>
      <c r="I2028" s="74">
        <f>+VLOOKUP(D2028,'材料表 '!C:F,3,0)</f>
        <v>11.5044247787611</v>
      </c>
      <c r="J2028" s="95">
        <f t="shared" si="322"/>
        <v>2.33248071815679</v>
      </c>
      <c r="K2028" s="60">
        <f ca="1">H2028*K2005</f>
        <v>35.6905032292357</v>
      </c>
      <c r="L2028" s="92"/>
      <c r="M2028" s="44"/>
      <c r="N2028" s="44"/>
      <c r="O2028" s="44"/>
      <c r="P2028" s="44"/>
      <c r="Q2028" s="44"/>
      <c r="R2028" s="84"/>
      <c r="S2028" s="47"/>
      <c r="T2028" s="47"/>
    </row>
    <row r="2029" s="27" customFormat="1" ht="18" customHeight="1" spans="1:20">
      <c r="A2029" s="34"/>
      <c r="B2029" s="48">
        <v>12</v>
      </c>
      <c r="C2029" s="48"/>
      <c r="D2029" s="88" t="s">
        <v>477</v>
      </c>
      <c r="E2029" s="72" t="str">
        <f>+VLOOKUP(D2029,'材料表 '!C:F,2,0)</f>
        <v>kg</v>
      </c>
      <c r="F2029" s="77">
        <v>0.2</v>
      </c>
      <c r="G2029" s="89">
        <f>+VLOOKUP(D2029,'材料表 '!C:F,4,0)</f>
        <v>0.15</v>
      </c>
      <c r="H2029" s="74">
        <f t="shared" si="323"/>
        <v>0.23</v>
      </c>
      <c r="I2029" s="74">
        <f>+VLOOKUP(D2029,'材料表 '!C:F,3,0)</f>
        <v>10.6194690265487</v>
      </c>
      <c r="J2029" s="95">
        <f t="shared" si="322"/>
        <v>2.4424778761062</v>
      </c>
      <c r="K2029" s="60">
        <f ca="1">H2029*K2005</f>
        <v>40.488096</v>
      </c>
      <c r="L2029" s="92"/>
      <c r="M2029" s="44"/>
      <c r="N2029" s="44"/>
      <c r="O2029" s="44"/>
      <c r="P2029" s="44"/>
      <c r="Q2029" s="44"/>
      <c r="R2029" s="84"/>
      <c r="S2029" s="47"/>
      <c r="T2029" s="47"/>
    </row>
    <row r="2030" s="27" customFormat="1" ht="18" customHeight="1" spans="1:20">
      <c r="A2030" s="34"/>
      <c r="B2030" s="48">
        <v>13</v>
      </c>
      <c r="C2030" s="48"/>
      <c r="D2030" s="88" t="s">
        <v>479</v>
      </c>
      <c r="E2030" s="72" t="str">
        <f>+VLOOKUP(D2030,'材料表 '!C:F,2,0)</f>
        <v>kg</v>
      </c>
      <c r="F2030" s="77">
        <v>0</v>
      </c>
      <c r="G2030" s="89">
        <f>+VLOOKUP(D2030,'材料表 '!C:F,4,0)</f>
        <v>0.03</v>
      </c>
      <c r="H2030" s="74">
        <f t="shared" si="323"/>
        <v>0</v>
      </c>
      <c r="I2030" s="74">
        <f>+VLOOKUP(D2030,'材料表 '!C:F,3,0)</f>
        <v>14.1592920353982</v>
      </c>
      <c r="J2030" s="95">
        <f t="shared" si="322"/>
        <v>0</v>
      </c>
      <c r="K2030" s="60">
        <f ca="1">H2030*K2005</f>
        <v>0</v>
      </c>
      <c r="L2030" s="92"/>
      <c r="M2030" s="44"/>
      <c r="N2030" s="44"/>
      <c r="O2030" s="44"/>
      <c r="P2030" s="44"/>
      <c r="Q2030" s="44"/>
      <c r="R2030" s="84"/>
      <c r="S2030" s="47"/>
      <c r="T2030" s="47"/>
    </row>
    <row r="2031" s="27" customFormat="1" ht="25" customHeight="1" spans="1:20">
      <c r="A2031" s="34"/>
      <c r="B2031" s="48">
        <v>14</v>
      </c>
      <c r="C2031" s="48"/>
      <c r="D2031" s="88" t="s">
        <v>297</v>
      </c>
      <c r="E2031" s="72" t="str">
        <f>+VLOOKUP(D2031,'材料表 '!C:F,2,0)</f>
        <v>m2</v>
      </c>
      <c r="F2031" s="77">
        <v>1</v>
      </c>
      <c r="G2031" s="89">
        <f>+VLOOKUP(D2031,'材料表 '!C:F,4,0)</f>
        <v>0.02</v>
      </c>
      <c r="H2031" s="74">
        <f t="shared" si="323"/>
        <v>1.02</v>
      </c>
      <c r="I2031" s="74">
        <f>+VLOOKUP(D2031,'材料表 '!C:F,3,0)</f>
        <v>1305.30973451327</v>
      </c>
      <c r="J2031" s="95">
        <f t="shared" si="322"/>
        <v>1331.41592920354</v>
      </c>
      <c r="K2031" s="60">
        <f ca="1">H2031*K2005</f>
        <v>179.555904</v>
      </c>
      <c r="L2031" s="92"/>
      <c r="M2031" s="44"/>
      <c r="N2031" s="44"/>
      <c r="O2031" s="44"/>
      <c r="P2031" s="44"/>
      <c r="Q2031" s="44"/>
      <c r="R2031" s="84"/>
      <c r="S2031" s="47"/>
      <c r="T2031" s="47"/>
    </row>
    <row r="2032" s="27" customFormat="1" ht="18" customHeight="1" spans="1:20">
      <c r="A2032" s="34"/>
      <c r="B2032" s="48">
        <v>15</v>
      </c>
      <c r="C2032" s="48"/>
      <c r="D2032" s="88"/>
      <c r="E2032" s="72"/>
      <c r="F2032" s="77"/>
      <c r="G2032" s="89"/>
      <c r="H2032" s="74"/>
      <c r="I2032" s="74"/>
      <c r="J2032" s="95"/>
      <c r="K2032" s="92">
        <f ca="1">H2032*K2005</f>
        <v>0</v>
      </c>
      <c r="L2032" s="92"/>
      <c r="M2032" s="44"/>
      <c r="N2032" s="44"/>
      <c r="O2032" s="44"/>
      <c r="P2032" s="44"/>
      <c r="Q2032" s="44"/>
      <c r="R2032" s="84"/>
      <c r="S2032" s="47"/>
      <c r="T2032" s="47"/>
    </row>
    <row r="2033" s="27" customFormat="1" ht="18" customHeight="1" spans="1:20">
      <c r="A2033" s="34"/>
      <c r="B2033" s="48">
        <v>16</v>
      </c>
      <c r="C2033" s="48"/>
      <c r="D2033" s="88"/>
      <c r="E2033" s="72"/>
      <c r="F2033" s="77"/>
      <c r="G2033" s="89"/>
      <c r="H2033" s="74"/>
      <c r="I2033" s="74"/>
      <c r="J2033" s="95"/>
      <c r="K2033" s="92">
        <f ca="1">H2033*K2005</f>
        <v>0</v>
      </c>
      <c r="L2033" s="92"/>
      <c r="M2033" s="44"/>
      <c r="N2033" s="44"/>
      <c r="O2033" s="44"/>
      <c r="P2033" s="44"/>
      <c r="Q2033" s="44"/>
      <c r="R2033" s="84"/>
      <c r="S2033" s="47"/>
      <c r="T2033" s="47"/>
    </row>
    <row r="2034" s="27" customFormat="1" ht="18" customHeight="1" spans="1:20">
      <c r="A2034" s="34"/>
      <c r="B2034" s="48">
        <v>17</v>
      </c>
      <c r="C2034" s="48"/>
      <c r="D2034" s="121"/>
      <c r="E2034" s="72"/>
      <c r="F2034" s="77"/>
      <c r="G2034" s="89"/>
      <c r="H2034" s="74"/>
      <c r="I2034" s="74"/>
      <c r="J2034" s="95"/>
      <c r="K2034" s="92"/>
      <c r="L2034" s="92"/>
      <c r="M2034" s="44"/>
      <c r="N2034" s="44"/>
      <c r="O2034" s="44"/>
      <c r="P2034" s="44"/>
      <c r="Q2034" s="101"/>
      <c r="R2034" s="84"/>
      <c r="S2034" s="47"/>
      <c r="T2034" s="47"/>
    </row>
    <row r="2035" s="27" customFormat="1" ht="18" customHeight="1" spans="1:20">
      <c r="A2035" s="34"/>
      <c r="B2035" s="48">
        <v>18</v>
      </c>
      <c r="C2035" s="48"/>
      <c r="D2035" s="88"/>
      <c r="E2035" s="72"/>
      <c r="F2035" s="77"/>
      <c r="G2035" s="89"/>
      <c r="H2035" s="74"/>
      <c r="I2035" s="74"/>
      <c r="J2035" s="95"/>
      <c r="K2035" s="92"/>
      <c r="L2035" s="92"/>
      <c r="M2035" s="44"/>
      <c r="N2035" s="44"/>
      <c r="O2035" s="44"/>
      <c r="P2035" s="44"/>
      <c r="Q2035" s="44"/>
      <c r="R2035" s="84"/>
      <c r="S2035" s="47"/>
      <c r="T2035" s="47"/>
    </row>
    <row r="2036" s="27" customFormat="1" ht="18" customHeight="1" spans="1:20">
      <c r="A2036" s="34"/>
      <c r="B2036" s="48">
        <v>19</v>
      </c>
      <c r="C2036" s="48"/>
      <c r="D2036" s="27"/>
      <c r="E2036" s="72"/>
      <c r="F2036" s="77"/>
      <c r="G2036" s="89"/>
      <c r="H2036" s="74"/>
      <c r="I2036" s="74"/>
      <c r="J2036" s="95"/>
      <c r="K2036" s="92"/>
      <c r="L2036" s="92"/>
      <c r="M2036" s="44"/>
      <c r="N2036" s="44"/>
      <c r="O2036" s="44"/>
      <c r="P2036" s="44"/>
      <c r="Q2036" s="44"/>
      <c r="R2036" s="84"/>
      <c r="S2036" s="47"/>
      <c r="T2036" s="47"/>
    </row>
    <row r="2037" s="27" customFormat="1" ht="18" customHeight="1" spans="1:20">
      <c r="A2037" s="34"/>
      <c r="B2037" s="48">
        <v>20</v>
      </c>
      <c r="C2037" s="48"/>
      <c r="D2037" s="88"/>
      <c r="E2037" s="72"/>
      <c r="F2037" s="77"/>
      <c r="G2037" s="89"/>
      <c r="H2037" s="74"/>
      <c r="I2037" s="74"/>
      <c r="J2037" s="95"/>
      <c r="K2037" s="92"/>
      <c r="L2037" s="92"/>
      <c r="M2037" s="44"/>
      <c r="N2037" s="44"/>
      <c r="O2037" s="44"/>
      <c r="P2037" s="44"/>
      <c r="Q2037" s="44"/>
      <c r="R2037" s="84"/>
      <c r="S2037" s="47"/>
      <c r="T2037" s="47"/>
    </row>
    <row r="2038" s="27" customFormat="1" ht="18" customHeight="1" spans="1:20">
      <c r="A2038" s="34"/>
      <c r="B2038" s="48">
        <v>21</v>
      </c>
      <c r="C2038" s="48"/>
      <c r="D2038" s="88"/>
      <c r="E2038" s="72"/>
      <c r="F2038" s="77"/>
      <c r="G2038" s="89"/>
      <c r="H2038" s="74"/>
      <c r="I2038" s="74"/>
      <c r="J2038" s="95"/>
      <c r="K2038" s="92"/>
      <c r="L2038" s="92"/>
      <c r="M2038" s="44"/>
      <c r="N2038" s="44"/>
      <c r="O2038" s="44"/>
      <c r="P2038" s="44"/>
      <c r="Q2038" s="44"/>
      <c r="R2038" s="84"/>
      <c r="S2038" s="47"/>
      <c r="T2038" s="47"/>
    </row>
    <row r="2039" s="27" customFormat="1" ht="18" customHeight="1" spans="1:20">
      <c r="A2039" s="34"/>
      <c r="B2039" s="48">
        <v>22</v>
      </c>
      <c r="C2039" s="48"/>
      <c r="D2039" s="27"/>
      <c r="E2039" s="72"/>
      <c r="F2039" s="77"/>
      <c r="G2039" s="72"/>
      <c r="H2039" s="74"/>
      <c r="I2039" s="74"/>
      <c r="J2039" s="95"/>
      <c r="K2039" s="92"/>
      <c r="L2039" s="92"/>
      <c r="M2039" s="44"/>
      <c r="N2039" s="44"/>
      <c r="O2039" s="44"/>
      <c r="P2039" s="44"/>
      <c r="Q2039" s="44"/>
      <c r="R2039" s="62"/>
      <c r="S2039" s="47"/>
      <c r="T2039" s="47"/>
    </row>
    <row r="2040" s="27" customFormat="1" ht="18" customHeight="1" spans="1:20">
      <c r="A2040" s="34"/>
      <c r="B2040" s="48">
        <v>23</v>
      </c>
      <c r="C2040" s="48"/>
      <c r="D2040" s="88"/>
      <c r="E2040" s="72"/>
      <c r="F2040" s="77"/>
      <c r="G2040" s="89"/>
      <c r="H2040" s="74"/>
      <c r="I2040" s="74"/>
      <c r="J2040" s="95"/>
      <c r="K2040" s="92"/>
      <c r="L2040" s="92"/>
      <c r="M2040" s="44"/>
      <c r="N2040" s="44"/>
      <c r="O2040" s="44"/>
      <c r="P2040" s="44"/>
      <c r="Q2040" s="44"/>
      <c r="R2040" s="62"/>
      <c r="S2040" s="47"/>
      <c r="T2040" s="47"/>
    </row>
    <row r="2041" s="27" customFormat="1" ht="18" customHeight="1" spans="1:20">
      <c r="A2041" s="34"/>
      <c r="B2041" s="48">
        <v>24</v>
      </c>
      <c r="C2041" s="48"/>
      <c r="D2041" s="88" t="s">
        <v>478</v>
      </c>
      <c r="E2041" s="72" t="s">
        <v>43</v>
      </c>
      <c r="F2041" s="77"/>
      <c r="G2041" s="72">
        <v>1</v>
      </c>
      <c r="H2041" s="74">
        <v>1</v>
      </c>
      <c r="I2041" s="74">
        <f>+辅材及安装费!$E$8</f>
        <v>10</v>
      </c>
      <c r="J2041" s="95">
        <f>H2041*I2041</f>
        <v>10</v>
      </c>
      <c r="K2041" s="92"/>
      <c r="L2041" s="92"/>
      <c r="M2041" s="44"/>
      <c r="N2041" s="44"/>
      <c r="O2041" s="44"/>
      <c r="P2041" s="44"/>
      <c r="Q2041" s="44"/>
      <c r="R2041" s="62"/>
      <c r="S2041" s="47"/>
      <c r="T2041" s="47"/>
    </row>
    <row r="2042" s="27" customFormat="1" ht="18" customHeight="1" spans="1:20">
      <c r="A2042" s="34"/>
      <c r="B2042" s="48">
        <v>25</v>
      </c>
      <c r="C2042" s="48"/>
      <c r="D2042" s="93" t="s">
        <v>442</v>
      </c>
      <c r="E2042" s="72"/>
      <c r="F2042" s="77"/>
      <c r="G2042" s="72"/>
      <c r="H2042" s="74"/>
      <c r="I2042" s="74"/>
      <c r="J2042" s="95">
        <f>SUM(J2019:J2041)</f>
        <v>1479.37713387002</v>
      </c>
      <c r="K2042" s="92"/>
      <c r="L2042" s="94"/>
      <c r="M2042" s="27"/>
      <c r="N2042" s="83"/>
      <c r="O2042" s="83"/>
      <c r="P2042" s="83"/>
      <c r="Q2042" s="83"/>
      <c r="R2042" s="87"/>
      <c r="S2042" s="47"/>
      <c r="T2042" s="47"/>
    </row>
    <row r="2043" s="27" customFormat="1" ht="18" customHeight="1" spans="1:20">
      <c r="A2043" s="34"/>
      <c r="B2043" s="48">
        <v>1</v>
      </c>
      <c r="C2043" s="48" t="s">
        <v>443</v>
      </c>
      <c r="D2043" s="48" t="s">
        <v>444</v>
      </c>
      <c r="E2043" s="72" t="s">
        <v>43</v>
      </c>
      <c r="F2043" s="50"/>
      <c r="G2043" s="48"/>
      <c r="H2043" s="51">
        <v>1</v>
      </c>
      <c r="I2043" s="74">
        <f>+辅材及安装费!$F$8</f>
        <v>5</v>
      </c>
      <c r="J2043" s="95">
        <f>H2043*I2043</f>
        <v>5</v>
      </c>
      <c r="K2043" s="118"/>
      <c r="L2043" s="96"/>
      <c r="M2043" s="97"/>
      <c r="N2043" s="98"/>
      <c r="O2043" s="98"/>
      <c r="P2043" s="98"/>
      <c r="Q2043" s="98"/>
      <c r="R2043" s="99"/>
      <c r="S2043" s="47"/>
      <c r="T2043" s="47"/>
    </row>
    <row r="2044" s="26" customFormat="1" ht="30" customHeight="1" spans="1:20">
      <c r="A2044" s="28"/>
      <c r="B2044" s="29" t="s">
        <v>386</v>
      </c>
      <c r="C2044" s="29"/>
      <c r="D2044" s="29"/>
      <c r="E2044" s="29"/>
      <c r="F2044" s="29"/>
      <c r="G2044" s="29"/>
      <c r="H2044" s="29"/>
      <c r="I2044" s="29"/>
      <c r="J2044" s="29"/>
      <c r="K2044" s="29"/>
      <c r="L2044" s="30"/>
      <c r="M2044" s="31"/>
      <c r="N2044" s="31"/>
      <c r="O2044" s="31"/>
      <c r="P2044" s="31"/>
      <c r="Q2044" s="31"/>
      <c r="R2044" s="32"/>
      <c r="S2044" s="33"/>
      <c r="T2044" s="33"/>
    </row>
    <row r="2045" s="27" customFormat="1" ht="33.75" customHeight="1" spans="1:20">
      <c r="A2045" s="34">
        <v>8</v>
      </c>
      <c r="B2045" s="35" t="s">
        <v>1</v>
      </c>
      <c r="C2045" s="35" t="s">
        <v>387</v>
      </c>
      <c r="D2045" s="36" t="str">
        <f>+A2053</f>
        <v>30mm厚光面贝金米黄石材（造型柱弧形）</v>
      </c>
      <c r="E2045" s="37"/>
      <c r="F2045" s="38" t="s">
        <v>99</v>
      </c>
      <c r="G2045" s="39"/>
      <c r="H2045" s="35" t="s">
        <v>388</v>
      </c>
      <c r="I2045" s="40" t="s">
        <v>389</v>
      </c>
      <c r="J2045" s="41" t="s">
        <v>37</v>
      </c>
      <c r="K2045" s="123">
        <f ca="1">VLOOKUP(A2045,'商业工程量清单 '!$A$47:$D$58,4,FALSE)</f>
        <v>30.828</v>
      </c>
      <c r="L2045" s="43"/>
      <c r="M2045" s="44"/>
      <c r="N2045" s="44"/>
      <c r="O2045" s="44"/>
      <c r="P2045" s="45"/>
      <c r="Q2045" s="44"/>
      <c r="R2045" s="46"/>
      <c r="S2045" s="47"/>
      <c r="T2045" s="47"/>
    </row>
    <row r="2046" s="27" customFormat="1" ht="18" customHeight="1" spans="1:20">
      <c r="A2046" s="34"/>
      <c r="B2046" s="48">
        <v>1</v>
      </c>
      <c r="C2046" s="49" t="s">
        <v>390</v>
      </c>
      <c r="D2046" s="48" t="s">
        <v>391</v>
      </c>
      <c r="E2046" s="48"/>
      <c r="F2046" s="50"/>
      <c r="G2046" s="48"/>
      <c r="H2046" s="51"/>
      <c r="I2046" s="52">
        <f>J2058</f>
        <v>210</v>
      </c>
      <c r="J2046" s="53" t="s">
        <v>392</v>
      </c>
      <c r="K2046" s="54"/>
      <c r="L2046" s="55" t="s">
        <v>1056</v>
      </c>
      <c r="M2046" s="56"/>
      <c r="N2046" s="57"/>
      <c r="O2046" s="57">
        <v>1.936</v>
      </c>
      <c r="P2046" s="57">
        <v>0.99</v>
      </c>
      <c r="Q2046" s="57">
        <v>1</v>
      </c>
      <c r="R2046" s="58">
        <f>+Q2046*P2046*O2046</f>
        <v>1.91664</v>
      </c>
      <c r="S2046" s="47"/>
      <c r="T2046" s="47"/>
    </row>
    <row r="2047" s="27" customFormat="1" ht="18" customHeight="1" spans="1:20">
      <c r="A2047" s="34"/>
      <c r="B2047" s="48">
        <v>2</v>
      </c>
      <c r="C2047" s="59"/>
      <c r="D2047" s="48" t="s">
        <v>394</v>
      </c>
      <c r="E2047" s="48"/>
      <c r="F2047" s="50"/>
      <c r="G2047" s="48"/>
      <c r="H2047" s="51"/>
      <c r="I2047" s="52">
        <f>J2082</f>
        <v>3576.32693859257</v>
      </c>
      <c r="J2047" s="53" t="s">
        <v>392</v>
      </c>
      <c r="K2047" s="60"/>
      <c r="L2047" s="61" t="s">
        <v>99</v>
      </c>
      <c r="M2047" s="44"/>
      <c r="N2047" s="44"/>
      <c r="O2047" s="44"/>
      <c r="P2047" s="44"/>
      <c r="Q2047" s="44"/>
      <c r="R2047" s="62"/>
      <c r="S2047" s="47"/>
      <c r="T2047" s="47"/>
    </row>
    <row r="2048" s="27" customFormat="1" ht="18" customHeight="1" spans="1:20">
      <c r="A2048" s="34"/>
      <c r="B2048" s="48">
        <v>3</v>
      </c>
      <c r="C2048" s="63"/>
      <c r="D2048" s="48" t="s">
        <v>395</v>
      </c>
      <c r="E2048" s="48"/>
      <c r="F2048" s="50"/>
      <c r="G2048" s="48"/>
      <c r="H2048" s="51"/>
      <c r="I2048" s="52">
        <f>J2083</f>
        <v>5</v>
      </c>
      <c r="J2048" s="53" t="s">
        <v>392</v>
      </c>
      <c r="K2048" s="60"/>
      <c r="L2048" s="60"/>
      <c r="M2048" s="64" t="s">
        <v>396</v>
      </c>
      <c r="N2048" s="65" t="s">
        <v>397</v>
      </c>
      <c r="O2048" s="65" t="s">
        <v>398</v>
      </c>
      <c r="P2048" s="65" t="s">
        <v>399</v>
      </c>
      <c r="Q2048" s="65" t="s">
        <v>400</v>
      </c>
      <c r="R2048" s="66" t="s">
        <v>401</v>
      </c>
      <c r="S2048" s="47"/>
      <c r="T2048" s="47"/>
    </row>
    <row r="2049" s="27" customFormat="1" ht="18" customHeight="1" spans="1:20">
      <c r="A2049" s="34"/>
      <c r="B2049" s="48">
        <v>4</v>
      </c>
      <c r="C2049" s="48" t="s">
        <v>402</v>
      </c>
      <c r="D2049" s="67" t="s">
        <v>403</v>
      </c>
      <c r="E2049" s="67"/>
      <c r="F2049" s="50"/>
      <c r="G2049" s="67"/>
      <c r="H2049" s="68"/>
      <c r="I2049" s="52">
        <f>SUM(I2046:I2048)</f>
        <v>3791.32693859257</v>
      </c>
      <c r="J2049" s="53" t="s">
        <v>392</v>
      </c>
      <c r="K2049" s="60"/>
      <c r="L2049" s="69" t="s">
        <v>431</v>
      </c>
      <c r="M2049" s="34" t="s">
        <v>460</v>
      </c>
      <c r="N2049" s="102">
        <v>10.21</v>
      </c>
      <c r="O2049" s="34">
        <f>+P2046</f>
        <v>0.99</v>
      </c>
      <c r="P2049" s="34">
        <v>1.5</v>
      </c>
      <c r="Q2049" s="44">
        <f t="shared" ref="Q2049:Q2053" si="325">+P2049*O2049*N2049</f>
        <v>15.16185</v>
      </c>
      <c r="R2049" s="71">
        <f>+Q2049/R2046</f>
        <v>7.91064049586777</v>
      </c>
      <c r="S2049" s="47"/>
      <c r="T2049" s="47"/>
    </row>
    <row r="2050" s="27" customFormat="1" ht="28" customHeight="1" spans="1:20">
      <c r="A2050" s="34"/>
      <c r="B2050" s="48">
        <v>5</v>
      </c>
      <c r="C2050" s="72" t="s">
        <v>406</v>
      </c>
      <c r="D2050" s="48" t="s">
        <v>407</v>
      </c>
      <c r="E2050" s="48"/>
      <c r="F2050" s="50"/>
      <c r="G2050" s="48"/>
      <c r="H2050" s="73">
        <f>+'材料表 '!$E$178</f>
        <v>0</v>
      </c>
      <c r="I2050" s="52">
        <f>H2050*I2049</f>
        <v>0</v>
      </c>
      <c r="J2050" s="53" t="s">
        <v>392</v>
      </c>
      <c r="K2050" s="60"/>
      <c r="L2050" s="69" t="s">
        <v>461</v>
      </c>
      <c r="M2050" s="34" t="s">
        <v>462</v>
      </c>
      <c r="N2050" s="34">
        <v>3.77</v>
      </c>
      <c r="O2050" s="34">
        <f>+O2046</f>
        <v>1.936</v>
      </c>
      <c r="P2050" s="34">
        <v>2</v>
      </c>
      <c r="Q2050" s="44">
        <f t="shared" si="325"/>
        <v>14.59744</v>
      </c>
      <c r="R2050" s="71">
        <f>+Q2050/R2046</f>
        <v>7.61616161616162</v>
      </c>
      <c r="S2050" s="47"/>
      <c r="T2050" s="47"/>
    </row>
    <row r="2051" s="27" customFormat="1" ht="18" customHeight="1" spans="1:20">
      <c r="A2051" s="34"/>
      <c r="B2051" s="48">
        <v>6</v>
      </c>
      <c r="C2051" s="48" t="s">
        <v>409</v>
      </c>
      <c r="D2051" s="48" t="s">
        <v>410</v>
      </c>
      <c r="E2051" s="48"/>
      <c r="F2051" s="50"/>
      <c r="G2051" s="48"/>
      <c r="H2051" s="73">
        <f>+'材料表 '!$E$179</f>
        <v>0</v>
      </c>
      <c r="I2051" s="52">
        <f>H2051*I2049</f>
        <v>0</v>
      </c>
      <c r="J2051" s="53" t="s">
        <v>392</v>
      </c>
      <c r="K2051" s="60"/>
      <c r="L2051" s="69" t="s">
        <v>463</v>
      </c>
      <c r="M2051" s="34" t="s">
        <v>490</v>
      </c>
      <c r="N2051" s="34">
        <f>0.3*0.2*7.85*10</f>
        <v>4.71</v>
      </c>
      <c r="O2051" s="34">
        <v>0.5</v>
      </c>
      <c r="P2051" s="34">
        <f>+P2049</f>
        <v>1.5</v>
      </c>
      <c r="Q2051" s="44">
        <f t="shared" si="325"/>
        <v>3.5325</v>
      </c>
      <c r="R2051" s="71">
        <f>+Q2051/R2046</f>
        <v>1.84306912096168</v>
      </c>
      <c r="S2051" s="47"/>
      <c r="T2051" s="47"/>
    </row>
    <row r="2052" s="27" customFormat="1" ht="18" customHeight="1" spans="1:20">
      <c r="A2052" s="34"/>
      <c r="B2052" s="48">
        <v>7</v>
      </c>
      <c r="C2052" s="48" t="s">
        <v>412</v>
      </c>
      <c r="D2052" s="72" t="s">
        <v>413</v>
      </c>
      <c r="E2052" s="72"/>
      <c r="F2052" s="77"/>
      <c r="G2052" s="72"/>
      <c r="H2052" s="73">
        <f>+'材料表 '!$E$180</f>
        <v>0.09</v>
      </c>
      <c r="I2052" s="52">
        <f>(I2049+I2050+I2051)*H2052</f>
        <v>341.219424473331</v>
      </c>
      <c r="J2052" s="53" t="s">
        <v>392</v>
      </c>
      <c r="K2052" s="60"/>
      <c r="L2052" s="69" t="s">
        <v>465</v>
      </c>
      <c r="M2052" s="34" t="s">
        <v>466</v>
      </c>
      <c r="N2052" s="100">
        <f>3.77</f>
        <v>3.77</v>
      </c>
      <c r="O2052" s="34">
        <v>0.155</v>
      </c>
      <c r="P2052" s="34">
        <v>0</v>
      </c>
      <c r="Q2052" s="44">
        <f t="shared" si="325"/>
        <v>0</v>
      </c>
      <c r="R2052" s="71">
        <f>+Q2052/R2046</f>
        <v>0</v>
      </c>
      <c r="S2052" s="47"/>
      <c r="T2052" s="47"/>
    </row>
    <row r="2053" s="27" customFormat="1" ht="18" customHeight="1" spans="1:20">
      <c r="A2053" s="105" t="s">
        <v>298</v>
      </c>
      <c r="B2053" s="48">
        <v>8</v>
      </c>
      <c r="C2053" s="48" t="s">
        <v>363</v>
      </c>
      <c r="D2053" s="106" t="s">
        <v>415</v>
      </c>
      <c r="E2053" s="107"/>
      <c r="F2053" s="108"/>
      <c r="G2053" s="107"/>
      <c r="H2053" s="51"/>
      <c r="I2053" s="74">
        <f>SUM(I2049:I2052)</f>
        <v>4132.5463630659</v>
      </c>
      <c r="J2053" s="53" t="s">
        <v>416</v>
      </c>
      <c r="K2053" s="60"/>
      <c r="L2053" s="69" t="s">
        <v>465</v>
      </c>
      <c r="M2053" s="44" t="s">
        <v>468</v>
      </c>
      <c r="N2053" s="82">
        <v>5.778</v>
      </c>
      <c r="O2053" s="44">
        <v>0.125</v>
      </c>
      <c r="P2053" s="44">
        <f>+P2049*2</f>
        <v>3</v>
      </c>
      <c r="Q2053" s="44">
        <f t="shared" si="325"/>
        <v>2.16675</v>
      </c>
      <c r="R2053" s="84">
        <f>+Q2053/R2046</f>
        <v>1.13049398948159</v>
      </c>
      <c r="S2053" s="79"/>
      <c r="T2053" s="47"/>
    </row>
    <row r="2054" s="27" customFormat="1" ht="18" customHeight="1" spans="1:20">
      <c r="A2054" s="34"/>
      <c r="B2054" s="109" t="s">
        <v>418</v>
      </c>
      <c r="C2054" s="110"/>
      <c r="D2054" s="110"/>
      <c r="E2054" s="110"/>
      <c r="F2054" s="110"/>
      <c r="G2054" s="110"/>
      <c r="H2054" s="110"/>
      <c r="I2054" s="110"/>
      <c r="J2054" s="110"/>
      <c r="K2054" s="80"/>
      <c r="L2054" s="90" t="s">
        <v>469</v>
      </c>
      <c r="M2054" s="44"/>
      <c r="N2054" s="82"/>
      <c r="O2054" s="44">
        <f>4*4</f>
        <v>16</v>
      </c>
      <c r="P2054" s="44">
        <v>1</v>
      </c>
      <c r="Q2054" s="44">
        <f>+P2054*O2054</f>
        <v>16</v>
      </c>
      <c r="R2054" s="84">
        <f>+Q2054/R2046</f>
        <v>8.34794223223975</v>
      </c>
      <c r="S2054" s="47"/>
      <c r="T2054" s="47"/>
    </row>
    <row r="2055" s="27" customFormat="1" ht="18" customHeight="1" spans="1:20">
      <c r="A2055" s="34"/>
      <c r="B2055" s="48">
        <v>1</v>
      </c>
      <c r="C2055" s="48" t="s">
        <v>391</v>
      </c>
      <c r="D2055" s="48" t="s">
        <v>396</v>
      </c>
      <c r="E2055" s="48" t="s">
        <v>37</v>
      </c>
      <c r="F2055" s="50"/>
      <c r="G2055" s="48"/>
      <c r="H2055" s="51" t="s">
        <v>399</v>
      </c>
      <c r="I2055" s="51" t="s">
        <v>420</v>
      </c>
      <c r="J2055" s="95" t="s">
        <v>421</v>
      </c>
      <c r="K2055" s="92"/>
      <c r="L2055" s="90"/>
      <c r="M2055" s="44"/>
      <c r="N2055" s="82"/>
      <c r="O2055" s="44"/>
      <c r="P2055" s="44"/>
      <c r="Q2055" s="44"/>
      <c r="R2055" s="84"/>
      <c r="S2055" s="47"/>
      <c r="T2055" s="47"/>
    </row>
    <row r="2056" s="27" customFormat="1" ht="18" customHeight="1" spans="1:20">
      <c r="A2056" s="34"/>
      <c r="B2056" s="48">
        <v>2</v>
      </c>
      <c r="C2056" s="48"/>
      <c r="D2056" s="111" t="s">
        <v>470</v>
      </c>
      <c r="E2056" s="49" t="s">
        <v>423</v>
      </c>
      <c r="F2056" s="112"/>
      <c r="G2056" s="111"/>
      <c r="H2056" s="113">
        <v>1</v>
      </c>
      <c r="I2056" s="113">
        <f>+辅材及安装费!$G$8</f>
        <v>210</v>
      </c>
      <c r="J2056" s="114">
        <f t="shared" ref="J2056:J2071" si="326">H2056*I2056</f>
        <v>210</v>
      </c>
      <c r="K2056" s="92"/>
      <c r="L2056" s="90" t="s">
        <v>471</v>
      </c>
      <c r="M2056" s="44"/>
      <c r="N2056" s="82"/>
      <c r="O2056" s="44"/>
      <c r="P2056" s="44"/>
      <c r="Q2056" s="44">
        <f>+Q2054</f>
        <v>16</v>
      </c>
      <c r="R2056" s="84">
        <f>+Q2056/R2046</f>
        <v>8.34794223223975</v>
      </c>
      <c r="S2056" s="47"/>
      <c r="T2056" s="47"/>
    </row>
    <row r="2057" s="27" customFormat="1" ht="18" customHeight="1" spans="1:20">
      <c r="A2057" s="34"/>
      <c r="B2057" s="48">
        <v>3</v>
      </c>
      <c r="C2057" s="48"/>
      <c r="D2057" s="115"/>
      <c r="E2057" s="63"/>
      <c r="F2057" s="116"/>
      <c r="G2057" s="115"/>
      <c r="H2057" s="117"/>
      <c r="I2057" s="117"/>
      <c r="J2057" s="118"/>
      <c r="K2057" s="92"/>
      <c r="L2057" s="90" t="s">
        <v>472</v>
      </c>
      <c r="M2057" s="44"/>
      <c r="N2057" s="82"/>
      <c r="O2057" s="44"/>
      <c r="P2057" s="44">
        <f>+P2052</f>
        <v>0</v>
      </c>
      <c r="Q2057" s="44">
        <f>+P2057</f>
        <v>0</v>
      </c>
      <c r="R2057" s="84">
        <f>+Q2057/R2046</f>
        <v>0</v>
      </c>
      <c r="S2057" s="47"/>
      <c r="T2057" s="47"/>
    </row>
    <row r="2058" s="27" customFormat="1" ht="18" customHeight="1" spans="1:20">
      <c r="A2058" s="34"/>
      <c r="B2058" s="48">
        <v>4</v>
      </c>
      <c r="C2058" s="48"/>
      <c r="D2058" s="85" t="s">
        <v>426</v>
      </c>
      <c r="E2058" s="48" t="s">
        <v>392</v>
      </c>
      <c r="F2058" s="50"/>
      <c r="G2058" s="48"/>
      <c r="H2058" s="86"/>
      <c r="I2058" s="86"/>
      <c r="J2058" s="95">
        <f>SUM(J2056:J2056)</f>
        <v>210</v>
      </c>
      <c r="K2058" s="92"/>
      <c r="L2058" s="90" t="s">
        <v>473</v>
      </c>
      <c r="M2058" s="44"/>
      <c r="N2058" s="82"/>
      <c r="O2058" s="44"/>
      <c r="P2058" s="44"/>
      <c r="Q2058" s="44">
        <f>+(Q2054)*3</f>
        <v>48</v>
      </c>
      <c r="R2058" s="84">
        <f>+Q2058/R2046</f>
        <v>25.0438266967193</v>
      </c>
      <c r="S2058" s="47"/>
      <c r="T2058" s="47"/>
    </row>
    <row r="2059" s="27" customFormat="1" ht="23" customHeight="1" spans="1:20">
      <c r="A2059" s="34"/>
      <c r="B2059" s="48">
        <v>1</v>
      </c>
      <c r="C2059" s="48" t="s">
        <v>394</v>
      </c>
      <c r="D2059" s="88" t="s">
        <v>431</v>
      </c>
      <c r="E2059" s="72" t="str">
        <f>+VLOOKUP(D2059,'材料表 '!C:F,2,0)</f>
        <v>kg</v>
      </c>
      <c r="F2059" s="77">
        <f>+SUMIF($L$2046:$L$2083,D2059,$R$2046:$R$2083)</f>
        <v>7.91064049586777</v>
      </c>
      <c r="G2059" s="89">
        <f>+VLOOKUP(D2059,'材料表 '!C:F,4,0)</f>
        <v>0.03</v>
      </c>
      <c r="H2059" s="74">
        <f t="shared" ref="H2059:H2071" si="327">F2059*(G2059+1)</f>
        <v>8.1479597107438</v>
      </c>
      <c r="I2059" s="74">
        <f>+VLOOKUP(D2059,'材料表 '!C:F,3,0)</f>
        <v>3.80530973451327</v>
      </c>
      <c r="J2059" s="95">
        <f t="shared" si="326"/>
        <v>31.0055104037153</v>
      </c>
      <c r="K2059" s="60">
        <f ca="1">H2059*K2045</f>
        <v>251.18530196281</v>
      </c>
      <c r="L2059" s="90"/>
      <c r="M2059" s="44"/>
      <c r="N2059" s="82"/>
      <c r="O2059" s="44"/>
      <c r="P2059" s="44"/>
      <c r="Q2059" s="44"/>
      <c r="R2059" s="84"/>
      <c r="S2059" s="47"/>
      <c r="T2059" s="47"/>
    </row>
    <row r="2060" s="27" customFormat="1" ht="18" customHeight="1" spans="1:20">
      <c r="A2060" s="34"/>
      <c r="B2060" s="48">
        <v>2</v>
      </c>
      <c r="C2060" s="48"/>
      <c r="D2060" s="88" t="s">
        <v>461</v>
      </c>
      <c r="E2060" s="72" t="str">
        <f>+VLOOKUP(D2060,'材料表 '!C:F,2,0)</f>
        <v>kg</v>
      </c>
      <c r="F2060" s="77">
        <f>+SUMIF($L$2046:$L$2083,D2060,$R$2046:$R$2083)</f>
        <v>7.61616161616162</v>
      </c>
      <c r="G2060" s="89">
        <f>+VLOOKUP(D2060,'材料表 '!C:F,4,0)</f>
        <v>0.03</v>
      </c>
      <c r="H2060" s="74">
        <f t="shared" si="327"/>
        <v>7.84464646464647</v>
      </c>
      <c r="I2060" s="74">
        <f>+VLOOKUP(D2060,'材料表 '!C:F,3,0)</f>
        <v>3.53982300884956</v>
      </c>
      <c r="J2060" s="95">
        <f t="shared" si="326"/>
        <v>27.7686600518459</v>
      </c>
      <c r="K2060" s="60">
        <f ca="1">H2060*K2045</f>
        <v>241.834761212121</v>
      </c>
      <c r="L2060" s="90"/>
      <c r="M2060" s="44"/>
      <c r="N2060" s="82"/>
      <c r="O2060" s="44"/>
      <c r="P2060" s="44"/>
      <c r="Q2060" s="44"/>
      <c r="R2060" s="84"/>
      <c r="S2060" s="47"/>
      <c r="T2060" s="47"/>
    </row>
    <row r="2061" s="27" customFormat="1" ht="18" customHeight="1" spans="1:20">
      <c r="A2061" s="34"/>
      <c r="B2061" s="48">
        <v>3</v>
      </c>
      <c r="C2061" s="48"/>
      <c r="D2061" s="88" t="s">
        <v>465</v>
      </c>
      <c r="E2061" s="72" t="str">
        <f>+VLOOKUP(D2061,'材料表 '!C:F,2,0)</f>
        <v>kg</v>
      </c>
      <c r="F2061" s="77">
        <f t="shared" ref="F2060:F2068" si="328">+SUMIF($L$2046:$L$2083,D2061,$R$2046:$R$2083)</f>
        <v>1.13049398948159</v>
      </c>
      <c r="G2061" s="89">
        <f>+VLOOKUP(D2061,'材料表 '!C:F,4,0)</f>
        <v>0.03</v>
      </c>
      <c r="H2061" s="74">
        <f t="shared" si="327"/>
        <v>1.16440880916604</v>
      </c>
      <c r="I2061" s="74">
        <f>+VLOOKUP(D2061,'材料表 '!C:F,3,0)</f>
        <v>6.01769911504425</v>
      </c>
      <c r="J2061" s="95">
        <f t="shared" si="326"/>
        <v>7.00706186046819</v>
      </c>
      <c r="K2061" s="60">
        <f ca="1">H2061*K2045</f>
        <v>35.8963947689707</v>
      </c>
      <c r="L2061" s="90" t="s">
        <v>474</v>
      </c>
      <c r="M2061" s="44"/>
      <c r="N2061" s="82"/>
      <c r="O2061" s="44"/>
      <c r="P2061" s="44"/>
      <c r="Q2061" s="44">
        <f>+O2051*P2051*4</f>
        <v>3</v>
      </c>
      <c r="R2061" s="84">
        <f>+Q2061/R2046</f>
        <v>1.56523916854495</v>
      </c>
      <c r="S2061" s="47"/>
      <c r="T2061" s="47"/>
    </row>
    <row r="2062" s="27" customFormat="1" ht="18" customHeight="1" spans="1:20">
      <c r="A2062" s="34"/>
      <c r="B2062" s="48">
        <v>4</v>
      </c>
      <c r="C2062" s="48"/>
      <c r="D2062" s="88" t="s">
        <v>463</v>
      </c>
      <c r="E2062" s="72" t="str">
        <f>+VLOOKUP(D2062,'材料表 '!C:F,2,0)</f>
        <v>kg</v>
      </c>
      <c r="F2062" s="77">
        <f t="shared" si="328"/>
        <v>1.84306912096168</v>
      </c>
      <c r="G2062" s="89">
        <f>+VLOOKUP(D2062,'材料表 '!C:F,4,0)</f>
        <v>0.03</v>
      </c>
      <c r="H2062" s="74">
        <f t="shared" si="327"/>
        <v>1.89836119459053</v>
      </c>
      <c r="I2062" s="74">
        <f>+VLOOKUP(D2062,'材料表 '!C:F,3,0)</f>
        <v>6.01769911504425</v>
      </c>
      <c r="J2062" s="95">
        <f t="shared" si="326"/>
        <v>11.4237664807218</v>
      </c>
      <c r="K2062" s="60">
        <f ca="1">H2062*K2045</f>
        <v>58.5226789068369</v>
      </c>
      <c r="L2062" s="90"/>
      <c r="M2062" s="44"/>
      <c r="N2062" s="83"/>
      <c r="O2062" s="82"/>
      <c r="P2062" s="44"/>
      <c r="Q2062" s="44"/>
      <c r="R2062" s="84"/>
      <c r="S2062" s="47"/>
      <c r="T2062" s="47"/>
    </row>
    <row r="2063" s="27" customFormat="1" ht="18" customHeight="1" spans="1:20">
      <c r="A2063" s="34"/>
      <c r="B2063" s="48">
        <v>5</v>
      </c>
      <c r="C2063" s="48"/>
      <c r="D2063" s="88" t="s">
        <v>469</v>
      </c>
      <c r="E2063" s="72" t="str">
        <f>+VLOOKUP(D2063,'材料表 '!C:F,2,0)</f>
        <v>套</v>
      </c>
      <c r="F2063" s="77">
        <f t="shared" si="328"/>
        <v>8.34794223223975</v>
      </c>
      <c r="G2063" s="89">
        <f>+VLOOKUP(D2063,'材料表 '!C:F,4,0)</f>
        <v>0</v>
      </c>
      <c r="H2063" s="74">
        <f t="shared" si="327"/>
        <v>8.34794223223975</v>
      </c>
      <c r="I2063" s="74">
        <f>+VLOOKUP(D2063,'材料表 '!C:F,3,0)</f>
        <v>5.30973451327434</v>
      </c>
      <c r="J2063" s="95">
        <f t="shared" si="326"/>
        <v>44.3253569853438</v>
      </c>
      <c r="K2063" s="60">
        <f ca="1">H2063*K2045</f>
        <v>257.350363135487</v>
      </c>
      <c r="L2063" s="92" t="s">
        <v>476</v>
      </c>
      <c r="M2063" s="44"/>
      <c r="N2063" s="82"/>
      <c r="O2063" s="44"/>
      <c r="P2063" s="44"/>
      <c r="Q2063" s="44">
        <f>6*6*(O2046*2+P2046*4)/500</f>
        <v>0.563904</v>
      </c>
      <c r="R2063" s="84">
        <f>+Q2063/R2046</f>
        <v>0.294214876033058</v>
      </c>
      <c r="S2063" s="47"/>
      <c r="T2063" s="47"/>
    </row>
    <row r="2064" s="27" customFormat="1" ht="18" customHeight="1" spans="1:20">
      <c r="A2064" s="34"/>
      <c r="B2064" s="48">
        <v>7</v>
      </c>
      <c r="C2064" s="48"/>
      <c r="D2064" s="88" t="s">
        <v>471</v>
      </c>
      <c r="E2064" s="72" t="str">
        <f>+VLOOKUP(D2064,'材料表 '!C:F,2,0)</f>
        <v>套</v>
      </c>
      <c r="F2064" s="77">
        <f t="shared" si="328"/>
        <v>8.34794223223975</v>
      </c>
      <c r="G2064" s="89">
        <f>+VLOOKUP(D2064,'材料表 '!C:F,4,0)</f>
        <v>0</v>
      </c>
      <c r="H2064" s="74">
        <f t="shared" si="327"/>
        <v>8.34794223223975</v>
      </c>
      <c r="I2064" s="74">
        <f>+VLOOKUP(D2064,'材料表 '!C:F,3,0)</f>
        <v>1.32743362831858</v>
      </c>
      <c r="J2064" s="95">
        <f t="shared" si="326"/>
        <v>11.0813392463359</v>
      </c>
      <c r="K2064" s="60">
        <f ca="1">H2064*K2045</f>
        <v>257.350363135487</v>
      </c>
      <c r="L2064" s="92"/>
      <c r="M2064" s="44"/>
      <c r="N2064" s="82"/>
      <c r="O2064" s="44"/>
      <c r="P2064" s="44"/>
      <c r="Q2064" s="44"/>
      <c r="R2064" s="84">
        <f>+Q2064/R2046</f>
        <v>0</v>
      </c>
      <c r="S2064" s="47"/>
      <c r="T2064" s="47"/>
    </row>
    <row r="2065" s="27" customFormat="1" ht="18" customHeight="1" spans="1:20">
      <c r="A2065" s="34"/>
      <c r="B2065" s="48">
        <v>8</v>
      </c>
      <c r="C2065" s="48"/>
      <c r="D2065" s="88" t="s">
        <v>472</v>
      </c>
      <c r="E2065" s="72" t="str">
        <f>+VLOOKUP(D2065,'材料表 '!C:F,2,0)</f>
        <v>套</v>
      </c>
      <c r="F2065" s="77">
        <f t="shared" si="328"/>
        <v>0</v>
      </c>
      <c r="G2065" s="89">
        <f>+VLOOKUP(D2065,'材料表 '!C:F,4,0)</f>
        <v>0</v>
      </c>
      <c r="H2065" s="74">
        <f t="shared" si="327"/>
        <v>0</v>
      </c>
      <c r="I2065" s="74">
        <f>+VLOOKUP(D2065,'材料表 '!C:F,3,0)</f>
        <v>2.47787610619469</v>
      </c>
      <c r="J2065" s="95">
        <f t="shared" si="326"/>
        <v>0</v>
      </c>
      <c r="K2065" s="60">
        <f ca="1">H2065*K2045</f>
        <v>0</v>
      </c>
      <c r="L2065" s="92"/>
      <c r="M2065" s="44"/>
      <c r="N2065" s="82"/>
      <c r="O2065" s="44"/>
      <c r="P2065" s="44"/>
      <c r="Q2065" s="44"/>
      <c r="R2065" s="84"/>
      <c r="S2065" s="47"/>
      <c r="T2065" s="47"/>
    </row>
    <row r="2066" s="27" customFormat="1" ht="18" customHeight="1" spans="1:20">
      <c r="A2066" s="34"/>
      <c r="B2066" s="48">
        <v>9</v>
      </c>
      <c r="C2066" s="48"/>
      <c r="D2066" s="88" t="s">
        <v>473</v>
      </c>
      <c r="E2066" s="72" t="str">
        <f>+VLOOKUP(D2066,'材料表 '!C:F,2,0)</f>
        <v>套</v>
      </c>
      <c r="F2066" s="77">
        <f t="shared" si="328"/>
        <v>25.0438266967193</v>
      </c>
      <c r="G2066" s="89">
        <f>+VLOOKUP(D2066,'材料表 '!C:F,4,0)</f>
        <v>0</v>
      </c>
      <c r="H2066" s="74">
        <f t="shared" si="327"/>
        <v>25.0438266967193</v>
      </c>
      <c r="I2066" s="74">
        <f>+VLOOKUP(D2066,'材料表 '!C:F,3,0)</f>
        <v>0.247787610619469</v>
      </c>
      <c r="J2066" s="95">
        <f t="shared" si="326"/>
        <v>6.20554997794814</v>
      </c>
      <c r="K2066" s="60">
        <f ca="1">H2066*K2045</f>
        <v>772.051089406463</v>
      </c>
      <c r="L2066" s="90"/>
      <c r="M2066" s="44"/>
      <c r="N2066" s="82"/>
      <c r="O2066" s="34"/>
      <c r="P2066" s="44"/>
      <c r="Q2066" s="44"/>
      <c r="R2066" s="119"/>
      <c r="S2066" s="47"/>
      <c r="T2066" s="47"/>
    </row>
    <row r="2067" s="27" customFormat="1" ht="18" customHeight="1" spans="1:20">
      <c r="A2067" s="34"/>
      <c r="B2067" s="48">
        <v>10</v>
      </c>
      <c r="C2067" s="48"/>
      <c r="D2067" s="88" t="s">
        <v>474</v>
      </c>
      <c r="E2067" s="72" t="str">
        <f>+VLOOKUP(D2067,'材料表 '!C:F,2,0)</f>
        <v>套</v>
      </c>
      <c r="F2067" s="77">
        <f t="shared" si="328"/>
        <v>1.56523916854495</v>
      </c>
      <c r="G2067" s="89">
        <f>+VLOOKUP(D2067,'材料表 '!C:F,4,0)</f>
        <v>0</v>
      </c>
      <c r="H2067" s="74">
        <f t="shared" si="327"/>
        <v>1.56523916854495</v>
      </c>
      <c r="I2067" s="74">
        <f>+VLOOKUP(D2067,'材料表 '!C:F,3,0)</f>
        <v>2.21238938053097</v>
      </c>
      <c r="J2067" s="95">
        <f t="shared" si="326"/>
        <v>3.46291851447997</v>
      </c>
      <c r="K2067" s="60">
        <f ca="1">H2067*K2045</f>
        <v>48.2531930879037</v>
      </c>
      <c r="L2067" s="92"/>
      <c r="M2067" s="120"/>
      <c r="N2067" s="82"/>
      <c r="O2067" s="44"/>
      <c r="P2067" s="44"/>
      <c r="Q2067" s="44"/>
      <c r="R2067" s="84"/>
      <c r="S2067" s="47"/>
      <c r="T2067" s="47"/>
    </row>
    <row r="2068" s="27" customFormat="1" ht="18" customHeight="1" spans="1:20">
      <c r="A2068" s="34"/>
      <c r="B2068" s="48">
        <v>11</v>
      </c>
      <c r="C2068" s="48"/>
      <c r="D2068" s="88" t="s">
        <v>476</v>
      </c>
      <c r="E2068" s="72" t="str">
        <f>+VLOOKUP(D2068,'材料表 '!C:F,2,0)</f>
        <v>支</v>
      </c>
      <c r="F2068" s="77">
        <f t="shared" si="328"/>
        <v>0.294214876033058</v>
      </c>
      <c r="G2068" s="89">
        <f>+VLOOKUP(D2068,'材料表 '!C:F,4,0)</f>
        <v>0.15</v>
      </c>
      <c r="H2068" s="74">
        <f t="shared" si="327"/>
        <v>0.338347107438017</v>
      </c>
      <c r="I2068" s="74">
        <f>+VLOOKUP(D2068,'材料表 '!C:F,3,0)</f>
        <v>11.5044247787611</v>
      </c>
      <c r="J2068" s="95">
        <f t="shared" si="326"/>
        <v>3.89248884663206</v>
      </c>
      <c r="K2068" s="60">
        <f ca="1">H2068*K2045</f>
        <v>10.4305646280992</v>
      </c>
      <c r="L2068" s="92"/>
      <c r="M2068" s="44"/>
      <c r="N2068" s="44"/>
      <c r="O2068" s="44"/>
      <c r="P2068" s="44"/>
      <c r="Q2068" s="44"/>
      <c r="R2068" s="84"/>
      <c r="S2068" s="47"/>
      <c r="T2068" s="47"/>
    </row>
    <row r="2069" s="27" customFormat="1" ht="18" customHeight="1" spans="1:20">
      <c r="A2069" s="34"/>
      <c r="B2069" s="48">
        <v>12</v>
      </c>
      <c r="C2069" s="48"/>
      <c r="D2069" s="88" t="s">
        <v>477</v>
      </c>
      <c r="E2069" s="72" t="str">
        <f>+VLOOKUP(D2069,'材料表 '!C:F,2,0)</f>
        <v>kg</v>
      </c>
      <c r="F2069" s="77">
        <v>0.2</v>
      </c>
      <c r="G2069" s="89">
        <f>+VLOOKUP(D2069,'材料表 '!C:F,4,0)</f>
        <v>0.15</v>
      </c>
      <c r="H2069" s="74">
        <f t="shared" si="327"/>
        <v>0.23</v>
      </c>
      <c r="I2069" s="74">
        <f>+VLOOKUP(D2069,'材料表 '!C:F,3,0)</f>
        <v>10.6194690265487</v>
      </c>
      <c r="J2069" s="95">
        <f t="shared" si="326"/>
        <v>2.4424778761062</v>
      </c>
      <c r="K2069" s="60">
        <f ca="1">H2069*K2045</f>
        <v>7.09044</v>
      </c>
      <c r="L2069" s="92"/>
      <c r="M2069" s="44"/>
      <c r="N2069" s="44"/>
      <c r="O2069" s="44"/>
      <c r="P2069" s="44"/>
      <c r="Q2069" s="44"/>
      <c r="R2069" s="84"/>
      <c r="S2069" s="47"/>
      <c r="T2069" s="47"/>
    </row>
    <row r="2070" s="27" customFormat="1" ht="18" customHeight="1" spans="1:20">
      <c r="A2070" s="34"/>
      <c r="B2070" s="48">
        <v>13</v>
      </c>
      <c r="C2070" s="48"/>
      <c r="D2070" s="88" t="s">
        <v>479</v>
      </c>
      <c r="E2070" s="72" t="str">
        <f>+VLOOKUP(D2070,'材料表 '!C:F,2,0)</f>
        <v>kg</v>
      </c>
      <c r="F2070" s="77">
        <f>R2050</f>
        <v>7.61616161616162</v>
      </c>
      <c r="G2070" s="89">
        <f>+VLOOKUP(D2070,'材料表 '!C:F,4,0)</f>
        <v>0.03</v>
      </c>
      <c r="H2070" s="74">
        <f t="shared" si="327"/>
        <v>7.84464646464647</v>
      </c>
      <c r="I2070" s="74">
        <f>+VLOOKUP(D2070,'材料表 '!C:F,3,0)</f>
        <v>14.1592920353982</v>
      </c>
      <c r="J2070" s="95">
        <f t="shared" si="326"/>
        <v>111.074640207383</v>
      </c>
      <c r="K2070" s="60">
        <f ca="1">H2070*K2045</f>
        <v>241.834761212121</v>
      </c>
      <c r="L2070" s="92"/>
      <c r="M2070" s="44"/>
      <c r="N2070" s="44"/>
      <c r="O2070" s="44"/>
      <c r="P2070" s="44"/>
      <c r="Q2070" s="44"/>
      <c r="R2070" s="84"/>
      <c r="S2070" s="47"/>
      <c r="T2070" s="47"/>
    </row>
    <row r="2071" s="27" customFormat="1" ht="25" customHeight="1" spans="1:20">
      <c r="A2071" s="34"/>
      <c r="B2071" s="48">
        <v>14</v>
      </c>
      <c r="C2071" s="48"/>
      <c r="D2071" s="88" t="s">
        <v>290</v>
      </c>
      <c r="E2071" s="72" t="str">
        <f>+VLOOKUP(D2071,'材料表 '!C:F,2,0)</f>
        <v>m2</v>
      </c>
      <c r="F2071" s="77">
        <v>1</v>
      </c>
      <c r="G2071" s="89">
        <f>+VLOOKUP(D2071,'材料表 '!C:F,4,0)</f>
        <v>0.06</v>
      </c>
      <c r="H2071" s="74">
        <f t="shared" si="327"/>
        <v>1.06</v>
      </c>
      <c r="I2071" s="74">
        <f>+VLOOKUP(D2071,'材料表 '!C:F,3,0)</f>
        <v>3119.46902654867</v>
      </c>
      <c r="J2071" s="95">
        <f t="shared" si="326"/>
        <v>3306.63716814159</v>
      </c>
      <c r="K2071" s="60">
        <f ca="1">H2071*K2045</f>
        <v>32.67768</v>
      </c>
      <c r="L2071" s="92"/>
      <c r="M2071" s="44"/>
      <c r="N2071" s="44"/>
      <c r="O2071" s="44"/>
      <c r="P2071" s="44"/>
      <c r="Q2071" s="44"/>
      <c r="R2071" s="84"/>
      <c r="S2071" s="47"/>
      <c r="T2071" s="47"/>
    </row>
    <row r="2072" s="27" customFormat="1" ht="18" customHeight="1" spans="1:20">
      <c r="A2072" s="34"/>
      <c r="B2072" s="48">
        <v>15</v>
      </c>
      <c r="C2072" s="48"/>
      <c r="D2072" s="88"/>
      <c r="E2072" s="72"/>
      <c r="F2072" s="77"/>
      <c r="G2072" s="89"/>
      <c r="H2072" s="74"/>
      <c r="I2072" s="74"/>
      <c r="J2072" s="95"/>
      <c r="K2072" s="92">
        <f ca="1">H2072*K2045</f>
        <v>0</v>
      </c>
      <c r="L2072" s="92"/>
      <c r="M2072" s="44"/>
      <c r="N2072" s="44"/>
      <c r="O2072" s="44"/>
      <c r="P2072" s="44"/>
      <c r="Q2072" s="44"/>
      <c r="R2072" s="84"/>
      <c r="S2072" s="47"/>
      <c r="T2072" s="47"/>
    </row>
    <row r="2073" s="27" customFormat="1" ht="18" customHeight="1" spans="1:20">
      <c r="A2073" s="34"/>
      <c r="B2073" s="48">
        <v>16</v>
      </c>
      <c r="C2073" s="48"/>
      <c r="D2073" s="88"/>
      <c r="E2073" s="72"/>
      <c r="F2073" s="77"/>
      <c r="G2073" s="89"/>
      <c r="H2073" s="74"/>
      <c r="I2073" s="74"/>
      <c r="J2073" s="95"/>
      <c r="K2073" s="92">
        <f ca="1">H2073*K2045</f>
        <v>0</v>
      </c>
      <c r="L2073" s="92"/>
      <c r="M2073" s="44"/>
      <c r="N2073" s="44"/>
      <c r="O2073" s="44"/>
      <c r="P2073" s="44"/>
      <c r="Q2073" s="44"/>
      <c r="R2073" s="84"/>
      <c r="S2073" s="47"/>
      <c r="T2073" s="47"/>
    </row>
    <row r="2074" s="27" customFormat="1" ht="18" customHeight="1" spans="1:20">
      <c r="A2074" s="34"/>
      <c r="B2074" s="48">
        <v>17</v>
      </c>
      <c r="C2074" s="48"/>
      <c r="D2074" s="121"/>
      <c r="E2074" s="72"/>
      <c r="F2074" s="77"/>
      <c r="G2074" s="89"/>
      <c r="H2074" s="74"/>
      <c r="I2074" s="74"/>
      <c r="J2074" s="95"/>
      <c r="K2074" s="92"/>
      <c r="L2074" s="92"/>
      <c r="M2074" s="44"/>
      <c r="N2074" s="44"/>
      <c r="O2074" s="44"/>
      <c r="P2074" s="44"/>
      <c r="Q2074" s="101"/>
      <c r="R2074" s="84"/>
      <c r="S2074" s="47"/>
      <c r="T2074" s="47"/>
    </row>
    <row r="2075" s="27" customFormat="1" ht="18" customHeight="1" spans="1:20">
      <c r="A2075" s="34"/>
      <c r="B2075" s="48">
        <v>18</v>
      </c>
      <c r="C2075" s="48"/>
      <c r="D2075" s="88"/>
      <c r="E2075" s="72"/>
      <c r="F2075" s="77"/>
      <c r="G2075" s="89"/>
      <c r="H2075" s="74"/>
      <c r="I2075" s="74"/>
      <c r="J2075" s="95"/>
      <c r="K2075" s="92"/>
      <c r="L2075" s="92"/>
      <c r="M2075" s="44"/>
      <c r="N2075" s="44"/>
      <c r="O2075" s="44"/>
      <c r="P2075" s="44"/>
      <c r="Q2075" s="44"/>
      <c r="R2075" s="84"/>
      <c r="S2075" s="47"/>
      <c r="T2075" s="47"/>
    </row>
    <row r="2076" s="27" customFormat="1" ht="18" customHeight="1" spans="1:20">
      <c r="A2076" s="34"/>
      <c r="B2076" s="48">
        <v>19</v>
      </c>
      <c r="C2076" s="48"/>
      <c r="D2076" s="27"/>
      <c r="E2076" s="72"/>
      <c r="F2076" s="77"/>
      <c r="G2076" s="89"/>
      <c r="H2076" s="74"/>
      <c r="I2076" s="74"/>
      <c r="J2076" s="95"/>
      <c r="K2076" s="92"/>
      <c r="L2076" s="92"/>
      <c r="M2076" s="44"/>
      <c r="N2076" s="44"/>
      <c r="O2076" s="44"/>
      <c r="P2076" s="44"/>
      <c r="Q2076" s="44"/>
      <c r="R2076" s="84"/>
      <c r="S2076" s="47"/>
      <c r="T2076" s="47"/>
    </row>
    <row r="2077" s="27" customFormat="1" ht="18" customHeight="1" spans="1:20">
      <c r="A2077" s="34"/>
      <c r="B2077" s="48">
        <v>20</v>
      </c>
      <c r="C2077" s="48"/>
      <c r="D2077" s="88"/>
      <c r="E2077" s="72"/>
      <c r="F2077" s="77"/>
      <c r="G2077" s="89"/>
      <c r="H2077" s="74"/>
      <c r="I2077" s="74"/>
      <c r="J2077" s="95"/>
      <c r="K2077" s="92"/>
      <c r="L2077" s="92"/>
      <c r="M2077" s="44"/>
      <c r="N2077" s="44"/>
      <c r="O2077" s="44"/>
      <c r="P2077" s="44"/>
      <c r="Q2077" s="44"/>
      <c r="R2077" s="84"/>
      <c r="S2077" s="47"/>
      <c r="T2077" s="47"/>
    </row>
    <row r="2078" s="27" customFormat="1" ht="18" customHeight="1" spans="1:20">
      <c r="A2078" s="34"/>
      <c r="B2078" s="48">
        <v>21</v>
      </c>
      <c r="C2078" s="48"/>
      <c r="D2078" s="88"/>
      <c r="E2078" s="72"/>
      <c r="F2078" s="77"/>
      <c r="G2078" s="89"/>
      <c r="H2078" s="74"/>
      <c r="I2078" s="74"/>
      <c r="J2078" s="95"/>
      <c r="K2078" s="92"/>
      <c r="L2078" s="92"/>
      <c r="M2078" s="44"/>
      <c r="N2078" s="44"/>
      <c r="O2078" s="44"/>
      <c r="P2078" s="44"/>
      <c r="Q2078" s="44"/>
      <c r="R2078" s="84"/>
      <c r="S2078" s="47"/>
      <c r="T2078" s="47"/>
    </row>
    <row r="2079" s="27" customFormat="1" ht="18" customHeight="1" spans="1:20">
      <c r="A2079" s="34"/>
      <c r="B2079" s="48">
        <v>22</v>
      </c>
      <c r="C2079" s="48"/>
      <c r="D2079" s="27"/>
      <c r="E2079" s="72"/>
      <c r="F2079" s="77"/>
      <c r="G2079" s="72"/>
      <c r="H2079" s="74"/>
      <c r="I2079" s="74"/>
      <c r="J2079" s="95"/>
      <c r="K2079" s="92"/>
      <c r="L2079" s="92"/>
      <c r="M2079" s="44"/>
      <c r="N2079" s="44"/>
      <c r="O2079" s="44"/>
      <c r="P2079" s="44"/>
      <c r="Q2079" s="44"/>
      <c r="R2079" s="62"/>
      <c r="S2079" s="47"/>
      <c r="T2079" s="47"/>
    </row>
    <row r="2080" s="27" customFormat="1" ht="18" customHeight="1" spans="1:20">
      <c r="A2080" s="34"/>
      <c r="B2080" s="48">
        <v>23</v>
      </c>
      <c r="C2080" s="48"/>
      <c r="D2080" s="88"/>
      <c r="E2080" s="72"/>
      <c r="F2080" s="77"/>
      <c r="G2080" s="89"/>
      <c r="H2080" s="74"/>
      <c r="I2080" s="74"/>
      <c r="J2080" s="95"/>
      <c r="K2080" s="92"/>
      <c r="L2080" s="92"/>
      <c r="M2080" s="44"/>
      <c r="N2080" s="44"/>
      <c r="O2080" s="44"/>
      <c r="P2080" s="44"/>
      <c r="Q2080" s="44"/>
      <c r="R2080" s="62"/>
      <c r="S2080" s="47"/>
      <c r="T2080" s="47"/>
    </row>
    <row r="2081" s="27" customFormat="1" ht="18" customHeight="1" spans="1:20">
      <c r="A2081" s="34"/>
      <c r="B2081" s="48">
        <v>24</v>
      </c>
      <c r="C2081" s="48"/>
      <c r="D2081" s="88" t="s">
        <v>478</v>
      </c>
      <c r="E2081" s="72" t="s">
        <v>43</v>
      </c>
      <c r="F2081" s="77"/>
      <c r="G2081" s="72">
        <v>1</v>
      </c>
      <c r="H2081" s="74">
        <v>1</v>
      </c>
      <c r="I2081" s="74">
        <f>+辅材及安装费!$E$8</f>
        <v>10</v>
      </c>
      <c r="J2081" s="95">
        <f>H2081*I2081</f>
        <v>10</v>
      </c>
      <c r="K2081" s="92"/>
      <c r="L2081" s="92"/>
      <c r="M2081" s="44"/>
      <c r="N2081" s="44"/>
      <c r="O2081" s="44"/>
      <c r="P2081" s="44"/>
      <c r="Q2081" s="44"/>
      <c r="R2081" s="62"/>
      <c r="S2081" s="47"/>
      <c r="T2081" s="47"/>
    </row>
    <row r="2082" s="27" customFormat="1" ht="18" customHeight="1" spans="1:20">
      <c r="A2082" s="34"/>
      <c r="B2082" s="48">
        <v>25</v>
      </c>
      <c r="C2082" s="48"/>
      <c r="D2082" s="93" t="s">
        <v>442</v>
      </c>
      <c r="E2082" s="72"/>
      <c r="F2082" s="77"/>
      <c r="G2082" s="72"/>
      <c r="H2082" s="74"/>
      <c r="I2082" s="74"/>
      <c r="J2082" s="95">
        <f>SUM(J2059:J2081)</f>
        <v>3576.32693859257</v>
      </c>
      <c r="K2082" s="92"/>
      <c r="L2082" s="94"/>
      <c r="M2082" s="27"/>
      <c r="N2082" s="83"/>
      <c r="O2082" s="83"/>
      <c r="P2082" s="83"/>
      <c r="Q2082" s="83"/>
      <c r="R2082" s="87"/>
      <c r="S2082" s="47"/>
      <c r="T2082" s="47"/>
    </row>
    <row r="2083" s="27" customFormat="1" ht="18" customHeight="1" spans="1:20">
      <c r="A2083" s="34"/>
      <c r="B2083" s="48">
        <v>1</v>
      </c>
      <c r="C2083" s="48" t="s">
        <v>443</v>
      </c>
      <c r="D2083" s="48" t="s">
        <v>444</v>
      </c>
      <c r="E2083" s="72" t="s">
        <v>43</v>
      </c>
      <c r="F2083" s="50"/>
      <c r="G2083" s="48"/>
      <c r="H2083" s="51">
        <v>1</v>
      </c>
      <c r="I2083" s="74">
        <f>+辅材及安装费!$F$8</f>
        <v>5</v>
      </c>
      <c r="J2083" s="95">
        <f>H2083*I2083</f>
        <v>5</v>
      </c>
      <c r="K2083" s="118"/>
      <c r="L2083" s="96"/>
      <c r="M2083" s="97"/>
      <c r="N2083" s="98"/>
      <c r="O2083" s="98"/>
      <c r="P2083" s="98"/>
      <c r="Q2083" s="98"/>
      <c r="R2083" s="99"/>
      <c r="S2083" s="47"/>
      <c r="T2083" s="47"/>
    </row>
    <row r="2084" s="26" customFormat="1" ht="30" customHeight="1" spans="1:20">
      <c r="A2084" s="28"/>
      <c r="B2084" s="29" t="s">
        <v>386</v>
      </c>
      <c r="C2084" s="29"/>
      <c r="D2084" s="29"/>
      <c r="E2084" s="29"/>
      <c r="F2084" s="29"/>
      <c r="G2084" s="29"/>
      <c r="H2084" s="29"/>
      <c r="I2084" s="29"/>
      <c r="J2084" s="29"/>
      <c r="K2084" s="29"/>
      <c r="L2084" s="30"/>
      <c r="M2084" s="31"/>
      <c r="N2084" s="31"/>
      <c r="O2084" s="31"/>
      <c r="P2084" s="31"/>
      <c r="Q2084" s="31"/>
      <c r="R2084" s="32"/>
      <c r="S2084" s="33"/>
      <c r="T2084" s="33"/>
    </row>
    <row r="2085" s="27" customFormat="1" ht="33.75" customHeight="1" spans="1:20">
      <c r="A2085" s="34">
        <v>9</v>
      </c>
      <c r="B2085" s="35" t="s">
        <v>1</v>
      </c>
      <c r="C2085" s="35" t="s">
        <v>387</v>
      </c>
      <c r="D2085" s="36" t="str">
        <f>+A2093</f>
        <v>30mm厚透光云石（造型柱弧形）</v>
      </c>
      <c r="E2085" s="37"/>
      <c r="F2085" s="38" t="s">
        <v>99</v>
      </c>
      <c r="G2085" s="39"/>
      <c r="H2085" s="35" t="s">
        <v>388</v>
      </c>
      <c r="I2085" s="40" t="s">
        <v>389</v>
      </c>
      <c r="J2085" s="41" t="s">
        <v>37</v>
      </c>
      <c r="K2085" s="123">
        <f ca="1">VLOOKUP(A2085,'商业工程量清单 '!$A$47:$D$58,4,FALSE)</f>
        <v>20.8104</v>
      </c>
      <c r="L2085" s="43"/>
      <c r="M2085" s="44"/>
      <c r="N2085" s="44"/>
      <c r="O2085" s="44"/>
      <c r="P2085" s="45"/>
      <c r="Q2085" s="44"/>
      <c r="R2085" s="46"/>
      <c r="S2085" s="47"/>
      <c r="T2085" s="47"/>
    </row>
    <row r="2086" s="27" customFormat="1" ht="18" customHeight="1" spans="1:20">
      <c r="A2086" s="34"/>
      <c r="B2086" s="48">
        <v>1</v>
      </c>
      <c r="C2086" s="49" t="s">
        <v>390</v>
      </c>
      <c r="D2086" s="48" t="s">
        <v>391</v>
      </c>
      <c r="E2086" s="48"/>
      <c r="F2086" s="50"/>
      <c r="G2086" s="48"/>
      <c r="H2086" s="51"/>
      <c r="I2086" s="52">
        <f>J2098</f>
        <v>210</v>
      </c>
      <c r="J2086" s="53" t="s">
        <v>392</v>
      </c>
      <c r="K2086" s="54"/>
      <c r="L2086" s="55" t="s">
        <v>1056</v>
      </c>
      <c r="M2086" s="56"/>
      <c r="N2086" s="57"/>
      <c r="O2086" s="57">
        <v>1.936</v>
      </c>
      <c r="P2086" s="57">
        <v>0.99</v>
      </c>
      <c r="Q2086" s="57">
        <v>1</v>
      </c>
      <c r="R2086" s="58">
        <f>+Q2086*P2086*O2086</f>
        <v>1.91664</v>
      </c>
      <c r="S2086" s="47"/>
      <c r="T2086" s="47"/>
    </row>
    <row r="2087" s="27" customFormat="1" ht="18" customHeight="1" spans="1:20">
      <c r="A2087" s="34"/>
      <c r="B2087" s="48">
        <v>2</v>
      </c>
      <c r="C2087" s="59"/>
      <c r="D2087" s="48" t="s">
        <v>394</v>
      </c>
      <c r="E2087" s="48"/>
      <c r="F2087" s="50"/>
      <c r="G2087" s="48"/>
      <c r="H2087" s="51"/>
      <c r="I2087" s="52">
        <f>J2122</f>
        <v>2978.64883558033</v>
      </c>
      <c r="J2087" s="53" t="s">
        <v>392</v>
      </c>
      <c r="K2087" s="60"/>
      <c r="L2087" s="61" t="s">
        <v>99</v>
      </c>
      <c r="M2087" s="44"/>
      <c r="N2087" s="44"/>
      <c r="O2087" s="44"/>
      <c r="P2087" s="44"/>
      <c r="Q2087" s="44"/>
      <c r="R2087" s="62"/>
      <c r="S2087" s="47"/>
      <c r="T2087" s="47"/>
    </row>
    <row r="2088" s="27" customFormat="1" ht="18" customHeight="1" spans="1:20">
      <c r="A2088" s="34"/>
      <c r="B2088" s="48">
        <v>3</v>
      </c>
      <c r="C2088" s="63"/>
      <c r="D2088" s="48" t="s">
        <v>395</v>
      </c>
      <c r="E2088" s="48"/>
      <c r="F2088" s="50"/>
      <c r="G2088" s="48"/>
      <c r="H2088" s="51"/>
      <c r="I2088" s="52">
        <f>J2123</f>
        <v>5</v>
      </c>
      <c r="J2088" s="53" t="s">
        <v>392</v>
      </c>
      <c r="K2088" s="60"/>
      <c r="L2088" s="60"/>
      <c r="M2088" s="64" t="s">
        <v>396</v>
      </c>
      <c r="N2088" s="65" t="s">
        <v>397</v>
      </c>
      <c r="O2088" s="65" t="s">
        <v>398</v>
      </c>
      <c r="P2088" s="65" t="s">
        <v>399</v>
      </c>
      <c r="Q2088" s="65" t="s">
        <v>400</v>
      </c>
      <c r="R2088" s="66" t="s">
        <v>401</v>
      </c>
      <c r="S2088" s="47"/>
      <c r="T2088" s="47"/>
    </row>
    <row r="2089" s="27" customFormat="1" ht="18" customHeight="1" spans="1:20">
      <c r="A2089" s="34"/>
      <c r="B2089" s="48">
        <v>4</v>
      </c>
      <c r="C2089" s="48" t="s">
        <v>402</v>
      </c>
      <c r="D2089" s="67" t="s">
        <v>403</v>
      </c>
      <c r="E2089" s="67"/>
      <c r="F2089" s="50"/>
      <c r="G2089" s="67"/>
      <c r="H2089" s="68"/>
      <c r="I2089" s="52">
        <f>SUM(I2086:I2088)</f>
        <v>3193.64883558033</v>
      </c>
      <c r="J2089" s="53" t="s">
        <v>392</v>
      </c>
      <c r="K2089" s="60"/>
      <c r="L2089" s="69" t="s">
        <v>431</v>
      </c>
      <c r="M2089" s="34" t="s">
        <v>460</v>
      </c>
      <c r="N2089" s="102">
        <v>10.21</v>
      </c>
      <c r="O2089" s="34">
        <f>+P2086</f>
        <v>0.99</v>
      </c>
      <c r="P2089" s="34">
        <v>1.5</v>
      </c>
      <c r="Q2089" s="44">
        <f t="shared" ref="Q2089:Q2093" si="329">+P2089*O2089*N2089</f>
        <v>15.16185</v>
      </c>
      <c r="R2089" s="71">
        <f>+Q2089/R2086</f>
        <v>7.91064049586777</v>
      </c>
      <c r="S2089" s="47"/>
      <c r="T2089" s="47"/>
    </row>
    <row r="2090" s="27" customFormat="1" ht="28" customHeight="1" spans="1:20">
      <c r="A2090" s="34"/>
      <c r="B2090" s="48">
        <v>5</v>
      </c>
      <c r="C2090" s="72" t="s">
        <v>406</v>
      </c>
      <c r="D2090" s="48" t="s">
        <v>407</v>
      </c>
      <c r="E2090" s="48"/>
      <c r="F2090" s="50"/>
      <c r="G2090" s="48"/>
      <c r="H2090" s="73">
        <f>+'材料表 '!$E$178</f>
        <v>0</v>
      </c>
      <c r="I2090" s="52">
        <f>H2090*I2089</f>
        <v>0</v>
      </c>
      <c r="J2090" s="53" t="s">
        <v>392</v>
      </c>
      <c r="K2090" s="60"/>
      <c r="L2090" s="69" t="s">
        <v>461</v>
      </c>
      <c r="M2090" s="34" t="s">
        <v>462</v>
      </c>
      <c r="N2090" s="34">
        <v>3.77</v>
      </c>
      <c r="O2090" s="34">
        <f>+O2086</f>
        <v>1.936</v>
      </c>
      <c r="P2090" s="34">
        <v>2</v>
      </c>
      <c r="Q2090" s="44">
        <f t="shared" si="329"/>
        <v>14.59744</v>
      </c>
      <c r="R2090" s="71">
        <f>+Q2090/R2086</f>
        <v>7.61616161616162</v>
      </c>
      <c r="S2090" s="47"/>
      <c r="T2090" s="47"/>
    </row>
    <row r="2091" s="27" customFormat="1" ht="18" customHeight="1" spans="1:20">
      <c r="A2091" s="34"/>
      <c r="B2091" s="48">
        <v>6</v>
      </c>
      <c r="C2091" s="48" t="s">
        <v>409</v>
      </c>
      <c r="D2091" s="48" t="s">
        <v>410</v>
      </c>
      <c r="E2091" s="48"/>
      <c r="F2091" s="50"/>
      <c r="G2091" s="48"/>
      <c r="H2091" s="73">
        <f>+'材料表 '!$E$179</f>
        <v>0</v>
      </c>
      <c r="I2091" s="52">
        <f>H2091*I2089</f>
        <v>0</v>
      </c>
      <c r="J2091" s="53" t="s">
        <v>392</v>
      </c>
      <c r="K2091" s="60"/>
      <c r="L2091" s="69" t="s">
        <v>463</v>
      </c>
      <c r="M2091" s="34" t="s">
        <v>490</v>
      </c>
      <c r="N2091" s="34">
        <f>0.3*0.2*7.85*10</f>
        <v>4.71</v>
      </c>
      <c r="O2091" s="34">
        <v>0.5</v>
      </c>
      <c r="P2091" s="34">
        <f>+P2089</f>
        <v>1.5</v>
      </c>
      <c r="Q2091" s="44">
        <f t="shared" si="329"/>
        <v>3.5325</v>
      </c>
      <c r="R2091" s="71">
        <f>+Q2091/R2086</f>
        <v>1.84306912096168</v>
      </c>
      <c r="S2091" s="47"/>
      <c r="T2091" s="47"/>
    </row>
    <row r="2092" s="27" customFormat="1" ht="18" customHeight="1" spans="1:20">
      <c r="A2092" s="34"/>
      <c r="B2092" s="48">
        <v>7</v>
      </c>
      <c r="C2092" s="48" t="s">
        <v>412</v>
      </c>
      <c r="D2092" s="72" t="s">
        <v>413</v>
      </c>
      <c r="E2092" s="72"/>
      <c r="F2092" s="77"/>
      <c r="G2092" s="72"/>
      <c r="H2092" s="73">
        <f>+'材料表 '!$E$180</f>
        <v>0.09</v>
      </c>
      <c r="I2092" s="52">
        <f>(I2089+I2090+I2091)*H2092</f>
        <v>287.42839520223</v>
      </c>
      <c r="J2092" s="53" t="s">
        <v>392</v>
      </c>
      <c r="K2092" s="60"/>
      <c r="L2092" s="69" t="s">
        <v>465</v>
      </c>
      <c r="M2092" s="34" t="s">
        <v>466</v>
      </c>
      <c r="N2092" s="100">
        <f>3.77</f>
        <v>3.77</v>
      </c>
      <c r="O2092" s="34">
        <v>0.155</v>
      </c>
      <c r="P2092" s="34">
        <v>0</v>
      </c>
      <c r="Q2092" s="44">
        <f t="shared" si="329"/>
        <v>0</v>
      </c>
      <c r="R2092" s="71">
        <f>+Q2092/R2086</f>
        <v>0</v>
      </c>
      <c r="S2092" s="47"/>
      <c r="T2092" s="47"/>
    </row>
    <row r="2093" s="27" customFormat="1" ht="18" customHeight="1" spans="1:20">
      <c r="A2093" s="105" t="s">
        <v>300</v>
      </c>
      <c r="B2093" s="48">
        <v>8</v>
      </c>
      <c r="C2093" s="48" t="s">
        <v>363</v>
      </c>
      <c r="D2093" s="106" t="s">
        <v>415</v>
      </c>
      <c r="E2093" s="107"/>
      <c r="F2093" s="108"/>
      <c r="G2093" s="107"/>
      <c r="H2093" s="51"/>
      <c r="I2093" s="74">
        <f>SUM(I2089:I2092)</f>
        <v>3481.07723078256</v>
      </c>
      <c r="J2093" s="53" t="s">
        <v>416</v>
      </c>
      <c r="K2093" s="60"/>
      <c r="L2093" s="69" t="s">
        <v>465</v>
      </c>
      <c r="M2093" s="44" t="s">
        <v>468</v>
      </c>
      <c r="N2093" s="82">
        <v>5.778</v>
      </c>
      <c r="O2093" s="44">
        <v>0.125</v>
      </c>
      <c r="P2093" s="44">
        <f>+P2089*2</f>
        <v>3</v>
      </c>
      <c r="Q2093" s="44">
        <f t="shared" si="329"/>
        <v>2.16675</v>
      </c>
      <c r="R2093" s="84">
        <f>+Q2093/R2086</f>
        <v>1.13049398948159</v>
      </c>
      <c r="S2093" s="79"/>
      <c r="T2093" s="47"/>
    </row>
    <row r="2094" s="27" customFormat="1" ht="18" customHeight="1" spans="1:20">
      <c r="A2094" s="34"/>
      <c r="B2094" s="109" t="s">
        <v>418</v>
      </c>
      <c r="C2094" s="110"/>
      <c r="D2094" s="110"/>
      <c r="E2094" s="110"/>
      <c r="F2094" s="110"/>
      <c r="G2094" s="110"/>
      <c r="H2094" s="110"/>
      <c r="I2094" s="110"/>
      <c r="J2094" s="110"/>
      <c r="K2094" s="80"/>
      <c r="L2094" s="90" t="s">
        <v>469</v>
      </c>
      <c r="M2094" s="44"/>
      <c r="N2094" s="82"/>
      <c r="O2094" s="44">
        <f>4*4</f>
        <v>16</v>
      </c>
      <c r="P2094" s="44">
        <v>1</v>
      </c>
      <c r="Q2094" s="44">
        <f>+P2094*O2094</f>
        <v>16</v>
      </c>
      <c r="R2094" s="84">
        <f>+Q2094/R2086</f>
        <v>8.34794223223975</v>
      </c>
      <c r="S2094" s="47"/>
      <c r="T2094" s="47"/>
    </row>
    <row r="2095" s="27" customFormat="1" ht="18" customHeight="1" spans="1:20">
      <c r="A2095" s="34"/>
      <c r="B2095" s="48">
        <v>1</v>
      </c>
      <c r="C2095" s="48" t="s">
        <v>391</v>
      </c>
      <c r="D2095" s="48" t="s">
        <v>396</v>
      </c>
      <c r="E2095" s="48" t="s">
        <v>37</v>
      </c>
      <c r="F2095" s="50"/>
      <c r="G2095" s="48"/>
      <c r="H2095" s="51" t="s">
        <v>399</v>
      </c>
      <c r="I2095" s="51" t="s">
        <v>420</v>
      </c>
      <c r="J2095" s="95" t="s">
        <v>421</v>
      </c>
      <c r="K2095" s="92"/>
      <c r="L2095" s="90"/>
      <c r="M2095" s="44"/>
      <c r="N2095" s="82"/>
      <c r="O2095" s="44"/>
      <c r="P2095" s="44"/>
      <c r="Q2095" s="44"/>
      <c r="R2095" s="84"/>
      <c r="S2095" s="47"/>
      <c r="T2095" s="47"/>
    </row>
    <row r="2096" s="27" customFormat="1" ht="18" customHeight="1" spans="1:20">
      <c r="A2096" s="34"/>
      <c r="B2096" s="48">
        <v>2</v>
      </c>
      <c r="C2096" s="48"/>
      <c r="D2096" s="111" t="s">
        <v>470</v>
      </c>
      <c r="E2096" s="49" t="s">
        <v>423</v>
      </c>
      <c r="F2096" s="112"/>
      <c r="G2096" s="111"/>
      <c r="H2096" s="113">
        <v>1</v>
      </c>
      <c r="I2096" s="113">
        <f>+辅材及安装费!$G$8</f>
        <v>210</v>
      </c>
      <c r="J2096" s="114">
        <f t="shared" ref="J2096:J2111" si="330">H2096*I2096</f>
        <v>210</v>
      </c>
      <c r="K2096" s="92"/>
      <c r="L2096" s="90" t="s">
        <v>471</v>
      </c>
      <c r="M2096" s="44"/>
      <c r="N2096" s="82"/>
      <c r="O2096" s="44"/>
      <c r="P2096" s="44"/>
      <c r="Q2096" s="44">
        <f>+Q2094</f>
        <v>16</v>
      </c>
      <c r="R2096" s="84">
        <f>+Q2096/R2086</f>
        <v>8.34794223223975</v>
      </c>
      <c r="S2096" s="47"/>
      <c r="T2096" s="47"/>
    </row>
    <row r="2097" s="27" customFormat="1" ht="18" customHeight="1" spans="1:20">
      <c r="A2097" s="34"/>
      <c r="B2097" s="48">
        <v>3</v>
      </c>
      <c r="C2097" s="48"/>
      <c r="D2097" s="115"/>
      <c r="E2097" s="63"/>
      <c r="F2097" s="116"/>
      <c r="G2097" s="115"/>
      <c r="H2097" s="117"/>
      <c r="I2097" s="117"/>
      <c r="J2097" s="118"/>
      <c r="K2097" s="92"/>
      <c r="L2097" s="90" t="s">
        <v>472</v>
      </c>
      <c r="M2097" s="44"/>
      <c r="N2097" s="82"/>
      <c r="O2097" s="44"/>
      <c r="P2097" s="44">
        <f>+P2092</f>
        <v>0</v>
      </c>
      <c r="Q2097" s="44">
        <f>+P2097</f>
        <v>0</v>
      </c>
      <c r="R2097" s="84">
        <f>+Q2097/R2086</f>
        <v>0</v>
      </c>
      <c r="S2097" s="47"/>
      <c r="T2097" s="47"/>
    </row>
    <row r="2098" s="27" customFormat="1" ht="18" customHeight="1" spans="1:20">
      <c r="A2098" s="34"/>
      <c r="B2098" s="48">
        <v>4</v>
      </c>
      <c r="C2098" s="48"/>
      <c r="D2098" s="85" t="s">
        <v>426</v>
      </c>
      <c r="E2098" s="48" t="s">
        <v>392</v>
      </c>
      <c r="F2098" s="50"/>
      <c r="G2098" s="48"/>
      <c r="H2098" s="86"/>
      <c r="I2098" s="86"/>
      <c r="J2098" s="95">
        <f>SUM(J2096:J2096)</f>
        <v>210</v>
      </c>
      <c r="K2098" s="92"/>
      <c r="L2098" s="90" t="s">
        <v>473</v>
      </c>
      <c r="M2098" s="44"/>
      <c r="N2098" s="82"/>
      <c r="O2098" s="44"/>
      <c r="P2098" s="44"/>
      <c r="Q2098" s="44">
        <f>+(Q2094)*3</f>
        <v>48</v>
      </c>
      <c r="R2098" s="84">
        <f>+Q2098/R2086</f>
        <v>25.0438266967193</v>
      </c>
      <c r="S2098" s="47"/>
      <c r="T2098" s="47"/>
    </row>
    <row r="2099" s="27" customFormat="1" ht="23" customHeight="1" spans="1:20">
      <c r="A2099" s="34"/>
      <c r="B2099" s="48">
        <v>1</v>
      </c>
      <c r="C2099" s="48" t="s">
        <v>394</v>
      </c>
      <c r="D2099" s="88" t="s">
        <v>431</v>
      </c>
      <c r="E2099" s="72" t="str">
        <f>+VLOOKUP(D2099,'材料表 '!C:F,2,0)</f>
        <v>kg</v>
      </c>
      <c r="F2099" s="77">
        <f>+SUMIF($L$2086:$L$3283,D2099,$R$2086:$R$3283)</f>
        <v>274.157335861124</v>
      </c>
      <c r="G2099" s="89">
        <f>+VLOOKUP(D2099,'材料表 '!C:F,4,0)</f>
        <v>0.03</v>
      </c>
      <c r="H2099" s="74">
        <f t="shared" ref="H2099:H2111" si="331">F2099*(G2099+1)</f>
        <v>282.382055936958</v>
      </c>
      <c r="I2099" s="74">
        <f>+VLOOKUP(D2099,'材料表 '!C:F,3,0)</f>
        <v>3.80530973451327</v>
      </c>
      <c r="J2099" s="95">
        <f t="shared" si="330"/>
        <v>1074.55118630878</v>
      </c>
      <c r="K2099" s="60">
        <f ca="1">H2099*K2085</f>
        <v>5876.48353687047</v>
      </c>
      <c r="L2099" s="90"/>
      <c r="M2099" s="44"/>
      <c r="N2099" s="82"/>
      <c r="O2099" s="44"/>
      <c r="P2099" s="44"/>
      <c r="Q2099" s="44"/>
      <c r="R2099" s="84"/>
      <c r="S2099" s="47"/>
      <c r="T2099" s="47"/>
    </row>
    <row r="2100" s="27" customFormat="1" ht="18" customHeight="1" spans="1:20">
      <c r="A2100" s="34"/>
      <c r="B2100" s="48">
        <v>2</v>
      </c>
      <c r="C2100" s="48"/>
      <c r="D2100" s="88" t="s">
        <v>461</v>
      </c>
      <c r="E2100" s="72" t="str">
        <f>+VLOOKUP(D2100,'材料表 '!C:F,2,0)</f>
        <v>kg</v>
      </c>
      <c r="F2100" s="77">
        <f t="shared" ref="F2100:F2108" si="332">+SUMIF($L$2086:$L$3283,D2100,$R$2086:$R$3283)</f>
        <v>66.6229576046529</v>
      </c>
      <c r="G2100" s="89">
        <f>+VLOOKUP(D2100,'材料表 '!C:F,4,0)</f>
        <v>0.03</v>
      </c>
      <c r="H2100" s="74">
        <f t="shared" si="331"/>
        <v>68.6216463327925</v>
      </c>
      <c r="I2100" s="74">
        <f>+VLOOKUP(D2100,'材料表 '!C:F,3,0)</f>
        <v>3.53982300884956</v>
      </c>
      <c r="J2100" s="95">
        <f t="shared" si="330"/>
        <v>242.908482593956</v>
      </c>
      <c r="K2100" s="60">
        <f ca="1">H2100*K2085</f>
        <v>1428.04390884394</v>
      </c>
      <c r="L2100" s="90"/>
      <c r="M2100" s="44"/>
      <c r="N2100" s="82"/>
      <c r="O2100" s="44"/>
      <c r="P2100" s="44"/>
      <c r="Q2100" s="44"/>
      <c r="R2100" s="84"/>
      <c r="S2100" s="47"/>
      <c r="T2100" s="47"/>
    </row>
    <row r="2101" s="27" customFormat="1" ht="18" customHeight="1" spans="1:20">
      <c r="A2101" s="34"/>
      <c r="B2101" s="48">
        <v>3</v>
      </c>
      <c r="C2101" s="48"/>
      <c r="D2101" s="88" t="s">
        <v>465</v>
      </c>
      <c r="E2101" s="72" t="str">
        <f>+VLOOKUP(D2101,'材料表 '!C:F,2,0)</f>
        <v>kg</v>
      </c>
      <c r="F2101" s="77">
        <f t="shared" si="332"/>
        <v>17.4193972184779</v>
      </c>
      <c r="G2101" s="89">
        <f>+VLOOKUP(D2101,'材料表 '!C:F,4,0)</f>
        <v>0.03</v>
      </c>
      <c r="H2101" s="74">
        <f t="shared" si="331"/>
        <v>17.9419791350322</v>
      </c>
      <c r="I2101" s="74">
        <f>+VLOOKUP(D2101,'材料表 '!C:F,3,0)</f>
        <v>6.01769911504425</v>
      </c>
      <c r="J2101" s="95">
        <f t="shared" si="330"/>
        <v>107.969431963026</v>
      </c>
      <c r="K2101" s="60">
        <f ca="1">H2101*K2085</f>
        <v>373.379762591674</v>
      </c>
      <c r="L2101" s="90" t="s">
        <v>474</v>
      </c>
      <c r="M2101" s="44"/>
      <c r="N2101" s="82"/>
      <c r="O2101" s="44"/>
      <c r="P2101" s="44"/>
      <c r="Q2101" s="44">
        <f>+O2091*P2091*4</f>
        <v>3</v>
      </c>
      <c r="R2101" s="84">
        <f>+Q2101/R2086</f>
        <v>1.56523916854495</v>
      </c>
      <c r="S2101" s="47"/>
      <c r="T2101" s="47"/>
    </row>
    <row r="2102" s="27" customFormat="1" ht="18" customHeight="1" spans="1:20">
      <c r="A2102" s="34"/>
      <c r="B2102" s="48">
        <v>4</v>
      </c>
      <c r="C2102" s="48"/>
      <c r="D2102" s="88" t="s">
        <v>463</v>
      </c>
      <c r="E2102" s="72" t="str">
        <f>+VLOOKUP(D2102,'材料表 '!C:F,2,0)</f>
        <v>kg</v>
      </c>
      <c r="F2102" s="77">
        <f t="shared" si="332"/>
        <v>31.5422582910142</v>
      </c>
      <c r="G2102" s="89">
        <f>+VLOOKUP(D2102,'材料表 '!C:F,4,0)</f>
        <v>0.03</v>
      </c>
      <c r="H2102" s="74">
        <f t="shared" si="331"/>
        <v>32.4885260397446</v>
      </c>
      <c r="I2102" s="74">
        <f>+VLOOKUP(D2102,'材料表 '!C:F,3,0)</f>
        <v>6.01769911504425</v>
      </c>
      <c r="J2102" s="95">
        <f t="shared" si="330"/>
        <v>195.506174398463</v>
      </c>
      <c r="K2102" s="60">
        <f ca="1">H2102*K2085</f>
        <v>676.099222297501</v>
      </c>
      <c r="L2102" s="90"/>
      <c r="M2102" s="44"/>
      <c r="N2102" s="83"/>
      <c r="O2102" s="82"/>
      <c r="P2102" s="44"/>
      <c r="Q2102" s="44"/>
      <c r="R2102" s="84"/>
      <c r="S2102" s="47"/>
      <c r="T2102" s="47"/>
    </row>
    <row r="2103" s="27" customFormat="1" ht="18" customHeight="1" spans="1:20">
      <c r="A2103" s="34"/>
      <c r="B2103" s="48">
        <v>5</v>
      </c>
      <c r="C2103" s="48"/>
      <c r="D2103" s="88" t="s">
        <v>469</v>
      </c>
      <c r="E2103" s="72" t="str">
        <f>+VLOOKUP(D2103,'材料表 '!C:F,2,0)</f>
        <v>套</v>
      </c>
      <c r="F2103" s="77">
        <f t="shared" si="332"/>
        <v>16.3479422322398</v>
      </c>
      <c r="G2103" s="89">
        <f>+VLOOKUP(D2103,'材料表 '!C:F,4,0)</f>
        <v>0</v>
      </c>
      <c r="H2103" s="74">
        <f t="shared" si="331"/>
        <v>16.3479422322398</v>
      </c>
      <c r="I2103" s="74">
        <f>+VLOOKUP(D2103,'材料表 '!C:F,3,0)</f>
        <v>5.30973451327434</v>
      </c>
      <c r="J2103" s="95">
        <f t="shared" si="330"/>
        <v>86.8032330915388</v>
      </c>
      <c r="K2103" s="60">
        <f ca="1">H2103*K2085</f>
        <v>340.207217029803</v>
      </c>
      <c r="L2103" s="92" t="s">
        <v>476</v>
      </c>
      <c r="M2103" s="44"/>
      <c r="N2103" s="82"/>
      <c r="O2103" s="44"/>
      <c r="P2103" s="44"/>
      <c r="Q2103" s="44">
        <f>6*6*(O2086*2+P2086*4)/500</f>
        <v>0.563904</v>
      </c>
      <c r="R2103" s="84">
        <f>+Q2103/R2086</f>
        <v>0.294214876033058</v>
      </c>
      <c r="S2103" s="47"/>
      <c r="T2103" s="47"/>
    </row>
    <row r="2104" s="27" customFormat="1" ht="18" customHeight="1" spans="1:20">
      <c r="A2104" s="34"/>
      <c r="B2104" s="48">
        <v>7</v>
      </c>
      <c r="C2104" s="48"/>
      <c r="D2104" s="88" t="s">
        <v>471</v>
      </c>
      <c r="E2104" s="72" t="str">
        <f>+VLOOKUP(D2104,'材料表 '!C:F,2,0)</f>
        <v>套</v>
      </c>
      <c r="F2104" s="77">
        <f t="shared" si="332"/>
        <v>16.3479422322398</v>
      </c>
      <c r="G2104" s="89">
        <f>+VLOOKUP(D2104,'材料表 '!C:F,4,0)</f>
        <v>0</v>
      </c>
      <c r="H2104" s="74">
        <f t="shared" si="331"/>
        <v>16.3479422322398</v>
      </c>
      <c r="I2104" s="74">
        <f>+VLOOKUP(D2104,'材料表 '!C:F,3,0)</f>
        <v>1.32743362831858</v>
      </c>
      <c r="J2104" s="95">
        <f t="shared" si="330"/>
        <v>21.7008082728846</v>
      </c>
      <c r="K2104" s="60">
        <f ca="1">H2104*K2085</f>
        <v>340.207217029803</v>
      </c>
      <c r="L2104" s="92"/>
      <c r="M2104" s="44"/>
      <c r="N2104" s="82"/>
      <c r="O2104" s="44"/>
      <c r="P2104" s="44"/>
      <c r="Q2104" s="44"/>
      <c r="R2104" s="84">
        <f>+Q2104/R2086</f>
        <v>0</v>
      </c>
      <c r="S2104" s="47"/>
      <c r="T2104" s="47"/>
    </row>
    <row r="2105" s="27" customFormat="1" ht="18" customHeight="1" spans="1:20">
      <c r="A2105" s="34"/>
      <c r="B2105" s="48">
        <v>8</v>
      </c>
      <c r="C2105" s="48"/>
      <c r="D2105" s="88" t="s">
        <v>472</v>
      </c>
      <c r="E2105" s="72" t="str">
        <f>+VLOOKUP(D2105,'材料表 '!C:F,2,0)</f>
        <v>套</v>
      </c>
      <c r="F2105" s="77">
        <f t="shared" si="332"/>
        <v>12.6111206666889</v>
      </c>
      <c r="G2105" s="89">
        <f>+VLOOKUP(D2105,'材料表 '!C:F,4,0)</f>
        <v>0</v>
      </c>
      <c r="H2105" s="74">
        <f t="shared" si="331"/>
        <v>12.6111206666889</v>
      </c>
      <c r="I2105" s="74">
        <f>+VLOOKUP(D2105,'材料表 '!C:F,3,0)</f>
        <v>2.47787610619469</v>
      </c>
      <c r="J2105" s="95">
        <f t="shared" si="330"/>
        <v>31.2487945723265</v>
      </c>
      <c r="K2105" s="60">
        <f ca="1">H2105*K2085</f>
        <v>262.442465522063</v>
      </c>
      <c r="L2105" s="92"/>
      <c r="M2105" s="44"/>
      <c r="N2105" s="82"/>
      <c r="O2105" s="44"/>
      <c r="P2105" s="44"/>
      <c r="Q2105" s="44"/>
      <c r="R2105" s="84"/>
      <c r="S2105" s="47"/>
      <c r="T2105" s="47"/>
    </row>
    <row r="2106" s="27" customFormat="1" ht="18" customHeight="1" spans="1:20">
      <c r="A2106" s="34"/>
      <c r="B2106" s="48">
        <v>9</v>
      </c>
      <c r="C2106" s="48"/>
      <c r="D2106" s="88" t="s">
        <v>473</v>
      </c>
      <c r="E2106" s="72" t="str">
        <f>+VLOOKUP(D2106,'材料表 '!C:F,2,0)</f>
        <v>套</v>
      </c>
      <c r="F2106" s="77">
        <f t="shared" si="332"/>
        <v>47.3293241849509</v>
      </c>
      <c r="G2106" s="89">
        <f>+VLOOKUP(D2106,'材料表 '!C:F,4,0)</f>
        <v>0</v>
      </c>
      <c r="H2106" s="74">
        <f t="shared" si="331"/>
        <v>47.3293241849509</v>
      </c>
      <c r="I2106" s="74">
        <f>+VLOOKUP(D2106,'材料表 '!C:F,3,0)</f>
        <v>0.247787610619469</v>
      </c>
      <c r="J2106" s="95">
        <f t="shared" si="330"/>
        <v>11.7276201520232</v>
      </c>
      <c r="K2106" s="60">
        <f ca="1">H2106*K2085</f>
        <v>984.942168018502</v>
      </c>
      <c r="L2106" s="90"/>
      <c r="M2106" s="44"/>
      <c r="N2106" s="82"/>
      <c r="O2106" s="34"/>
      <c r="P2106" s="44"/>
      <c r="Q2106" s="44"/>
      <c r="R2106" s="119"/>
      <c r="S2106" s="47"/>
      <c r="T2106" s="47"/>
    </row>
    <row r="2107" s="27" customFormat="1" ht="18" customHeight="1" spans="1:20">
      <c r="A2107" s="34"/>
      <c r="B2107" s="48">
        <v>10</v>
      </c>
      <c r="C2107" s="48"/>
      <c r="D2107" s="88" t="s">
        <v>474</v>
      </c>
      <c r="E2107" s="72" t="str">
        <f>+VLOOKUP(D2107,'材料表 '!C:F,2,0)</f>
        <v>套</v>
      </c>
      <c r="F2107" s="77">
        <f t="shared" si="332"/>
        <v>26.7874805019229</v>
      </c>
      <c r="G2107" s="89">
        <f>+VLOOKUP(D2107,'材料表 '!C:F,4,0)</f>
        <v>0</v>
      </c>
      <c r="H2107" s="74">
        <f t="shared" si="331"/>
        <v>26.7874805019229</v>
      </c>
      <c r="I2107" s="74">
        <f>+VLOOKUP(D2107,'材料表 '!C:F,3,0)</f>
        <v>2.21238938053097</v>
      </c>
      <c r="J2107" s="95">
        <f t="shared" si="330"/>
        <v>59.2643373936346</v>
      </c>
      <c r="K2107" s="60">
        <f ca="1">H2107*K2085</f>
        <v>557.458184237216</v>
      </c>
      <c r="L2107" s="92"/>
      <c r="M2107" s="120"/>
      <c r="N2107" s="82"/>
      <c r="O2107" s="44"/>
      <c r="P2107" s="44"/>
      <c r="Q2107" s="44"/>
      <c r="R2107" s="84"/>
      <c r="S2107" s="47"/>
      <c r="T2107" s="47"/>
    </row>
    <row r="2108" s="27" customFormat="1" ht="18" customHeight="1" spans="1:20">
      <c r="A2108" s="34"/>
      <c r="B2108" s="48">
        <v>11</v>
      </c>
      <c r="C2108" s="48"/>
      <c r="D2108" s="88" t="s">
        <v>476</v>
      </c>
      <c r="E2108" s="72" t="str">
        <f>+VLOOKUP(D2108,'材料表 '!C:F,2,0)</f>
        <v>支</v>
      </c>
      <c r="F2108" s="77">
        <f t="shared" si="332"/>
        <v>12.5418303068724</v>
      </c>
      <c r="G2108" s="89">
        <f>+VLOOKUP(D2108,'材料表 '!C:F,4,0)</f>
        <v>0.15</v>
      </c>
      <c r="H2108" s="74">
        <f t="shared" si="331"/>
        <v>14.4231048529033</v>
      </c>
      <c r="I2108" s="74">
        <f>+VLOOKUP(D2108,'材料表 '!C:F,3,0)</f>
        <v>11.5044247787611</v>
      </c>
      <c r="J2108" s="95">
        <f t="shared" si="330"/>
        <v>165.92952485641</v>
      </c>
      <c r="K2108" s="60">
        <f ca="1">H2108*K2085</f>
        <v>300.150581230859</v>
      </c>
      <c r="L2108" s="92"/>
      <c r="M2108" s="44"/>
      <c r="N2108" s="44"/>
      <c r="O2108" s="44"/>
      <c r="P2108" s="44"/>
      <c r="Q2108" s="44"/>
      <c r="R2108" s="84"/>
      <c r="S2108" s="47"/>
      <c r="T2108" s="47"/>
    </row>
    <row r="2109" s="27" customFormat="1" ht="18" customHeight="1" spans="1:20">
      <c r="A2109" s="34"/>
      <c r="B2109" s="48">
        <v>12</v>
      </c>
      <c r="C2109" s="48"/>
      <c r="D2109" s="88" t="s">
        <v>477</v>
      </c>
      <c r="E2109" s="72" t="str">
        <f>+VLOOKUP(D2109,'材料表 '!C:F,2,0)</f>
        <v>kg</v>
      </c>
      <c r="F2109" s="77">
        <v>0.2</v>
      </c>
      <c r="G2109" s="89">
        <f>+VLOOKUP(D2109,'材料表 '!C:F,4,0)</f>
        <v>0.15</v>
      </c>
      <c r="H2109" s="74">
        <f t="shared" si="331"/>
        <v>0.23</v>
      </c>
      <c r="I2109" s="74">
        <f>+VLOOKUP(D2109,'材料表 '!C:F,3,0)</f>
        <v>10.6194690265487</v>
      </c>
      <c r="J2109" s="95">
        <f t="shared" si="330"/>
        <v>2.4424778761062</v>
      </c>
      <c r="K2109" s="60">
        <f ca="1">H2109*K2085</f>
        <v>4.786392</v>
      </c>
      <c r="L2109" s="92"/>
      <c r="M2109" s="44"/>
      <c r="N2109" s="44"/>
      <c r="O2109" s="44"/>
      <c r="P2109" s="44"/>
      <c r="Q2109" s="44"/>
      <c r="R2109" s="84"/>
      <c r="S2109" s="47"/>
      <c r="T2109" s="47"/>
    </row>
    <row r="2110" s="27" customFormat="1" ht="18" customHeight="1" spans="1:20">
      <c r="A2110" s="34"/>
      <c r="B2110" s="48">
        <v>13</v>
      </c>
      <c r="C2110" s="48"/>
      <c r="D2110" s="88" t="s">
        <v>479</v>
      </c>
      <c r="E2110" s="72" t="str">
        <f>+VLOOKUP(D2110,'材料表 '!C:F,2,0)</f>
        <v>kg</v>
      </c>
      <c r="F2110" s="77">
        <f>R2090</f>
        <v>7.61616161616162</v>
      </c>
      <c r="G2110" s="89">
        <f>+VLOOKUP(D2110,'材料表 '!C:F,4,0)</f>
        <v>0.03</v>
      </c>
      <c r="H2110" s="74">
        <f t="shared" si="331"/>
        <v>7.84464646464647</v>
      </c>
      <c r="I2110" s="74">
        <f>+VLOOKUP(D2110,'材料表 '!C:F,3,0)</f>
        <v>14.1592920353982</v>
      </c>
      <c r="J2110" s="95">
        <f t="shared" si="330"/>
        <v>111.074640207383</v>
      </c>
      <c r="K2110" s="60">
        <f ca="1">H2110*K2085</f>
        <v>163.250230787879</v>
      </c>
      <c r="L2110" s="92"/>
      <c r="M2110" s="44"/>
      <c r="N2110" s="44"/>
      <c r="O2110" s="44"/>
      <c r="P2110" s="44"/>
      <c r="Q2110" s="44"/>
      <c r="R2110" s="84"/>
      <c r="S2110" s="47"/>
      <c r="T2110" s="47"/>
    </row>
    <row r="2111" s="27" customFormat="1" ht="25" customHeight="1" spans="1:20">
      <c r="A2111" s="34"/>
      <c r="B2111" s="48">
        <v>14</v>
      </c>
      <c r="C2111" s="48"/>
      <c r="D2111" s="88" t="s">
        <v>300</v>
      </c>
      <c r="E2111" s="72" t="str">
        <f>+VLOOKUP(D2111,'材料表 '!C:F,2,0)</f>
        <v>m2</v>
      </c>
      <c r="F2111" s="77">
        <v>1</v>
      </c>
      <c r="G2111" s="89">
        <f>+VLOOKUP(D2111,'材料表 '!C:F,4,0)</f>
        <v>0.02</v>
      </c>
      <c r="H2111" s="74">
        <f t="shared" si="331"/>
        <v>1.02</v>
      </c>
      <c r="I2111" s="74">
        <f>+VLOOKUP(D2111,'材料表 '!C:F,3,0)</f>
        <v>840.70796460177</v>
      </c>
      <c r="J2111" s="95">
        <f t="shared" si="330"/>
        <v>857.522123893805</v>
      </c>
      <c r="K2111" s="60">
        <f ca="1">H2111*K2085</f>
        <v>21.226608</v>
      </c>
      <c r="L2111" s="92"/>
      <c r="M2111" s="44"/>
      <c r="N2111" s="44"/>
      <c r="O2111" s="44"/>
      <c r="P2111" s="44"/>
      <c r="Q2111" s="44"/>
      <c r="R2111" s="84"/>
      <c r="S2111" s="47"/>
      <c r="T2111" s="47"/>
    </row>
    <row r="2112" s="27" customFormat="1" ht="18" customHeight="1" spans="1:20">
      <c r="A2112" s="34"/>
      <c r="B2112" s="48">
        <v>15</v>
      </c>
      <c r="C2112" s="48"/>
      <c r="D2112" s="88"/>
      <c r="E2112" s="72"/>
      <c r="F2112" s="77"/>
      <c r="G2112" s="89"/>
      <c r="H2112" s="74"/>
      <c r="I2112" s="74"/>
      <c r="J2112" s="95"/>
      <c r="K2112" s="92">
        <f ca="1">H2112*K2085</f>
        <v>0</v>
      </c>
      <c r="L2112" s="92"/>
      <c r="M2112" s="44"/>
      <c r="N2112" s="44"/>
      <c r="O2112" s="44"/>
      <c r="P2112" s="44"/>
      <c r="Q2112" s="44"/>
      <c r="R2112" s="84"/>
      <c r="S2112" s="47"/>
      <c r="T2112" s="47"/>
    </row>
    <row r="2113" s="27" customFormat="1" ht="18" customHeight="1" spans="1:20">
      <c r="A2113" s="34"/>
      <c r="B2113" s="48">
        <v>16</v>
      </c>
      <c r="C2113" s="48"/>
      <c r="D2113" s="88"/>
      <c r="E2113" s="72"/>
      <c r="F2113" s="77"/>
      <c r="G2113" s="89"/>
      <c r="H2113" s="74"/>
      <c r="I2113" s="74"/>
      <c r="J2113" s="95"/>
      <c r="K2113" s="92">
        <f ca="1">H2113*K2085</f>
        <v>0</v>
      </c>
      <c r="L2113" s="92"/>
      <c r="M2113" s="44"/>
      <c r="N2113" s="44"/>
      <c r="O2113" s="44"/>
      <c r="P2113" s="44"/>
      <c r="Q2113" s="44"/>
      <c r="R2113" s="84"/>
      <c r="S2113" s="47"/>
      <c r="T2113" s="47"/>
    </row>
    <row r="2114" s="27" customFormat="1" ht="18" customHeight="1" spans="1:20">
      <c r="A2114" s="34"/>
      <c r="B2114" s="48">
        <v>17</v>
      </c>
      <c r="C2114" s="48"/>
      <c r="D2114" s="121"/>
      <c r="E2114" s="72"/>
      <c r="F2114" s="77"/>
      <c r="G2114" s="89"/>
      <c r="H2114" s="74"/>
      <c r="I2114" s="74"/>
      <c r="J2114" s="95"/>
      <c r="K2114" s="92"/>
      <c r="L2114" s="92"/>
      <c r="M2114" s="44"/>
      <c r="N2114" s="44"/>
      <c r="O2114" s="44"/>
      <c r="P2114" s="44"/>
      <c r="Q2114" s="101"/>
      <c r="R2114" s="84"/>
      <c r="S2114" s="47"/>
      <c r="T2114" s="47"/>
    </row>
    <row r="2115" s="27" customFormat="1" ht="18" customHeight="1" spans="1:20">
      <c r="A2115" s="34"/>
      <c r="B2115" s="48">
        <v>18</v>
      </c>
      <c r="C2115" s="48"/>
      <c r="D2115" s="88"/>
      <c r="E2115" s="72"/>
      <c r="F2115" s="77"/>
      <c r="G2115" s="89"/>
      <c r="H2115" s="74"/>
      <c r="I2115" s="74"/>
      <c r="J2115" s="95"/>
      <c r="K2115" s="92"/>
      <c r="L2115" s="92"/>
      <c r="M2115" s="44"/>
      <c r="N2115" s="44"/>
      <c r="O2115" s="44"/>
      <c r="P2115" s="44"/>
      <c r="Q2115" s="44"/>
      <c r="R2115" s="84"/>
      <c r="S2115" s="47"/>
      <c r="T2115" s="47"/>
    </row>
    <row r="2116" s="27" customFormat="1" ht="18" customHeight="1" spans="1:20">
      <c r="A2116" s="34"/>
      <c r="B2116" s="48">
        <v>19</v>
      </c>
      <c r="C2116" s="48"/>
      <c r="D2116" s="27"/>
      <c r="E2116" s="72"/>
      <c r="F2116" s="77"/>
      <c r="G2116" s="89"/>
      <c r="H2116" s="74"/>
      <c r="I2116" s="74"/>
      <c r="J2116" s="95"/>
      <c r="K2116" s="92"/>
      <c r="L2116" s="92"/>
      <c r="M2116" s="44"/>
      <c r="N2116" s="44"/>
      <c r="O2116" s="44"/>
      <c r="P2116" s="44"/>
      <c r="Q2116" s="44"/>
      <c r="R2116" s="84"/>
      <c r="S2116" s="47"/>
      <c r="T2116" s="47"/>
    </row>
    <row r="2117" s="27" customFormat="1" ht="18" customHeight="1" spans="1:20">
      <c r="A2117" s="34"/>
      <c r="B2117" s="48">
        <v>20</v>
      </c>
      <c r="C2117" s="48"/>
      <c r="D2117" s="88"/>
      <c r="E2117" s="72"/>
      <c r="F2117" s="77"/>
      <c r="G2117" s="89"/>
      <c r="H2117" s="74"/>
      <c r="I2117" s="74"/>
      <c r="J2117" s="95"/>
      <c r="K2117" s="92"/>
      <c r="L2117" s="92"/>
      <c r="M2117" s="44"/>
      <c r="N2117" s="44"/>
      <c r="O2117" s="44"/>
      <c r="P2117" s="44"/>
      <c r="Q2117" s="44"/>
      <c r="R2117" s="84"/>
      <c r="S2117" s="47"/>
      <c r="T2117" s="47"/>
    </row>
    <row r="2118" s="27" customFormat="1" ht="18" customHeight="1" spans="1:20">
      <c r="A2118" s="34"/>
      <c r="B2118" s="48">
        <v>21</v>
      </c>
      <c r="C2118" s="48"/>
      <c r="D2118" s="88"/>
      <c r="E2118" s="72"/>
      <c r="F2118" s="77"/>
      <c r="G2118" s="89"/>
      <c r="H2118" s="74"/>
      <c r="I2118" s="74"/>
      <c r="J2118" s="95"/>
      <c r="K2118" s="92"/>
      <c r="L2118" s="92"/>
      <c r="M2118" s="44"/>
      <c r="N2118" s="44"/>
      <c r="O2118" s="44"/>
      <c r="P2118" s="44"/>
      <c r="Q2118" s="44"/>
      <c r="R2118" s="84"/>
      <c r="S2118" s="47"/>
      <c r="T2118" s="47"/>
    </row>
    <row r="2119" s="27" customFormat="1" ht="18" customHeight="1" spans="1:20">
      <c r="A2119" s="34"/>
      <c r="B2119" s="48">
        <v>22</v>
      </c>
      <c r="C2119" s="48"/>
      <c r="D2119" s="27"/>
      <c r="E2119" s="72"/>
      <c r="F2119" s="77"/>
      <c r="G2119" s="72"/>
      <c r="H2119" s="74"/>
      <c r="I2119" s="74"/>
      <c r="J2119" s="95"/>
      <c r="K2119" s="92"/>
      <c r="L2119" s="92"/>
      <c r="M2119" s="44"/>
      <c r="N2119" s="44"/>
      <c r="O2119" s="44"/>
      <c r="P2119" s="44"/>
      <c r="Q2119" s="44"/>
      <c r="R2119" s="62"/>
      <c r="S2119" s="47"/>
      <c r="T2119" s="47"/>
    </row>
    <row r="2120" s="27" customFormat="1" ht="18" customHeight="1" spans="1:20">
      <c r="A2120" s="34"/>
      <c r="B2120" s="48">
        <v>23</v>
      </c>
      <c r="C2120" s="48"/>
      <c r="D2120" s="88"/>
      <c r="E2120" s="72"/>
      <c r="F2120" s="77"/>
      <c r="G2120" s="89"/>
      <c r="H2120" s="74"/>
      <c r="I2120" s="74"/>
      <c r="J2120" s="95"/>
      <c r="K2120" s="92"/>
      <c r="L2120" s="92"/>
      <c r="M2120" s="44"/>
      <c r="N2120" s="44"/>
      <c r="O2120" s="44"/>
      <c r="P2120" s="44"/>
      <c r="Q2120" s="44"/>
      <c r="R2120" s="62"/>
      <c r="S2120" s="47"/>
      <c r="T2120" s="47"/>
    </row>
    <row r="2121" s="27" customFormat="1" ht="18" customHeight="1" spans="1:20">
      <c r="A2121" s="34"/>
      <c r="B2121" s="48">
        <v>24</v>
      </c>
      <c r="C2121" s="48"/>
      <c r="D2121" s="88" t="s">
        <v>478</v>
      </c>
      <c r="E2121" s="72" t="s">
        <v>43</v>
      </c>
      <c r="F2121" s="77"/>
      <c r="G2121" s="72">
        <v>1</v>
      </c>
      <c r="H2121" s="74">
        <v>1</v>
      </c>
      <c r="I2121" s="74">
        <f>+辅材及安装费!$E$8</f>
        <v>10</v>
      </c>
      <c r="J2121" s="95">
        <f>H2121*I2121</f>
        <v>10</v>
      </c>
      <c r="K2121" s="92"/>
      <c r="L2121" s="92"/>
      <c r="M2121" s="44"/>
      <c r="N2121" s="44"/>
      <c r="O2121" s="44"/>
      <c r="P2121" s="44"/>
      <c r="Q2121" s="44"/>
      <c r="R2121" s="62"/>
      <c r="S2121" s="47"/>
      <c r="T2121" s="47"/>
    </row>
    <row r="2122" s="27" customFormat="1" ht="18" customHeight="1" spans="1:20">
      <c r="A2122" s="34"/>
      <c r="B2122" s="48">
        <v>25</v>
      </c>
      <c r="C2122" s="48"/>
      <c r="D2122" s="93" t="s">
        <v>442</v>
      </c>
      <c r="E2122" s="72"/>
      <c r="F2122" s="77"/>
      <c r="G2122" s="72"/>
      <c r="H2122" s="74"/>
      <c r="I2122" s="74"/>
      <c r="J2122" s="95">
        <f>SUM(J2099:J2121)</f>
        <v>2978.64883558033</v>
      </c>
      <c r="K2122" s="92"/>
      <c r="L2122" s="94"/>
      <c r="M2122" s="27"/>
      <c r="N2122" s="83"/>
      <c r="O2122" s="83"/>
      <c r="P2122" s="83"/>
      <c r="Q2122" s="83"/>
      <c r="R2122" s="87"/>
      <c r="S2122" s="47"/>
      <c r="T2122" s="47"/>
    </row>
    <row r="2123" s="27" customFormat="1" ht="18" customHeight="1" spans="1:20">
      <c r="A2123" s="34"/>
      <c r="B2123" s="48">
        <v>1</v>
      </c>
      <c r="C2123" s="48" t="s">
        <v>443</v>
      </c>
      <c r="D2123" s="48" t="s">
        <v>444</v>
      </c>
      <c r="E2123" s="72" t="s">
        <v>43</v>
      </c>
      <c r="F2123" s="50"/>
      <c r="G2123" s="48"/>
      <c r="H2123" s="51">
        <v>1</v>
      </c>
      <c r="I2123" s="74">
        <f>+辅材及安装费!$F$8</f>
        <v>5</v>
      </c>
      <c r="J2123" s="95">
        <f>H2123*I2123</f>
        <v>5</v>
      </c>
      <c r="K2123" s="118"/>
      <c r="L2123" s="96"/>
      <c r="M2123" s="97"/>
      <c r="N2123" s="98"/>
      <c r="O2123" s="98"/>
      <c r="P2123" s="98"/>
      <c r="Q2123" s="98"/>
      <c r="R2123" s="99"/>
      <c r="S2123" s="47"/>
      <c r="T2123" s="47"/>
    </row>
    <row r="2124" s="26" customFormat="1" ht="30" customHeight="1" spans="1:20">
      <c r="A2124" s="28"/>
      <c r="B2124" s="29" t="s">
        <v>386</v>
      </c>
      <c r="C2124" s="29"/>
      <c r="D2124" s="29"/>
      <c r="E2124" s="29"/>
      <c r="F2124" s="29"/>
      <c r="G2124" s="29"/>
      <c r="H2124" s="29"/>
      <c r="I2124" s="29"/>
      <c r="J2124" s="29"/>
      <c r="K2124" s="29"/>
      <c r="L2124" s="30"/>
      <c r="M2124" s="31"/>
      <c r="N2124" s="31"/>
      <c r="O2124" s="31"/>
      <c r="P2124" s="31"/>
      <c r="Q2124" s="31"/>
      <c r="R2124" s="32"/>
      <c r="S2124" s="33"/>
      <c r="T2124" s="33"/>
    </row>
    <row r="2125" s="27" customFormat="1" ht="33.75" customHeight="1" spans="1:20">
      <c r="A2125" s="34">
        <v>10</v>
      </c>
      <c r="B2125" s="35" t="s">
        <v>1</v>
      </c>
      <c r="C2125" s="35" t="s">
        <v>387</v>
      </c>
      <c r="D2125" s="36" t="str">
        <f>+A2133</f>
        <v>贝金米黄石材拉槽线条1</v>
      </c>
      <c r="E2125" s="37"/>
      <c r="F2125" s="38" t="s">
        <v>99</v>
      </c>
      <c r="G2125" s="39"/>
      <c r="H2125" s="35" t="s">
        <v>388</v>
      </c>
      <c r="I2125" s="40" t="s">
        <v>389</v>
      </c>
      <c r="J2125" s="41" t="s">
        <v>37</v>
      </c>
      <c r="K2125" s="123">
        <f ca="1">VLOOKUP(A2125,'商业工程量清单 '!$A$47:$D$58,4,FALSE)</f>
        <v>48.56</v>
      </c>
      <c r="L2125" s="43"/>
      <c r="M2125" s="44"/>
      <c r="N2125" s="44"/>
      <c r="O2125" s="44"/>
      <c r="P2125" s="45"/>
      <c r="Q2125" s="44"/>
      <c r="R2125" s="46"/>
      <c r="S2125" s="47"/>
      <c r="T2125" s="47"/>
    </row>
    <row r="2126" s="27" customFormat="1" ht="18" customHeight="1" spans="1:20">
      <c r="A2126" s="34"/>
      <c r="B2126" s="48">
        <v>1</v>
      </c>
      <c r="C2126" s="49" t="s">
        <v>390</v>
      </c>
      <c r="D2126" s="48" t="s">
        <v>391</v>
      </c>
      <c r="E2126" s="48"/>
      <c r="F2126" s="50"/>
      <c r="G2126" s="48"/>
      <c r="H2126" s="51"/>
      <c r="I2126" s="52">
        <f>J2138</f>
        <v>25</v>
      </c>
      <c r="J2126" s="53" t="s">
        <v>392</v>
      </c>
      <c r="K2126" s="54"/>
      <c r="L2126" s="55" t="s">
        <v>1056</v>
      </c>
      <c r="M2126" s="56"/>
      <c r="N2126" s="57"/>
      <c r="O2126" s="57">
        <v>1</v>
      </c>
      <c r="P2126" s="57">
        <v>1</v>
      </c>
      <c r="Q2126" s="57">
        <v>1</v>
      </c>
      <c r="R2126" s="58">
        <f>+Q2126*P2126*O2126</f>
        <v>1</v>
      </c>
      <c r="S2126" s="47"/>
      <c r="T2126" s="47"/>
    </row>
    <row r="2127" s="27" customFormat="1" ht="18" customHeight="1" spans="1:20">
      <c r="A2127" s="34"/>
      <c r="B2127" s="48">
        <v>2</v>
      </c>
      <c r="C2127" s="59"/>
      <c r="D2127" s="48" t="s">
        <v>394</v>
      </c>
      <c r="E2127" s="48"/>
      <c r="F2127" s="50"/>
      <c r="G2127" s="48"/>
      <c r="H2127" s="51"/>
      <c r="I2127" s="52">
        <f>J2162</f>
        <v>278.723893805309</v>
      </c>
      <c r="J2127" s="53" t="s">
        <v>392</v>
      </c>
      <c r="K2127" s="60"/>
      <c r="L2127" s="61" t="s">
        <v>99</v>
      </c>
      <c r="M2127" s="44"/>
      <c r="N2127" s="44"/>
      <c r="O2127" s="44"/>
      <c r="P2127" s="44"/>
      <c r="Q2127" s="44"/>
      <c r="R2127" s="62"/>
      <c r="S2127" s="47"/>
      <c r="T2127" s="47"/>
    </row>
    <row r="2128" s="27" customFormat="1" ht="18" customHeight="1" spans="1:20">
      <c r="A2128" s="34"/>
      <c r="B2128" s="48">
        <v>3</v>
      </c>
      <c r="C2128" s="63"/>
      <c r="D2128" s="48" t="s">
        <v>395</v>
      </c>
      <c r="E2128" s="48"/>
      <c r="F2128" s="50"/>
      <c r="G2128" s="48"/>
      <c r="H2128" s="51"/>
      <c r="I2128" s="52">
        <f>J2163</f>
        <v>2</v>
      </c>
      <c r="J2128" s="53" t="s">
        <v>392</v>
      </c>
      <c r="K2128" s="60"/>
      <c r="L2128" s="60"/>
      <c r="M2128" s="64" t="s">
        <v>396</v>
      </c>
      <c r="N2128" s="65" t="s">
        <v>397</v>
      </c>
      <c r="O2128" s="65" t="s">
        <v>398</v>
      </c>
      <c r="P2128" s="65" t="s">
        <v>399</v>
      </c>
      <c r="Q2128" s="65" t="s">
        <v>400</v>
      </c>
      <c r="R2128" s="66" t="s">
        <v>401</v>
      </c>
      <c r="S2128" s="47"/>
      <c r="T2128" s="47"/>
    </row>
    <row r="2129" s="27" customFormat="1" ht="18" customHeight="1" spans="1:20">
      <c r="A2129" s="34"/>
      <c r="B2129" s="48">
        <v>4</v>
      </c>
      <c r="C2129" s="48" t="s">
        <v>402</v>
      </c>
      <c r="D2129" s="67" t="s">
        <v>403</v>
      </c>
      <c r="E2129" s="67"/>
      <c r="F2129" s="50"/>
      <c r="G2129" s="67"/>
      <c r="H2129" s="68"/>
      <c r="I2129" s="52">
        <f>SUM(I2126:I2128)</f>
        <v>305.723893805309</v>
      </c>
      <c r="J2129" s="53" t="s">
        <v>392</v>
      </c>
      <c r="K2129" s="60"/>
      <c r="L2129" s="69" t="s">
        <v>431</v>
      </c>
      <c r="M2129" s="34" t="s">
        <v>460</v>
      </c>
      <c r="N2129" s="102">
        <v>10.21</v>
      </c>
      <c r="O2129" s="34">
        <f>+P2126</f>
        <v>1</v>
      </c>
      <c r="P2129" s="34">
        <v>0</v>
      </c>
      <c r="Q2129" s="44">
        <f t="shared" ref="Q2129:Q2133" si="333">+P2129*O2129*N2129</f>
        <v>0</v>
      </c>
      <c r="R2129" s="71">
        <f>+Q2129/R2126</f>
        <v>0</v>
      </c>
      <c r="S2129" s="47"/>
      <c r="T2129" s="47"/>
    </row>
    <row r="2130" s="27" customFormat="1" ht="28" customHeight="1" spans="1:20">
      <c r="A2130" s="34"/>
      <c r="B2130" s="48">
        <v>5</v>
      </c>
      <c r="C2130" s="72" t="s">
        <v>406</v>
      </c>
      <c r="D2130" s="48" t="s">
        <v>407</v>
      </c>
      <c r="E2130" s="48"/>
      <c r="F2130" s="50"/>
      <c r="G2130" s="48"/>
      <c r="H2130" s="73">
        <f>+'材料表 '!$E$178</f>
        <v>0</v>
      </c>
      <c r="I2130" s="52">
        <f>H2130*I2129</f>
        <v>0</v>
      </c>
      <c r="J2130" s="53" t="s">
        <v>392</v>
      </c>
      <c r="K2130" s="60"/>
      <c r="L2130" s="69" t="s">
        <v>461</v>
      </c>
      <c r="M2130" s="34" t="s">
        <v>462</v>
      </c>
      <c r="N2130" s="34">
        <v>3.77</v>
      </c>
      <c r="O2130" s="34">
        <f>+O2126</f>
        <v>1</v>
      </c>
      <c r="P2130" s="34">
        <v>1</v>
      </c>
      <c r="Q2130" s="44">
        <f t="shared" si="333"/>
        <v>3.77</v>
      </c>
      <c r="R2130" s="71">
        <f>+Q2130/R2126</f>
        <v>3.77</v>
      </c>
      <c r="S2130" s="47"/>
      <c r="T2130" s="47"/>
    </row>
    <row r="2131" s="27" customFormat="1" ht="18" customHeight="1" spans="1:20">
      <c r="A2131" s="34"/>
      <c r="B2131" s="48">
        <v>6</v>
      </c>
      <c r="C2131" s="48" t="s">
        <v>409</v>
      </c>
      <c r="D2131" s="48" t="s">
        <v>410</v>
      </c>
      <c r="E2131" s="48"/>
      <c r="F2131" s="50"/>
      <c r="G2131" s="48"/>
      <c r="H2131" s="73">
        <f>+'材料表 '!$E$179</f>
        <v>0</v>
      </c>
      <c r="I2131" s="52">
        <f>H2131*I2129</f>
        <v>0</v>
      </c>
      <c r="J2131" s="53" t="s">
        <v>392</v>
      </c>
      <c r="K2131" s="60"/>
      <c r="L2131" s="69" t="s">
        <v>463</v>
      </c>
      <c r="M2131" s="34" t="s">
        <v>490</v>
      </c>
      <c r="N2131" s="34">
        <f>0.3*0.2*7.85*10</f>
        <v>4.71</v>
      </c>
      <c r="O2131" s="34">
        <v>0.5</v>
      </c>
      <c r="P2131" s="34">
        <f>+P2129</f>
        <v>0</v>
      </c>
      <c r="Q2131" s="44">
        <f t="shared" si="333"/>
        <v>0</v>
      </c>
      <c r="R2131" s="71">
        <f>+Q2131/R2126</f>
        <v>0</v>
      </c>
      <c r="S2131" s="47"/>
      <c r="T2131" s="47"/>
    </row>
    <row r="2132" s="27" customFormat="1" ht="18" customHeight="1" spans="1:20">
      <c r="A2132" s="34"/>
      <c r="B2132" s="48">
        <v>7</v>
      </c>
      <c r="C2132" s="48" t="s">
        <v>412</v>
      </c>
      <c r="D2132" s="72" t="s">
        <v>413</v>
      </c>
      <c r="E2132" s="72"/>
      <c r="F2132" s="77"/>
      <c r="G2132" s="72"/>
      <c r="H2132" s="73">
        <f>+'材料表 '!$E$180</f>
        <v>0.09</v>
      </c>
      <c r="I2132" s="52">
        <f>(I2129+I2130+I2131)*H2132</f>
        <v>27.5151504424779</v>
      </c>
      <c r="J2132" s="53" t="s">
        <v>392</v>
      </c>
      <c r="K2132" s="60"/>
      <c r="L2132" s="69" t="s">
        <v>465</v>
      </c>
      <c r="M2132" s="34" t="s">
        <v>466</v>
      </c>
      <c r="N2132" s="100">
        <f>3.77</f>
        <v>3.77</v>
      </c>
      <c r="O2132" s="34">
        <v>0.155</v>
      </c>
      <c r="P2132" s="34">
        <v>0</v>
      </c>
      <c r="Q2132" s="44">
        <f t="shared" si="333"/>
        <v>0</v>
      </c>
      <c r="R2132" s="71">
        <f>+Q2132/R2126</f>
        <v>0</v>
      </c>
      <c r="S2132" s="47"/>
      <c r="T2132" s="47"/>
    </row>
    <row r="2133" s="27" customFormat="1" ht="18" customHeight="1" spans="1:20">
      <c r="A2133" s="105" t="s">
        <v>301</v>
      </c>
      <c r="B2133" s="48">
        <v>8</v>
      </c>
      <c r="C2133" s="48" t="s">
        <v>363</v>
      </c>
      <c r="D2133" s="106" t="s">
        <v>415</v>
      </c>
      <c r="E2133" s="107"/>
      <c r="F2133" s="108"/>
      <c r="G2133" s="107"/>
      <c r="H2133" s="51"/>
      <c r="I2133" s="74">
        <f>SUM(I2129:I2132)</f>
        <v>333.239044247787</v>
      </c>
      <c r="J2133" s="53" t="s">
        <v>416</v>
      </c>
      <c r="K2133" s="60"/>
      <c r="L2133" s="69" t="s">
        <v>465</v>
      </c>
      <c r="M2133" s="44" t="s">
        <v>468</v>
      </c>
      <c r="N2133" s="82">
        <v>5.778</v>
      </c>
      <c r="O2133" s="44">
        <v>0.125</v>
      </c>
      <c r="P2133" s="44">
        <f>+P2129*2</f>
        <v>0</v>
      </c>
      <c r="Q2133" s="44">
        <f t="shared" si="333"/>
        <v>0</v>
      </c>
      <c r="R2133" s="84">
        <f>+Q2133/R2126</f>
        <v>0</v>
      </c>
      <c r="S2133" s="79"/>
      <c r="T2133" s="47"/>
    </row>
    <row r="2134" s="27" customFormat="1" ht="18" customHeight="1" spans="1:20">
      <c r="A2134" s="34"/>
      <c r="B2134" s="109" t="s">
        <v>418</v>
      </c>
      <c r="C2134" s="110"/>
      <c r="D2134" s="110"/>
      <c r="E2134" s="110"/>
      <c r="F2134" s="110"/>
      <c r="G2134" s="110"/>
      <c r="H2134" s="110"/>
      <c r="I2134" s="110"/>
      <c r="J2134" s="110"/>
      <c r="K2134" s="80"/>
      <c r="L2134" s="90" t="s">
        <v>469</v>
      </c>
      <c r="M2134" s="44"/>
      <c r="N2134" s="82"/>
      <c r="O2134" s="44">
        <f>1*4</f>
        <v>4</v>
      </c>
      <c r="P2134" s="44">
        <v>1</v>
      </c>
      <c r="Q2134" s="44">
        <f>+P2134*O2134</f>
        <v>4</v>
      </c>
      <c r="R2134" s="84">
        <f>+Q2134/R2126</f>
        <v>4</v>
      </c>
      <c r="S2134" s="47"/>
      <c r="T2134" s="47"/>
    </row>
    <row r="2135" s="27" customFormat="1" ht="18" customHeight="1" spans="1:20">
      <c r="A2135" s="34"/>
      <c r="B2135" s="48">
        <v>1</v>
      </c>
      <c r="C2135" s="48" t="s">
        <v>391</v>
      </c>
      <c r="D2135" s="48" t="s">
        <v>396</v>
      </c>
      <c r="E2135" s="48" t="s">
        <v>37</v>
      </c>
      <c r="F2135" s="50"/>
      <c r="G2135" s="48"/>
      <c r="H2135" s="51" t="s">
        <v>399</v>
      </c>
      <c r="I2135" s="51" t="s">
        <v>420</v>
      </c>
      <c r="J2135" s="95" t="s">
        <v>421</v>
      </c>
      <c r="K2135" s="92"/>
      <c r="L2135" s="90"/>
      <c r="M2135" s="44"/>
      <c r="N2135" s="82"/>
      <c r="O2135" s="44"/>
      <c r="P2135" s="44"/>
      <c r="Q2135" s="44"/>
      <c r="R2135" s="84"/>
      <c r="S2135" s="47"/>
      <c r="T2135" s="47"/>
    </row>
    <row r="2136" s="27" customFormat="1" ht="18" customHeight="1" spans="1:20">
      <c r="A2136" s="34"/>
      <c r="B2136" s="48">
        <v>2</v>
      </c>
      <c r="C2136" s="48"/>
      <c r="D2136" s="111" t="s">
        <v>485</v>
      </c>
      <c r="E2136" s="49" t="s">
        <v>423</v>
      </c>
      <c r="F2136" s="112"/>
      <c r="G2136" s="111"/>
      <c r="H2136" s="113">
        <v>1</v>
      </c>
      <c r="I2136" s="113">
        <f>+辅材及安装费!$G$9</f>
        <v>25</v>
      </c>
      <c r="J2136" s="114">
        <f t="shared" ref="J2136:J2151" si="334">H2136*I2136</f>
        <v>25</v>
      </c>
      <c r="K2136" s="92"/>
      <c r="L2136" s="90" t="s">
        <v>471</v>
      </c>
      <c r="M2136" s="44"/>
      <c r="N2136" s="82"/>
      <c r="O2136" s="44"/>
      <c r="P2136" s="44"/>
      <c r="Q2136" s="44">
        <f>+Q2134</f>
        <v>4</v>
      </c>
      <c r="R2136" s="84">
        <f>+Q2136/R2126</f>
        <v>4</v>
      </c>
      <c r="S2136" s="47"/>
      <c r="T2136" s="47"/>
    </row>
    <row r="2137" s="27" customFormat="1" ht="18" customHeight="1" spans="1:20">
      <c r="A2137" s="34"/>
      <c r="B2137" s="48">
        <v>3</v>
      </c>
      <c r="C2137" s="48"/>
      <c r="D2137" s="115"/>
      <c r="E2137" s="63"/>
      <c r="F2137" s="116"/>
      <c r="G2137" s="115"/>
      <c r="H2137" s="117"/>
      <c r="I2137" s="117"/>
      <c r="J2137" s="118"/>
      <c r="K2137" s="92"/>
      <c r="L2137" s="90" t="s">
        <v>472</v>
      </c>
      <c r="M2137" s="44"/>
      <c r="N2137" s="82"/>
      <c r="O2137" s="44"/>
      <c r="P2137" s="44">
        <f>+P2132</f>
        <v>0</v>
      </c>
      <c r="Q2137" s="44">
        <f>+P2137</f>
        <v>0</v>
      </c>
      <c r="R2137" s="84">
        <f>+Q2137/R2126</f>
        <v>0</v>
      </c>
      <c r="S2137" s="47"/>
      <c r="T2137" s="47"/>
    </row>
    <row r="2138" s="27" customFormat="1" ht="18" customHeight="1" spans="1:20">
      <c r="A2138" s="34"/>
      <c r="B2138" s="48">
        <v>4</v>
      </c>
      <c r="C2138" s="48"/>
      <c r="D2138" s="85" t="s">
        <v>426</v>
      </c>
      <c r="E2138" s="48" t="s">
        <v>392</v>
      </c>
      <c r="F2138" s="50"/>
      <c r="G2138" s="48"/>
      <c r="H2138" s="86"/>
      <c r="I2138" s="86"/>
      <c r="J2138" s="95">
        <f>SUM(J2136:J2136)</f>
        <v>25</v>
      </c>
      <c r="K2138" s="92"/>
      <c r="L2138" s="90" t="s">
        <v>473</v>
      </c>
      <c r="M2138" s="44"/>
      <c r="N2138" s="82"/>
      <c r="O2138" s="44"/>
      <c r="P2138" s="44"/>
      <c r="Q2138" s="44">
        <v>0</v>
      </c>
      <c r="R2138" s="84">
        <f>+Q2138/R2126</f>
        <v>0</v>
      </c>
      <c r="S2138" s="47"/>
      <c r="T2138" s="47"/>
    </row>
    <row r="2139" s="27" customFormat="1" ht="23" customHeight="1" spans="1:20">
      <c r="A2139" s="34"/>
      <c r="B2139" s="48">
        <v>1</v>
      </c>
      <c r="C2139" s="48" t="s">
        <v>394</v>
      </c>
      <c r="D2139" s="88" t="s">
        <v>431</v>
      </c>
      <c r="E2139" s="72" t="str">
        <f>+VLOOKUP(D2139,'材料表 '!C:F,2,0)</f>
        <v>kg</v>
      </c>
      <c r="F2139" s="77">
        <f>+SUMIF($L$2126:$L$2163,D2139,$R$2126:$R$2163)</f>
        <v>0</v>
      </c>
      <c r="G2139" s="89">
        <f>+VLOOKUP(D2139,'材料表 '!C:F,4,0)</f>
        <v>0.03</v>
      </c>
      <c r="H2139" s="74">
        <f t="shared" ref="H2139:H2151" si="335">F2139*(G2139+1)</f>
        <v>0</v>
      </c>
      <c r="I2139" s="74">
        <f>+VLOOKUP(D2139,'材料表 '!C:F,3,0)</f>
        <v>3.80530973451327</v>
      </c>
      <c r="J2139" s="95">
        <f t="shared" si="334"/>
        <v>0</v>
      </c>
      <c r="K2139" s="60">
        <f ca="1">H2139*K2125</f>
        <v>0</v>
      </c>
      <c r="L2139" s="90"/>
      <c r="M2139" s="44"/>
      <c r="N2139" s="82"/>
      <c r="O2139" s="44"/>
      <c r="P2139" s="44"/>
      <c r="Q2139" s="44"/>
      <c r="R2139" s="84"/>
      <c r="S2139" s="47"/>
      <c r="T2139" s="47"/>
    </row>
    <row r="2140" s="27" customFormat="1" ht="18" customHeight="1" spans="1:20">
      <c r="A2140" s="34"/>
      <c r="B2140" s="48">
        <v>2</v>
      </c>
      <c r="C2140" s="48"/>
      <c r="D2140" s="88" t="s">
        <v>461</v>
      </c>
      <c r="E2140" s="72" t="str">
        <f>+VLOOKUP(D2140,'材料表 '!C:F,2,0)</f>
        <v>kg</v>
      </c>
      <c r="F2140" s="77">
        <f t="shared" ref="F2140:F2148" si="336">+SUMIF($L$2126:$L$2163,D2140,$R$2126:$R$2163)</f>
        <v>3.77</v>
      </c>
      <c r="G2140" s="89">
        <f>+VLOOKUP(D2140,'材料表 '!C:F,4,0)</f>
        <v>0.03</v>
      </c>
      <c r="H2140" s="74">
        <f t="shared" si="335"/>
        <v>3.8831</v>
      </c>
      <c r="I2140" s="74">
        <f>+VLOOKUP(D2140,'材料表 '!C:F,3,0)</f>
        <v>3.53982300884956</v>
      </c>
      <c r="J2140" s="95">
        <f t="shared" si="334"/>
        <v>13.7454867256637</v>
      </c>
      <c r="K2140" s="60">
        <f ca="1">H2140*K2125</f>
        <v>188.563336</v>
      </c>
      <c r="L2140" s="90"/>
      <c r="M2140" s="44"/>
      <c r="N2140" s="82"/>
      <c r="O2140" s="44"/>
      <c r="P2140" s="44"/>
      <c r="Q2140" s="44"/>
      <c r="R2140" s="84"/>
      <c r="S2140" s="47"/>
      <c r="T2140" s="47"/>
    </row>
    <row r="2141" s="27" customFormat="1" ht="18" customHeight="1" spans="1:20">
      <c r="A2141" s="34"/>
      <c r="B2141" s="48">
        <v>3</v>
      </c>
      <c r="C2141" s="48"/>
      <c r="D2141" s="88" t="s">
        <v>465</v>
      </c>
      <c r="E2141" s="72" t="str">
        <f>+VLOOKUP(D2141,'材料表 '!C:F,2,0)</f>
        <v>kg</v>
      </c>
      <c r="F2141" s="77">
        <f t="shared" si="336"/>
        <v>0</v>
      </c>
      <c r="G2141" s="89">
        <f>+VLOOKUP(D2141,'材料表 '!C:F,4,0)</f>
        <v>0.03</v>
      </c>
      <c r="H2141" s="74">
        <f t="shared" si="335"/>
        <v>0</v>
      </c>
      <c r="I2141" s="74">
        <f>+VLOOKUP(D2141,'材料表 '!C:F,3,0)</f>
        <v>6.01769911504425</v>
      </c>
      <c r="J2141" s="95">
        <f t="shared" si="334"/>
        <v>0</v>
      </c>
      <c r="K2141" s="60">
        <f ca="1">H2141*K2125</f>
        <v>0</v>
      </c>
      <c r="L2141" s="90" t="s">
        <v>474</v>
      </c>
      <c r="M2141" s="44"/>
      <c r="N2141" s="82"/>
      <c r="O2141" s="44"/>
      <c r="P2141" s="44"/>
      <c r="Q2141" s="44">
        <f>+O2131*P2131*4</f>
        <v>0</v>
      </c>
      <c r="R2141" s="84">
        <f>+Q2141/R2126</f>
        <v>0</v>
      </c>
      <c r="S2141" s="47"/>
      <c r="T2141" s="47"/>
    </row>
    <row r="2142" s="27" customFormat="1" ht="18" customHeight="1" spans="1:20">
      <c r="A2142" s="34"/>
      <c r="B2142" s="48">
        <v>4</v>
      </c>
      <c r="C2142" s="48"/>
      <c r="D2142" s="88" t="s">
        <v>463</v>
      </c>
      <c r="E2142" s="72" t="str">
        <f>+VLOOKUP(D2142,'材料表 '!C:F,2,0)</f>
        <v>kg</v>
      </c>
      <c r="F2142" s="77">
        <f t="shared" si="336"/>
        <v>0</v>
      </c>
      <c r="G2142" s="89">
        <f>+VLOOKUP(D2142,'材料表 '!C:F,4,0)</f>
        <v>0.03</v>
      </c>
      <c r="H2142" s="74">
        <f t="shared" si="335"/>
        <v>0</v>
      </c>
      <c r="I2142" s="74">
        <f>+VLOOKUP(D2142,'材料表 '!C:F,3,0)</f>
        <v>6.01769911504425</v>
      </c>
      <c r="J2142" s="95">
        <f t="shared" si="334"/>
        <v>0</v>
      </c>
      <c r="K2142" s="60">
        <f ca="1">H2142*K2125</f>
        <v>0</v>
      </c>
      <c r="L2142" s="90"/>
      <c r="M2142" s="44"/>
      <c r="N2142" s="83"/>
      <c r="O2142" s="82"/>
      <c r="P2142" s="44"/>
      <c r="Q2142" s="44"/>
      <c r="R2142" s="84"/>
      <c r="S2142" s="47"/>
      <c r="T2142" s="47"/>
    </row>
    <row r="2143" s="27" customFormat="1" ht="18" customHeight="1" spans="1:20">
      <c r="A2143" s="34"/>
      <c r="B2143" s="48">
        <v>5</v>
      </c>
      <c r="C2143" s="48"/>
      <c r="D2143" s="88" t="s">
        <v>469</v>
      </c>
      <c r="E2143" s="72" t="str">
        <f>+VLOOKUP(D2143,'材料表 '!C:F,2,0)</f>
        <v>套</v>
      </c>
      <c r="F2143" s="77">
        <f t="shared" si="336"/>
        <v>4</v>
      </c>
      <c r="G2143" s="89">
        <f>+VLOOKUP(D2143,'材料表 '!C:F,4,0)</f>
        <v>0</v>
      </c>
      <c r="H2143" s="74">
        <f t="shared" si="335"/>
        <v>4</v>
      </c>
      <c r="I2143" s="74">
        <f>+VLOOKUP(D2143,'材料表 '!C:F,3,0)</f>
        <v>5.30973451327434</v>
      </c>
      <c r="J2143" s="95">
        <f t="shared" si="334"/>
        <v>21.2389380530974</v>
      </c>
      <c r="K2143" s="60">
        <f ca="1">H2143*K2125</f>
        <v>194.24</v>
      </c>
      <c r="L2143" s="92" t="s">
        <v>476</v>
      </c>
      <c r="M2143" s="44"/>
      <c r="N2143" s="82"/>
      <c r="O2143" s="44"/>
      <c r="P2143" s="44"/>
      <c r="Q2143" s="44">
        <f>6*6*(O2126*2+P2126*2)/500</f>
        <v>0.288</v>
      </c>
      <c r="R2143" s="84">
        <f>+Q2143/R2126</f>
        <v>0.288</v>
      </c>
      <c r="S2143" s="47"/>
      <c r="T2143" s="47"/>
    </row>
    <row r="2144" s="27" customFormat="1" ht="18" customHeight="1" spans="1:20">
      <c r="A2144" s="34"/>
      <c r="B2144" s="48">
        <v>7</v>
      </c>
      <c r="C2144" s="48"/>
      <c r="D2144" s="88" t="s">
        <v>471</v>
      </c>
      <c r="E2144" s="72" t="str">
        <f>+VLOOKUP(D2144,'材料表 '!C:F,2,0)</f>
        <v>套</v>
      </c>
      <c r="F2144" s="77">
        <f t="shared" si="336"/>
        <v>4</v>
      </c>
      <c r="G2144" s="89">
        <f>+VLOOKUP(D2144,'材料表 '!C:F,4,0)</f>
        <v>0</v>
      </c>
      <c r="H2144" s="74">
        <f t="shared" si="335"/>
        <v>4</v>
      </c>
      <c r="I2144" s="74">
        <f>+VLOOKUP(D2144,'材料表 '!C:F,3,0)</f>
        <v>1.32743362831858</v>
      </c>
      <c r="J2144" s="95">
        <f t="shared" si="334"/>
        <v>5.30973451327432</v>
      </c>
      <c r="K2144" s="60">
        <f ca="1">H2144*K2125</f>
        <v>194.24</v>
      </c>
      <c r="L2144" s="92"/>
      <c r="M2144" s="44"/>
      <c r="N2144" s="82"/>
      <c r="O2144" s="44"/>
      <c r="P2144" s="44"/>
      <c r="Q2144" s="44"/>
      <c r="R2144" s="84">
        <f>+Q2144/R2126</f>
        <v>0</v>
      </c>
      <c r="S2144" s="47"/>
      <c r="T2144" s="47"/>
    </row>
    <row r="2145" s="27" customFormat="1" ht="18" customHeight="1" spans="1:20">
      <c r="A2145" s="34"/>
      <c r="B2145" s="48">
        <v>8</v>
      </c>
      <c r="C2145" s="48"/>
      <c r="D2145" s="88" t="s">
        <v>472</v>
      </c>
      <c r="E2145" s="72" t="str">
        <f>+VLOOKUP(D2145,'材料表 '!C:F,2,0)</f>
        <v>套</v>
      </c>
      <c r="F2145" s="77">
        <f t="shared" si="336"/>
        <v>0</v>
      </c>
      <c r="G2145" s="89">
        <f>+VLOOKUP(D2145,'材料表 '!C:F,4,0)</f>
        <v>0</v>
      </c>
      <c r="H2145" s="74">
        <f t="shared" si="335"/>
        <v>0</v>
      </c>
      <c r="I2145" s="74">
        <f>+VLOOKUP(D2145,'材料表 '!C:F,3,0)</f>
        <v>2.47787610619469</v>
      </c>
      <c r="J2145" s="95">
        <f t="shared" si="334"/>
        <v>0</v>
      </c>
      <c r="K2145" s="60">
        <f ca="1">H2145*K2125</f>
        <v>0</v>
      </c>
      <c r="L2145" s="92"/>
      <c r="M2145" s="44"/>
      <c r="N2145" s="82"/>
      <c r="O2145" s="44"/>
      <c r="P2145" s="44"/>
      <c r="Q2145" s="44"/>
      <c r="R2145" s="84"/>
      <c r="S2145" s="47"/>
      <c r="T2145" s="47"/>
    </row>
    <row r="2146" s="27" customFormat="1" ht="18" customHeight="1" spans="1:20">
      <c r="A2146" s="34"/>
      <c r="B2146" s="48">
        <v>9</v>
      </c>
      <c r="C2146" s="48"/>
      <c r="D2146" s="88" t="s">
        <v>473</v>
      </c>
      <c r="E2146" s="72" t="str">
        <f>+VLOOKUP(D2146,'材料表 '!C:F,2,0)</f>
        <v>套</v>
      </c>
      <c r="F2146" s="77">
        <f t="shared" si="336"/>
        <v>0</v>
      </c>
      <c r="G2146" s="89">
        <f>+VLOOKUP(D2146,'材料表 '!C:F,4,0)</f>
        <v>0</v>
      </c>
      <c r="H2146" s="74">
        <f t="shared" si="335"/>
        <v>0</v>
      </c>
      <c r="I2146" s="74">
        <f>+VLOOKUP(D2146,'材料表 '!C:F,3,0)</f>
        <v>0.247787610619469</v>
      </c>
      <c r="J2146" s="95">
        <f t="shared" si="334"/>
        <v>0</v>
      </c>
      <c r="K2146" s="60">
        <f ca="1">H2146*K2125</f>
        <v>0</v>
      </c>
      <c r="L2146" s="90"/>
      <c r="M2146" s="44"/>
      <c r="N2146" s="82"/>
      <c r="O2146" s="34"/>
      <c r="P2146" s="44"/>
      <c r="Q2146" s="44"/>
      <c r="R2146" s="119"/>
      <c r="S2146" s="47"/>
      <c r="T2146" s="47"/>
    </row>
    <row r="2147" s="27" customFormat="1" ht="18" customHeight="1" spans="1:20">
      <c r="A2147" s="34"/>
      <c r="B2147" s="48">
        <v>10</v>
      </c>
      <c r="C2147" s="48"/>
      <c r="D2147" s="88" t="s">
        <v>474</v>
      </c>
      <c r="E2147" s="72" t="str">
        <f>+VLOOKUP(D2147,'材料表 '!C:F,2,0)</f>
        <v>套</v>
      </c>
      <c r="F2147" s="77">
        <f t="shared" si="336"/>
        <v>0</v>
      </c>
      <c r="G2147" s="89">
        <f>+VLOOKUP(D2147,'材料表 '!C:F,4,0)</f>
        <v>0</v>
      </c>
      <c r="H2147" s="74">
        <f t="shared" si="335"/>
        <v>0</v>
      </c>
      <c r="I2147" s="74">
        <f>+VLOOKUP(D2147,'材料表 '!C:F,3,0)</f>
        <v>2.21238938053097</v>
      </c>
      <c r="J2147" s="95">
        <f t="shared" si="334"/>
        <v>0</v>
      </c>
      <c r="K2147" s="60">
        <f ca="1">H2147*K2125</f>
        <v>0</v>
      </c>
      <c r="L2147" s="92"/>
      <c r="M2147" s="120"/>
      <c r="N2147" s="82"/>
      <c r="O2147" s="44"/>
      <c r="P2147" s="44"/>
      <c r="Q2147" s="44"/>
      <c r="R2147" s="84"/>
      <c r="S2147" s="47"/>
      <c r="T2147" s="47"/>
    </row>
    <row r="2148" s="27" customFormat="1" ht="18" customHeight="1" spans="1:20">
      <c r="A2148" s="34"/>
      <c r="B2148" s="48">
        <v>11</v>
      </c>
      <c r="C2148" s="48"/>
      <c r="D2148" s="88" t="s">
        <v>476</v>
      </c>
      <c r="E2148" s="72" t="str">
        <f>+VLOOKUP(D2148,'材料表 '!C:F,2,0)</f>
        <v>支</v>
      </c>
      <c r="F2148" s="77">
        <f t="shared" si="336"/>
        <v>0.288</v>
      </c>
      <c r="G2148" s="89">
        <f>+VLOOKUP(D2148,'材料表 '!C:F,4,0)</f>
        <v>0.15</v>
      </c>
      <c r="H2148" s="74">
        <f t="shared" si="335"/>
        <v>0.3312</v>
      </c>
      <c r="I2148" s="74">
        <f>+VLOOKUP(D2148,'材料表 '!C:F,3,0)</f>
        <v>11.5044247787611</v>
      </c>
      <c r="J2148" s="95">
        <f t="shared" si="334"/>
        <v>3.81026548672568</v>
      </c>
      <c r="K2148" s="60">
        <f ca="1">H2148*K2125</f>
        <v>16.083072</v>
      </c>
      <c r="L2148" s="92"/>
      <c r="M2148" s="44"/>
      <c r="N2148" s="44"/>
      <c r="O2148" s="44"/>
      <c r="P2148" s="44"/>
      <c r="Q2148" s="44"/>
      <c r="R2148" s="84"/>
      <c r="S2148" s="47"/>
      <c r="T2148" s="47"/>
    </row>
    <row r="2149" s="27" customFormat="1" ht="18" customHeight="1" spans="1:20">
      <c r="A2149" s="34"/>
      <c r="B2149" s="48">
        <v>12</v>
      </c>
      <c r="C2149" s="48"/>
      <c r="D2149" s="88" t="s">
        <v>477</v>
      </c>
      <c r="E2149" s="72" t="str">
        <f>+VLOOKUP(D2149,'材料表 '!C:F,2,0)</f>
        <v>kg</v>
      </c>
      <c r="F2149" s="77">
        <v>0.2</v>
      </c>
      <c r="G2149" s="89">
        <f>+VLOOKUP(D2149,'材料表 '!C:F,4,0)</f>
        <v>0.15</v>
      </c>
      <c r="H2149" s="74">
        <f t="shared" si="335"/>
        <v>0.23</v>
      </c>
      <c r="I2149" s="74">
        <f>+VLOOKUP(D2149,'材料表 '!C:F,3,0)</f>
        <v>10.6194690265487</v>
      </c>
      <c r="J2149" s="95">
        <f t="shared" si="334"/>
        <v>2.4424778761062</v>
      </c>
      <c r="K2149" s="60">
        <f ca="1">H2149*K2125</f>
        <v>11.1688</v>
      </c>
      <c r="L2149" s="92"/>
      <c r="M2149" s="44"/>
      <c r="N2149" s="44"/>
      <c r="O2149" s="44"/>
      <c r="P2149" s="44"/>
      <c r="Q2149" s="44"/>
      <c r="R2149" s="84"/>
      <c r="S2149" s="47"/>
      <c r="T2149" s="47"/>
    </row>
    <row r="2150" s="27" customFormat="1" ht="18" customHeight="1" spans="1:20">
      <c r="A2150" s="34"/>
      <c r="B2150" s="48">
        <v>13</v>
      </c>
      <c r="C2150" s="48"/>
      <c r="D2150" s="88" t="s">
        <v>479</v>
      </c>
      <c r="E2150" s="72" t="str">
        <f>+VLOOKUP(D2150,'材料表 '!C:F,2,0)</f>
        <v>kg</v>
      </c>
      <c r="F2150" s="77">
        <v>0</v>
      </c>
      <c r="G2150" s="89">
        <f>+VLOOKUP(D2150,'材料表 '!C:F,4,0)</f>
        <v>0.03</v>
      </c>
      <c r="H2150" s="74">
        <f t="shared" si="335"/>
        <v>0</v>
      </c>
      <c r="I2150" s="74">
        <f>+VLOOKUP(D2150,'材料表 '!C:F,3,0)</f>
        <v>14.1592920353982</v>
      </c>
      <c r="J2150" s="95">
        <f t="shared" si="334"/>
        <v>0</v>
      </c>
      <c r="K2150" s="60">
        <f ca="1">H2150*K2125</f>
        <v>0</v>
      </c>
      <c r="L2150" s="92"/>
      <c r="M2150" s="44"/>
      <c r="N2150" s="44"/>
      <c r="O2150" s="44"/>
      <c r="P2150" s="44"/>
      <c r="Q2150" s="44"/>
      <c r="R2150" s="84"/>
      <c r="S2150" s="47"/>
      <c r="T2150" s="47"/>
    </row>
    <row r="2151" s="27" customFormat="1" ht="25" customHeight="1" spans="1:20">
      <c r="A2151" s="34"/>
      <c r="B2151" s="48">
        <v>14</v>
      </c>
      <c r="C2151" s="48"/>
      <c r="D2151" s="88" t="s">
        <v>301</v>
      </c>
      <c r="E2151" s="72" t="str">
        <f>+VLOOKUP(D2151,'材料表 '!C:F,2,0)</f>
        <v>米</v>
      </c>
      <c r="F2151" s="77">
        <v>1</v>
      </c>
      <c r="G2151" s="89">
        <f>+VLOOKUP(D2151,'材料表 '!C:F,4,0)</f>
        <v>0.02</v>
      </c>
      <c r="H2151" s="74">
        <f t="shared" si="335"/>
        <v>1.02</v>
      </c>
      <c r="I2151" s="74">
        <f>+VLOOKUP(D2151,'材料表 '!C:F,3,0)</f>
        <v>225.663716814159</v>
      </c>
      <c r="J2151" s="95">
        <f t="shared" si="334"/>
        <v>230.176991150442</v>
      </c>
      <c r="K2151" s="60">
        <f ca="1">H2151*K2125</f>
        <v>49.5312</v>
      </c>
      <c r="L2151" s="92"/>
      <c r="M2151" s="44"/>
      <c r="N2151" s="44"/>
      <c r="O2151" s="44"/>
      <c r="P2151" s="44"/>
      <c r="Q2151" s="44"/>
      <c r="R2151" s="84"/>
      <c r="S2151" s="47"/>
      <c r="T2151" s="47"/>
    </row>
    <row r="2152" s="27" customFormat="1" ht="18" customHeight="1" spans="1:20">
      <c r="A2152" s="34"/>
      <c r="B2152" s="48">
        <v>15</v>
      </c>
      <c r="C2152" s="48"/>
      <c r="D2152" s="88"/>
      <c r="E2152" s="72"/>
      <c r="F2152" s="77"/>
      <c r="G2152" s="89"/>
      <c r="H2152" s="74"/>
      <c r="I2152" s="74"/>
      <c r="J2152" s="95"/>
      <c r="K2152" s="92">
        <f ca="1">H2152*K2125</f>
        <v>0</v>
      </c>
      <c r="L2152" s="92"/>
      <c r="M2152" s="44"/>
      <c r="N2152" s="44"/>
      <c r="O2152" s="44"/>
      <c r="P2152" s="44"/>
      <c r="Q2152" s="44"/>
      <c r="R2152" s="84"/>
      <c r="S2152" s="47"/>
      <c r="T2152" s="47"/>
    </row>
    <row r="2153" s="27" customFormat="1" ht="18" customHeight="1" spans="1:20">
      <c r="A2153" s="34"/>
      <c r="B2153" s="48">
        <v>16</v>
      </c>
      <c r="C2153" s="48"/>
      <c r="D2153" s="88"/>
      <c r="E2153" s="72"/>
      <c r="F2153" s="77"/>
      <c r="G2153" s="89"/>
      <c r="H2153" s="74"/>
      <c r="I2153" s="74"/>
      <c r="J2153" s="95"/>
      <c r="K2153" s="92">
        <f ca="1">H2153*K2125</f>
        <v>0</v>
      </c>
      <c r="L2153" s="92"/>
      <c r="M2153" s="44"/>
      <c r="N2153" s="44"/>
      <c r="O2153" s="44"/>
      <c r="P2153" s="44"/>
      <c r="Q2153" s="44"/>
      <c r="R2153" s="84"/>
      <c r="S2153" s="47"/>
      <c r="T2153" s="47"/>
    </row>
    <row r="2154" s="27" customFormat="1" ht="18" customHeight="1" spans="1:20">
      <c r="A2154" s="34"/>
      <c r="B2154" s="48">
        <v>17</v>
      </c>
      <c r="C2154" s="48"/>
      <c r="D2154" s="121"/>
      <c r="E2154" s="72"/>
      <c r="F2154" s="77"/>
      <c r="G2154" s="89"/>
      <c r="H2154" s="74"/>
      <c r="I2154" s="74"/>
      <c r="J2154" s="95"/>
      <c r="K2154" s="92"/>
      <c r="L2154" s="92"/>
      <c r="M2154" s="44"/>
      <c r="N2154" s="44"/>
      <c r="O2154" s="44"/>
      <c r="P2154" s="44"/>
      <c r="Q2154" s="101"/>
      <c r="R2154" s="84"/>
      <c r="S2154" s="47"/>
      <c r="T2154" s="47"/>
    </row>
    <row r="2155" s="27" customFormat="1" ht="18" customHeight="1" spans="1:20">
      <c r="A2155" s="34"/>
      <c r="B2155" s="48">
        <v>18</v>
      </c>
      <c r="C2155" s="48"/>
      <c r="D2155" s="88"/>
      <c r="E2155" s="72"/>
      <c r="F2155" s="77"/>
      <c r="G2155" s="89"/>
      <c r="H2155" s="74"/>
      <c r="I2155" s="74"/>
      <c r="J2155" s="95"/>
      <c r="K2155" s="92"/>
      <c r="L2155" s="92"/>
      <c r="M2155" s="44"/>
      <c r="N2155" s="44"/>
      <c r="O2155" s="44"/>
      <c r="P2155" s="44"/>
      <c r="Q2155" s="44"/>
      <c r="R2155" s="84"/>
      <c r="S2155" s="47"/>
      <c r="T2155" s="47"/>
    </row>
    <row r="2156" s="27" customFormat="1" ht="18" customHeight="1" spans="1:20">
      <c r="A2156" s="34"/>
      <c r="B2156" s="48">
        <v>19</v>
      </c>
      <c r="C2156" s="48"/>
      <c r="D2156" s="27"/>
      <c r="E2156" s="72"/>
      <c r="F2156" s="77"/>
      <c r="G2156" s="89"/>
      <c r="H2156" s="74"/>
      <c r="I2156" s="74"/>
      <c r="J2156" s="95"/>
      <c r="K2156" s="92"/>
      <c r="L2156" s="92"/>
      <c r="M2156" s="44"/>
      <c r="N2156" s="44"/>
      <c r="O2156" s="44"/>
      <c r="P2156" s="44"/>
      <c r="Q2156" s="44"/>
      <c r="R2156" s="84"/>
      <c r="S2156" s="47"/>
      <c r="T2156" s="47"/>
    </row>
    <row r="2157" s="27" customFormat="1" ht="18" customHeight="1" spans="1:20">
      <c r="A2157" s="34"/>
      <c r="B2157" s="48">
        <v>20</v>
      </c>
      <c r="C2157" s="48"/>
      <c r="D2157" s="88"/>
      <c r="E2157" s="72"/>
      <c r="F2157" s="77"/>
      <c r="G2157" s="89"/>
      <c r="H2157" s="74"/>
      <c r="I2157" s="74"/>
      <c r="J2157" s="95"/>
      <c r="K2157" s="92"/>
      <c r="L2157" s="92"/>
      <c r="M2157" s="44"/>
      <c r="N2157" s="44"/>
      <c r="O2157" s="44"/>
      <c r="P2157" s="44"/>
      <c r="Q2157" s="44"/>
      <c r="R2157" s="84"/>
      <c r="S2157" s="47"/>
      <c r="T2157" s="47"/>
    </row>
    <row r="2158" s="27" customFormat="1" ht="18" customHeight="1" spans="1:20">
      <c r="A2158" s="34"/>
      <c r="B2158" s="48">
        <v>21</v>
      </c>
      <c r="C2158" s="48"/>
      <c r="D2158" s="88"/>
      <c r="E2158" s="72"/>
      <c r="F2158" s="77"/>
      <c r="G2158" s="89"/>
      <c r="H2158" s="74"/>
      <c r="I2158" s="74"/>
      <c r="J2158" s="95"/>
      <c r="K2158" s="92"/>
      <c r="L2158" s="92"/>
      <c r="M2158" s="44"/>
      <c r="N2158" s="44"/>
      <c r="O2158" s="44"/>
      <c r="P2158" s="44"/>
      <c r="Q2158" s="44"/>
      <c r="R2158" s="84"/>
      <c r="S2158" s="47"/>
      <c r="T2158" s="47"/>
    </row>
    <row r="2159" s="27" customFormat="1" ht="18" customHeight="1" spans="1:20">
      <c r="A2159" s="34"/>
      <c r="B2159" s="48">
        <v>22</v>
      </c>
      <c r="C2159" s="48"/>
      <c r="D2159" s="27"/>
      <c r="E2159" s="72"/>
      <c r="F2159" s="77"/>
      <c r="G2159" s="72"/>
      <c r="H2159" s="74"/>
      <c r="I2159" s="74"/>
      <c r="J2159" s="95"/>
      <c r="K2159" s="92"/>
      <c r="L2159" s="92"/>
      <c r="M2159" s="44"/>
      <c r="N2159" s="44"/>
      <c r="O2159" s="44"/>
      <c r="P2159" s="44"/>
      <c r="Q2159" s="44"/>
      <c r="R2159" s="62"/>
      <c r="S2159" s="47"/>
      <c r="T2159" s="47"/>
    </row>
    <row r="2160" s="27" customFormat="1" ht="18" customHeight="1" spans="1:20">
      <c r="A2160" s="34"/>
      <c r="B2160" s="48">
        <v>23</v>
      </c>
      <c r="C2160" s="48"/>
      <c r="D2160" s="88"/>
      <c r="E2160" s="72"/>
      <c r="F2160" s="77"/>
      <c r="G2160" s="89"/>
      <c r="H2160" s="74"/>
      <c r="I2160" s="74"/>
      <c r="J2160" s="95"/>
      <c r="K2160" s="92"/>
      <c r="L2160" s="92"/>
      <c r="M2160" s="44"/>
      <c r="N2160" s="44"/>
      <c r="O2160" s="44"/>
      <c r="P2160" s="44"/>
      <c r="Q2160" s="44"/>
      <c r="R2160" s="62"/>
      <c r="S2160" s="47"/>
      <c r="T2160" s="47"/>
    </row>
    <row r="2161" s="27" customFormat="1" ht="18" customHeight="1" spans="1:20">
      <c r="A2161" s="34"/>
      <c r="B2161" s="48">
        <v>24</v>
      </c>
      <c r="C2161" s="48"/>
      <c r="D2161" s="88" t="s">
        <v>478</v>
      </c>
      <c r="E2161" s="72" t="s">
        <v>43</v>
      </c>
      <c r="F2161" s="77"/>
      <c r="G2161" s="72">
        <v>1</v>
      </c>
      <c r="H2161" s="74">
        <v>1</v>
      </c>
      <c r="I2161" s="74">
        <f>+辅材及安装费!$E$9</f>
        <v>2</v>
      </c>
      <c r="J2161" s="95">
        <f>H2161*I2161</f>
        <v>2</v>
      </c>
      <c r="K2161" s="92"/>
      <c r="L2161" s="92"/>
      <c r="M2161" s="44"/>
      <c r="N2161" s="44"/>
      <c r="O2161" s="44"/>
      <c r="P2161" s="44"/>
      <c r="Q2161" s="44"/>
      <c r="R2161" s="62"/>
      <c r="S2161" s="47"/>
      <c r="T2161" s="47"/>
    </row>
    <row r="2162" s="27" customFormat="1" ht="18" customHeight="1" spans="1:20">
      <c r="A2162" s="34"/>
      <c r="B2162" s="48">
        <v>25</v>
      </c>
      <c r="C2162" s="48"/>
      <c r="D2162" s="93" t="s">
        <v>442</v>
      </c>
      <c r="E2162" s="72"/>
      <c r="F2162" s="77"/>
      <c r="G2162" s="72"/>
      <c r="H2162" s="74"/>
      <c r="I2162" s="74"/>
      <c r="J2162" s="95">
        <f>SUM(J2139:J2161)</f>
        <v>278.723893805309</v>
      </c>
      <c r="K2162" s="92"/>
      <c r="L2162" s="94"/>
      <c r="M2162" s="27"/>
      <c r="N2162" s="83"/>
      <c r="O2162" s="83"/>
      <c r="P2162" s="83"/>
      <c r="Q2162" s="83"/>
      <c r="R2162" s="87"/>
      <c r="S2162" s="47"/>
      <c r="T2162" s="47"/>
    </row>
    <row r="2163" s="27" customFormat="1" ht="18" customHeight="1" spans="1:20">
      <c r="A2163" s="34"/>
      <c r="B2163" s="48">
        <v>1</v>
      </c>
      <c r="C2163" s="48" t="s">
        <v>443</v>
      </c>
      <c r="D2163" s="48" t="s">
        <v>444</v>
      </c>
      <c r="E2163" s="72" t="s">
        <v>43</v>
      </c>
      <c r="F2163" s="50"/>
      <c r="G2163" s="48"/>
      <c r="H2163" s="51">
        <v>1</v>
      </c>
      <c r="I2163" s="74">
        <f>+辅材及安装费!$F$9</f>
        <v>2</v>
      </c>
      <c r="J2163" s="95">
        <f>H2163*I2163</f>
        <v>2</v>
      </c>
      <c r="K2163" s="118"/>
      <c r="L2163" s="96"/>
      <c r="M2163" s="97"/>
      <c r="N2163" s="98"/>
      <c r="O2163" s="98"/>
      <c r="P2163" s="98"/>
      <c r="Q2163" s="98"/>
      <c r="R2163" s="99"/>
      <c r="S2163" s="47"/>
      <c r="T2163" s="47"/>
    </row>
    <row r="2164" s="26" customFormat="1" ht="30" customHeight="1" spans="1:20">
      <c r="A2164" s="28"/>
      <c r="B2164" s="29" t="s">
        <v>386</v>
      </c>
      <c r="C2164" s="29"/>
      <c r="D2164" s="29"/>
      <c r="E2164" s="29"/>
      <c r="F2164" s="29"/>
      <c r="G2164" s="29"/>
      <c r="H2164" s="29"/>
      <c r="I2164" s="29"/>
      <c r="J2164" s="29"/>
      <c r="K2164" s="29"/>
      <c r="L2164" s="30"/>
      <c r="M2164" s="31"/>
      <c r="N2164" s="31"/>
      <c r="O2164" s="31"/>
      <c r="P2164" s="31"/>
      <c r="Q2164" s="31"/>
      <c r="R2164" s="32"/>
      <c r="S2164" s="33"/>
      <c r="T2164" s="33"/>
    </row>
    <row r="2165" s="27" customFormat="1" ht="33.75" customHeight="1" spans="1:20">
      <c r="A2165" s="34">
        <v>11</v>
      </c>
      <c r="B2165" s="35" t="s">
        <v>1</v>
      </c>
      <c r="C2165" s="35" t="s">
        <v>387</v>
      </c>
      <c r="D2165" s="36" t="str">
        <f>+A2173</f>
        <v>贝金米黄石材拉槽线条2</v>
      </c>
      <c r="E2165" s="37"/>
      <c r="F2165" s="38" t="s">
        <v>99</v>
      </c>
      <c r="G2165" s="39"/>
      <c r="H2165" s="35" t="s">
        <v>388</v>
      </c>
      <c r="I2165" s="40" t="s">
        <v>389</v>
      </c>
      <c r="J2165" s="41" t="s">
        <v>37</v>
      </c>
      <c r="K2165" s="123">
        <f ca="1">VLOOKUP(A2165,'商业工程量清单 '!$A$47:$D$58,4,FALSE)</f>
        <v>48.56</v>
      </c>
      <c r="L2165" s="43"/>
      <c r="M2165" s="44"/>
      <c r="N2165" s="44"/>
      <c r="O2165" s="44"/>
      <c r="P2165" s="45"/>
      <c r="Q2165" s="44"/>
      <c r="R2165" s="46"/>
      <c r="S2165" s="47"/>
      <c r="T2165" s="47"/>
    </row>
    <row r="2166" s="27" customFormat="1" ht="18" customHeight="1" spans="1:20">
      <c r="A2166" s="34"/>
      <c r="B2166" s="48">
        <v>1</v>
      </c>
      <c r="C2166" s="49" t="s">
        <v>390</v>
      </c>
      <c r="D2166" s="48" t="s">
        <v>391</v>
      </c>
      <c r="E2166" s="48"/>
      <c r="F2166" s="50"/>
      <c r="G2166" s="48"/>
      <c r="H2166" s="51"/>
      <c r="I2166" s="52">
        <f>J2178</f>
        <v>25</v>
      </c>
      <c r="J2166" s="53" t="s">
        <v>392</v>
      </c>
      <c r="K2166" s="54"/>
      <c r="L2166" s="55" t="s">
        <v>1056</v>
      </c>
      <c r="M2166" s="56"/>
      <c r="N2166" s="57"/>
      <c r="O2166" s="57">
        <v>1</v>
      </c>
      <c r="P2166" s="57">
        <v>1</v>
      </c>
      <c r="Q2166" s="57">
        <v>1</v>
      </c>
      <c r="R2166" s="58">
        <f>+Q2166*P2166*O2166</f>
        <v>1</v>
      </c>
      <c r="S2166" s="47"/>
      <c r="T2166" s="47"/>
    </row>
    <row r="2167" s="27" customFormat="1" ht="18" customHeight="1" spans="1:20">
      <c r="A2167" s="34"/>
      <c r="B2167" s="48">
        <v>2</v>
      </c>
      <c r="C2167" s="59"/>
      <c r="D2167" s="48" t="s">
        <v>394</v>
      </c>
      <c r="E2167" s="48"/>
      <c r="F2167" s="50"/>
      <c r="G2167" s="48"/>
      <c r="H2167" s="51"/>
      <c r="I2167" s="52">
        <f>J2202</f>
        <v>955.715044247787</v>
      </c>
      <c r="J2167" s="53" t="s">
        <v>392</v>
      </c>
      <c r="K2167" s="60"/>
      <c r="L2167" s="61" t="s">
        <v>99</v>
      </c>
      <c r="M2167" s="44"/>
      <c r="N2167" s="44"/>
      <c r="O2167" s="44"/>
      <c r="P2167" s="44"/>
      <c r="Q2167" s="44"/>
      <c r="R2167" s="62"/>
      <c r="S2167" s="47"/>
      <c r="T2167" s="47"/>
    </row>
    <row r="2168" s="27" customFormat="1" ht="18" customHeight="1" spans="1:20">
      <c r="A2168" s="34"/>
      <c r="B2168" s="48">
        <v>3</v>
      </c>
      <c r="C2168" s="63"/>
      <c r="D2168" s="48" t="s">
        <v>395</v>
      </c>
      <c r="E2168" s="48"/>
      <c r="F2168" s="50"/>
      <c r="G2168" s="48"/>
      <c r="H2168" s="51"/>
      <c r="I2168" s="52">
        <f>J2203</f>
        <v>2</v>
      </c>
      <c r="J2168" s="53" t="s">
        <v>392</v>
      </c>
      <c r="K2168" s="60"/>
      <c r="L2168" s="60"/>
      <c r="M2168" s="64" t="s">
        <v>396</v>
      </c>
      <c r="N2168" s="65" t="s">
        <v>397</v>
      </c>
      <c r="O2168" s="65" t="s">
        <v>398</v>
      </c>
      <c r="P2168" s="65" t="s">
        <v>399</v>
      </c>
      <c r="Q2168" s="65" t="s">
        <v>400</v>
      </c>
      <c r="R2168" s="66" t="s">
        <v>401</v>
      </c>
      <c r="S2168" s="47"/>
      <c r="T2168" s="47"/>
    </row>
    <row r="2169" s="27" customFormat="1" ht="18" customHeight="1" spans="1:20">
      <c r="A2169" s="34"/>
      <c r="B2169" s="48">
        <v>4</v>
      </c>
      <c r="C2169" s="48" t="s">
        <v>402</v>
      </c>
      <c r="D2169" s="67" t="s">
        <v>403</v>
      </c>
      <c r="E2169" s="67"/>
      <c r="F2169" s="50"/>
      <c r="G2169" s="67"/>
      <c r="H2169" s="68"/>
      <c r="I2169" s="52">
        <f>SUM(I2166:I2168)</f>
        <v>982.715044247787</v>
      </c>
      <c r="J2169" s="53" t="s">
        <v>392</v>
      </c>
      <c r="K2169" s="60"/>
      <c r="L2169" s="69" t="s">
        <v>431</v>
      </c>
      <c r="M2169" s="34" t="s">
        <v>460</v>
      </c>
      <c r="N2169" s="102">
        <v>10.21</v>
      </c>
      <c r="O2169" s="34">
        <f>+P2166</f>
        <v>1</v>
      </c>
      <c r="P2169" s="34">
        <v>0</v>
      </c>
      <c r="Q2169" s="44">
        <f t="shared" ref="Q2169:Q2173" si="337">+P2169*O2169*N2169</f>
        <v>0</v>
      </c>
      <c r="R2169" s="71">
        <f>+Q2169/R2166</f>
        <v>0</v>
      </c>
      <c r="S2169" s="47"/>
      <c r="T2169" s="47"/>
    </row>
    <row r="2170" s="27" customFormat="1" ht="28" customHeight="1" spans="1:20">
      <c r="A2170" s="34"/>
      <c r="B2170" s="48">
        <v>5</v>
      </c>
      <c r="C2170" s="72" t="s">
        <v>406</v>
      </c>
      <c r="D2170" s="48" t="s">
        <v>407</v>
      </c>
      <c r="E2170" s="48"/>
      <c r="F2170" s="50"/>
      <c r="G2170" s="48"/>
      <c r="H2170" s="73">
        <f>+'材料表 '!$E$178</f>
        <v>0</v>
      </c>
      <c r="I2170" s="52">
        <f>H2170*I2169</f>
        <v>0</v>
      </c>
      <c r="J2170" s="53" t="s">
        <v>392</v>
      </c>
      <c r="K2170" s="60"/>
      <c r="L2170" s="69" t="s">
        <v>461</v>
      </c>
      <c r="M2170" s="34" t="s">
        <v>462</v>
      </c>
      <c r="N2170" s="34">
        <v>3.77</v>
      </c>
      <c r="O2170" s="34">
        <f>+O2166</f>
        <v>1</v>
      </c>
      <c r="P2170" s="34">
        <v>1</v>
      </c>
      <c r="Q2170" s="44">
        <f t="shared" si="337"/>
        <v>3.77</v>
      </c>
      <c r="R2170" s="71">
        <f>+Q2170/R2166</f>
        <v>3.77</v>
      </c>
      <c r="S2170" s="47"/>
      <c r="T2170" s="47"/>
    </row>
    <row r="2171" s="27" customFormat="1" ht="18" customHeight="1" spans="1:20">
      <c r="A2171" s="34"/>
      <c r="B2171" s="48">
        <v>6</v>
      </c>
      <c r="C2171" s="48" t="s">
        <v>409</v>
      </c>
      <c r="D2171" s="48" t="s">
        <v>410</v>
      </c>
      <c r="E2171" s="48"/>
      <c r="F2171" s="50"/>
      <c r="G2171" s="48"/>
      <c r="H2171" s="73">
        <f>+'材料表 '!$E$179</f>
        <v>0</v>
      </c>
      <c r="I2171" s="52">
        <f>H2171*I2169</f>
        <v>0</v>
      </c>
      <c r="J2171" s="53" t="s">
        <v>392</v>
      </c>
      <c r="K2171" s="60"/>
      <c r="L2171" s="69" t="s">
        <v>463</v>
      </c>
      <c r="M2171" s="34" t="s">
        <v>490</v>
      </c>
      <c r="N2171" s="34">
        <f>0.3*0.2*7.85*10</f>
        <v>4.71</v>
      </c>
      <c r="O2171" s="34">
        <v>0.5</v>
      </c>
      <c r="P2171" s="34">
        <f>+P2169</f>
        <v>0</v>
      </c>
      <c r="Q2171" s="44">
        <f t="shared" si="337"/>
        <v>0</v>
      </c>
      <c r="R2171" s="71">
        <f>+Q2171/R2166</f>
        <v>0</v>
      </c>
      <c r="S2171" s="47"/>
      <c r="T2171" s="47"/>
    </row>
    <row r="2172" s="27" customFormat="1" ht="18" customHeight="1" spans="1:20">
      <c r="A2172" s="34"/>
      <c r="B2172" s="48">
        <v>7</v>
      </c>
      <c r="C2172" s="48" t="s">
        <v>412</v>
      </c>
      <c r="D2172" s="72" t="s">
        <v>413</v>
      </c>
      <c r="E2172" s="72"/>
      <c r="F2172" s="77"/>
      <c r="G2172" s="72"/>
      <c r="H2172" s="73">
        <f>+'材料表 '!$E$180</f>
        <v>0.09</v>
      </c>
      <c r="I2172" s="52">
        <f>(I2169+I2170+I2171)*H2172</f>
        <v>88.4443539823008</v>
      </c>
      <c r="J2172" s="53" t="s">
        <v>392</v>
      </c>
      <c r="K2172" s="60"/>
      <c r="L2172" s="69" t="s">
        <v>465</v>
      </c>
      <c r="M2172" s="34" t="s">
        <v>466</v>
      </c>
      <c r="N2172" s="100">
        <f>3.77</f>
        <v>3.77</v>
      </c>
      <c r="O2172" s="34">
        <v>0.155</v>
      </c>
      <c r="P2172" s="34">
        <v>0</v>
      </c>
      <c r="Q2172" s="44">
        <f t="shared" si="337"/>
        <v>0</v>
      </c>
      <c r="R2172" s="71">
        <f>+Q2172/R2166</f>
        <v>0</v>
      </c>
      <c r="S2172" s="47"/>
      <c r="T2172" s="47"/>
    </row>
    <row r="2173" s="27" customFormat="1" ht="18" customHeight="1" spans="1:20">
      <c r="A2173" s="105" t="s">
        <v>303</v>
      </c>
      <c r="B2173" s="48">
        <v>8</v>
      </c>
      <c r="C2173" s="48" t="s">
        <v>363</v>
      </c>
      <c r="D2173" s="106" t="s">
        <v>415</v>
      </c>
      <c r="E2173" s="107"/>
      <c r="F2173" s="108"/>
      <c r="G2173" s="107"/>
      <c r="H2173" s="51"/>
      <c r="I2173" s="74">
        <f>SUM(I2169:I2172)</f>
        <v>1071.15939823009</v>
      </c>
      <c r="J2173" s="53" t="s">
        <v>416</v>
      </c>
      <c r="K2173" s="60"/>
      <c r="L2173" s="69" t="s">
        <v>465</v>
      </c>
      <c r="M2173" s="44" t="s">
        <v>468</v>
      </c>
      <c r="N2173" s="82">
        <v>5.778</v>
      </c>
      <c r="O2173" s="44">
        <v>0.125</v>
      </c>
      <c r="P2173" s="44">
        <f>+P2169*2</f>
        <v>0</v>
      </c>
      <c r="Q2173" s="44">
        <f t="shared" si="337"/>
        <v>0</v>
      </c>
      <c r="R2173" s="84">
        <f>+Q2173/R2166</f>
        <v>0</v>
      </c>
      <c r="S2173" s="79"/>
      <c r="T2173" s="47"/>
    </row>
    <row r="2174" s="27" customFormat="1" ht="18" customHeight="1" spans="1:20">
      <c r="A2174" s="34"/>
      <c r="B2174" s="109" t="s">
        <v>418</v>
      </c>
      <c r="C2174" s="110"/>
      <c r="D2174" s="110"/>
      <c r="E2174" s="110"/>
      <c r="F2174" s="110"/>
      <c r="G2174" s="110"/>
      <c r="H2174" s="110"/>
      <c r="I2174" s="110"/>
      <c r="J2174" s="110"/>
      <c r="K2174" s="80"/>
      <c r="L2174" s="90" t="s">
        <v>469</v>
      </c>
      <c r="M2174" s="44"/>
      <c r="N2174" s="82"/>
      <c r="O2174" s="44">
        <f>1*4</f>
        <v>4</v>
      </c>
      <c r="P2174" s="44">
        <v>1</v>
      </c>
      <c r="Q2174" s="44">
        <f>+P2174*O2174</f>
        <v>4</v>
      </c>
      <c r="R2174" s="84">
        <f>+Q2174/R2166</f>
        <v>4</v>
      </c>
      <c r="S2174" s="47"/>
      <c r="T2174" s="47"/>
    </row>
    <row r="2175" s="27" customFormat="1" ht="18" customHeight="1" spans="1:20">
      <c r="A2175" s="34"/>
      <c r="B2175" s="48">
        <v>1</v>
      </c>
      <c r="C2175" s="48" t="s">
        <v>391</v>
      </c>
      <c r="D2175" s="48" t="s">
        <v>396</v>
      </c>
      <c r="E2175" s="48" t="s">
        <v>37</v>
      </c>
      <c r="F2175" s="50"/>
      <c r="G2175" s="48"/>
      <c r="H2175" s="51" t="s">
        <v>399</v>
      </c>
      <c r="I2175" s="51" t="s">
        <v>420</v>
      </c>
      <c r="J2175" s="95" t="s">
        <v>421</v>
      </c>
      <c r="K2175" s="92"/>
      <c r="L2175" s="90"/>
      <c r="M2175" s="44"/>
      <c r="N2175" s="82"/>
      <c r="O2175" s="44"/>
      <c r="P2175" s="44"/>
      <c r="Q2175" s="44"/>
      <c r="R2175" s="84"/>
      <c r="S2175" s="47"/>
      <c r="T2175" s="47"/>
    </row>
    <row r="2176" s="27" customFormat="1" ht="18" customHeight="1" spans="1:20">
      <c r="A2176" s="34"/>
      <c r="B2176" s="48">
        <v>2</v>
      </c>
      <c r="C2176" s="48"/>
      <c r="D2176" s="111" t="s">
        <v>485</v>
      </c>
      <c r="E2176" s="49" t="s">
        <v>423</v>
      </c>
      <c r="F2176" s="112"/>
      <c r="G2176" s="111"/>
      <c r="H2176" s="113">
        <v>1</v>
      </c>
      <c r="I2176" s="113">
        <f>+辅材及安装费!$G$9</f>
        <v>25</v>
      </c>
      <c r="J2176" s="114">
        <f t="shared" ref="J2176:J2191" si="338">H2176*I2176</f>
        <v>25</v>
      </c>
      <c r="K2176" s="92"/>
      <c r="L2176" s="90" t="s">
        <v>471</v>
      </c>
      <c r="M2176" s="44"/>
      <c r="N2176" s="82"/>
      <c r="O2176" s="44"/>
      <c r="P2176" s="44"/>
      <c r="Q2176" s="44">
        <f>+Q2174</f>
        <v>4</v>
      </c>
      <c r="R2176" s="84">
        <f>+Q2176/R2166</f>
        <v>4</v>
      </c>
      <c r="S2176" s="47"/>
      <c r="T2176" s="47"/>
    </row>
    <row r="2177" s="27" customFormat="1" ht="18" customHeight="1" spans="1:20">
      <c r="A2177" s="34"/>
      <c r="B2177" s="48">
        <v>3</v>
      </c>
      <c r="C2177" s="48"/>
      <c r="D2177" s="115"/>
      <c r="E2177" s="63"/>
      <c r="F2177" s="116"/>
      <c r="G2177" s="115"/>
      <c r="H2177" s="117"/>
      <c r="I2177" s="117"/>
      <c r="J2177" s="118"/>
      <c r="K2177" s="92"/>
      <c r="L2177" s="90" t="s">
        <v>472</v>
      </c>
      <c r="M2177" s="44"/>
      <c r="N2177" s="82"/>
      <c r="O2177" s="44"/>
      <c r="P2177" s="44">
        <f>+P2172</f>
        <v>0</v>
      </c>
      <c r="Q2177" s="44">
        <f>+P2177</f>
        <v>0</v>
      </c>
      <c r="R2177" s="84">
        <f>+Q2177/R2166</f>
        <v>0</v>
      </c>
      <c r="S2177" s="47"/>
      <c r="T2177" s="47"/>
    </row>
    <row r="2178" s="27" customFormat="1" ht="18" customHeight="1" spans="1:20">
      <c r="A2178" s="34"/>
      <c r="B2178" s="48">
        <v>4</v>
      </c>
      <c r="C2178" s="48"/>
      <c r="D2178" s="85" t="s">
        <v>426</v>
      </c>
      <c r="E2178" s="48" t="s">
        <v>392</v>
      </c>
      <c r="F2178" s="50"/>
      <c r="G2178" s="48"/>
      <c r="H2178" s="86"/>
      <c r="I2178" s="86"/>
      <c r="J2178" s="95">
        <f>SUM(J2176:J2176)</f>
        <v>25</v>
      </c>
      <c r="K2178" s="92"/>
      <c r="L2178" s="90" t="s">
        <v>473</v>
      </c>
      <c r="M2178" s="44"/>
      <c r="N2178" s="82"/>
      <c r="O2178" s="44"/>
      <c r="P2178" s="44"/>
      <c r="Q2178" s="44">
        <v>0</v>
      </c>
      <c r="R2178" s="84">
        <f>+Q2178/R2166</f>
        <v>0</v>
      </c>
      <c r="S2178" s="47"/>
      <c r="T2178" s="47"/>
    </row>
    <row r="2179" s="27" customFormat="1" ht="23" customHeight="1" spans="1:20">
      <c r="A2179" s="34"/>
      <c r="B2179" s="48">
        <v>1</v>
      </c>
      <c r="C2179" s="48" t="s">
        <v>394</v>
      </c>
      <c r="D2179" s="88" t="s">
        <v>431</v>
      </c>
      <c r="E2179" s="72" t="str">
        <f>+VLOOKUP(D2179,'材料表 '!C:F,2,0)</f>
        <v>kg</v>
      </c>
      <c r="F2179" s="77">
        <f>+SUMIF($L$2166:$L$2203,D2179,$R$2166:$R$2203)</f>
        <v>0</v>
      </c>
      <c r="G2179" s="89">
        <f>+VLOOKUP(D2179,'材料表 '!C:F,4,0)</f>
        <v>0.03</v>
      </c>
      <c r="H2179" s="74">
        <f t="shared" ref="H2179:H2191" si="339">F2179*(G2179+1)</f>
        <v>0</v>
      </c>
      <c r="I2179" s="74">
        <f>+VLOOKUP(D2179,'材料表 '!C:F,3,0)</f>
        <v>3.80530973451327</v>
      </c>
      <c r="J2179" s="95">
        <f t="shared" si="338"/>
        <v>0</v>
      </c>
      <c r="K2179" s="60">
        <f ca="1">H2179*K2165</f>
        <v>0</v>
      </c>
      <c r="L2179" s="90"/>
      <c r="M2179" s="44"/>
      <c r="N2179" s="82"/>
      <c r="O2179" s="44"/>
      <c r="P2179" s="44"/>
      <c r="Q2179" s="44"/>
      <c r="R2179" s="84"/>
      <c r="S2179" s="47"/>
      <c r="T2179" s="47"/>
    </row>
    <row r="2180" s="27" customFormat="1" ht="18" customHeight="1" spans="1:20">
      <c r="A2180" s="34"/>
      <c r="B2180" s="48">
        <v>2</v>
      </c>
      <c r="C2180" s="48"/>
      <c r="D2180" s="88" t="s">
        <v>461</v>
      </c>
      <c r="E2180" s="72" t="str">
        <f>+VLOOKUP(D2180,'材料表 '!C:F,2,0)</f>
        <v>kg</v>
      </c>
      <c r="F2180" s="77">
        <f t="shared" ref="F2180:F2188" si="340">+SUMIF($L$2166:$L$2203,D2180,$R$2166:$R$2203)</f>
        <v>3.77</v>
      </c>
      <c r="G2180" s="89">
        <f>+VLOOKUP(D2180,'材料表 '!C:F,4,0)</f>
        <v>0.03</v>
      </c>
      <c r="H2180" s="74">
        <f t="shared" si="339"/>
        <v>3.8831</v>
      </c>
      <c r="I2180" s="74">
        <f>+VLOOKUP(D2180,'材料表 '!C:F,3,0)</f>
        <v>3.53982300884956</v>
      </c>
      <c r="J2180" s="95">
        <f t="shared" si="338"/>
        <v>13.7454867256637</v>
      </c>
      <c r="K2180" s="60">
        <f ca="1">H2180*K2165</f>
        <v>188.563336</v>
      </c>
      <c r="L2180" s="90"/>
      <c r="M2180" s="44"/>
      <c r="N2180" s="82"/>
      <c r="O2180" s="44"/>
      <c r="P2180" s="44"/>
      <c r="Q2180" s="44"/>
      <c r="R2180" s="84"/>
      <c r="S2180" s="47"/>
      <c r="T2180" s="47"/>
    </row>
    <row r="2181" s="27" customFormat="1" ht="18" customHeight="1" spans="1:20">
      <c r="A2181" s="34"/>
      <c r="B2181" s="48">
        <v>3</v>
      </c>
      <c r="C2181" s="48"/>
      <c r="D2181" s="88" t="s">
        <v>465</v>
      </c>
      <c r="E2181" s="72" t="str">
        <f>+VLOOKUP(D2181,'材料表 '!C:F,2,0)</f>
        <v>kg</v>
      </c>
      <c r="F2181" s="77">
        <f t="shared" si="340"/>
        <v>0</v>
      </c>
      <c r="G2181" s="89">
        <f>+VLOOKUP(D2181,'材料表 '!C:F,4,0)</f>
        <v>0.03</v>
      </c>
      <c r="H2181" s="74">
        <f t="shared" si="339"/>
        <v>0</v>
      </c>
      <c r="I2181" s="74">
        <f>+VLOOKUP(D2181,'材料表 '!C:F,3,0)</f>
        <v>6.01769911504425</v>
      </c>
      <c r="J2181" s="95">
        <f t="shared" si="338"/>
        <v>0</v>
      </c>
      <c r="K2181" s="60">
        <f ca="1">H2181*K2165</f>
        <v>0</v>
      </c>
      <c r="L2181" s="90" t="s">
        <v>474</v>
      </c>
      <c r="M2181" s="44"/>
      <c r="N2181" s="82"/>
      <c r="O2181" s="44"/>
      <c r="P2181" s="44"/>
      <c r="Q2181" s="44">
        <f>+O2171*P2171*4</f>
        <v>0</v>
      </c>
      <c r="R2181" s="84">
        <f>+Q2181/R2166</f>
        <v>0</v>
      </c>
      <c r="S2181" s="47"/>
      <c r="T2181" s="47"/>
    </row>
    <row r="2182" s="27" customFormat="1" ht="18" customHeight="1" spans="1:20">
      <c r="A2182" s="34"/>
      <c r="B2182" s="48">
        <v>4</v>
      </c>
      <c r="C2182" s="48"/>
      <c r="D2182" s="88" t="s">
        <v>463</v>
      </c>
      <c r="E2182" s="72" t="str">
        <f>+VLOOKUP(D2182,'材料表 '!C:F,2,0)</f>
        <v>kg</v>
      </c>
      <c r="F2182" s="77">
        <f t="shared" si="340"/>
        <v>0</v>
      </c>
      <c r="G2182" s="89">
        <f>+VLOOKUP(D2182,'材料表 '!C:F,4,0)</f>
        <v>0.03</v>
      </c>
      <c r="H2182" s="74">
        <f t="shared" si="339"/>
        <v>0</v>
      </c>
      <c r="I2182" s="74">
        <f>+VLOOKUP(D2182,'材料表 '!C:F,3,0)</f>
        <v>6.01769911504425</v>
      </c>
      <c r="J2182" s="95">
        <f t="shared" si="338"/>
        <v>0</v>
      </c>
      <c r="K2182" s="60">
        <f ca="1">H2182*K2165</f>
        <v>0</v>
      </c>
      <c r="L2182" s="90"/>
      <c r="M2182" s="44"/>
      <c r="N2182" s="83"/>
      <c r="O2182" s="82"/>
      <c r="P2182" s="44"/>
      <c r="Q2182" s="44"/>
      <c r="R2182" s="84"/>
      <c r="S2182" s="47"/>
      <c r="T2182" s="47"/>
    </row>
    <row r="2183" s="27" customFormat="1" ht="18" customHeight="1" spans="1:20">
      <c r="A2183" s="34"/>
      <c r="B2183" s="48">
        <v>5</v>
      </c>
      <c r="C2183" s="48"/>
      <c r="D2183" s="88" t="s">
        <v>469</v>
      </c>
      <c r="E2183" s="72" t="str">
        <f>+VLOOKUP(D2183,'材料表 '!C:F,2,0)</f>
        <v>套</v>
      </c>
      <c r="F2183" s="77">
        <f t="shared" si="340"/>
        <v>4</v>
      </c>
      <c r="G2183" s="89">
        <f>+VLOOKUP(D2183,'材料表 '!C:F,4,0)</f>
        <v>0</v>
      </c>
      <c r="H2183" s="74">
        <f t="shared" si="339"/>
        <v>4</v>
      </c>
      <c r="I2183" s="74">
        <f>+VLOOKUP(D2183,'材料表 '!C:F,3,0)</f>
        <v>5.30973451327434</v>
      </c>
      <c r="J2183" s="95">
        <f t="shared" si="338"/>
        <v>21.2389380530974</v>
      </c>
      <c r="K2183" s="60">
        <f ca="1">H2183*K2165</f>
        <v>194.24</v>
      </c>
      <c r="L2183" s="92" t="s">
        <v>476</v>
      </c>
      <c r="M2183" s="44"/>
      <c r="N2183" s="82"/>
      <c r="O2183" s="44"/>
      <c r="P2183" s="44"/>
      <c r="Q2183" s="44">
        <f>6*6*(O2166*2+P2166*2)/500</f>
        <v>0.288</v>
      </c>
      <c r="R2183" s="84">
        <f>+Q2183/R2166</f>
        <v>0.288</v>
      </c>
      <c r="S2183" s="47"/>
      <c r="T2183" s="47"/>
    </row>
    <row r="2184" s="27" customFormat="1" ht="18" customHeight="1" spans="1:20">
      <c r="A2184" s="34"/>
      <c r="B2184" s="48">
        <v>7</v>
      </c>
      <c r="C2184" s="48"/>
      <c r="D2184" s="88" t="s">
        <v>471</v>
      </c>
      <c r="E2184" s="72" t="str">
        <f>+VLOOKUP(D2184,'材料表 '!C:F,2,0)</f>
        <v>套</v>
      </c>
      <c r="F2184" s="77">
        <f t="shared" si="340"/>
        <v>4</v>
      </c>
      <c r="G2184" s="89">
        <f>+VLOOKUP(D2184,'材料表 '!C:F,4,0)</f>
        <v>0</v>
      </c>
      <c r="H2184" s="74">
        <f t="shared" si="339"/>
        <v>4</v>
      </c>
      <c r="I2184" s="74">
        <f>+VLOOKUP(D2184,'材料表 '!C:F,3,0)</f>
        <v>1.32743362831858</v>
      </c>
      <c r="J2184" s="95">
        <f t="shared" si="338"/>
        <v>5.30973451327432</v>
      </c>
      <c r="K2184" s="60">
        <f ca="1">H2184*K2165</f>
        <v>194.24</v>
      </c>
      <c r="L2184" s="92"/>
      <c r="M2184" s="44"/>
      <c r="N2184" s="82"/>
      <c r="O2184" s="44"/>
      <c r="P2184" s="44"/>
      <c r="Q2184" s="44"/>
      <c r="R2184" s="84">
        <f>+Q2184/R2166</f>
        <v>0</v>
      </c>
      <c r="S2184" s="47"/>
      <c r="T2184" s="47"/>
    </row>
    <row r="2185" s="27" customFormat="1" ht="18" customHeight="1" spans="1:20">
      <c r="A2185" s="34"/>
      <c r="B2185" s="48">
        <v>8</v>
      </c>
      <c r="C2185" s="48"/>
      <c r="D2185" s="88" t="s">
        <v>472</v>
      </c>
      <c r="E2185" s="72" t="str">
        <f>+VLOOKUP(D2185,'材料表 '!C:F,2,0)</f>
        <v>套</v>
      </c>
      <c r="F2185" s="77">
        <f t="shared" si="340"/>
        <v>0</v>
      </c>
      <c r="G2185" s="89">
        <f>+VLOOKUP(D2185,'材料表 '!C:F,4,0)</f>
        <v>0</v>
      </c>
      <c r="H2185" s="74">
        <f t="shared" si="339"/>
        <v>0</v>
      </c>
      <c r="I2185" s="74">
        <f>+VLOOKUP(D2185,'材料表 '!C:F,3,0)</f>
        <v>2.47787610619469</v>
      </c>
      <c r="J2185" s="95">
        <f t="shared" si="338"/>
        <v>0</v>
      </c>
      <c r="K2185" s="60">
        <f ca="1">H2185*K2165</f>
        <v>0</v>
      </c>
      <c r="L2185" s="92"/>
      <c r="M2185" s="44"/>
      <c r="N2185" s="82"/>
      <c r="O2185" s="44"/>
      <c r="P2185" s="44"/>
      <c r="Q2185" s="44"/>
      <c r="R2185" s="84"/>
      <c r="S2185" s="47"/>
      <c r="T2185" s="47"/>
    </row>
    <row r="2186" s="27" customFormat="1" ht="18" customHeight="1" spans="1:20">
      <c r="A2186" s="34"/>
      <c r="B2186" s="48">
        <v>9</v>
      </c>
      <c r="C2186" s="48"/>
      <c r="D2186" s="88" t="s">
        <v>473</v>
      </c>
      <c r="E2186" s="72" t="str">
        <f>+VLOOKUP(D2186,'材料表 '!C:F,2,0)</f>
        <v>套</v>
      </c>
      <c r="F2186" s="77">
        <f t="shared" si="340"/>
        <v>0</v>
      </c>
      <c r="G2186" s="89">
        <f>+VLOOKUP(D2186,'材料表 '!C:F,4,0)</f>
        <v>0</v>
      </c>
      <c r="H2186" s="74">
        <f t="shared" si="339"/>
        <v>0</v>
      </c>
      <c r="I2186" s="74">
        <f>+VLOOKUP(D2186,'材料表 '!C:F,3,0)</f>
        <v>0.247787610619469</v>
      </c>
      <c r="J2186" s="95">
        <f t="shared" si="338"/>
        <v>0</v>
      </c>
      <c r="K2186" s="60">
        <f ca="1">H2186*K2165</f>
        <v>0</v>
      </c>
      <c r="L2186" s="90"/>
      <c r="M2186" s="44"/>
      <c r="N2186" s="82"/>
      <c r="O2186" s="34"/>
      <c r="P2186" s="44"/>
      <c r="Q2186" s="44"/>
      <c r="R2186" s="119"/>
      <c r="S2186" s="47"/>
      <c r="T2186" s="47"/>
    </row>
    <row r="2187" s="27" customFormat="1" ht="18" customHeight="1" spans="1:20">
      <c r="A2187" s="34"/>
      <c r="B2187" s="48">
        <v>10</v>
      </c>
      <c r="C2187" s="48"/>
      <c r="D2187" s="88" t="s">
        <v>474</v>
      </c>
      <c r="E2187" s="72" t="str">
        <f>+VLOOKUP(D2187,'材料表 '!C:F,2,0)</f>
        <v>套</v>
      </c>
      <c r="F2187" s="77">
        <f t="shared" si="340"/>
        <v>0</v>
      </c>
      <c r="G2187" s="89">
        <f>+VLOOKUP(D2187,'材料表 '!C:F,4,0)</f>
        <v>0</v>
      </c>
      <c r="H2187" s="74">
        <f t="shared" si="339"/>
        <v>0</v>
      </c>
      <c r="I2187" s="74">
        <f>+VLOOKUP(D2187,'材料表 '!C:F,3,0)</f>
        <v>2.21238938053097</v>
      </c>
      <c r="J2187" s="95">
        <f t="shared" si="338"/>
        <v>0</v>
      </c>
      <c r="K2187" s="60">
        <f ca="1">H2187*K2165</f>
        <v>0</v>
      </c>
      <c r="L2187" s="92"/>
      <c r="M2187" s="120"/>
      <c r="N2187" s="82"/>
      <c r="O2187" s="44"/>
      <c r="P2187" s="44"/>
      <c r="Q2187" s="44"/>
      <c r="R2187" s="84"/>
      <c r="S2187" s="47"/>
      <c r="T2187" s="47"/>
    </row>
    <row r="2188" s="27" customFormat="1" ht="18" customHeight="1" spans="1:20">
      <c r="A2188" s="34"/>
      <c r="B2188" s="48">
        <v>11</v>
      </c>
      <c r="C2188" s="48"/>
      <c r="D2188" s="88" t="s">
        <v>476</v>
      </c>
      <c r="E2188" s="72" t="str">
        <f>+VLOOKUP(D2188,'材料表 '!C:F,2,0)</f>
        <v>支</v>
      </c>
      <c r="F2188" s="77">
        <f t="shared" si="340"/>
        <v>0.288</v>
      </c>
      <c r="G2188" s="89">
        <f>+VLOOKUP(D2188,'材料表 '!C:F,4,0)</f>
        <v>0.15</v>
      </c>
      <c r="H2188" s="74">
        <f t="shared" si="339"/>
        <v>0.3312</v>
      </c>
      <c r="I2188" s="74">
        <f>+VLOOKUP(D2188,'材料表 '!C:F,3,0)</f>
        <v>11.5044247787611</v>
      </c>
      <c r="J2188" s="95">
        <f t="shared" si="338"/>
        <v>3.81026548672568</v>
      </c>
      <c r="K2188" s="60">
        <f ca="1">H2188*K2165</f>
        <v>16.083072</v>
      </c>
      <c r="L2188" s="92"/>
      <c r="M2188" s="44"/>
      <c r="N2188" s="44"/>
      <c r="O2188" s="44"/>
      <c r="P2188" s="44"/>
      <c r="Q2188" s="44"/>
      <c r="R2188" s="84"/>
      <c r="S2188" s="47"/>
      <c r="T2188" s="47"/>
    </row>
    <row r="2189" s="27" customFormat="1" ht="18" customHeight="1" spans="1:20">
      <c r="A2189" s="34"/>
      <c r="B2189" s="48">
        <v>12</v>
      </c>
      <c r="C2189" s="48"/>
      <c r="D2189" s="88" t="s">
        <v>477</v>
      </c>
      <c r="E2189" s="72" t="str">
        <f>+VLOOKUP(D2189,'材料表 '!C:F,2,0)</f>
        <v>kg</v>
      </c>
      <c r="F2189" s="77">
        <v>0.2</v>
      </c>
      <c r="G2189" s="89">
        <f>+VLOOKUP(D2189,'材料表 '!C:F,4,0)</f>
        <v>0.15</v>
      </c>
      <c r="H2189" s="74">
        <f t="shared" si="339"/>
        <v>0.23</v>
      </c>
      <c r="I2189" s="74">
        <f>+VLOOKUP(D2189,'材料表 '!C:F,3,0)</f>
        <v>10.6194690265487</v>
      </c>
      <c r="J2189" s="95">
        <f t="shared" si="338"/>
        <v>2.4424778761062</v>
      </c>
      <c r="K2189" s="60">
        <f ca="1">H2189*K2165</f>
        <v>11.1688</v>
      </c>
      <c r="L2189" s="92"/>
      <c r="M2189" s="44"/>
      <c r="N2189" s="44"/>
      <c r="O2189" s="44"/>
      <c r="P2189" s="44"/>
      <c r="Q2189" s="44"/>
      <c r="R2189" s="84"/>
      <c r="S2189" s="47"/>
      <c r="T2189" s="47"/>
    </row>
    <row r="2190" s="27" customFormat="1" ht="18" customHeight="1" spans="1:20">
      <c r="A2190" s="34"/>
      <c r="B2190" s="48">
        <v>13</v>
      </c>
      <c r="C2190" s="48"/>
      <c r="D2190" s="88" t="s">
        <v>479</v>
      </c>
      <c r="E2190" s="72" t="str">
        <f>+VLOOKUP(D2190,'材料表 '!C:F,2,0)</f>
        <v>kg</v>
      </c>
      <c r="F2190" s="77">
        <v>0</v>
      </c>
      <c r="G2190" s="89">
        <f>+VLOOKUP(D2190,'材料表 '!C:F,4,0)</f>
        <v>0.03</v>
      </c>
      <c r="H2190" s="74">
        <f t="shared" si="339"/>
        <v>0</v>
      </c>
      <c r="I2190" s="74">
        <f>+VLOOKUP(D2190,'材料表 '!C:F,3,0)</f>
        <v>14.1592920353982</v>
      </c>
      <c r="J2190" s="95">
        <f t="shared" si="338"/>
        <v>0</v>
      </c>
      <c r="K2190" s="60">
        <f ca="1">H2190*K2165</f>
        <v>0</v>
      </c>
      <c r="L2190" s="92"/>
      <c r="M2190" s="44"/>
      <c r="N2190" s="44"/>
      <c r="O2190" s="44"/>
      <c r="P2190" s="44"/>
      <c r="Q2190" s="44"/>
      <c r="R2190" s="84"/>
      <c r="S2190" s="47"/>
      <c r="T2190" s="47"/>
    </row>
    <row r="2191" s="27" customFormat="1" ht="25" customHeight="1" spans="1:20">
      <c r="A2191" s="34"/>
      <c r="B2191" s="48">
        <v>14</v>
      </c>
      <c r="C2191" s="48"/>
      <c r="D2191" s="88" t="s">
        <v>303</v>
      </c>
      <c r="E2191" s="72" t="str">
        <f>+VLOOKUP(D2191,'材料表 '!C:F,2,0)</f>
        <v>米</v>
      </c>
      <c r="F2191" s="77">
        <v>1</v>
      </c>
      <c r="G2191" s="89">
        <f>+VLOOKUP(D2191,'材料表 '!C:F,4,0)</f>
        <v>0.02</v>
      </c>
      <c r="H2191" s="74">
        <f t="shared" si="339"/>
        <v>1.02</v>
      </c>
      <c r="I2191" s="74">
        <f>+VLOOKUP(D2191,'材料表 '!C:F,3,0)</f>
        <v>889.380530973451</v>
      </c>
      <c r="J2191" s="95">
        <f t="shared" si="338"/>
        <v>907.16814159292</v>
      </c>
      <c r="K2191" s="60">
        <f ca="1">H2191*K2165</f>
        <v>49.5312</v>
      </c>
      <c r="L2191" s="92"/>
      <c r="M2191" s="44"/>
      <c r="N2191" s="44"/>
      <c r="O2191" s="44"/>
      <c r="P2191" s="44"/>
      <c r="Q2191" s="44"/>
      <c r="R2191" s="84"/>
      <c r="S2191" s="47"/>
      <c r="T2191" s="47"/>
    </row>
    <row r="2192" s="27" customFormat="1" ht="18" customHeight="1" spans="1:20">
      <c r="A2192" s="34"/>
      <c r="B2192" s="48">
        <v>15</v>
      </c>
      <c r="C2192" s="48"/>
      <c r="D2192" s="88"/>
      <c r="E2192" s="72"/>
      <c r="F2192" s="77"/>
      <c r="G2192" s="89"/>
      <c r="H2192" s="74"/>
      <c r="I2192" s="74"/>
      <c r="J2192" s="95"/>
      <c r="K2192" s="92">
        <f ca="1">H2192*K2165</f>
        <v>0</v>
      </c>
      <c r="L2192" s="92"/>
      <c r="M2192" s="44"/>
      <c r="N2192" s="44"/>
      <c r="O2192" s="44"/>
      <c r="P2192" s="44"/>
      <c r="Q2192" s="44"/>
      <c r="R2192" s="84"/>
      <c r="S2192" s="47"/>
      <c r="T2192" s="47"/>
    </row>
    <row r="2193" s="27" customFormat="1" ht="18" customHeight="1" spans="1:20">
      <c r="A2193" s="34"/>
      <c r="B2193" s="48">
        <v>16</v>
      </c>
      <c r="C2193" s="48"/>
      <c r="D2193" s="88"/>
      <c r="E2193" s="72"/>
      <c r="F2193" s="77"/>
      <c r="G2193" s="89"/>
      <c r="H2193" s="74"/>
      <c r="I2193" s="74"/>
      <c r="J2193" s="95"/>
      <c r="K2193" s="92">
        <f ca="1">H2193*K2165</f>
        <v>0</v>
      </c>
      <c r="L2193" s="92"/>
      <c r="M2193" s="44"/>
      <c r="N2193" s="44"/>
      <c r="O2193" s="44"/>
      <c r="P2193" s="44"/>
      <c r="Q2193" s="44"/>
      <c r="R2193" s="84"/>
      <c r="S2193" s="47"/>
      <c r="T2193" s="47"/>
    </row>
    <row r="2194" s="27" customFormat="1" ht="18" customHeight="1" spans="1:20">
      <c r="A2194" s="34"/>
      <c r="B2194" s="48">
        <v>17</v>
      </c>
      <c r="C2194" s="48"/>
      <c r="D2194" s="121"/>
      <c r="E2194" s="72"/>
      <c r="F2194" s="77"/>
      <c r="G2194" s="89"/>
      <c r="H2194" s="74"/>
      <c r="I2194" s="74"/>
      <c r="J2194" s="95"/>
      <c r="K2194" s="92"/>
      <c r="L2194" s="92"/>
      <c r="M2194" s="44"/>
      <c r="N2194" s="44"/>
      <c r="O2194" s="44"/>
      <c r="P2194" s="44"/>
      <c r="Q2194" s="101"/>
      <c r="R2194" s="84"/>
      <c r="S2194" s="47"/>
      <c r="T2194" s="47"/>
    </row>
    <row r="2195" s="27" customFormat="1" ht="18" customHeight="1" spans="1:20">
      <c r="A2195" s="34"/>
      <c r="B2195" s="48">
        <v>18</v>
      </c>
      <c r="C2195" s="48"/>
      <c r="D2195" s="88"/>
      <c r="E2195" s="72"/>
      <c r="F2195" s="77"/>
      <c r="G2195" s="89"/>
      <c r="H2195" s="74"/>
      <c r="I2195" s="74"/>
      <c r="J2195" s="95"/>
      <c r="K2195" s="92"/>
      <c r="L2195" s="92"/>
      <c r="M2195" s="44"/>
      <c r="N2195" s="44"/>
      <c r="O2195" s="44"/>
      <c r="P2195" s="44"/>
      <c r="Q2195" s="44"/>
      <c r="R2195" s="84"/>
      <c r="S2195" s="47"/>
      <c r="T2195" s="47"/>
    </row>
    <row r="2196" s="27" customFormat="1" ht="18" customHeight="1" spans="1:20">
      <c r="A2196" s="34"/>
      <c r="B2196" s="48">
        <v>19</v>
      </c>
      <c r="C2196" s="48"/>
      <c r="D2196" s="27"/>
      <c r="E2196" s="72"/>
      <c r="F2196" s="77"/>
      <c r="G2196" s="89"/>
      <c r="H2196" s="74"/>
      <c r="I2196" s="74"/>
      <c r="J2196" s="95"/>
      <c r="K2196" s="92"/>
      <c r="L2196" s="92"/>
      <c r="M2196" s="44"/>
      <c r="N2196" s="44"/>
      <c r="O2196" s="44"/>
      <c r="P2196" s="44"/>
      <c r="Q2196" s="44"/>
      <c r="R2196" s="84"/>
      <c r="S2196" s="47"/>
      <c r="T2196" s="47"/>
    </row>
    <row r="2197" s="27" customFormat="1" ht="18" customHeight="1" spans="1:20">
      <c r="A2197" s="34"/>
      <c r="B2197" s="48">
        <v>20</v>
      </c>
      <c r="C2197" s="48"/>
      <c r="D2197" s="88"/>
      <c r="E2197" s="72"/>
      <c r="F2197" s="77"/>
      <c r="G2197" s="89"/>
      <c r="H2197" s="74"/>
      <c r="I2197" s="74"/>
      <c r="J2197" s="95"/>
      <c r="K2197" s="92"/>
      <c r="L2197" s="92"/>
      <c r="M2197" s="44"/>
      <c r="N2197" s="44"/>
      <c r="O2197" s="44"/>
      <c r="P2197" s="44"/>
      <c r="Q2197" s="44"/>
      <c r="R2197" s="84"/>
      <c r="S2197" s="47"/>
      <c r="T2197" s="47"/>
    </row>
    <row r="2198" s="27" customFormat="1" ht="18" customHeight="1" spans="1:20">
      <c r="A2198" s="34"/>
      <c r="B2198" s="48">
        <v>21</v>
      </c>
      <c r="C2198" s="48"/>
      <c r="D2198" s="88"/>
      <c r="E2198" s="72"/>
      <c r="F2198" s="77"/>
      <c r="G2198" s="89"/>
      <c r="H2198" s="74"/>
      <c r="I2198" s="74"/>
      <c r="J2198" s="95"/>
      <c r="K2198" s="92"/>
      <c r="L2198" s="92"/>
      <c r="M2198" s="44"/>
      <c r="N2198" s="44"/>
      <c r="O2198" s="44"/>
      <c r="P2198" s="44"/>
      <c r="Q2198" s="44"/>
      <c r="R2198" s="84"/>
      <c r="S2198" s="47"/>
      <c r="T2198" s="47"/>
    </row>
    <row r="2199" s="27" customFormat="1" ht="18" customHeight="1" spans="1:20">
      <c r="A2199" s="34"/>
      <c r="B2199" s="48">
        <v>22</v>
      </c>
      <c r="C2199" s="48"/>
      <c r="D2199" s="27"/>
      <c r="E2199" s="72"/>
      <c r="F2199" s="77"/>
      <c r="G2199" s="72"/>
      <c r="H2199" s="74"/>
      <c r="I2199" s="74"/>
      <c r="J2199" s="95"/>
      <c r="K2199" s="92"/>
      <c r="L2199" s="92"/>
      <c r="M2199" s="44"/>
      <c r="N2199" s="44"/>
      <c r="O2199" s="44"/>
      <c r="P2199" s="44"/>
      <c r="Q2199" s="44"/>
      <c r="R2199" s="62"/>
      <c r="S2199" s="47"/>
      <c r="T2199" s="47"/>
    </row>
    <row r="2200" s="27" customFormat="1" ht="18" customHeight="1" spans="1:20">
      <c r="A2200" s="34"/>
      <c r="B2200" s="48">
        <v>23</v>
      </c>
      <c r="C2200" s="48"/>
      <c r="D2200" s="88"/>
      <c r="E2200" s="72"/>
      <c r="F2200" s="77"/>
      <c r="G2200" s="89"/>
      <c r="H2200" s="74"/>
      <c r="I2200" s="74"/>
      <c r="J2200" s="95"/>
      <c r="K2200" s="92"/>
      <c r="L2200" s="92"/>
      <c r="M2200" s="44"/>
      <c r="N2200" s="44"/>
      <c r="O2200" s="44"/>
      <c r="P2200" s="44"/>
      <c r="Q2200" s="44"/>
      <c r="R2200" s="62"/>
      <c r="S2200" s="47"/>
      <c r="T2200" s="47"/>
    </row>
    <row r="2201" s="27" customFormat="1" ht="18" customHeight="1" spans="1:20">
      <c r="A2201" s="34"/>
      <c r="B2201" s="48">
        <v>24</v>
      </c>
      <c r="C2201" s="48"/>
      <c r="D2201" s="88" t="s">
        <v>478</v>
      </c>
      <c r="E2201" s="72" t="s">
        <v>43</v>
      </c>
      <c r="F2201" s="77"/>
      <c r="G2201" s="72">
        <v>1</v>
      </c>
      <c r="H2201" s="74">
        <v>1</v>
      </c>
      <c r="I2201" s="74">
        <f>+辅材及安装费!$E$9</f>
        <v>2</v>
      </c>
      <c r="J2201" s="95">
        <f>H2201*I2201</f>
        <v>2</v>
      </c>
      <c r="K2201" s="92"/>
      <c r="L2201" s="92"/>
      <c r="M2201" s="44"/>
      <c r="N2201" s="44"/>
      <c r="O2201" s="44"/>
      <c r="P2201" s="44"/>
      <c r="Q2201" s="44"/>
      <c r="R2201" s="62"/>
      <c r="S2201" s="47"/>
      <c r="T2201" s="47"/>
    </row>
    <row r="2202" s="27" customFormat="1" ht="18" customHeight="1" spans="1:20">
      <c r="A2202" s="34"/>
      <c r="B2202" s="48">
        <v>25</v>
      </c>
      <c r="C2202" s="48"/>
      <c r="D2202" s="93" t="s">
        <v>442</v>
      </c>
      <c r="E2202" s="72"/>
      <c r="F2202" s="77"/>
      <c r="G2202" s="72"/>
      <c r="H2202" s="74"/>
      <c r="I2202" s="74"/>
      <c r="J2202" s="95">
        <f>SUM(J2179:J2201)</f>
        <v>955.715044247787</v>
      </c>
      <c r="K2202" s="92"/>
      <c r="L2202" s="94"/>
      <c r="M2202" s="27"/>
      <c r="N2202" s="83"/>
      <c r="O2202" s="83"/>
      <c r="P2202" s="83"/>
      <c r="Q2202" s="83"/>
      <c r="R2202" s="87"/>
      <c r="S2202" s="47"/>
      <c r="T2202" s="47"/>
    </row>
    <row r="2203" s="27" customFormat="1" ht="18" customHeight="1" spans="1:20">
      <c r="A2203" s="34"/>
      <c r="B2203" s="48">
        <v>1</v>
      </c>
      <c r="C2203" s="48" t="s">
        <v>443</v>
      </c>
      <c r="D2203" s="48" t="s">
        <v>444</v>
      </c>
      <c r="E2203" s="72" t="s">
        <v>43</v>
      </c>
      <c r="F2203" s="50"/>
      <c r="G2203" s="48"/>
      <c r="H2203" s="51">
        <v>1</v>
      </c>
      <c r="I2203" s="74">
        <f>+辅材及安装费!$F$9</f>
        <v>2</v>
      </c>
      <c r="J2203" s="95">
        <f>H2203*I2203</f>
        <v>2</v>
      </c>
      <c r="K2203" s="118"/>
      <c r="L2203" s="96"/>
      <c r="M2203" s="97"/>
      <c r="N2203" s="98"/>
      <c r="O2203" s="98"/>
      <c r="P2203" s="98"/>
      <c r="Q2203" s="98"/>
      <c r="R2203" s="99"/>
      <c r="S2203" s="47"/>
      <c r="T2203" s="47"/>
    </row>
    <row r="2204" s="26" customFormat="1" ht="30" customHeight="1" spans="1:20">
      <c r="A2204" s="28"/>
      <c r="B2204" s="29" t="s">
        <v>386</v>
      </c>
      <c r="C2204" s="29"/>
      <c r="D2204" s="29"/>
      <c r="E2204" s="29"/>
      <c r="F2204" s="29"/>
      <c r="G2204" s="29"/>
      <c r="H2204" s="29"/>
      <c r="I2204" s="29"/>
      <c r="J2204" s="29"/>
      <c r="K2204" s="29"/>
      <c r="L2204" s="30"/>
      <c r="M2204" s="31"/>
      <c r="N2204" s="31"/>
      <c r="O2204" s="31"/>
      <c r="P2204" s="31"/>
      <c r="Q2204" s="31"/>
      <c r="R2204" s="32"/>
      <c r="S2204" s="33"/>
      <c r="T2204" s="33"/>
    </row>
    <row r="2205" s="27" customFormat="1" ht="33.75" customHeight="1" spans="1:20">
      <c r="A2205" s="34">
        <v>1</v>
      </c>
      <c r="B2205" s="35" t="s">
        <v>1</v>
      </c>
      <c r="C2205" s="35" t="s">
        <v>387</v>
      </c>
      <c r="D2205" s="36" t="str">
        <f>+A2213</f>
        <v>中灰色仿石材铝单板</v>
      </c>
      <c r="E2205" s="37"/>
      <c r="F2205" s="38" t="s">
        <v>119</v>
      </c>
      <c r="G2205" s="39"/>
      <c r="H2205" s="35" t="s">
        <v>388</v>
      </c>
      <c r="I2205" s="40" t="s">
        <v>389</v>
      </c>
      <c r="J2205" s="41" t="s">
        <v>37</v>
      </c>
      <c r="K2205" s="122">
        <f ca="1">VLOOKUP(A2205,'商业工程量清单 '!$A$59:$D$81,4,FALSE)</f>
        <v>48.707275</v>
      </c>
      <c r="L2205" s="43"/>
      <c r="M2205" s="44"/>
      <c r="N2205" s="44"/>
      <c r="O2205" s="44"/>
      <c r="P2205" s="45"/>
      <c r="Q2205" s="44"/>
      <c r="R2205" s="46"/>
      <c r="S2205" s="47"/>
      <c r="T2205" s="47"/>
    </row>
    <row r="2206" s="27" customFormat="1" ht="25" customHeight="1" spans="1:20">
      <c r="A2206" s="34"/>
      <c r="B2206" s="48">
        <v>1</v>
      </c>
      <c r="C2206" s="49" t="s">
        <v>390</v>
      </c>
      <c r="D2206" s="48" t="s">
        <v>391</v>
      </c>
      <c r="E2206" s="48"/>
      <c r="F2206" s="50"/>
      <c r="G2206" s="48"/>
      <c r="H2206" s="51"/>
      <c r="I2206" s="52">
        <f>J2218</f>
        <v>165</v>
      </c>
      <c r="J2206" s="53" t="s">
        <v>392</v>
      </c>
      <c r="K2206" s="54"/>
      <c r="L2206" s="55" t="s">
        <v>313</v>
      </c>
      <c r="M2206" s="56" t="s">
        <v>1057</v>
      </c>
      <c r="N2206" s="57"/>
      <c r="O2206" s="57">
        <f>18.5+1.9-2.48</f>
        <v>17.92</v>
      </c>
      <c r="P2206" s="57">
        <v>0.535</v>
      </c>
      <c r="Q2206" s="57">
        <v>1</v>
      </c>
      <c r="R2206" s="58">
        <f>+Q2206*P2206*O2206</f>
        <v>9.5872</v>
      </c>
      <c r="S2206" s="47"/>
      <c r="T2206" s="47"/>
    </row>
    <row r="2207" s="27" customFormat="1" ht="18" customHeight="1" spans="1:20">
      <c r="A2207" s="34"/>
      <c r="B2207" s="48">
        <v>2</v>
      </c>
      <c r="C2207" s="59"/>
      <c r="D2207" s="48" t="s">
        <v>394</v>
      </c>
      <c r="E2207" s="48"/>
      <c r="F2207" s="50"/>
      <c r="G2207" s="48"/>
      <c r="H2207" s="51"/>
      <c r="I2207" s="52">
        <f>J2243</f>
        <v>364.102790606704</v>
      </c>
      <c r="J2207" s="53" t="s">
        <v>392</v>
      </c>
      <c r="K2207" s="60"/>
      <c r="L2207" s="61" t="s">
        <v>119</v>
      </c>
      <c r="M2207" s="44"/>
      <c r="N2207" s="44"/>
      <c r="O2207" s="44"/>
      <c r="P2207" s="44"/>
      <c r="Q2207" s="44"/>
      <c r="R2207" s="62"/>
      <c r="S2207" s="47"/>
      <c r="T2207" s="47"/>
    </row>
    <row r="2208" s="27" customFormat="1" ht="18" customHeight="1" spans="1:20">
      <c r="A2208" s="34"/>
      <c r="B2208" s="48">
        <v>3</v>
      </c>
      <c r="C2208" s="63"/>
      <c r="D2208" s="48" t="s">
        <v>395</v>
      </c>
      <c r="E2208" s="48"/>
      <c r="F2208" s="50"/>
      <c r="G2208" s="48"/>
      <c r="H2208" s="51"/>
      <c r="I2208" s="52">
        <f>J2244</f>
        <v>5</v>
      </c>
      <c r="J2208" s="53" t="s">
        <v>392</v>
      </c>
      <c r="K2208" s="60"/>
      <c r="L2208" s="60"/>
      <c r="M2208" s="65" t="s">
        <v>396</v>
      </c>
      <c r="N2208" s="65" t="s">
        <v>397</v>
      </c>
      <c r="O2208" s="65" t="s">
        <v>398</v>
      </c>
      <c r="P2208" s="65" t="s">
        <v>399</v>
      </c>
      <c r="Q2208" s="65" t="s">
        <v>400</v>
      </c>
      <c r="R2208" s="66" t="s">
        <v>401</v>
      </c>
      <c r="S2208" s="47"/>
      <c r="T2208" s="47"/>
    </row>
    <row r="2209" s="27" customFormat="1" ht="18" customHeight="1" spans="1:20">
      <c r="A2209" s="34"/>
      <c r="B2209" s="48">
        <v>4</v>
      </c>
      <c r="C2209" s="48" t="s">
        <v>402</v>
      </c>
      <c r="D2209" s="67" t="s">
        <v>403</v>
      </c>
      <c r="E2209" s="67"/>
      <c r="F2209" s="50"/>
      <c r="G2209" s="67"/>
      <c r="H2209" s="68"/>
      <c r="I2209" s="52">
        <f>SUM(I2206:I2208)</f>
        <v>534.102790606704</v>
      </c>
      <c r="J2209" s="53" t="s">
        <v>392</v>
      </c>
      <c r="K2209" s="60"/>
      <c r="L2209" s="69" t="s">
        <v>431</v>
      </c>
      <c r="M2209" s="34" t="s">
        <v>460</v>
      </c>
      <c r="N2209" s="34">
        <v>10.21</v>
      </c>
      <c r="O2209" s="34">
        <v>7.045</v>
      </c>
      <c r="P2209" s="34">
        <v>0</v>
      </c>
      <c r="Q2209" s="44">
        <f t="shared" ref="Q2209:Q2216" si="341">+P2209*O2209*N2209</f>
        <v>0</v>
      </c>
      <c r="R2209" s="71">
        <f>+Q2209/R2206</f>
        <v>0</v>
      </c>
      <c r="S2209" s="47"/>
      <c r="T2209" s="47"/>
    </row>
    <row r="2210" s="27" customFormat="1" ht="28" customHeight="1" spans="1:20">
      <c r="A2210" s="34"/>
      <c r="B2210" s="48">
        <v>5</v>
      </c>
      <c r="C2210" s="72" t="s">
        <v>406</v>
      </c>
      <c r="D2210" s="48" t="s">
        <v>407</v>
      </c>
      <c r="E2210" s="48"/>
      <c r="F2210" s="50"/>
      <c r="G2210" s="48"/>
      <c r="H2210" s="73">
        <f>+'材料表 '!$E$178</f>
        <v>0</v>
      </c>
      <c r="I2210" s="52">
        <f>H2210*I2209</f>
        <v>0</v>
      </c>
      <c r="J2210" s="53" t="s">
        <v>392</v>
      </c>
      <c r="K2210" s="60"/>
      <c r="L2210" s="69" t="s">
        <v>461</v>
      </c>
      <c r="M2210" s="34" t="s">
        <v>462</v>
      </c>
      <c r="N2210" s="34">
        <v>3.77</v>
      </c>
      <c r="O2210" s="34">
        <f>+O2206</f>
        <v>17.92</v>
      </c>
      <c r="P2210" s="34">
        <v>0.5</v>
      </c>
      <c r="Q2210" s="44">
        <f t="shared" si="341"/>
        <v>33.7792</v>
      </c>
      <c r="R2210" s="71">
        <f>+Q2210/R2206</f>
        <v>3.52336448598131</v>
      </c>
      <c r="S2210" s="47"/>
      <c r="T2210" s="47"/>
    </row>
    <row r="2211" s="27" customFormat="1" ht="18" customHeight="1" spans="1:20">
      <c r="A2211" s="34"/>
      <c r="B2211" s="48">
        <v>6</v>
      </c>
      <c r="C2211" s="48" t="s">
        <v>409</v>
      </c>
      <c r="D2211" s="48" t="s">
        <v>410</v>
      </c>
      <c r="E2211" s="48"/>
      <c r="F2211" s="50"/>
      <c r="G2211" s="48"/>
      <c r="H2211" s="73">
        <f>+'材料表 '!$E$179</f>
        <v>0</v>
      </c>
      <c r="I2211" s="52">
        <f>H2211*I2209</f>
        <v>0</v>
      </c>
      <c r="J2211" s="53" t="s">
        <v>392</v>
      </c>
      <c r="K2211" s="60"/>
      <c r="L2211" s="69" t="s">
        <v>461</v>
      </c>
      <c r="M2211" s="34" t="s">
        <v>462</v>
      </c>
      <c r="N2211" s="34">
        <v>3.77</v>
      </c>
      <c r="O2211" s="34">
        <f>0.18</f>
        <v>0.18</v>
      </c>
      <c r="P2211" s="34">
        <v>8</v>
      </c>
      <c r="Q2211" s="44">
        <f t="shared" si="341"/>
        <v>5.4288</v>
      </c>
      <c r="R2211" s="71">
        <f>+Q2211/R2206</f>
        <v>0.566255006675567</v>
      </c>
      <c r="S2211" s="47"/>
      <c r="T2211" s="47"/>
    </row>
    <row r="2212" s="27" customFormat="1" ht="18" customHeight="1" spans="1:20">
      <c r="A2212" s="34"/>
      <c r="B2212" s="48">
        <v>7</v>
      </c>
      <c r="C2212" s="48" t="s">
        <v>412</v>
      </c>
      <c r="D2212" s="72" t="s">
        <v>413</v>
      </c>
      <c r="E2212" s="72"/>
      <c r="F2212" s="77"/>
      <c r="G2212" s="72"/>
      <c r="H2212" s="73">
        <f>+'材料表 '!$E$180</f>
        <v>0.09</v>
      </c>
      <c r="I2212" s="52">
        <f>(I2209+I2210+I2211)*H2212</f>
        <v>48.0692511546033</v>
      </c>
      <c r="J2212" s="53" t="s">
        <v>392</v>
      </c>
      <c r="K2212" s="60"/>
      <c r="L2212" s="69" t="s">
        <v>463</v>
      </c>
      <c r="M2212" s="34" t="s">
        <v>490</v>
      </c>
      <c r="N2212" s="34">
        <f>0.3*0.2*7.85*10</f>
        <v>4.71</v>
      </c>
      <c r="O2212" s="34">
        <v>3</v>
      </c>
      <c r="P2212" s="34">
        <f>+P2209</f>
        <v>0</v>
      </c>
      <c r="Q2212" s="44">
        <f t="shared" si="341"/>
        <v>0</v>
      </c>
      <c r="R2212" s="71">
        <f>+Q2212/R2206</f>
        <v>0</v>
      </c>
      <c r="S2212" s="47"/>
      <c r="T2212" s="47"/>
    </row>
    <row r="2213" s="27" customFormat="1" ht="18" customHeight="1" spans="1:20">
      <c r="A2213" s="34" t="s">
        <v>306</v>
      </c>
      <c r="B2213" s="48">
        <v>8</v>
      </c>
      <c r="C2213" s="48" t="s">
        <v>363</v>
      </c>
      <c r="D2213" s="106" t="s">
        <v>415</v>
      </c>
      <c r="E2213" s="107"/>
      <c r="F2213" s="108"/>
      <c r="G2213" s="107"/>
      <c r="H2213" s="51"/>
      <c r="I2213" s="74">
        <f>SUM(I2209:I2212)</f>
        <v>582.172041761307</v>
      </c>
      <c r="J2213" s="53" t="s">
        <v>416</v>
      </c>
      <c r="K2213" s="60"/>
      <c r="L2213" s="69" t="s">
        <v>465</v>
      </c>
      <c r="M2213" s="34" t="s">
        <v>466</v>
      </c>
      <c r="N2213" s="100">
        <f>1.2789*7.85</f>
        <v>10.039365</v>
      </c>
      <c r="O2213" s="34">
        <f>35/1000</f>
        <v>0.035</v>
      </c>
      <c r="P2213" s="44">
        <f>+P2212*O2212*2</f>
        <v>0</v>
      </c>
      <c r="Q2213" s="44">
        <f t="shared" si="341"/>
        <v>0</v>
      </c>
      <c r="R2213" s="84">
        <f>+Q2213/R2206</f>
        <v>0</v>
      </c>
      <c r="S2213" s="79"/>
      <c r="T2213" s="47"/>
    </row>
    <row r="2214" s="27" customFormat="1" ht="18" customHeight="1" spans="1:20">
      <c r="A2214" s="34"/>
      <c r="B2214" s="109" t="s">
        <v>418</v>
      </c>
      <c r="C2214" s="110"/>
      <c r="D2214" s="110"/>
      <c r="E2214" s="110"/>
      <c r="F2214" s="110"/>
      <c r="G2214" s="110"/>
      <c r="H2214" s="110"/>
      <c r="I2214" s="110"/>
      <c r="J2214" s="110"/>
      <c r="K2214" s="80"/>
      <c r="L2214" s="69" t="s">
        <v>433</v>
      </c>
      <c r="M2214" s="44"/>
      <c r="N2214" s="82">
        <f>0.056*3*2.71+0.0675*3*2.71</f>
        <v>1.004055</v>
      </c>
      <c r="O2214" s="44">
        <f>O2206</f>
        <v>17.92</v>
      </c>
      <c r="P2214" s="44">
        <v>0</v>
      </c>
      <c r="Q2214" s="44">
        <f t="shared" si="341"/>
        <v>0</v>
      </c>
      <c r="R2214" s="84">
        <f>+Q2214/R2206</f>
        <v>0</v>
      </c>
      <c r="S2214" s="47">
        <f>0.16*P2214*O2214/R2206</f>
        <v>0</v>
      </c>
      <c r="T2214" s="47"/>
    </row>
    <row r="2215" s="27" customFormat="1" ht="18" customHeight="1" spans="1:20">
      <c r="A2215" s="34"/>
      <c r="B2215" s="48">
        <v>1</v>
      </c>
      <c r="C2215" s="48" t="s">
        <v>391</v>
      </c>
      <c r="D2215" s="48" t="s">
        <v>396</v>
      </c>
      <c r="E2215" s="48" t="s">
        <v>37</v>
      </c>
      <c r="F2215" s="50"/>
      <c r="G2215" s="48"/>
      <c r="H2215" s="51" t="s">
        <v>399</v>
      </c>
      <c r="I2215" s="51" t="s">
        <v>420</v>
      </c>
      <c r="J2215" s="95" t="s">
        <v>421</v>
      </c>
      <c r="K2215" s="92"/>
      <c r="L2215" s="69" t="s">
        <v>433</v>
      </c>
      <c r="M2215" s="44" t="s">
        <v>498</v>
      </c>
      <c r="N2215" s="82">
        <f>0.0445*2*2.71</f>
        <v>0.24119</v>
      </c>
      <c r="O2215" s="44">
        <f>+O2214</f>
        <v>17.92</v>
      </c>
      <c r="P2215" s="44">
        <v>1</v>
      </c>
      <c r="Q2215" s="44">
        <f t="shared" si="341"/>
        <v>4.3221248</v>
      </c>
      <c r="R2215" s="84">
        <f>+Q2215/R2206</f>
        <v>0.450822429906542</v>
      </c>
      <c r="S2215" s="47"/>
      <c r="T2215" s="47"/>
    </row>
    <row r="2216" s="27" customFormat="1" ht="18" customHeight="1" spans="1:20">
      <c r="A2216" s="34"/>
      <c r="B2216" s="48">
        <v>2</v>
      </c>
      <c r="C2216" s="48"/>
      <c r="D2216" s="111" t="s">
        <v>491</v>
      </c>
      <c r="E2216" s="49" t="s">
        <v>423</v>
      </c>
      <c r="F2216" s="112"/>
      <c r="G2216" s="111"/>
      <c r="H2216" s="113">
        <v>1</v>
      </c>
      <c r="I2216" s="113">
        <f>+辅材及安装费!$G$3</f>
        <v>165</v>
      </c>
      <c r="J2216" s="114">
        <f t="shared" ref="J2216:J2230" si="342">H2216*I2216</f>
        <v>165</v>
      </c>
      <c r="K2216" s="92"/>
      <c r="L2216" s="69" t="s">
        <v>433</v>
      </c>
      <c r="M2216" s="44" t="s">
        <v>498</v>
      </c>
      <c r="N2216" s="82">
        <f>0.0445*2*2.71</f>
        <v>0.24119</v>
      </c>
      <c r="O2216" s="44">
        <f>P2206</f>
        <v>0.535</v>
      </c>
      <c r="P2216" s="44">
        <v>1</v>
      </c>
      <c r="Q2216" s="44">
        <f t="shared" si="341"/>
        <v>0.12903665</v>
      </c>
      <c r="R2216" s="84">
        <f>+Q2216/R2206</f>
        <v>0.0134592633928571</v>
      </c>
      <c r="S2216" s="47"/>
      <c r="T2216" s="47"/>
    </row>
    <row r="2217" s="27" customFormat="1" ht="18" customHeight="1" spans="1:20">
      <c r="A2217" s="34"/>
      <c r="B2217" s="48">
        <v>3</v>
      </c>
      <c r="C2217" s="48"/>
      <c r="D2217" s="115"/>
      <c r="E2217" s="63"/>
      <c r="F2217" s="116"/>
      <c r="G2217" s="115"/>
      <c r="H2217" s="117"/>
      <c r="I2217" s="117"/>
      <c r="J2217" s="118"/>
      <c r="K2217" s="92"/>
      <c r="L2217" s="90" t="s">
        <v>472</v>
      </c>
      <c r="M2217" s="44"/>
      <c r="N2217" s="82"/>
      <c r="O2217" s="44"/>
      <c r="P2217" s="44">
        <f>+P2213</f>
        <v>0</v>
      </c>
      <c r="Q2217" s="44">
        <f>+P2217</f>
        <v>0</v>
      </c>
      <c r="R2217" s="84">
        <f>+Q2217/R2206</f>
        <v>0</v>
      </c>
      <c r="S2217" s="47"/>
      <c r="T2217" s="47"/>
    </row>
    <row r="2218" s="27" customFormat="1" ht="18" customHeight="1" spans="1:20">
      <c r="A2218" s="34"/>
      <c r="B2218" s="48">
        <v>4</v>
      </c>
      <c r="C2218" s="48"/>
      <c r="D2218" s="85" t="s">
        <v>426</v>
      </c>
      <c r="E2218" s="48" t="s">
        <v>392</v>
      </c>
      <c r="F2218" s="50"/>
      <c r="G2218" s="48"/>
      <c r="H2218" s="86"/>
      <c r="I2218" s="86"/>
      <c r="J2218" s="95">
        <f>SUM(J2216:J2216)</f>
        <v>165</v>
      </c>
      <c r="K2218" s="92"/>
      <c r="L2218" s="90" t="s">
        <v>473</v>
      </c>
      <c r="M2218" s="44"/>
      <c r="N2218" s="82"/>
      <c r="O2218" s="44"/>
      <c r="P2218" s="44"/>
      <c r="Q2218" s="44">
        <f>+(Q2215)*2</f>
        <v>8.6442496</v>
      </c>
      <c r="R2218" s="84">
        <f>+Q2218/R2206</f>
        <v>0.901644859813084</v>
      </c>
      <c r="S2218" s="47"/>
      <c r="T2218" s="47"/>
    </row>
    <row r="2219" s="27" customFormat="1" ht="30" customHeight="1" spans="1:20">
      <c r="A2219" s="34"/>
      <c r="B2219" s="48">
        <v>1</v>
      </c>
      <c r="C2219" s="48" t="s">
        <v>394</v>
      </c>
      <c r="D2219" s="88" t="s">
        <v>431</v>
      </c>
      <c r="E2219" s="72" t="str">
        <f>+VLOOKUP(D2219,'材料表 '!C:F,2,0)</f>
        <v>kg</v>
      </c>
      <c r="F2219" s="77">
        <f>+SUMIF($L$2206:$L$2244,D2219,$R$2206:$R$2244)</f>
        <v>0</v>
      </c>
      <c r="G2219" s="89">
        <f>+VLOOKUP(D2219,'材料表 '!C:F,4,0)</f>
        <v>0.03</v>
      </c>
      <c r="H2219" s="74">
        <f t="shared" ref="H2219:H2230" si="343">F2219*(G2219+1)</f>
        <v>0</v>
      </c>
      <c r="I2219" s="74">
        <f>+VLOOKUP(D2219,'材料表 '!C:F,3,0)</f>
        <v>3.80530973451327</v>
      </c>
      <c r="J2219" s="95">
        <f t="shared" si="342"/>
        <v>0</v>
      </c>
      <c r="K2219" s="92">
        <f ca="1">H2219*K2205</f>
        <v>0</v>
      </c>
      <c r="L2219" s="90"/>
      <c r="M2219" s="44"/>
      <c r="N2219" s="82"/>
      <c r="O2219" s="44"/>
      <c r="P2219" s="44"/>
      <c r="Q2219" s="44"/>
      <c r="R2219" s="84"/>
      <c r="S2219" s="47"/>
      <c r="T2219" s="47"/>
    </row>
    <row r="2220" s="27" customFormat="1" ht="18" customHeight="1" spans="1:20">
      <c r="A2220" s="34"/>
      <c r="B2220" s="48">
        <v>2</v>
      </c>
      <c r="C2220" s="48"/>
      <c r="D2220" s="88" t="s">
        <v>461</v>
      </c>
      <c r="E2220" s="72" t="str">
        <f>+VLOOKUP(D2220,'材料表 '!C:F,2,0)</f>
        <v>kg</v>
      </c>
      <c r="F2220" s="77">
        <f t="shared" ref="F2220:F2229" si="344">+SUMIF($L$2206:$L$2244,D2220,$R$2206:$R$2244)</f>
        <v>4.08961949265688</v>
      </c>
      <c r="G2220" s="89">
        <f>+VLOOKUP(D2220,'材料表 '!C:F,4,0)</f>
        <v>0.03</v>
      </c>
      <c r="H2220" s="74">
        <f t="shared" si="343"/>
        <v>4.21230807743659</v>
      </c>
      <c r="I2220" s="74">
        <f>+VLOOKUP(D2220,'材料表 '!C:F,3,0)</f>
        <v>3.53982300884956</v>
      </c>
      <c r="J2220" s="95">
        <f t="shared" si="342"/>
        <v>14.9108250528729</v>
      </c>
      <c r="K2220" s="92">
        <f ca="1">H2220*K2205</f>
        <v>205.170047912425</v>
      </c>
      <c r="L2220" s="90"/>
      <c r="M2220" s="44"/>
      <c r="N2220" s="82"/>
      <c r="O2220" s="44"/>
      <c r="P2220" s="44"/>
      <c r="Q2220" s="44"/>
      <c r="R2220" s="84"/>
      <c r="S2220" s="47"/>
      <c r="T2220" s="47"/>
    </row>
    <row r="2221" s="27" customFormat="1" ht="18" customHeight="1" spans="1:20">
      <c r="A2221" s="34"/>
      <c r="B2221" s="48">
        <v>3</v>
      </c>
      <c r="C2221" s="48"/>
      <c r="D2221" s="88" t="s">
        <v>465</v>
      </c>
      <c r="E2221" s="72" t="str">
        <f>+VLOOKUP(D2221,'材料表 '!C:F,2,0)</f>
        <v>kg</v>
      </c>
      <c r="F2221" s="77">
        <f t="shared" si="344"/>
        <v>0</v>
      </c>
      <c r="G2221" s="89">
        <f>+VLOOKUP(D2221,'材料表 '!C:F,4,0)</f>
        <v>0.03</v>
      </c>
      <c r="H2221" s="74">
        <f t="shared" si="343"/>
        <v>0</v>
      </c>
      <c r="I2221" s="74">
        <f>+VLOOKUP(D2221,'材料表 '!C:F,3,0)</f>
        <v>6.01769911504425</v>
      </c>
      <c r="J2221" s="95">
        <f t="shared" si="342"/>
        <v>0</v>
      </c>
      <c r="K2221" s="92">
        <f ca="1">H2221*K2205</f>
        <v>0</v>
      </c>
      <c r="L2221" s="90"/>
      <c r="M2221" s="44"/>
      <c r="N2221" s="82"/>
      <c r="O2221" s="44"/>
      <c r="P2221" s="44"/>
      <c r="Q2221" s="44"/>
      <c r="R2221" s="84"/>
      <c r="S2221" s="47"/>
      <c r="T2221" s="47"/>
    </row>
    <row r="2222" s="27" customFormat="1" ht="18" customHeight="1" spans="1:20">
      <c r="A2222" s="34"/>
      <c r="B2222" s="48">
        <v>4</v>
      </c>
      <c r="C2222" s="48"/>
      <c r="D2222" s="88" t="s">
        <v>463</v>
      </c>
      <c r="E2222" s="72" t="str">
        <f>+VLOOKUP(D2222,'材料表 '!C:F,2,0)</f>
        <v>kg</v>
      </c>
      <c r="F2222" s="77">
        <f t="shared" si="344"/>
        <v>0</v>
      </c>
      <c r="G2222" s="89">
        <f>+VLOOKUP(D2222,'材料表 '!C:F,4,0)</f>
        <v>0.03</v>
      </c>
      <c r="H2222" s="74">
        <f t="shared" si="343"/>
        <v>0</v>
      </c>
      <c r="I2222" s="74">
        <f>+VLOOKUP(D2222,'材料表 '!C:F,3,0)</f>
        <v>6.01769911504425</v>
      </c>
      <c r="J2222" s="95">
        <f t="shared" si="342"/>
        <v>0</v>
      </c>
      <c r="K2222" s="92">
        <f ca="1">H2222*K2205</f>
        <v>0</v>
      </c>
      <c r="L2222" s="90" t="s">
        <v>474</v>
      </c>
      <c r="M2222" s="44"/>
      <c r="N2222" s="82"/>
      <c r="O2222" s="44"/>
      <c r="P2222" s="44"/>
      <c r="Q2222" s="44">
        <f>+O2212*P2212*4</f>
        <v>0</v>
      </c>
      <c r="R2222" s="84">
        <f>+Q2222/R2206</f>
        <v>0</v>
      </c>
      <c r="S2222" s="47"/>
      <c r="T2222" s="47"/>
    </row>
    <row r="2223" s="27" customFormat="1" ht="18" customHeight="1" spans="1:20">
      <c r="A2223" s="34"/>
      <c r="B2223" s="48">
        <v>5</v>
      </c>
      <c r="C2223" s="48"/>
      <c r="D2223" s="88" t="s">
        <v>433</v>
      </c>
      <c r="E2223" s="72" t="str">
        <f>+VLOOKUP(D2223,'材料表 '!C:F,2,0)</f>
        <v>kg</v>
      </c>
      <c r="F2223" s="77">
        <f t="shared" si="344"/>
        <v>0.464281693299399</v>
      </c>
      <c r="G2223" s="89">
        <f>+VLOOKUP(D2223,'材料表 '!C:F,4,0)</f>
        <v>0.03</v>
      </c>
      <c r="H2223" s="74">
        <f t="shared" si="343"/>
        <v>0.478210144098381</v>
      </c>
      <c r="I2223" s="74">
        <f>+VLOOKUP(D2223,'材料表 '!C:F,3,0)</f>
        <v>26.1150442477876</v>
      </c>
      <c r="J2223" s="95">
        <f t="shared" si="342"/>
        <v>12.4884790728701</v>
      </c>
      <c r="K2223" s="92">
        <f ca="1">H2223*K2205</f>
        <v>23.2923129963895</v>
      </c>
      <c r="L2223" s="92" t="s">
        <v>476</v>
      </c>
      <c r="M2223" s="44"/>
      <c r="N2223" s="82"/>
      <c r="O2223" s="44"/>
      <c r="P2223" s="44"/>
      <c r="Q2223" s="44">
        <f>15*8*(O2206*1+P2206*8)/500</f>
        <v>5.328</v>
      </c>
      <c r="R2223" s="84">
        <f>+Q2223/R2206</f>
        <v>0.555740987983979</v>
      </c>
      <c r="S2223" s="47"/>
      <c r="T2223" s="47"/>
    </row>
    <row r="2224" s="27" customFormat="1" ht="18" customHeight="1" spans="1:20">
      <c r="A2224" s="34"/>
      <c r="B2224" s="48">
        <v>6</v>
      </c>
      <c r="C2224" s="48"/>
      <c r="D2224" s="88" t="s">
        <v>427</v>
      </c>
      <c r="E2224" s="72" t="str">
        <f>+VLOOKUP(D2224,'材料表 '!C:F,2,0)</f>
        <v>kg</v>
      </c>
      <c r="F2224" s="77">
        <f t="shared" si="344"/>
        <v>2.43046875</v>
      </c>
      <c r="G2224" s="89">
        <f>+VLOOKUP(D2224,'材料表 '!C:F,4,0)</f>
        <v>0.03</v>
      </c>
      <c r="H2224" s="74">
        <f t="shared" si="343"/>
        <v>2.5033828125</v>
      </c>
      <c r="I2224" s="74">
        <f>+VLOOKUP(D2224,'材料表 '!C:F,3,0)</f>
        <v>25.8495575221239</v>
      </c>
      <c r="J2224" s="95">
        <f t="shared" si="342"/>
        <v>64.7113380116151</v>
      </c>
      <c r="K2224" s="92">
        <f ca="1">H2224*K2205</f>
        <v>121.932955078711</v>
      </c>
      <c r="L2224" s="69" t="s">
        <v>427</v>
      </c>
      <c r="M2224" s="70" t="s">
        <v>1007</v>
      </c>
      <c r="N2224" s="34">
        <v>3.111</v>
      </c>
      <c r="O2224" s="34">
        <f>P2206</f>
        <v>0.535</v>
      </c>
      <c r="P2224" s="34">
        <v>14</v>
      </c>
      <c r="Q2224" s="44">
        <f t="shared" ref="Q2224:Q2232" si="345">+P2224*O2224*N2224</f>
        <v>23.30139</v>
      </c>
      <c r="R2224" s="71">
        <f>+Q2224/R2206</f>
        <v>2.43046875</v>
      </c>
      <c r="S2224" s="47"/>
      <c r="T2224" s="47"/>
    </row>
    <row r="2225" s="27" customFormat="1" ht="18" customHeight="1" spans="1:21">
      <c r="A2225" s="34"/>
      <c r="B2225" s="48">
        <v>7</v>
      </c>
      <c r="C2225" s="48"/>
      <c r="D2225" s="88"/>
      <c r="E2225" s="72"/>
      <c r="F2225" s="77">
        <f t="shared" si="344"/>
        <v>0</v>
      </c>
      <c r="G2225" s="89"/>
      <c r="H2225" s="74"/>
      <c r="I2225" s="74"/>
      <c r="J2225" s="95"/>
      <c r="K2225" s="92">
        <f ca="1">H2225*K2205</f>
        <v>0</v>
      </c>
      <c r="L2225" s="69" t="s">
        <v>429</v>
      </c>
      <c r="M2225" s="70" t="s">
        <v>1037</v>
      </c>
      <c r="N2225" s="34">
        <v>3.063</v>
      </c>
      <c r="O2225" s="100">
        <f>O2224/0.3*0.1</f>
        <v>0.178333333333333</v>
      </c>
      <c r="P2225" s="34">
        <v>0</v>
      </c>
      <c r="Q2225" s="44">
        <f t="shared" si="345"/>
        <v>0</v>
      </c>
      <c r="R2225" s="71">
        <f>+Q2225/R2206</f>
        <v>0</v>
      </c>
      <c r="S2225" s="47"/>
      <c r="T2225" s="47"/>
    </row>
    <row r="2226" s="27" customFormat="1" ht="18" customHeight="1" spans="1:21">
      <c r="A2226" s="34"/>
      <c r="B2226" s="48">
        <v>8</v>
      </c>
      <c r="C2226" s="48"/>
      <c r="D2226" s="88"/>
      <c r="E2226" s="72"/>
      <c r="F2226" s="77">
        <f t="shared" si="344"/>
        <v>0</v>
      </c>
      <c r="G2226" s="89"/>
      <c r="H2226" s="74"/>
      <c r="I2226" s="74"/>
      <c r="J2226" s="95"/>
      <c r="K2226" s="92">
        <f ca="1">H2226*K2205</f>
        <v>0</v>
      </c>
      <c r="L2226" s="69" t="s">
        <v>447</v>
      </c>
      <c r="M2226" s="70" t="s">
        <v>1038</v>
      </c>
      <c r="N2226" s="34">
        <f>1.041+0.104</f>
        <v>1.145</v>
      </c>
      <c r="O2226" s="34">
        <f>O2224</f>
        <v>0.535</v>
      </c>
      <c r="P2226" s="34">
        <v>0</v>
      </c>
      <c r="Q2226" s="44">
        <f t="shared" si="345"/>
        <v>0</v>
      </c>
      <c r="R2226" s="71">
        <f>+Q2226/R2206</f>
        <v>0</v>
      </c>
      <c r="S2226" s="47">
        <v>0.172</v>
      </c>
      <c r="T2226" s="47">
        <f>O2226*P2226*S2226</f>
        <v>0</v>
      </c>
      <c r="U2226" s="76">
        <f>T2226/R2206</f>
        <v>0</v>
      </c>
    </row>
    <row r="2227" s="27" customFormat="1" ht="18" customHeight="1" spans="1:21">
      <c r="A2227" s="34"/>
      <c r="B2227" s="48">
        <v>9</v>
      </c>
      <c r="C2227" s="48"/>
      <c r="D2227" s="88" t="s">
        <v>476</v>
      </c>
      <c r="E2227" s="72" t="str">
        <f>+VLOOKUP(D2227,'材料表 '!C:F,2,0)</f>
        <v>支</v>
      </c>
      <c r="F2227" s="77">
        <f t="shared" si="344"/>
        <v>0.555740987983979</v>
      </c>
      <c r="G2227" s="89">
        <f>+VLOOKUP(D2227,'材料表 '!C:F,4,0)</f>
        <v>0.15</v>
      </c>
      <c r="H2227" s="74">
        <f t="shared" si="343"/>
        <v>0.639102136181576</v>
      </c>
      <c r="I2227" s="74">
        <f>+VLOOKUP(D2227,'材料表 '!C:F,3,0)</f>
        <v>11.5044247787611</v>
      </c>
      <c r="J2227" s="95">
        <f t="shared" si="342"/>
        <v>7.35250245164647</v>
      </c>
      <c r="K2227" s="92">
        <f ca="1">H2227*K2205</f>
        <v>31.1289235000835</v>
      </c>
      <c r="L2227" s="69" t="s">
        <v>429</v>
      </c>
      <c r="M2227" s="70" t="s">
        <v>1010</v>
      </c>
      <c r="N2227" s="102">
        <f>2.9</f>
        <v>2.9</v>
      </c>
      <c r="O2227" s="34">
        <v>0.2</v>
      </c>
      <c r="P2227" s="34">
        <v>0</v>
      </c>
      <c r="Q2227" s="44">
        <f t="shared" si="345"/>
        <v>0</v>
      </c>
      <c r="R2227" s="71">
        <f>+Q2227/R2206</f>
        <v>0</v>
      </c>
      <c r="S2227" s="47"/>
      <c r="T2227" s="47"/>
    </row>
    <row r="2228" s="27" customFormat="1" ht="18" customHeight="1" spans="1:21">
      <c r="A2228" s="34"/>
      <c r="B2228" s="48">
        <v>10</v>
      </c>
      <c r="C2228" s="48"/>
      <c r="D2228" s="88" t="s">
        <v>474</v>
      </c>
      <c r="E2228" s="72" t="str">
        <f>+VLOOKUP(D2228,'材料表 '!C:F,2,0)</f>
        <v>套</v>
      </c>
      <c r="F2228" s="77">
        <f t="shared" si="344"/>
        <v>0</v>
      </c>
      <c r="G2228" s="89">
        <f>+VLOOKUP(D2228,'材料表 '!C:F,4,0)</f>
        <v>0</v>
      </c>
      <c r="H2228" s="74">
        <f t="shared" si="343"/>
        <v>0</v>
      </c>
      <c r="I2228" s="74">
        <f>+VLOOKUP(D2228,'材料表 '!C:F,3,0)</f>
        <v>2.21238938053097</v>
      </c>
      <c r="J2228" s="95">
        <f t="shared" si="342"/>
        <v>0</v>
      </c>
      <c r="K2228" s="92">
        <f ca="1">H2228*K2205</f>
        <v>0</v>
      </c>
      <c r="L2228" s="69" t="s">
        <v>429</v>
      </c>
      <c r="M2228" s="70" t="s">
        <v>1040</v>
      </c>
      <c r="N2228" s="34">
        <v>0.733</v>
      </c>
      <c r="O2228" s="100">
        <f>O2225*2</f>
        <v>0.356666666666667</v>
      </c>
      <c r="P2228" s="34">
        <v>0</v>
      </c>
      <c r="Q2228" s="44">
        <f t="shared" si="345"/>
        <v>0</v>
      </c>
      <c r="R2228" s="71">
        <f>+Q2228/R2206</f>
        <v>0</v>
      </c>
      <c r="S2228" s="79"/>
      <c r="T2228" s="47"/>
    </row>
    <row r="2229" s="27" customFormat="1" ht="18" customHeight="1" spans="1:21">
      <c r="A2229" s="34"/>
      <c r="B2229" s="48">
        <v>11</v>
      </c>
      <c r="C2229" s="48"/>
      <c r="D2229" s="88" t="s">
        <v>472</v>
      </c>
      <c r="E2229" s="72" t="str">
        <f>+VLOOKUP(D2229,'材料表 '!C:F,2,0)</f>
        <v>套</v>
      </c>
      <c r="F2229" s="77">
        <f t="shared" si="344"/>
        <v>0</v>
      </c>
      <c r="G2229" s="89">
        <f>+VLOOKUP(D2229,'材料表 '!C:F,4,0)</f>
        <v>0</v>
      </c>
      <c r="H2229" s="74">
        <f t="shared" si="343"/>
        <v>0</v>
      </c>
      <c r="I2229" s="74">
        <f>+VLOOKUP(D2229,'材料表 '!C:F,3,0)</f>
        <v>2.47787610619469</v>
      </c>
      <c r="J2229" s="95">
        <f t="shared" si="342"/>
        <v>0</v>
      </c>
      <c r="K2229" s="92">
        <f ca="1">H2229*K2205</f>
        <v>0</v>
      </c>
      <c r="L2229" s="69" t="s">
        <v>404</v>
      </c>
      <c r="M2229" s="70" t="s">
        <v>1041</v>
      </c>
      <c r="N2229" s="34">
        <v>3.727</v>
      </c>
      <c r="O2229" s="34">
        <v>0</v>
      </c>
      <c r="P2229" s="34">
        <v>1</v>
      </c>
      <c r="Q2229" s="44">
        <f t="shared" si="345"/>
        <v>0</v>
      </c>
      <c r="R2229" s="71">
        <f>+Q2229/R2206</f>
        <v>0</v>
      </c>
      <c r="S2229" s="47"/>
      <c r="T2229" s="47"/>
      <c r="U2229" s="76"/>
    </row>
    <row r="2230" s="27" customFormat="1" ht="18" customHeight="1" spans="1:21">
      <c r="A2230" s="34"/>
      <c r="B2230" s="48">
        <v>12</v>
      </c>
      <c r="C2230" s="48"/>
      <c r="D2230" s="88" t="s">
        <v>629</v>
      </c>
      <c r="E2230" s="72" t="str">
        <f>+VLOOKUP(D2230,'材料表 '!C:F,2,0)</f>
        <v>m2</v>
      </c>
      <c r="F2230" s="77">
        <v>1.02</v>
      </c>
      <c r="G2230" s="89">
        <f>+VLOOKUP(D2230,'材料表 '!C:F,4,0)</f>
        <v>0.02</v>
      </c>
      <c r="H2230" s="74">
        <f t="shared" si="343"/>
        <v>1.0404</v>
      </c>
      <c r="I2230" s="74">
        <f>+VLOOKUP(D2230,'材料表 '!C:F,3,0)</f>
        <v>249.557522123894</v>
      </c>
      <c r="J2230" s="95">
        <f t="shared" si="342"/>
        <v>259.639646017699</v>
      </c>
      <c r="K2230" s="92">
        <f ca="1">H2230*K2205</f>
        <v>50.67504891</v>
      </c>
      <c r="L2230" s="69" t="s">
        <v>429</v>
      </c>
      <c r="M2230" s="81" t="s">
        <v>1027</v>
      </c>
      <c r="N2230" s="82">
        <v>0.735</v>
      </c>
      <c r="O2230" s="34">
        <v>0</v>
      </c>
      <c r="P2230" s="34">
        <v>1</v>
      </c>
      <c r="Q2230" s="44">
        <f t="shared" si="345"/>
        <v>0</v>
      </c>
      <c r="R2230" s="71">
        <f>+Q2230/R2206</f>
        <v>0</v>
      </c>
      <c r="S2230" s="47"/>
      <c r="T2230" s="47"/>
    </row>
    <row r="2231" s="27" customFormat="1" ht="18" customHeight="1" spans="1:21">
      <c r="A2231" s="34"/>
      <c r="B2231" s="48">
        <v>13</v>
      </c>
      <c r="C2231" s="48"/>
      <c r="D2231" s="88"/>
      <c r="E2231" s="72"/>
      <c r="F2231" s="77"/>
      <c r="G2231" s="89"/>
      <c r="H2231" s="74"/>
      <c r="I2231" s="74"/>
      <c r="J2231" s="95"/>
      <c r="K2231" s="92">
        <f ca="1">H2231*K2205</f>
        <v>0</v>
      </c>
      <c r="L2231" s="69" t="s">
        <v>447</v>
      </c>
      <c r="M2231" s="70" t="s">
        <v>1038</v>
      </c>
      <c r="N2231" s="83">
        <v>0.977</v>
      </c>
      <c r="O2231" s="34">
        <v>0</v>
      </c>
      <c r="P2231" s="34">
        <v>1</v>
      </c>
      <c r="Q2231" s="44">
        <f t="shared" si="345"/>
        <v>0</v>
      </c>
      <c r="R2231" s="84">
        <f>+Q2231/R2206</f>
        <v>0</v>
      </c>
      <c r="S2231" s="47">
        <v>0.185</v>
      </c>
      <c r="T2231" s="47">
        <f>O2231*P2231*S2231</f>
        <v>0</v>
      </c>
      <c r="U2231" s="27">
        <f>T2231/R2206</f>
        <v>0</v>
      </c>
    </row>
    <row r="2232" s="27" customFormat="1" ht="24" customHeight="1" spans="1:21">
      <c r="A2232" s="34"/>
      <c r="B2232" s="48">
        <v>14</v>
      </c>
      <c r="C2232" s="48"/>
      <c r="D2232" s="88"/>
      <c r="E2232" s="72"/>
      <c r="F2232" s="77"/>
      <c r="G2232" s="89"/>
      <c r="H2232" s="74"/>
      <c r="I2232" s="74"/>
      <c r="J2232" s="95"/>
      <c r="K2232" s="92">
        <f ca="1">H2232*K2205</f>
        <v>0</v>
      </c>
      <c r="L2232" s="69" t="s">
        <v>429</v>
      </c>
      <c r="M2232" s="81" t="s">
        <v>1042</v>
      </c>
      <c r="N2232" s="82">
        <v>0.687</v>
      </c>
      <c r="O2232" s="44">
        <v>0</v>
      </c>
      <c r="P2232" s="34">
        <f>8*2</f>
        <v>16</v>
      </c>
      <c r="Q2232" s="44">
        <f t="shared" si="345"/>
        <v>0</v>
      </c>
      <c r="R2232" s="84">
        <f>+Q2232/R2206</f>
        <v>0</v>
      </c>
      <c r="S2232" s="47"/>
      <c r="T2232" s="47"/>
    </row>
    <row r="2233" s="27" customFormat="1" ht="18" customHeight="1" spans="1:21">
      <c r="A2233" s="34"/>
      <c r="B2233" s="48">
        <v>15</v>
      </c>
      <c r="C2233" s="48"/>
      <c r="D2233" s="88"/>
      <c r="E2233" s="72"/>
      <c r="F2233" s="77"/>
      <c r="G2233" s="89"/>
      <c r="H2233" s="74"/>
      <c r="I2233" s="74"/>
      <c r="J2233" s="95"/>
      <c r="K2233" s="92"/>
      <c r="L2233" s="92"/>
      <c r="M2233" s="44"/>
      <c r="N2233" s="44"/>
      <c r="O2233" s="44"/>
      <c r="P2233" s="44"/>
      <c r="Q2233" s="44"/>
      <c r="R2233" s="84"/>
      <c r="S2233" s="47"/>
      <c r="T2233" s="47"/>
    </row>
    <row r="2234" s="27" customFormat="1" ht="18" customHeight="1" spans="1:21">
      <c r="A2234" s="34"/>
      <c r="B2234" s="48">
        <v>16</v>
      </c>
      <c r="C2234" s="48"/>
      <c r="D2234" s="88"/>
      <c r="E2234" s="72"/>
      <c r="F2234" s="77"/>
      <c r="G2234" s="89"/>
      <c r="H2234" s="74"/>
      <c r="I2234" s="74"/>
      <c r="J2234" s="95"/>
      <c r="K2234" s="92"/>
      <c r="L2234" s="92"/>
      <c r="M2234" s="44"/>
      <c r="N2234" s="44"/>
      <c r="O2234" s="44"/>
      <c r="P2234" s="44"/>
      <c r="Q2234" s="44"/>
      <c r="R2234" s="84"/>
      <c r="S2234" s="47"/>
      <c r="T2234" s="47"/>
    </row>
    <row r="2235" s="27" customFormat="1" ht="18" customHeight="1" spans="1:21">
      <c r="A2235" s="34"/>
      <c r="B2235" s="48">
        <v>17</v>
      </c>
      <c r="C2235" s="48"/>
      <c r="D2235" s="121"/>
      <c r="E2235" s="72"/>
      <c r="F2235" s="77"/>
      <c r="G2235" s="89"/>
      <c r="H2235" s="74"/>
      <c r="I2235" s="74"/>
      <c r="J2235" s="95"/>
      <c r="K2235" s="92"/>
      <c r="L2235" s="92"/>
      <c r="M2235" s="44"/>
      <c r="N2235" s="44"/>
      <c r="O2235" s="44"/>
      <c r="P2235" s="44"/>
      <c r="Q2235" s="101"/>
      <c r="R2235" s="84"/>
      <c r="S2235" s="47"/>
      <c r="T2235" s="47"/>
    </row>
    <row r="2236" s="27" customFormat="1" ht="18" customHeight="1" spans="1:21">
      <c r="A2236" s="34"/>
      <c r="B2236" s="48">
        <v>18</v>
      </c>
      <c r="C2236" s="48"/>
      <c r="D2236" s="88"/>
      <c r="E2236" s="72"/>
      <c r="F2236" s="77"/>
      <c r="G2236" s="89"/>
      <c r="H2236" s="74"/>
      <c r="I2236" s="74"/>
      <c r="J2236" s="95"/>
      <c r="K2236" s="92"/>
      <c r="L2236" s="92"/>
      <c r="M2236" s="44"/>
      <c r="N2236" s="44"/>
      <c r="O2236" s="44"/>
      <c r="P2236" s="44"/>
      <c r="Q2236" s="44"/>
      <c r="R2236" s="84"/>
      <c r="S2236" s="47"/>
      <c r="T2236" s="47"/>
    </row>
    <row r="2237" s="27" customFormat="1" ht="18" customHeight="1" spans="1:21">
      <c r="A2237" s="34"/>
      <c r="B2237" s="48">
        <v>19</v>
      </c>
      <c r="C2237" s="48"/>
      <c r="D2237" s="27"/>
      <c r="E2237" s="72"/>
      <c r="F2237" s="77"/>
      <c r="G2237" s="89"/>
      <c r="H2237" s="74"/>
      <c r="I2237" s="74"/>
      <c r="J2237" s="95"/>
      <c r="K2237" s="92"/>
      <c r="L2237" s="92"/>
      <c r="M2237" s="44"/>
      <c r="N2237" s="44"/>
      <c r="O2237" s="44"/>
      <c r="P2237" s="44"/>
      <c r="Q2237" s="44"/>
      <c r="R2237" s="84"/>
      <c r="S2237" s="47"/>
      <c r="T2237" s="47"/>
    </row>
    <row r="2238" s="27" customFormat="1" ht="18" customHeight="1" spans="1:21">
      <c r="A2238" s="34"/>
      <c r="B2238" s="48">
        <v>20</v>
      </c>
      <c r="C2238" s="48"/>
      <c r="D2238" s="88"/>
      <c r="E2238" s="72"/>
      <c r="F2238" s="77"/>
      <c r="G2238" s="89"/>
      <c r="H2238" s="74"/>
      <c r="I2238" s="74"/>
      <c r="J2238" s="95"/>
      <c r="K2238" s="92"/>
      <c r="L2238" s="92"/>
      <c r="M2238" s="44"/>
      <c r="N2238" s="44"/>
      <c r="O2238" s="44"/>
      <c r="P2238" s="44"/>
      <c r="Q2238" s="44"/>
      <c r="R2238" s="84"/>
      <c r="S2238" s="47"/>
      <c r="T2238" s="47"/>
    </row>
    <row r="2239" s="27" customFormat="1" ht="18" customHeight="1" spans="1:21">
      <c r="A2239" s="34"/>
      <c r="B2239" s="48">
        <v>21</v>
      </c>
      <c r="C2239" s="48"/>
      <c r="D2239" s="88"/>
      <c r="E2239" s="72"/>
      <c r="F2239" s="77"/>
      <c r="G2239" s="89"/>
      <c r="H2239" s="74"/>
      <c r="I2239" s="74"/>
      <c r="J2239" s="95"/>
      <c r="K2239" s="92"/>
      <c r="L2239" s="92"/>
      <c r="M2239" s="44"/>
      <c r="N2239" s="44"/>
      <c r="O2239" s="44"/>
      <c r="P2239" s="44"/>
      <c r="Q2239" s="44"/>
      <c r="R2239" s="84"/>
      <c r="S2239" s="47"/>
      <c r="T2239" s="47"/>
    </row>
    <row r="2240" s="27" customFormat="1" ht="18" customHeight="1" spans="1:21">
      <c r="A2240" s="34"/>
      <c r="B2240" s="48">
        <v>22</v>
      </c>
      <c r="C2240" s="48"/>
      <c r="D2240" s="27"/>
      <c r="E2240" s="72"/>
      <c r="F2240" s="77"/>
      <c r="G2240" s="72"/>
      <c r="H2240" s="74"/>
      <c r="I2240" s="74"/>
      <c r="J2240" s="95"/>
      <c r="K2240" s="92"/>
      <c r="L2240" s="92"/>
      <c r="M2240" s="44"/>
      <c r="N2240" s="44"/>
      <c r="O2240" s="44"/>
      <c r="P2240" s="44"/>
      <c r="Q2240" s="44"/>
      <c r="R2240" s="62"/>
      <c r="S2240" s="47"/>
      <c r="T2240" s="47"/>
    </row>
    <row r="2241" s="27" customFormat="1" ht="18" customHeight="1" spans="1:20">
      <c r="A2241" s="34"/>
      <c r="B2241" s="48">
        <v>23</v>
      </c>
      <c r="C2241" s="48"/>
      <c r="D2241" s="88"/>
      <c r="E2241" s="72"/>
      <c r="F2241" s="77"/>
      <c r="G2241" s="89"/>
      <c r="H2241" s="74"/>
      <c r="I2241" s="74"/>
      <c r="J2241" s="95"/>
      <c r="K2241" s="92"/>
      <c r="L2241" s="92"/>
      <c r="M2241" s="44"/>
      <c r="N2241" s="44"/>
      <c r="O2241" s="44"/>
      <c r="P2241" s="44"/>
      <c r="Q2241" s="44"/>
      <c r="R2241" s="62"/>
      <c r="S2241" s="47"/>
      <c r="T2241" s="47"/>
    </row>
    <row r="2242" s="27" customFormat="1" ht="18" customHeight="1" spans="1:20">
      <c r="A2242" s="34"/>
      <c r="B2242" s="48">
        <v>24</v>
      </c>
      <c r="C2242" s="48"/>
      <c r="D2242" s="88" t="s">
        <v>478</v>
      </c>
      <c r="E2242" s="72" t="s">
        <v>43</v>
      </c>
      <c r="F2242" s="77"/>
      <c r="G2242" s="72">
        <v>1</v>
      </c>
      <c r="H2242" s="74">
        <v>1</v>
      </c>
      <c r="I2242" s="74">
        <f>+辅材及安装费!$E$3</f>
        <v>5</v>
      </c>
      <c r="J2242" s="95">
        <f>H2242*I2242</f>
        <v>5</v>
      </c>
      <c r="K2242" s="92"/>
      <c r="L2242" s="92"/>
      <c r="M2242" s="44"/>
      <c r="N2242" s="44"/>
      <c r="O2242" s="44"/>
      <c r="P2242" s="44"/>
      <c r="Q2242" s="44"/>
      <c r="R2242" s="62"/>
      <c r="S2242" s="47"/>
      <c r="T2242" s="47"/>
    </row>
    <row r="2243" s="27" customFormat="1" ht="18" customHeight="1" spans="1:20">
      <c r="A2243" s="34"/>
      <c r="B2243" s="48">
        <v>25</v>
      </c>
      <c r="C2243" s="48"/>
      <c r="D2243" s="93" t="s">
        <v>442</v>
      </c>
      <c r="E2243" s="72"/>
      <c r="F2243" s="77"/>
      <c r="G2243" s="72"/>
      <c r="H2243" s="74"/>
      <c r="I2243" s="74"/>
      <c r="J2243" s="95">
        <f>SUM(J2219:J2242)</f>
        <v>364.102790606704</v>
      </c>
      <c r="K2243" s="92"/>
      <c r="L2243" s="94"/>
      <c r="M2243" s="27"/>
      <c r="N2243" s="83"/>
      <c r="O2243" s="83"/>
      <c r="P2243" s="83"/>
      <c r="Q2243" s="83"/>
      <c r="R2243" s="87"/>
      <c r="S2243" s="47"/>
      <c r="T2243" s="47"/>
    </row>
    <row r="2244" s="27" customFormat="1" ht="18" customHeight="1" spans="1:20">
      <c r="A2244" s="34"/>
      <c r="B2244" s="48">
        <v>1</v>
      </c>
      <c r="C2244" s="48" t="s">
        <v>443</v>
      </c>
      <c r="D2244" s="48" t="s">
        <v>444</v>
      </c>
      <c r="E2244" s="72" t="s">
        <v>43</v>
      </c>
      <c r="F2244" s="50"/>
      <c r="G2244" s="48"/>
      <c r="H2244" s="51">
        <v>1</v>
      </c>
      <c r="I2244" s="74">
        <f>+辅材及安装费!$F$3</f>
        <v>5</v>
      </c>
      <c r="J2244" s="95">
        <f>H2244*I2244</f>
        <v>5</v>
      </c>
      <c r="K2244" s="118"/>
      <c r="L2244" s="96"/>
      <c r="M2244" s="97"/>
      <c r="N2244" s="98"/>
      <c r="O2244" s="98"/>
      <c r="P2244" s="98"/>
      <c r="Q2244" s="98"/>
      <c r="R2244" s="99"/>
      <c r="S2244" s="47"/>
      <c r="T2244" s="47"/>
    </row>
    <row r="2245" s="26" customFormat="1" ht="30" customHeight="1" spans="1:20">
      <c r="A2245" s="28"/>
      <c r="B2245" s="29" t="s">
        <v>386</v>
      </c>
      <c r="C2245" s="29"/>
      <c r="D2245" s="29"/>
      <c r="E2245" s="29"/>
      <c r="F2245" s="29"/>
      <c r="G2245" s="29"/>
      <c r="H2245" s="29"/>
      <c r="I2245" s="29"/>
      <c r="J2245" s="29"/>
      <c r="K2245" s="29"/>
      <c r="L2245" s="30"/>
      <c r="M2245" s="31"/>
      <c r="N2245" s="31"/>
      <c r="O2245" s="31"/>
      <c r="P2245" s="31"/>
      <c r="Q2245" s="31"/>
      <c r="R2245" s="32"/>
      <c r="S2245" s="33"/>
      <c r="T2245" s="33"/>
    </row>
    <row r="2246" s="27" customFormat="1" ht="33.75" customHeight="1" spans="1:20">
      <c r="A2246" s="34">
        <v>2</v>
      </c>
      <c r="B2246" s="35" t="s">
        <v>1</v>
      </c>
      <c r="C2246" s="35" t="s">
        <v>387</v>
      </c>
      <c r="D2246" s="36" t="str">
        <f>+A2254</f>
        <v>中灰色仿石材铝单板（弧形）</v>
      </c>
      <c r="E2246" s="37"/>
      <c r="F2246" s="38" t="s">
        <v>119</v>
      </c>
      <c r="G2246" s="39"/>
      <c r="H2246" s="35" t="s">
        <v>388</v>
      </c>
      <c r="I2246" s="40" t="s">
        <v>389</v>
      </c>
      <c r="J2246" s="41" t="s">
        <v>37</v>
      </c>
      <c r="K2246" s="122">
        <f ca="1">VLOOKUP(A2246,'商业工程量清单 '!$A$59:$D$81,4,FALSE)</f>
        <v>8.33553</v>
      </c>
      <c r="L2246" s="43"/>
      <c r="M2246" s="44"/>
      <c r="N2246" s="44"/>
      <c r="O2246" s="44"/>
      <c r="P2246" s="45"/>
      <c r="Q2246" s="44"/>
      <c r="R2246" s="46"/>
      <c r="S2246" s="47"/>
      <c r="T2246" s="47"/>
    </row>
    <row r="2247" s="27" customFormat="1" ht="25" customHeight="1" spans="1:20">
      <c r="A2247" s="34"/>
      <c r="B2247" s="48">
        <v>1</v>
      </c>
      <c r="C2247" s="49" t="s">
        <v>390</v>
      </c>
      <c r="D2247" s="48" t="s">
        <v>391</v>
      </c>
      <c r="E2247" s="48"/>
      <c r="F2247" s="50"/>
      <c r="G2247" s="48"/>
      <c r="H2247" s="51"/>
      <c r="I2247" s="52">
        <f>J2259</f>
        <v>165</v>
      </c>
      <c r="J2247" s="53" t="s">
        <v>392</v>
      </c>
      <c r="K2247" s="54"/>
      <c r="L2247" s="55" t="s">
        <v>313</v>
      </c>
      <c r="M2247" s="56" t="s">
        <v>1057</v>
      </c>
      <c r="N2247" s="57"/>
      <c r="O2247" s="57">
        <f>18.5+1.9-2.48</f>
        <v>17.92</v>
      </c>
      <c r="P2247" s="57">
        <v>0.535</v>
      </c>
      <c r="Q2247" s="57">
        <v>1</v>
      </c>
      <c r="R2247" s="58">
        <f>+Q2247*P2247*O2247</f>
        <v>9.5872</v>
      </c>
      <c r="S2247" s="47"/>
      <c r="T2247" s="47"/>
    </row>
    <row r="2248" s="27" customFormat="1" ht="18" customHeight="1" spans="1:20">
      <c r="A2248" s="34"/>
      <c r="B2248" s="48">
        <v>2</v>
      </c>
      <c r="C2248" s="59"/>
      <c r="D2248" s="48" t="s">
        <v>394</v>
      </c>
      <c r="E2248" s="48"/>
      <c r="F2248" s="50"/>
      <c r="G2248" s="48"/>
      <c r="H2248" s="51"/>
      <c r="I2248" s="52">
        <f>J2284</f>
        <v>454.287392707439</v>
      </c>
      <c r="J2248" s="53" t="s">
        <v>392</v>
      </c>
      <c r="K2248" s="60"/>
      <c r="L2248" s="61" t="s">
        <v>119</v>
      </c>
      <c r="M2248" s="44"/>
      <c r="N2248" s="44"/>
      <c r="O2248" s="44"/>
      <c r="P2248" s="44"/>
      <c r="Q2248" s="44"/>
      <c r="R2248" s="62"/>
      <c r="S2248" s="47"/>
      <c r="T2248" s="47"/>
    </row>
    <row r="2249" s="27" customFormat="1" ht="18" customHeight="1" spans="1:20">
      <c r="A2249" s="34"/>
      <c r="B2249" s="48">
        <v>3</v>
      </c>
      <c r="C2249" s="63"/>
      <c r="D2249" s="48" t="s">
        <v>395</v>
      </c>
      <c r="E2249" s="48"/>
      <c r="F2249" s="50"/>
      <c r="G2249" s="48"/>
      <c r="H2249" s="51"/>
      <c r="I2249" s="52">
        <f>J2285</f>
        <v>5</v>
      </c>
      <c r="J2249" s="53" t="s">
        <v>392</v>
      </c>
      <c r="K2249" s="60"/>
      <c r="L2249" s="60"/>
      <c r="M2249" s="65" t="s">
        <v>396</v>
      </c>
      <c r="N2249" s="65" t="s">
        <v>397</v>
      </c>
      <c r="O2249" s="65" t="s">
        <v>398</v>
      </c>
      <c r="P2249" s="65" t="s">
        <v>399</v>
      </c>
      <c r="Q2249" s="65" t="s">
        <v>400</v>
      </c>
      <c r="R2249" s="66" t="s">
        <v>401</v>
      </c>
      <c r="S2249" s="47"/>
      <c r="T2249" s="47"/>
    </row>
    <row r="2250" s="27" customFormat="1" ht="18" customHeight="1" spans="1:20">
      <c r="A2250" s="34"/>
      <c r="B2250" s="48">
        <v>4</v>
      </c>
      <c r="C2250" s="48" t="s">
        <v>402</v>
      </c>
      <c r="D2250" s="67" t="s">
        <v>403</v>
      </c>
      <c r="E2250" s="67"/>
      <c r="F2250" s="50"/>
      <c r="G2250" s="67"/>
      <c r="H2250" s="68"/>
      <c r="I2250" s="52">
        <f>SUM(I2247:I2249)</f>
        <v>624.287392707439</v>
      </c>
      <c r="J2250" s="53" t="s">
        <v>392</v>
      </c>
      <c r="K2250" s="60"/>
      <c r="L2250" s="69" t="s">
        <v>431</v>
      </c>
      <c r="M2250" s="34" t="s">
        <v>460</v>
      </c>
      <c r="N2250" s="34">
        <v>10.21</v>
      </c>
      <c r="O2250" s="34">
        <v>7.045</v>
      </c>
      <c r="P2250" s="34">
        <v>0</v>
      </c>
      <c r="Q2250" s="44">
        <f t="shared" ref="Q2250:Q2257" si="346">+P2250*O2250*N2250</f>
        <v>0</v>
      </c>
      <c r="R2250" s="71">
        <f>+Q2250/R2247</f>
        <v>0</v>
      </c>
      <c r="S2250" s="47"/>
      <c r="T2250" s="47"/>
    </row>
    <row r="2251" s="27" customFormat="1" ht="28" customHeight="1" spans="1:20">
      <c r="A2251" s="34"/>
      <c r="B2251" s="48">
        <v>5</v>
      </c>
      <c r="C2251" s="72" t="s">
        <v>406</v>
      </c>
      <c r="D2251" s="48" t="s">
        <v>407</v>
      </c>
      <c r="E2251" s="48"/>
      <c r="F2251" s="50"/>
      <c r="G2251" s="48"/>
      <c r="H2251" s="73">
        <f>+'材料表 '!$E$178</f>
        <v>0</v>
      </c>
      <c r="I2251" s="52">
        <f>H2251*I2250</f>
        <v>0</v>
      </c>
      <c r="J2251" s="53" t="s">
        <v>392</v>
      </c>
      <c r="K2251" s="60"/>
      <c r="L2251" s="69" t="s">
        <v>461</v>
      </c>
      <c r="M2251" s="34" t="s">
        <v>462</v>
      </c>
      <c r="N2251" s="34">
        <v>3.77</v>
      </c>
      <c r="O2251" s="34">
        <f>+O2247</f>
        <v>17.92</v>
      </c>
      <c r="P2251" s="34">
        <v>0.5</v>
      </c>
      <c r="Q2251" s="44">
        <f t="shared" si="346"/>
        <v>33.7792</v>
      </c>
      <c r="R2251" s="71">
        <f>+Q2251/R2247</f>
        <v>3.52336448598131</v>
      </c>
      <c r="S2251" s="47"/>
      <c r="T2251" s="47"/>
    </row>
    <row r="2252" s="27" customFormat="1" ht="18" customHeight="1" spans="1:20">
      <c r="A2252" s="34"/>
      <c r="B2252" s="48">
        <v>6</v>
      </c>
      <c r="C2252" s="48" t="s">
        <v>409</v>
      </c>
      <c r="D2252" s="48" t="s">
        <v>410</v>
      </c>
      <c r="E2252" s="48"/>
      <c r="F2252" s="50"/>
      <c r="G2252" s="48"/>
      <c r="H2252" s="73">
        <f>+'材料表 '!$E$179</f>
        <v>0</v>
      </c>
      <c r="I2252" s="52">
        <f>H2252*I2250</f>
        <v>0</v>
      </c>
      <c r="J2252" s="53" t="s">
        <v>392</v>
      </c>
      <c r="K2252" s="60"/>
      <c r="L2252" s="69" t="s">
        <v>461</v>
      </c>
      <c r="M2252" s="34" t="s">
        <v>462</v>
      </c>
      <c r="N2252" s="34">
        <v>3.77</v>
      </c>
      <c r="O2252" s="34">
        <f>0.18</f>
        <v>0.18</v>
      </c>
      <c r="P2252" s="34">
        <v>8</v>
      </c>
      <c r="Q2252" s="44">
        <f t="shared" si="346"/>
        <v>5.4288</v>
      </c>
      <c r="R2252" s="71">
        <f>+Q2252/R2247</f>
        <v>0.566255006675567</v>
      </c>
      <c r="S2252" s="47"/>
      <c r="T2252" s="47"/>
    </row>
    <row r="2253" s="27" customFormat="1" ht="18" customHeight="1" spans="1:20">
      <c r="A2253" s="34"/>
      <c r="B2253" s="48">
        <v>7</v>
      </c>
      <c r="C2253" s="48" t="s">
        <v>412</v>
      </c>
      <c r="D2253" s="72" t="s">
        <v>413</v>
      </c>
      <c r="E2253" s="72"/>
      <c r="F2253" s="77"/>
      <c r="G2253" s="72"/>
      <c r="H2253" s="73">
        <f>+'材料表 '!$E$180</f>
        <v>0.09</v>
      </c>
      <c r="I2253" s="52">
        <f>(I2250+I2251+I2252)*H2253</f>
        <v>56.1858653436695</v>
      </c>
      <c r="J2253" s="53" t="s">
        <v>392</v>
      </c>
      <c r="K2253" s="60"/>
      <c r="L2253" s="69" t="s">
        <v>463</v>
      </c>
      <c r="M2253" s="34" t="s">
        <v>490</v>
      </c>
      <c r="N2253" s="34">
        <f>0.3*0.2*7.85*10</f>
        <v>4.71</v>
      </c>
      <c r="O2253" s="34">
        <v>3</v>
      </c>
      <c r="P2253" s="34">
        <f>+P2250</f>
        <v>0</v>
      </c>
      <c r="Q2253" s="44">
        <f t="shared" si="346"/>
        <v>0</v>
      </c>
      <c r="R2253" s="71">
        <f>+Q2253/R2247</f>
        <v>0</v>
      </c>
      <c r="S2253" s="47"/>
      <c r="T2253" s="47"/>
    </row>
    <row r="2254" s="27" customFormat="1" ht="18" customHeight="1" spans="1:20">
      <c r="A2254" s="34" t="s">
        <v>308</v>
      </c>
      <c r="B2254" s="48">
        <v>8</v>
      </c>
      <c r="C2254" s="48" t="s">
        <v>363</v>
      </c>
      <c r="D2254" s="106" t="s">
        <v>415</v>
      </c>
      <c r="E2254" s="107"/>
      <c r="F2254" s="108"/>
      <c r="G2254" s="107"/>
      <c r="H2254" s="51"/>
      <c r="I2254" s="74">
        <f>SUM(I2250:I2253)</f>
        <v>680.473258051109</v>
      </c>
      <c r="J2254" s="53" t="s">
        <v>416</v>
      </c>
      <c r="K2254" s="60"/>
      <c r="L2254" s="69" t="s">
        <v>465</v>
      </c>
      <c r="M2254" s="34" t="s">
        <v>466</v>
      </c>
      <c r="N2254" s="100">
        <f>1.2789*7.85</f>
        <v>10.039365</v>
      </c>
      <c r="O2254" s="34">
        <f>35/1000</f>
        <v>0.035</v>
      </c>
      <c r="P2254" s="44">
        <f>+P2253*O2253*2</f>
        <v>0</v>
      </c>
      <c r="Q2254" s="44">
        <f t="shared" si="346"/>
        <v>0</v>
      </c>
      <c r="R2254" s="84">
        <f>+Q2254/R2247</f>
        <v>0</v>
      </c>
      <c r="S2254" s="79"/>
      <c r="T2254" s="47"/>
    </row>
    <row r="2255" s="27" customFormat="1" ht="18" customHeight="1" spans="1:20">
      <c r="A2255" s="34"/>
      <c r="B2255" s="109" t="s">
        <v>418</v>
      </c>
      <c r="C2255" s="110"/>
      <c r="D2255" s="110"/>
      <c r="E2255" s="110"/>
      <c r="F2255" s="110"/>
      <c r="G2255" s="110"/>
      <c r="H2255" s="110"/>
      <c r="I2255" s="110"/>
      <c r="J2255" s="110"/>
      <c r="K2255" s="80"/>
      <c r="L2255" s="69" t="s">
        <v>433</v>
      </c>
      <c r="M2255" s="44"/>
      <c r="N2255" s="82">
        <f>0.056*3*2.71+0.0675*3*2.71</f>
        <v>1.004055</v>
      </c>
      <c r="O2255" s="44">
        <f>O2247</f>
        <v>17.92</v>
      </c>
      <c r="P2255" s="44">
        <v>0</v>
      </c>
      <c r="Q2255" s="44">
        <f t="shared" si="346"/>
        <v>0</v>
      </c>
      <c r="R2255" s="84">
        <f>+Q2255/R2247</f>
        <v>0</v>
      </c>
      <c r="S2255" s="47">
        <f>0.16*P2255*O2255/R2247</f>
        <v>0</v>
      </c>
      <c r="T2255" s="47"/>
    </row>
    <row r="2256" s="27" customFormat="1" ht="18" customHeight="1" spans="1:20">
      <c r="A2256" s="34"/>
      <c r="B2256" s="48">
        <v>1</v>
      </c>
      <c r="C2256" s="48" t="s">
        <v>391</v>
      </c>
      <c r="D2256" s="48" t="s">
        <v>396</v>
      </c>
      <c r="E2256" s="48" t="s">
        <v>37</v>
      </c>
      <c r="F2256" s="50"/>
      <c r="G2256" s="48"/>
      <c r="H2256" s="51" t="s">
        <v>399</v>
      </c>
      <c r="I2256" s="51" t="s">
        <v>420</v>
      </c>
      <c r="J2256" s="95" t="s">
        <v>421</v>
      </c>
      <c r="K2256" s="92"/>
      <c r="L2256" s="69" t="s">
        <v>433</v>
      </c>
      <c r="M2256" s="44" t="s">
        <v>498</v>
      </c>
      <c r="N2256" s="82">
        <f>0.0445*2*2.71</f>
        <v>0.24119</v>
      </c>
      <c r="O2256" s="44">
        <f>+O2255</f>
        <v>17.92</v>
      </c>
      <c r="P2256" s="44">
        <v>1</v>
      </c>
      <c r="Q2256" s="44">
        <f t="shared" si="346"/>
        <v>4.3221248</v>
      </c>
      <c r="R2256" s="84">
        <f>+Q2256/R2247</f>
        <v>0.450822429906542</v>
      </c>
      <c r="S2256" s="47"/>
      <c r="T2256" s="47"/>
    </row>
    <row r="2257" s="27" customFormat="1" ht="18" customHeight="1" spans="1:21">
      <c r="A2257" s="34"/>
      <c r="B2257" s="48">
        <v>2</v>
      </c>
      <c r="C2257" s="48"/>
      <c r="D2257" s="111" t="s">
        <v>491</v>
      </c>
      <c r="E2257" s="49" t="s">
        <v>423</v>
      </c>
      <c r="F2257" s="112"/>
      <c r="G2257" s="111"/>
      <c r="H2257" s="113">
        <v>1</v>
      </c>
      <c r="I2257" s="113">
        <f>+辅材及安装费!$G$3</f>
        <v>165</v>
      </c>
      <c r="J2257" s="114">
        <f t="shared" ref="J2257:J2265" si="347">H2257*I2257</f>
        <v>165</v>
      </c>
      <c r="K2257" s="92"/>
      <c r="L2257" s="69" t="s">
        <v>433</v>
      </c>
      <c r="M2257" s="44" t="s">
        <v>498</v>
      </c>
      <c r="N2257" s="82">
        <f>0.0445*2*2.71</f>
        <v>0.24119</v>
      </c>
      <c r="O2257" s="44">
        <f>P2247</f>
        <v>0.535</v>
      </c>
      <c r="P2257" s="44">
        <v>1</v>
      </c>
      <c r="Q2257" s="44">
        <f t="shared" si="346"/>
        <v>0.12903665</v>
      </c>
      <c r="R2257" s="84">
        <f>+Q2257/R2247</f>
        <v>0.0134592633928571</v>
      </c>
      <c r="S2257" s="47"/>
      <c r="T2257" s="47"/>
    </row>
    <row r="2258" s="27" customFormat="1" ht="18" customHeight="1" spans="1:21">
      <c r="A2258" s="34"/>
      <c r="B2258" s="48">
        <v>3</v>
      </c>
      <c r="C2258" s="48"/>
      <c r="D2258" s="115"/>
      <c r="E2258" s="63"/>
      <c r="F2258" s="116"/>
      <c r="G2258" s="115"/>
      <c r="H2258" s="117"/>
      <c r="I2258" s="117"/>
      <c r="J2258" s="118"/>
      <c r="K2258" s="92"/>
      <c r="L2258" s="90" t="s">
        <v>472</v>
      </c>
      <c r="M2258" s="44"/>
      <c r="N2258" s="82"/>
      <c r="O2258" s="44"/>
      <c r="P2258" s="44">
        <f>+P2254</f>
        <v>0</v>
      </c>
      <c r="Q2258" s="44">
        <f>+P2258</f>
        <v>0</v>
      </c>
      <c r="R2258" s="84">
        <f>+Q2258/R2247</f>
        <v>0</v>
      </c>
      <c r="S2258" s="47"/>
      <c r="T2258" s="47"/>
    </row>
    <row r="2259" s="27" customFormat="1" ht="18" customHeight="1" spans="1:21">
      <c r="A2259" s="34"/>
      <c r="B2259" s="48">
        <v>4</v>
      </c>
      <c r="C2259" s="48"/>
      <c r="D2259" s="85" t="s">
        <v>426</v>
      </c>
      <c r="E2259" s="48" t="s">
        <v>392</v>
      </c>
      <c r="F2259" s="50"/>
      <c r="G2259" s="48"/>
      <c r="H2259" s="86"/>
      <c r="I2259" s="86"/>
      <c r="J2259" s="95">
        <f>SUM(J2257:J2257)</f>
        <v>165</v>
      </c>
      <c r="K2259" s="92"/>
      <c r="L2259" s="90" t="s">
        <v>473</v>
      </c>
      <c r="M2259" s="44"/>
      <c r="N2259" s="82"/>
      <c r="O2259" s="44"/>
      <c r="P2259" s="44"/>
      <c r="Q2259" s="44">
        <f>+(Q2256)*2</f>
        <v>8.6442496</v>
      </c>
      <c r="R2259" s="84">
        <f>+Q2259/R2247</f>
        <v>0.901644859813084</v>
      </c>
      <c r="S2259" s="47"/>
      <c r="T2259" s="47"/>
    </row>
    <row r="2260" s="27" customFormat="1" ht="30" customHeight="1" spans="1:21">
      <c r="A2260" s="34"/>
      <c r="B2260" s="48">
        <v>1</v>
      </c>
      <c r="C2260" s="48" t="s">
        <v>394</v>
      </c>
      <c r="D2260" s="88" t="s">
        <v>431</v>
      </c>
      <c r="E2260" s="72" t="str">
        <f>+VLOOKUP(D2260,'材料表 '!C:F,2,0)</f>
        <v>kg</v>
      </c>
      <c r="F2260" s="77">
        <f>+SUMIF($L$2247:$L$2285,D2260,$R$2247:$R$2285)</f>
        <v>0</v>
      </c>
      <c r="G2260" s="89">
        <f>+VLOOKUP(D2260,'材料表 '!C:F,4,0)</f>
        <v>0.03</v>
      </c>
      <c r="H2260" s="74">
        <f t="shared" ref="H2260:H2265" si="348">F2260*(G2260+1)</f>
        <v>0</v>
      </c>
      <c r="I2260" s="74">
        <f>+VLOOKUP(D2260,'材料表 '!C:F,3,0)</f>
        <v>3.80530973451327</v>
      </c>
      <c r="J2260" s="95">
        <f t="shared" si="347"/>
        <v>0</v>
      </c>
      <c r="K2260" s="92">
        <f ca="1">H2260*K2246</f>
        <v>0</v>
      </c>
      <c r="L2260" s="90"/>
      <c r="M2260" s="44"/>
      <c r="N2260" s="82"/>
      <c r="O2260" s="44"/>
      <c r="P2260" s="44"/>
      <c r="Q2260" s="44"/>
      <c r="R2260" s="84"/>
      <c r="S2260" s="47"/>
      <c r="T2260" s="47"/>
    </row>
    <row r="2261" s="27" customFormat="1" ht="18" customHeight="1" spans="1:21">
      <c r="A2261" s="34"/>
      <c r="B2261" s="48">
        <v>2</v>
      </c>
      <c r="C2261" s="48"/>
      <c r="D2261" s="88" t="s">
        <v>461</v>
      </c>
      <c r="E2261" s="72" t="str">
        <f>+VLOOKUP(D2261,'材料表 '!C:F,2,0)</f>
        <v>kg</v>
      </c>
      <c r="F2261" s="77">
        <f t="shared" ref="F2261:F2270" si="349">+SUMIF($L$2247:$L$2285,D2261,$R$2247:$R$2285)</f>
        <v>4.08961949265688</v>
      </c>
      <c r="G2261" s="89">
        <f>+VLOOKUP(D2261,'材料表 '!C:F,4,0)</f>
        <v>0.03</v>
      </c>
      <c r="H2261" s="74">
        <f t="shared" si="348"/>
        <v>4.21230807743659</v>
      </c>
      <c r="I2261" s="74">
        <f>+VLOOKUP(D2261,'材料表 '!C:F,3,0)</f>
        <v>3.53982300884956</v>
      </c>
      <c r="J2261" s="95">
        <f t="shared" si="347"/>
        <v>14.9108250528729</v>
      </c>
      <c r="K2261" s="92">
        <f ca="1">H2261*K2246</f>
        <v>35.111820348715</v>
      </c>
      <c r="L2261" s="90"/>
      <c r="M2261" s="44"/>
      <c r="N2261" s="82"/>
      <c r="O2261" s="44"/>
      <c r="P2261" s="44"/>
      <c r="Q2261" s="44"/>
      <c r="R2261" s="84"/>
      <c r="S2261" s="47"/>
      <c r="T2261" s="47"/>
    </row>
    <row r="2262" s="27" customFormat="1" ht="18" customHeight="1" spans="1:21">
      <c r="A2262" s="34"/>
      <c r="B2262" s="48">
        <v>3</v>
      </c>
      <c r="C2262" s="48"/>
      <c r="D2262" s="88" t="s">
        <v>465</v>
      </c>
      <c r="E2262" s="72" t="str">
        <f>+VLOOKUP(D2262,'材料表 '!C:F,2,0)</f>
        <v>kg</v>
      </c>
      <c r="F2262" s="77">
        <f t="shared" si="349"/>
        <v>0</v>
      </c>
      <c r="G2262" s="89">
        <f>+VLOOKUP(D2262,'材料表 '!C:F,4,0)</f>
        <v>0.03</v>
      </c>
      <c r="H2262" s="74">
        <f t="shared" si="348"/>
        <v>0</v>
      </c>
      <c r="I2262" s="74">
        <f>+VLOOKUP(D2262,'材料表 '!C:F,3,0)</f>
        <v>6.01769911504425</v>
      </c>
      <c r="J2262" s="95">
        <f t="shared" si="347"/>
        <v>0</v>
      </c>
      <c r="K2262" s="92">
        <f ca="1">H2262*K2246</f>
        <v>0</v>
      </c>
      <c r="L2262" s="90"/>
      <c r="M2262" s="44"/>
      <c r="N2262" s="82"/>
      <c r="O2262" s="44"/>
      <c r="P2262" s="44"/>
      <c r="Q2262" s="44"/>
      <c r="R2262" s="84"/>
      <c r="S2262" s="47"/>
      <c r="T2262" s="47"/>
    </row>
    <row r="2263" s="27" customFormat="1" ht="18" customHeight="1" spans="1:21">
      <c r="A2263" s="34"/>
      <c r="B2263" s="48">
        <v>4</v>
      </c>
      <c r="C2263" s="48"/>
      <c r="D2263" s="88" t="s">
        <v>463</v>
      </c>
      <c r="E2263" s="72" t="str">
        <f>+VLOOKUP(D2263,'材料表 '!C:F,2,0)</f>
        <v>kg</v>
      </c>
      <c r="F2263" s="77">
        <f t="shared" si="349"/>
        <v>0</v>
      </c>
      <c r="G2263" s="89">
        <f>+VLOOKUP(D2263,'材料表 '!C:F,4,0)</f>
        <v>0.03</v>
      </c>
      <c r="H2263" s="74">
        <f t="shared" si="348"/>
        <v>0</v>
      </c>
      <c r="I2263" s="74">
        <f>+VLOOKUP(D2263,'材料表 '!C:F,3,0)</f>
        <v>6.01769911504425</v>
      </c>
      <c r="J2263" s="95">
        <f t="shared" si="347"/>
        <v>0</v>
      </c>
      <c r="K2263" s="92">
        <f ca="1">H2263*K2246</f>
        <v>0</v>
      </c>
      <c r="L2263" s="90" t="s">
        <v>474</v>
      </c>
      <c r="M2263" s="44"/>
      <c r="N2263" s="82"/>
      <c r="O2263" s="44"/>
      <c r="P2263" s="44"/>
      <c r="Q2263" s="44">
        <f>+O2253*P2253*4</f>
        <v>0</v>
      </c>
      <c r="R2263" s="84">
        <f>+Q2263/R2247</f>
        <v>0</v>
      </c>
      <c r="S2263" s="47"/>
      <c r="T2263" s="47"/>
    </row>
    <row r="2264" s="27" customFormat="1" ht="18" customHeight="1" spans="1:21">
      <c r="A2264" s="34"/>
      <c r="B2264" s="48">
        <v>5</v>
      </c>
      <c r="C2264" s="48"/>
      <c r="D2264" s="88" t="s">
        <v>433</v>
      </c>
      <c r="E2264" s="72" t="str">
        <f>+VLOOKUP(D2264,'材料表 '!C:F,2,0)</f>
        <v>kg</v>
      </c>
      <c r="F2264" s="77">
        <f t="shared" si="349"/>
        <v>0.464281693299399</v>
      </c>
      <c r="G2264" s="89">
        <f>+VLOOKUP(D2264,'材料表 '!C:F,4,0)</f>
        <v>0.03</v>
      </c>
      <c r="H2264" s="74">
        <f t="shared" si="348"/>
        <v>0.478210144098381</v>
      </c>
      <c r="I2264" s="74">
        <f>+VLOOKUP(D2264,'材料表 '!C:F,3,0)</f>
        <v>26.1150442477876</v>
      </c>
      <c r="J2264" s="95">
        <f t="shared" si="347"/>
        <v>12.4884790728701</v>
      </c>
      <c r="K2264" s="92">
        <f ca="1">H2264*K2246</f>
        <v>3.98613500243638</v>
      </c>
      <c r="L2264" s="92" t="s">
        <v>476</v>
      </c>
      <c r="M2264" s="44"/>
      <c r="N2264" s="82"/>
      <c r="O2264" s="44"/>
      <c r="P2264" s="44"/>
      <c r="Q2264" s="44">
        <f>15*8*(O2247*1+P2247*8)/500</f>
        <v>5.328</v>
      </c>
      <c r="R2264" s="84">
        <f>+Q2264/R2247</f>
        <v>0.555740987983979</v>
      </c>
      <c r="S2264" s="47"/>
      <c r="T2264" s="47"/>
    </row>
    <row r="2265" s="27" customFormat="1" ht="18" customHeight="1" spans="1:21">
      <c r="A2265" s="34"/>
      <c r="B2265" s="48">
        <v>6</v>
      </c>
      <c r="C2265" s="48"/>
      <c r="D2265" s="88" t="s">
        <v>427</v>
      </c>
      <c r="E2265" s="72" t="str">
        <f>+VLOOKUP(D2265,'材料表 '!C:F,2,0)</f>
        <v>kg</v>
      </c>
      <c r="F2265" s="77">
        <f t="shared" si="349"/>
        <v>2.43046875</v>
      </c>
      <c r="G2265" s="89">
        <f>+VLOOKUP(D2265,'材料表 '!C:F,4,0)</f>
        <v>0.03</v>
      </c>
      <c r="H2265" s="74">
        <f t="shared" si="348"/>
        <v>2.5033828125</v>
      </c>
      <c r="I2265" s="74">
        <f>+VLOOKUP(D2265,'材料表 '!C:F,3,0)</f>
        <v>25.8495575221239</v>
      </c>
      <c r="J2265" s="95">
        <f t="shared" si="347"/>
        <v>64.7113380116151</v>
      </c>
      <c r="K2265" s="92">
        <f ca="1">H2265*K2246</f>
        <v>20.8670225350781</v>
      </c>
      <c r="L2265" s="69" t="s">
        <v>427</v>
      </c>
      <c r="M2265" s="70" t="s">
        <v>1007</v>
      </c>
      <c r="N2265" s="34">
        <v>3.111</v>
      </c>
      <c r="O2265" s="34">
        <f>P2247</f>
        <v>0.535</v>
      </c>
      <c r="P2265" s="34">
        <v>14</v>
      </c>
      <c r="Q2265" s="44">
        <f t="shared" ref="Q2265:Q2273" si="350">+P2265*O2265*N2265</f>
        <v>23.30139</v>
      </c>
      <c r="R2265" s="71">
        <f>+Q2265/R2247</f>
        <v>2.43046875</v>
      </c>
      <c r="S2265" s="47"/>
      <c r="T2265" s="47"/>
    </row>
    <row r="2266" s="27" customFormat="1" ht="18" customHeight="1" spans="1:21">
      <c r="A2266" s="34"/>
      <c r="B2266" s="48">
        <v>7</v>
      </c>
      <c r="C2266" s="48"/>
      <c r="D2266" s="124"/>
      <c r="E2266" s="72"/>
      <c r="F2266" s="77">
        <f t="shared" si="349"/>
        <v>0</v>
      </c>
      <c r="G2266" s="89"/>
      <c r="H2266" s="74"/>
      <c r="I2266" s="74"/>
      <c r="J2266" s="95"/>
      <c r="K2266" s="92">
        <f ca="1">H2266*K2246</f>
        <v>0</v>
      </c>
      <c r="L2266" s="69" t="s">
        <v>429</v>
      </c>
      <c r="M2266" s="70" t="s">
        <v>1037</v>
      </c>
      <c r="N2266" s="34">
        <v>3.063</v>
      </c>
      <c r="O2266" s="100">
        <f>O2265/0.3*0.1</f>
        <v>0.178333333333333</v>
      </c>
      <c r="P2266" s="34">
        <v>0</v>
      </c>
      <c r="Q2266" s="44">
        <f t="shared" si="350"/>
        <v>0</v>
      </c>
      <c r="R2266" s="71">
        <f>+Q2266/R2247</f>
        <v>0</v>
      </c>
      <c r="S2266" s="47"/>
      <c r="T2266" s="47"/>
    </row>
    <row r="2267" s="27" customFormat="1" ht="18" customHeight="1" spans="1:21">
      <c r="A2267" s="34"/>
      <c r="B2267" s="48">
        <v>8</v>
      </c>
      <c r="C2267" s="48"/>
      <c r="D2267" s="88"/>
      <c r="E2267" s="72"/>
      <c r="F2267" s="77">
        <f t="shared" si="349"/>
        <v>0</v>
      </c>
      <c r="G2267" s="89"/>
      <c r="H2267" s="74"/>
      <c r="I2267" s="74"/>
      <c r="J2267" s="95"/>
      <c r="K2267" s="92">
        <f ca="1">H2267*K2246</f>
        <v>0</v>
      </c>
      <c r="L2267" s="69" t="s">
        <v>447</v>
      </c>
      <c r="M2267" s="70" t="s">
        <v>1038</v>
      </c>
      <c r="N2267" s="34">
        <f>1.041+0.104</f>
        <v>1.145</v>
      </c>
      <c r="O2267" s="34">
        <f>O2265</f>
        <v>0.535</v>
      </c>
      <c r="P2267" s="34">
        <v>0</v>
      </c>
      <c r="Q2267" s="44">
        <f t="shared" si="350"/>
        <v>0</v>
      </c>
      <c r="R2267" s="71">
        <f>+Q2267/R2247</f>
        <v>0</v>
      </c>
      <c r="S2267" s="47">
        <v>0.172</v>
      </c>
      <c r="T2267" s="47">
        <f>O2267*P2267*S2267</f>
        <v>0</v>
      </c>
      <c r="U2267" s="76">
        <f>T2267/R2247</f>
        <v>0</v>
      </c>
    </row>
    <row r="2268" s="27" customFormat="1" ht="18" customHeight="1" spans="1:21">
      <c r="A2268" s="34"/>
      <c r="B2268" s="48">
        <v>9</v>
      </c>
      <c r="C2268" s="48"/>
      <c r="D2268" s="88" t="s">
        <v>476</v>
      </c>
      <c r="E2268" s="72" t="str">
        <f>+VLOOKUP(D2268,'材料表 '!C:F,2,0)</f>
        <v>支</v>
      </c>
      <c r="F2268" s="77">
        <f t="shared" si="349"/>
        <v>0.555740987983979</v>
      </c>
      <c r="G2268" s="89">
        <f>+VLOOKUP(D2268,'材料表 '!C:F,4,0)</f>
        <v>0.15</v>
      </c>
      <c r="H2268" s="74">
        <f t="shared" ref="H2268:H2273" si="351">F2268*(G2268+1)</f>
        <v>0.639102136181576</v>
      </c>
      <c r="I2268" s="74">
        <f>+VLOOKUP(D2268,'材料表 '!C:F,3,0)</f>
        <v>11.5044247787611</v>
      </c>
      <c r="J2268" s="95">
        <f t="shared" ref="J2268:J2273" si="352">H2268*I2268</f>
        <v>7.35250245164647</v>
      </c>
      <c r="K2268" s="92">
        <f ca="1">H2268*K2246</f>
        <v>5.32725502920561</v>
      </c>
      <c r="L2268" s="69" t="s">
        <v>429</v>
      </c>
      <c r="M2268" s="70" t="s">
        <v>1010</v>
      </c>
      <c r="N2268" s="102">
        <f>2.9</f>
        <v>2.9</v>
      </c>
      <c r="O2268" s="34">
        <v>0.2</v>
      </c>
      <c r="P2268" s="34">
        <v>0</v>
      </c>
      <c r="Q2268" s="44">
        <f t="shared" si="350"/>
        <v>0</v>
      </c>
      <c r="R2268" s="71">
        <f>+Q2268/R2247</f>
        <v>0</v>
      </c>
      <c r="S2268" s="47"/>
      <c r="T2268" s="47"/>
    </row>
    <row r="2269" s="27" customFormat="1" ht="18" customHeight="1" spans="1:21">
      <c r="A2269" s="34"/>
      <c r="B2269" s="48">
        <v>10</v>
      </c>
      <c r="C2269" s="48"/>
      <c r="D2269" s="88" t="s">
        <v>474</v>
      </c>
      <c r="E2269" s="72" t="str">
        <f>+VLOOKUP(D2269,'材料表 '!C:F,2,0)</f>
        <v>套</v>
      </c>
      <c r="F2269" s="77">
        <f t="shared" si="349"/>
        <v>0</v>
      </c>
      <c r="G2269" s="89">
        <f>+VLOOKUP(D2269,'材料表 '!C:F,4,0)</f>
        <v>0</v>
      </c>
      <c r="H2269" s="74">
        <f t="shared" si="351"/>
        <v>0</v>
      </c>
      <c r="I2269" s="74">
        <f>+VLOOKUP(D2269,'材料表 '!C:F,3,0)</f>
        <v>2.21238938053097</v>
      </c>
      <c r="J2269" s="95">
        <f t="shared" si="352"/>
        <v>0</v>
      </c>
      <c r="K2269" s="92">
        <f ca="1">H2269*K2246</f>
        <v>0</v>
      </c>
      <c r="L2269" s="69" t="s">
        <v>429</v>
      </c>
      <c r="M2269" s="70" t="s">
        <v>1040</v>
      </c>
      <c r="N2269" s="34">
        <v>0.733</v>
      </c>
      <c r="O2269" s="100">
        <f>O2266*2</f>
        <v>0.356666666666667</v>
      </c>
      <c r="P2269" s="34">
        <v>0</v>
      </c>
      <c r="Q2269" s="44">
        <f t="shared" si="350"/>
        <v>0</v>
      </c>
      <c r="R2269" s="71">
        <f>+Q2269/R2247</f>
        <v>0</v>
      </c>
      <c r="S2269" s="79"/>
      <c r="T2269" s="47"/>
    </row>
    <row r="2270" s="27" customFormat="1" ht="18" customHeight="1" spans="1:21">
      <c r="A2270" s="34"/>
      <c r="B2270" s="48">
        <v>11</v>
      </c>
      <c r="C2270" s="48"/>
      <c r="D2270" s="88" t="s">
        <v>472</v>
      </c>
      <c r="E2270" s="72" t="str">
        <f>+VLOOKUP(D2270,'材料表 '!C:F,2,0)</f>
        <v>套</v>
      </c>
      <c r="F2270" s="77">
        <f t="shared" si="349"/>
        <v>0</v>
      </c>
      <c r="G2270" s="89">
        <f>+VLOOKUP(D2270,'材料表 '!C:F,4,0)</f>
        <v>0</v>
      </c>
      <c r="H2270" s="74">
        <f t="shared" si="351"/>
        <v>0</v>
      </c>
      <c r="I2270" s="74">
        <f>+VLOOKUP(D2270,'材料表 '!C:F,3,0)</f>
        <v>2.47787610619469</v>
      </c>
      <c r="J2270" s="95">
        <f t="shared" si="352"/>
        <v>0</v>
      </c>
      <c r="K2270" s="92">
        <f ca="1">H2270*K2246</f>
        <v>0</v>
      </c>
      <c r="L2270" s="69" t="s">
        <v>404</v>
      </c>
      <c r="M2270" s="70" t="s">
        <v>1041</v>
      </c>
      <c r="N2270" s="34">
        <v>3.727</v>
      </c>
      <c r="O2270" s="34">
        <v>0</v>
      </c>
      <c r="P2270" s="34">
        <v>1</v>
      </c>
      <c r="Q2270" s="44">
        <f t="shared" si="350"/>
        <v>0</v>
      </c>
      <c r="R2270" s="71">
        <f>+Q2270/R2247</f>
        <v>0</v>
      </c>
      <c r="S2270" s="47"/>
      <c r="T2270" s="47"/>
      <c r="U2270" s="76"/>
    </row>
    <row r="2271" s="27" customFormat="1" ht="23" customHeight="1" spans="1:21">
      <c r="A2271" s="34"/>
      <c r="B2271" s="48">
        <v>12</v>
      </c>
      <c r="C2271" s="48"/>
      <c r="D2271" s="88" t="s">
        <v>630</v>
      </c>
      <c r="E2271" s="72" t="str">
        <f>+VLOOKUP(D2271,'材料表 '!C:F,2,0)</f>
        <v>m2</v>
      </c>
      <c r="F2271" s="77">
        <v>1.02</v>
      </c>
      <c r="G2271" s="89">
        <f>+VLOOKUP(D2271,'材料表 '!C:F,4,0)</f>
        <v>0.02</v>
      </c>
      <c r="H2271" s="74">
        <f t="shared" si="351"/>
        <v>1.0404</v>
      </c>
      <c r="I2271" s="74">
        <f>+VLOOKUP(D2271,'材料表 '!C:F,3,0)</f>
        <v>280.530973451327</v>
      </c>
      <c r="J2271" s="95">
        <f t="shared" si="352"/>
        <v>291.864424778761</v>
      </c>
      <c r="K2271" s="92">
        <f ca="1">H2271*K2246</f>
        <v>8.672285412</v>
      </c>
      <c r="L2271" s="69" t="s">
        <v>429</v>
      </c>
      <c r="M2271" s="81" t="s">
        <v>1027</v>
      </c>
      <c r="N2271" s="82">
        <v>0.735</v>
      </c>
      <c r="O2271" s="34">
        <v>0</v>
      </c>
      <c r="P2271" s="34">
        <v>1</v>
      </c>
      <c r="Q2271" s="44">
        <f t="shared" si="350"/>
        <v>0</v>
      </c>
      <c r="R2271" s="71">
        <f>+Q2271/R2247</f>
        <v>0</v>
      </c>
      <c r="S2271" s="47"/>
      <c r="T2271" s="47"/>
    </row>
    <row r="2272" s="27" customFormat="1" ht="18" customHeight="1" spans="1:21">
      <c r="A2272" s="34"/>
      <c r="B2272" s="48">
        <v>13</v>
      </c>
      <c r="C2272" s="48"/>
      <c r="D2272" s="124" t="s">
        <v>500</v>
      </c>
      <c r="E2272" s="72" t="str">
        <f>+VLOOKUP(D2272,'材料表 '!C:F,2,0)</f>
        <v>kg</v>
      </c>
      <c r="F2272" s="77">
        <f>R2256</f>
        <v>0.450822429906542</v>
      </c>
      <c r="G2272" s="89">
        <f>+VLOOKUP(D2272,'材料表 '!C:F,4,0)</f>
        <v>0.03</v>
      </c>
      <c r="H2272" s="74">
        <f t="shared" si="351"/>
        <v>0.464347102803738</v>
      </c>
      <c r="I2272" s="74">
        <f>+VLOOKUP(D2272,'材料表 '!C:F,3,0)</f>
        <v>14.1592920353982</v>
      </c>
      <c r="J2272" s="95">
        <f t="shared" si="352"/>
        <v>6.5748262343892</v>
      </c>
      <c r="K2272" s="92">
        <f ca="1">H2272*K2246</f>
        <v>3.87057920583364</v>
      </c>
      <c r="L2272" s="69" t="s">
        <v>447</v>
      </c>
      <c r="M2272" s="70" t="s">
        <v>1038</v>
      </c>
      <c r="N2272" s="83">
        <v>0.977</v>
      </c>
      <c r="O2272" s="34">
        <v>0</v>
      </c>
      <c r="P2272" s="34">
        <v>1</v>
      </c>
      <c r="Q2272" s="44">
        <f t="shared" si="350"/>
        <v>0</v>
      </c>
      <c r="R2272" s="84">
        <f>+Q2272/R2247</f>
        <v>0</v>
      </c>
      <c r="S2272" s="47">
        <v>0.185</v>
      </c>
      <c r="T2272" s="47">
        <f>O2272*P2272*S2272</f>
        <v>0</v>
      </c>
      <c r="U2272" s="27">
        <f>T2272/R2247</f>
        <v>0</v>
      </c>
    </row>
    <row r="2273" s="27" customFormat="1" ht="24" customHeight="1" spans="1:20">
      <c r="A2273" s="34"/>
      <c r="B2273" s="48">
        <v>14</v>
      </c>
      <c r="C2273" s="48"/>
      <c r="D2273" s="88" t="s">
        <v>479</v>
      </c>
      <c r="E2273" s="72" t="str">
        <f>+VLOOKUP(D2273,'材料表 '!C:F,2,0)</f>
        <v>kg</v>
      </c>
      <c r="F2273" s="77">
        <f>R2251</f>
        <v>3.52336448598131</v>
      </c>
      <c r="G2273" s="89">
        <f>+VLOOKUP(D2273,'材料表 '!C:F,4,0)</f>
        <v>0.03</v>
      </c>
      <c r="H2273" s="74">
        <f t="shared" si="351"/>
        <v>3.62906542056075</v>
      </c>
      <c r="I2273" s="74">
        <f>+VLOOKUP(D2273,'材料表 '!C:F,3,0)</f>
        <v>14.1592920353982</v>
      </c>
      <c r="J2273" s="95">
        <f t="shared" si="352"/>
        <v>51.3849971052848</v>
      </c>
      <c r="K2273" s="92">
        <f ca="1">H2273*K2246</f>
        <v>30.2501836850467</v>
      </c>
      <c r="L2273" s="69" t="s">
        <v>429</v>
      </c>
      <c r="M2273" s="81" t="s">
        <v>1042</v>
      </c>
      <c r="N2273" s="82">
        <v>0.687</v>
      </c>
      <c r="O2273" s="44">
        <v>0</v>
      </c>
      <c r="P2273" s="34">
        <f>8*2</f>
        <v>16</v>
      </c>
      <c r="Q2273" s="44">
        <f t="shared" si="350"/>
        <v>0</v>
      </c>
      <c r="R2273" s="84">
        <f>+Q2273/R2247</f>
        <v>0</v>
      </c>
      <c r="S2273" s="47"/>
      <c r="T2273" s="47"/>
    </row>
    <row r="2274" s="27" customFormat="1" ht="18" customHeight="1" spans="1:20">
      <c r="A2274" s="34"/>
      <c r="B2274" s="48">
        <v>15</v>
      </c>
      <c r="C2274" s="48"/>
      <c r="D2274" s="88"/>
      <c r="E2274" s="72"/>
      <c r="F2274" s="77"/>
      <c r="G2274" s="89"/>
      <c r="H2274" s="74"/>
      <c r="I2274" s="74"/>
      <c r="J2274" s="95"/>
      <c r="K2274" s="92"/>
      <c r="L2274" s="92"/>
      <c r="M2274" s="44"/>
      <c r="N2274" s="44"/>
      <c r="O2274" s="44"/>
      <c r="P2274" s="44"/>
      <c r="Q2274" s="44"/>
      <c r="R2274" s="84"/>
      <c r="S2274" s="47"/>
      <c r="T2274" s="47"/>
    </row>
    <row r="2275" s="27" customFormat="1" ht="18" customHeight="1" spans="1:20">
      <c r="A2275" s="34"/>
      <c r="B2275" s="48">
        <v>16</v>
      </c>
      <c r="C2275" s="48"/>
      <c r="D2275" s="88"/>
      <c r="E2275" s="72"/>
      <c r="F2275" s="77"/>
      <c r="G2275" s="89"/>
      <c r="H2275" s="74"/>
      <c r="I2275" s="74"/>
      <c r="J2275" s="95"/>
      <c r="K2275" s="92"/>
      <c r="L2275" s="92"/>
      <c r="M2275" s="44"/>
      <c r="N2275" s="44"/>
      <c r="O2275" s="44"/>
      <c r="P2275" s="44"/>
      <c r="Q2275" s="44"/>
      <c r="R2275" s="84"/>
      <c r="S2275" s="47"/>
      <c r="T2275" s="47"/>
    </row>
    <row r="2276" s="27" customFormat="1" ht="18" customHeight="1" spans="1:20">
      <c r="A2276" s="34"/>
      <c r="B2276" s="48">
        <v>17</v>
      </c>
      <c r="C2276" s="48"/>
      <c r="D2276" s="121"/>
      <c r="E2276" s="72"/>
      <c r="F2276" s="77"/>
      <c r="G2276" s="89"/>
      <c r="H2276" s="74"/>
      <c r="I2276" s="74"/>
      <c r="J2276" s="95"/>
      <c r="K2276" s="92"/>
      <c r="L2276" s="92"/>
      <c r="M2276" s="44"/>
      <c r="N2276" s="44"/>
      <c r="O2276" s="44"/>
      <c r="P2276" s="44"/>
      <c r="Q2276" s="101"/>
      <c r="R2276" s="84"/>
      <c r="S2276" s="47"/>
      <c r="T2276" s="47"/>
    </row>
    <row r="2277" s="27" customFormat="1" ht="18" customHeight="1" spans="1:20">
      <c r="A2277" s="34"/>
      <c r="B2277" s="48">
        <v>18</v>
      </c>
      <c r="C2277" s="48"/>
      <c r="D2277" s="88"/>
      <c r="E2277" s="72"/>
      <c r="F2277" s="77"/>
      <c r="G2277" s="89"/>
      <c r="H2277" s="74"/>
      <c r="I2277" s="74"/>
      <c r="J2277" s="95"/>
      <c r="K2277" s="92"/>
      <c r="L2277" s="92"/>
      <c r="M2277" s="44"/>
      <c r="N2277" s="44"/>
      <c r="O2277" s="44"/>
      <c r="P2277" s="44"/>
      <c r="Q2277" s="44"/>
      <c r="R2277" s="84"/>
      <c r="S2277" s="47"/>
      <c r="T2277" s="47"/>
    </row>
    <row r="2278" s="27" customFormat="1" ht="18" customHeight="1" spans="1:20">
      <c r="A2278" s="34"/>
      <c r="B2278" s="48">
        <v>19</v>
      </c>
      <c r="C2278" s="48"/>
      <c r="D2278" s="27"/>
      <c r="E2278" s="72"/>
      <c r="F2278" s="77"/>
      <c r="G2278" s="89"/>
      <c r="H2278" s="74"/>
      <c r="I2278" s="74"/>
      <c r="J2278" s="95"/>
      <c r="K2278" s="92"/>
      <c r="L2278" s="92"/>
      <c r="M2278" s="44"/>
      <c r="N2278" s="44"/>
      <c r="O2278" s="44"/>
      <c r="P2278" s="44"/>
      <c r="Q2278" s="44"/>
      <c r="R2278" s="84"/>
      <c r="S2278" s="47"/>
      <c r="T2278" s="47"/>
    </row>
    <row r="2279" s="27" customFormat="1" ht="18" customHeight="1" spans="1:20">
      <c r="A2279" s="34"/>
      <c r="B2279" s="48">
        <v>20</v>
      </c>
      <c r="C2279" s="48"/>
      <c r="D2279" s="88"/>
      <c r="E2279" s="72"/>
      <c r="F2279" s="77"/>
      <c r="G2279" s="89"/>
      <c r="H2279" s="74"/>
      <c r="I2279" s="74"/>
      <c r="J2279" s="95"/>
      <c r="K2279" s="92"/>
      <c r="L2279" s="92"/>
      <c r="M2279" s="44"/>
      <c r="N2279" s="44"/>
      <c r="O2279" s="44"/>
      <c r="P2279" s="44"/>
      <c r="Q2279" s="44"/>
      <c r="R2279" s="84"/>
      <c r="S2279" s="47"/>
      <c r="T2279" s="47"/>
    </row>
    <row r="2280" s="27" customFormat="1" ht="18" customHeight="1" spans="1:20">
      <c r="A2280" s="34"/>
      <c r="B2280" s="48">
        <v>21</v>
      </c>
      <c r="C2280" s="48"/>
      <c r="D2280" s="88"/>
      <c r="E2280" s="72"/>
      <c r="F2280" s="77"/>
      <c r="G2280" s="89"/>
      <c r="H2280" s="74"/>
      <c r="I2280" s="74"/>
      <c r="J2280" s="95"/>
      <c r="K2280" s="92"/>
      <c r="L2280" s="92"/>
      <c r="M2280" s="44"/>
      <c r="N2280" s="44"/>
      <c r="O2280" s="44"/>
      <c r="P2280" s="44"/>
      <c r="Q2280" s="44"/>
      <c r="R2280" s="84"/>
      <c r="S2280" s="47"/>
      <c r="T2280" s="47"/>
    </row>
    <row r="2281" s="27" customFormat="1" ht="18" customHeight="1" spans="1:20">
      <c r="A2281" s="34"/>
      <c r="B2281" s="48">
        <v>22</v>
      </c>
      <c r="C2281" s="48"/>
      <c r="D2281" s="27"/>
      <c r="E2281" s="72"/>
      <c r="F2281" s="77"/>
      <c r="G2281" s="72"/>
      <c r="H2281" s="74"/>
      <c r="I2281" s="74"/>
      <c r="J2281" s="95"/>
      <c r="K2281" s="92"/>
      <c r="L2281" s="92"/>
      <c r="M2281" s="44"/>
      <c r="N2281" s="44"/>
      <c r="O2281" s="44"/>
      <c r="P2281" s="44"/>
      <c r="Q2281" s="44"/>
      <c r="R2281" s="62"/>
      <c r="S2281" s="47"/>
      <c r="T2281" s="47"/>
    </row>
    <row r="2282" s="27" customFormat="1" ht="18" customHeight="1" spans="1:20">
      <c r="A2282" s="34"/>
      <c r="B2282" s="48">
        <v>23</v>
      </c>
      <c r="C2282" s="48"/>
      <c r="D2282" s="88"/>
      <c r="E2282" s="72"/>
      <c r="F2282" s="77"/>
      <c r="G2282" s="89"/>
      <c r="H2282" s="74"/>
      <c r="I2282" s="74"/>
      <c r="J2282" s="95"/>
      <c r="K2282" s="92"/>
      <c r="L2282" s="92"/>
      <c r="M2282" s="44"/>
      <c r="N2282" s="44"/>
      <c r="O2282" s="44"/>
      <c r="P2282" s="44"/>
      <c r="Q2282" s="44"/>
      <c r="R2282" s="62"/>
      <c r="S2282" s="47"/>
      <c r="T2282" s="47"/>
    </row>
    <row r="2283" s="27" customFormat="1" ht="18" customHeight="1" spans="1:20">
      <c r="A2283" s="34"/>
      <c r="B2283" s="48">
        <v>24</v>
      </c>
      <c r="C2283" s="48"/>
      <c r="D2283" s="88" t="s">
        <v>478</v>
      </c>
      <c r="E2283" s="72" t="s">
        <v>43</v>
      </c>
      <c r="F2283" s="77"/>
      <c r="G2283" s="72">
        <v>1</v>
      </c>
      <c r="H2283" s="74">
        <v>1</v>
      </c>
      <c r="I2283" s="74">
        <f>+辅材及安装费!$E$3</f>
        <v>5</v>
      </c>
      <c r="J2283" s="95">
        <f>H2283*I2283</f>
        <v>5</v>
      </c>
      <c r="K2283" s="92"/>
      <c r="L2283" s="92"/>
      <c r="M2283" s="44"/>
      <c r="N2283" s="44"/>
      <c r="O2283" s="44"/>
      <c r="P2283" s="44"/>
      <c r="Q2283" s="44"/>
      <c r="R2283" s="62"/>
      <c r="S2283" s="47"/>
      <c r="T2283" s="47"/>
    </row>
    <row r="2284" s="27" customFormat="1" ht="18" customHeight="1" spans="1:20">
      <c r="A2284" s="34"/>
      <c r="B2284" s="48">
        <v>25</v>
      </c>
      <c r="C2284" s="48"/>
      <c r="D2284" s="93" t="s">
        <v>442</v>
      </c>
      <c r="E2284" s="72"/>
      <c r="F2284" s="77"/>
      <c r="G2284" s="72"/>
      <c r="H2284" s="74"/>
      <c r="I2284" s="74"/>
      <c r="J2284" s="95">
        <f>SUM(J2260:J2283)</f>
        <v>454.287392707439</v>
      </c>
      <c r="K2284" s="92"/>
      <c r="L2284" s="94"/>
      <c r="M2284" s="27"/>
      <c r="N2284" s="83"/>
      <c r="O2284" s="83"/>
      <c r="P2284" s="83"/>
      <c r="Q2284" s="83"/>
      <c r="R2284" s="87"/>
      <c r="S2284" s="47"/>
      <c r="T2284" s="47"/>
    </row>
    <row r="2285" s="27" customFormat="1" ht="18" customHeight="1" spans="1:20">
      <c r="A2285" s="34"/>
      <c r="B2285" s="48">
        <v>1</v>
      </c>
      <c r="C2285" s="48" t="s">
        <v>443</v>
      </c>
      <c r="D2285" s="48" t="s">
        <v>444</v>
      </c>
      <c r="E2285" s="72" t="s">
        <v>43</v>
      </c>
      <c r="F2285" s="50"/>
      <c r="G2285" s="48"/>
      <c r="H2285" s="51">
        <v>1</v>
      </c>
      <c r="I2285" s="74">
        <f>+辅材及安装费!$F$3</f>
        <v>5</v>
      </c>
      <c r="J2285" s="95">
        <f>H2285*I2285</f>
        <v>5</v>
      </c>
      <c r="K2285" s="118"/>
      <c r="L2285" s="96"/>
      <c r="M2285" s="97"/>
      <c r="N2285" s="98"/>
      <c r="O2285" s="98"/>
      <c r="P2285" s="98"/>
      <c r="Q2285" s="98"/>
      <c r="R2285" s="99"/>
      <c r="S2285" s="47"/>
      <c r="T2285" s="47"/>
    </row>
    <row r="2286" s="26" customFormat="1" ht="30" customHeight="1" spans="1:20">
      <c r="A2286" s="28"/>
      <c r="B2286" s="29" t="s">
        <v>386</v>
      </c>
      <c r="C2286" s="29"/>
      <c r="D2286" s="29"/>
      <c r="E2286" s="29"/>
      <c r="F2286" s="29"/>
      <c r="G2286" s="29"/>
      <c r="H2286" s="29"/>
      <c r="I2286" s="29"/>
      <c r="J2286" s="29"/>
      <c r="K2286" s="29"/>
      <c r="L2286" s="30"/>
      <c r="M2286" s="31"/>
      <c r="N2286" s="31"/>
      <c r="O2286" s="31"/>
      <c r="P2286" s="31"/>
      <c r="Q2286" s="31"/>
      <c r="R2286" s="32"/>
      <c r="S2286" s="33"/>
      <c r="T2286" s="33"/>
    </row>
    <row r="2287" s="27" customFormat="1" ht="33.75" customHeight="1" spans="1:20">
      <c r="A2287" s="34">
        <v>3</v>
      </c>
      <c r="B2287" s="35" t="s">
        <v>1</v>
      </c>
      <c r="C2287" s="35" t="s">
        <v>387</v>
      </c>
      <c r="D2287" s="36" t="str">
        <f>+A2295</f>
        <v>香槟色瓦楞板</v>
      </c>
      <c r="E2287" s="37"/>
      <c r="F2287" s="38" t="s">
        <v>119</v>
      </c>
      <c r="G2287" s="39"/>
      <c r="H2287" s="35" t="s">
        <v>388</v>
      </c>
      <c r="I2287" s="40" t="s">
        <v>389</v>
      </c>
      <c r="J2287" s="41" t="s">
        <v>37</v>
      </c>
      <c r="K2287" s="122">
        <f ca="1">VLOOKUP(A2287,'商业工程量清单 '!$A$59:$D$81,4,FALSE)</f>
        <v>68.90185</v>
      </c>
      <c r="L2287" s="43"/>
      <c r="M2287" s="44"/>
      <c r="N2287" s="44"/>
      <c r="O2287" s="44"/>
      <c r="P2287" s="45"/>
      <c r="Q2287" s="44"/>
      <c r="R2287" s="46"/>
      <c r="S2287" s="47"/>
      <c r="T2287" s="47"/>
    </row>
    <row r="2288" s="27" customFormat="1" ht="25" customHeight="1" spans="1:20">
      <c r="A2288" s="34"/>
      <c r="B2288" s="48">
        <v>1</v>
      </c>
      <c r="C2288" s="49" t="s">
        <v>390</v>
      </c>
      <c r="D2288" s="48" t="s">
        <v>391</v>
      </c>
      <c r="E2288" s="48"/>
      <c r="F2288" s="50"/>
      <c r="G2288" s="48"/>
      <c r="H2288" s="51"/>
      <c r="I2288" s="52">
        <f>J2300</f>
        <v>165</v>
      </c>
      <c r="J2288" s="53" t="s">
        <v>392</v>
      </c>
      <c r="K2288" s="54"/>
      <c r="L2288" s="55" t="s">
        <v>313</v>
      </c>
      <c r="M2288" s="56" t="s">
        <v>1058</v>
      </c>
      <c r="N2288" s="57"/>
      <c r="O2288" s="57">
        <f>18.5+1.9-2.48</f>
        <v>17.92</v>
      </c>
      <c r="P2288" s="57">
        <v>0.27</v>
      </c>
      <c r="Q2288" s="57">
        <v>1</v>
      </c>
      <c r="R2288" s="58">
        <f>+Q2288*P2288*O2288</f>
        <v>4.8384</v>
      </c>
      <c r="S2288" s="47"/>
      <c r="T2288" s="47"/>
    </row>
    <row r="2289" s="27" customFormat="1" ht="18" customHeight="1" spans="1:20">
      <c r="A2289" s="34"/>
      <c r="B2289" s="48">
        <v>2</v>
      </c>
      <c r="C2289" s="59"/>
      <c r="D2289" s="48" t="s">
        <v>394</v>
      </c>
      <c r="E2289" s="48"/>
      <c r="F2289" s="50"/>
      <c r="G2289" s="48"/>
      <c r="H2289" s="51"/>
      <c r="I2289" s="52">
        <f>J2325</f>
        <v>388.637804020742</v>
      </c>
      <c r="J2289" s="53" t="s">
        <v>392</v>
      </c>
      <c r="K2289" s="60"/>
      <c r="L2289" s="61" t="s">
        <v>119</v>
      </c>
      <c r="M2289" s="44"/>
      <c r="N2289" s="44"/>
      <c r="O2289" s="44"/>
      <c r="P2289" s="44"/>
      <c r="Q2289" s="44"/>
      <c r="R2289" s="62"/>
      <c r="S2289" s="47"/>
      <c r="T2289" s="47"/>
    </row>
    <row r="2290" s="27" customFormat="1" ht="18" customHeight="1" spans="1:20">
      <c r="A2290" s="34"/>
      <c r="B2290" s="48">
        <v>3</v>
      </c>
      <c r="C2290" s="63"/>
      <c r="D2290" s="48" t="s">
        <v>395</v>
      </c>
      <c r="E2290" s="48"/>
      <c r="F2290" s="50"/>
      <c r="G2290" s="48"/>
      <c r="H2290" s="51"/>
      <c r="I2290" s="52">
        <f>J2326</f>
        <v>5</v>
      </c>
      <c r="J2290" s="53" t="s">
        <v>392</v>
      </c>
      <c r="K2290" s="60"/>
      <c r="L2290" s="60"/>
      <c r="M2290" s="65" t="s">
        <v>396</v>
      </c>
      <c r="N2290" s="65" t="s">
        <v>397</v>
      </c>
      <c r="O2290" s="65" t="s">
        <v>398</v>
      </c>
      <c r="P2290" s="65" t="s">
        <v>399</v>
      </c>
      <c r="Q2290" s="65" t="s">
        <v>400</v>
      </c>
      <c r="R2290" s="66" t="s">
        <v>401</v>
      </c>
      <c r="S2290" s="47"/>
      <c r="T2290" s="47"/>
    </row>
    <row r="2291" s="27" customFormat="1" ht="18" customHeight="1" spans="1:20">
      <c r="A2291" s="34"/>
      <c r="B2291" s="48">
        <v>4</v>
      </c>
      <c r="C2291" s="48" t="s">
        <v>402</v>
      </c>
      <c r="D2291" s="67" t="s">
        <v>403</v>
      </c>
      <c r="E2291" s="67"/>
      <c r="F2291" s="50"/>
      <c r="G2291" s="67"/>
      <c r="H2291" s="68"/>
      <c r="I2291" s="52">
        <f>SUM(I2288:I2290)</f>
        <v>558.637804020742</v>
      </c>
      <c r="J2291" s="53" t="s">
        <v>392</v>
      </c>
      <c r="K2291" s="60"/>
      <c r="L2291" s="69" t="s">
        <v>431</v>
      </c>
      <c r="M2291" s="34" t="s">
        <v>460</v>
      </c>
      <c r="N2291" s="34">
        <v>10.21</v>
      </c>
      <c r="O2291" s="34">
        <v>7.045</v>
      </c>
      <c r="P2291" s="34">
        <v>0</v>
      </c>
      <c r="Q2291" s="44">
        <f t="shared" ref="Q2291:Q2298" si="353">+P2291*O2291*N2291</f>
        <v>0</v>
      </c>
      <c r="R2291" s="71">
        <f>+Q2291/R2288</f>
        <v>0</v>
      </c>
      <c r="S2291" s="47"/>
      <c r="T2291" s="47"/>
    </row>
    <row r="2292" s="27" customFormat="1" ht="28" customHeight="1" spans="1:20">
      <c r="A2292" s="34"/>
      <c r="B2292" s="48">
        <v>5</v>
      </c>
      <c r="C2292" s="72" t="s">
        <v>406</v>
      </c>
      <c r="D2292" s="48" t="s">
        <v>407</v>
      </c>
      <c r="E2292" s="48"/>
      <c r="F2292" s="50"/>
      <c r="G2292" s="48"/>
      <c r="H2292" s="73">
        <f>+'材料表 '!$E$178</f>
        <v>0</v>
      </c>
      <c r="I2292" s="52">
        <f>H2292*I2291</f>
        <v>0</v>
      </c>
      <c r="J2292" s="53" t="s">
        <v>392</v>
      </c>
      <c r="K2292" s="60"/>
      <c r="L2292" s="69" t="s">
        <v>461</v>
      </c>
      <c r="M2292" s="34" t="s">
        <v>462</v>
      </c>
      <c r="N2292" s="34">
        <v>3.77</v>
      </c>
      <c r="O2292" s="34">
        <f>+O2288</f>
        <v>17.92</v>
      </c>
      <c r="P2292" s="34">
        <v>0.5</v>
      </c>
      <c r="Q2292" s="44">
        <f t="shared" si="353"/>
        <v>33.7792</v>
      </c>
      <c r="R2292" s="71">
        <f>+Q2292/R2288</f>
        <v>6.98148148148148</v>
      </c>
      <c r="S2292" s="47"/>
      <c r="T2292" s="47"/>
    </row>
    <row r="2293" s="27" customFormat="1" ht="22" customHeight="1" spans="1:20">
      <c r="A2293" s="34"/>
      <c r="B2293" s="48">
        <v>6</v>
      </c>
      <c r="C2293" s="48" t="s">
        <v>409</v>
      </c>
      <c r="D2293" s="48" t="s">
        <v>410</v>
      </c>
      <c r="E2293" s="48"/>
      <c r="F2293" s="50"/>
      <c r="G2293" s="48"/>
      <c r="H2293" s="73">
        <f>+'材料表 '!$E$179</f>
        <v>0</v>
      </c>
      <c r="I2293" s="52">
        <f>H2293*I2291</f>
        <v>0</v>
      </c>
      <c r="J2293" s="53" t="s">
        <v>392</v>
      </c>
      <c r="K2293" s="60"/>
      <c r="L2293" s="69" t="s">
        <v>461</v>
      </c>
      <c r="M2293" s="34" t="s">
        <v>462</v>
      </c>
      <c r="N2293" s="34">
        <v>3.77</v>
      </c>
      <c r="O2293" s="34">
        <f>0.18</f>
        <v>0.18</v>
      </c>
      <c r="P2293" s="34">
        <v>8</v>
      </c>
      <c r="Q2293" s="44">
        <f t="shared" si="353"/>
        <v>5.4288</v>
      </c>
      <c r="R2293" s="71">
        <f>+Q2293/R2288</f>
        <v>1.12202380952381</v>
      </c>
      <c r="S2293" s="47"/>
      <c r="T2293" s="47"/>
    </row>
    <row r="2294" s="27" customFormat="1" ht="23" customHeight="1" spans="1:20">
      <c r="A2294" s="34"/>
      <c r="B2294" s="48">
        <v>7</v>
      </c>
      <c r="C2294" s="48" t="s">
        <v>412</v>
      </c>
      <c r="D2294" s="72" t="s">
        <v>413</v>
      </c>
      <c r="E2294" s="72"/>
      <c r="F2294" s="77"/>
      <c r="G2294" s="72"/>
      <c r="H2294" s="73">
        <f>+'材料表 '!$E$180</f>
        <v>0.09</v>
      </c>
      <c r="I2294" s="52">
        <f>(I2291+I2292+I2293)*H2294</f>
        <v>50.2774023618668</v>
      </c>
      <c r="J2294" s="53" t="s">
        <v>392</v>
      </c>
      <c r="K2294" s="60"/>
      <c r="L2294" s="69" t="s">
        <v>463</v>
      </c>
      <c r="M2294" s="34" t="s">
        <v>490</v>
      </c>
      <c r="N2294" s="34">
        <f>0.3*0.2*7.85*10</f>
        <v>4.71</v>
      </c>
      <c r="O2294" s="34">
        <v>0.3</v>
      </c>
      <c r="P2294" s="34">
        <v>14</v>
      </c>
      <c r="Q2294" s="44">
        <f t="shared" si="353"/>
        <v>19.782</v>
      </c>
      <c r="R2294" s="71">
        <f>+Q2294/R2288</f>
        <v>4.08854166666667</v>
      </c>
      <c r="S2294" s="47"/>
      <c r="T2294" s="47"/>
    </row>
    <row r="2295" s="27" customFormat="1" ht="23" customHeight="1" spans="1:20">
      <c r="A2295" s="34" t="s">
        <v>309</v>
      </c>
      <c r="B2295" s="48">
        <v>8</v>
      </c>
      <c r="C2295" s="48" t="s">
        <v>363</v>
      </c>
      <c r="D2295" s="106" t="s">
        <v>415</v>
      </c>
      <c r="E2295" s="107"/>
      <c r="F2295" s="108"/>
      <c r="G2295" s="107"/>
      <c r="H2295" s="51"/>
      <c r="I2295" s="74">
        <f>SUM(I2291:I2294)</f>
        <v>608.915206382609</v>
      </c>
      <c r="J2295" s="53" t="s">
        <v>416</v>
      </c>
      <c r="K2295" s="60"/>
      <c r="L2295" s="69" t="s">
        <v>465</v>
      </c>
      <c r="M2295" s="34" t="s">
        <v>466</v>
      </c>
      <c r="N2295" s="100">
        <f>1.2789*7.85</f>
        <v>10.039365</v>
      </c>
      <c r="O2295" s="34">
        <f>35/1000</f>
        <v>0.035</v>
      </c>
      <c r="P2295" s="44">
        <f>+P2294*O2294*2</f>
        <v>8.4</v>
      </c>
      <c r="Q2295" s="44">
        <f t="shared" si="353"/>
        <v>2.95157331</v>
      </c>
      <c r="R2295" s="84">
        <f>+Q2295/R2288</f>
        <v>0.610030859375</v>
      </c>
      <c r="S2295" s="79"/>
      <c r="T2295" s="47"/>
    </row>
    <row r="2296" s="27" customFormat="1" ht="18" customHeight="1" spans="1:20">
      <c r="A2296" s="34"/>
      <c r="B2296" s="109" t="s">
        <v>418</v>
      </c>
      <c r="C2296" s="110"/>
      <c r="D2296" s="110"/>
      <c r="E2296" s="110"/>
      <c r="F2296" s="110"/>
      <c r="G2296" s="110"/>
      <c r="H2296" s="110"/>
      <c r="I2296" s="110"/>
      <c r="J2296" s="110"/>
      <c r="K2296" s="80"/>
      <c r="L2296" s="69" t="s">
        <v>433</v>
      </c>
      <c r="M2296" s="44"/>
      <c r="N2296" s="82">
        <f>0.056*3*2.71+0.0675*3*2.71</f>
        <v>1.004055</v>
      </c>
      <c r="O2296" s="44">
        <f>O2288</f>
        <v>17.92</v>
      </c>
      <c r="P2296" s="44">
        <v>0</v>
      </c>
      <c r="Q2296" s="44">
        <f t="shared" si="353"/>
        <v>0</v>
      </c>
      <c r="R2296" s="84">
        <f>+Q2296/R2288</f>
        <v>0</v>
      </c>
      <c r="S2296" s="47">
        <f>0.16*P2296*O2296/R2288</f>
        <v>0</v>
      </c>
      <c r="T2296" s="47"/>
    </row>
    <row r="2297" s="27" customFormat="1" ht="18" customHeight="1" spans="1:20">
      <c r="A2297" s="34"/>
      <c r="B2297" s="48">
        <v>1</v>
      </c>
      <c r="C2297" s="48" t="s">
        <v>391</v>
      </c>
      <c r="D2297" s="48" t="s">
        <v>396</v>
      </c>
      <c r="E2297" s="48" t="s">
        <v>37</v>
      </c>
      <c r="F2297" s="50"/>
      <c r="G2297" s="48"/>
      <c r="H2297" s="51" t="s">
        <v>399</v>
      </c>
      <c r="I2297" s="51" t="s">
        <v>420</v>
      </c>
      <c r="J2297" s="95" t="s">
        <v>421</v>
      </c>
      <c r="K2297" s="92"/>
      <c r="L2297" s="69" t="s">
        <v>433</v>
      </c>
      <c r="M2297" s="44" t="s">
        <v>498</v>
      </c>
      <c r="N2297" s="82">
        <f>0.0445*2*2.71</f>
        <v>0.24119</v>
      </c>
      <c r="O2297" s="44">
        <f>+O2296</f>
        <v>17.92</v>
      </c>
      <c r="P2297" s="44">
        <v>1</v>
      </c>
      <c r="Q2297" s="44">
        <f t="shared" si="353"/>
        <v>4.3221248</v>
      </c>
      <c r="R2297" s="84">
        <f>+Q2297/R2288</f>
        <v>0.893296296296296</v>
      </c>
      <c r="S2297" s="47"/>
      <c r="T2297" s="47"/>
    </row>
    <row r="2298" s="27" customFormat="1" ht="18" customHeight="1" spans="1:20">
      <c r="A2298" s="34"/>
      <c r="B2298" s="48">
        <v>2</v>
      </c>
      <c r="C2298" s="48"/>
      <c r="D2298" s="111" t="s">
        <v>491</v>
      </c>
      <c r="E2298" s="49" t="s">
        <v>423</v>
      </c>
      <c r="F2298" s="112"/>
      <c r="G2298" s="111"/>
      <c r="H2298" s="113">
        <v>1</v>
      </c>
      <c r="I2298" s="113">
        <f>+辅材及安装费!$G$3</f>
        <v>165</v>
      </c>
      <c r="J2298" s="114">
        <f t="shared" ref="J2298:J2306" si="354">H2298*I2298</f>
        <v>165</v>
      </c>
      <c r="K2298" s="92"/>
      <c r="L2298" s="69" t="s">
        <v>433</v>
      </c>
      <c r="M2298" s="44" t="s">
        <v>498</v>
      </c>
      <c r="N2298" s="82">
        <f>0.0445*2*2.71</f>
        <v>0.24119</v>
      </c>
      <c r="O2298" s="44">
        <f>P2288</f>
        <v>0.27</v>
      </c>
      <c r="P2298" s="44">
        <v>1</v>
      </c>
      <c r="Q2298" s="44">
        <f t="shared" si="353"/>
        <v>0.0651213</v>
      </c>
      <c r="R2298" s="84">
        <f>+Q2298/R2288</f>
        <v>0.0134592633928571</v>
      </c>
      <c r="S2298" s="47"/>
      <c r="T2298" s="47"/>
    </row>
    <row r="2299" s="27" customFormat="1" ht="18" customHeight="1" spans="1:20">
      <c r="A2299" s="34"/>
      <c r="B2299" s="48">
        <v>3</v>
      </c>
      <c r="C2299" s="48"/>
      <c r="D2299" s="115"/>
      <c r="E2299" s="63"/>
      <c r="F2299" s="116"/>
      <c r="G2299" s="115"/>
      <c r="H2299" s="117"/>
      <c r="I2299" s="117"/>
      <c r="J2299" s="118"/>
      <c r="K2299" s="92"/>
      <c r="L2299" s="90" t="s">
        <v>472</v>
      </c>
      <c r="M2299" s="44"/>
      <c r="N2299" s="82"/>
      <c r="O2299" s="44"/>
      <c r="P2299" s="44">
        <f>+P2295</f>
        <v>8.4</v>
      </c>
      <c r="Q2299" s="44">
        <f>+P2299</f>
        <v>8.4</v>
      </c>
      <c r="R2299" s="84">
        <f>+Q2299/R2288</f>
        <v>1.73611111111111</v>
      </c>
      <c r="S2299" s="47"/>
      <c r="T2299" s="47"/>
    </row>
    <row r="2300" s="27" customFormat="1" ht="21" customHeight="1" spans="1:20">
      <c r="A2300" s="34"/>
      <c r="B2300" s="48">
        <v>4</v>
      </c>
      <c r="C2300" s="48"/>
      <c r="D2300" s="85" t="s">
        <v>426</v>
      </c>
      <c r="E2300" s="48" t="s">
        <v>392</v>
      </c>
      <c r="F2300" s="50"/>
      <c r="G2300" s="48"/>
      <c r="H2300" s="86"/>
      <c r="I2300" s="86"/>
      <c r="J2300" s="95">
        <f>SUM(J2298:J2298)</f>
        <v>165</v>
      </c>
      <c r="K2300" s="92"/>
      <c r="L2300" s="90" t="s">
        <v>473</v>
      </c>
      <c r="M2300" s="44"/>
      <c r="N2300" s="82"/>
      <c r="O2300" s="44"/>
      <c r="P2300" s="44"/>
      <c r="Q2300" s="44">
        <f>+(Q2297)*2</f>
        <v>8.6442496</v>
      </c>
      <c r="R2300" s="84">
        <f>+Q2300/R2288</f>
        <v>1.78659259259259</v>
      </c>
      <c r="S2300" s="47"/>
      <c r="T2300" s="47"/>
    </row>
    <row r="2301" s="27" customFormat="1" ht="26" customHeight="1" spans="1:20">
      <c r="A2301" s="34"/>
      <c r="B2301" s="48">
        <v>1</v>
      </c>
      <c r="C2301" s="48" t="s">
        <v>394</v>
      </c>
      <c r="D2301" s="88" t="s">
        <v>431</v>
      </c>
      <c r="E2301" s="72" t="str">
        <f>+VLOOKUP(D2301,'材料表 '!C:F,2,0)</f>
        <v>kg</v>
      </c>
      <c r="F2301" s="77">
        <f>+SUMIF($L$2288:$L$2326,D2301,$R$2288:$R$2326)</f>
        <v>0</v>
      </c>
      <c r="G2301" s="89">
        <f>+VLOOKUP(D2301,'材料表 '!C:F,4,0)</f>
        <v>0.03</v>
      </c>
      <c r="H2301" s="74">
        <f t="shared" ref="H2301:H2306" si="355">F2301*(G2301+1)</f>
        <v>0</v>
      </c>
      <c r="I2301" s="74">
        <f>+VLOOKUP(D2301,'材料表 '!C:F,3,0)</f>
        <v>3.80530973451327</v>
      </c>
      <c r="J2301" s="95">
        <f t="shared" si="354"/>
        <v>0</v>
      </c>
      <c r="K2301" s="92">
        <f ca="1">H2301*K2287</f>
        <v>0</v>
      </c>
      <c r="L2301" s="90"/>
      <c r="M2301" s="44"/>
      <c r="N2301" s="82"/>
      <c r="O2301" s="44"/>
      <c r="P2301" s="44"/>
      <c r="Q2301" s="44"/>
      <c r="R2301" s="84"/>
      <c r="S2301" s="47"/>
      <c r="T2301" s="47"/>
    </row>
    <row r="2302" s="27" customFormat="1" ht="18" customHeight="1" spans="1:20">
      <c r="A2302" s="34"/>
      <c r="B2302" s="48">
        <v>2</v>
      </c>
      <c r="C2302" s="48"/>
      <c r="D2302" s="88" t="s">
        <v>461</v>
      </c>
      <c r="E2302" s="72" t="str">
        <f>+VLOOKUP(D2302,'材料表 '!C:F,2,0)</f>
        <v>kg</v>
      </c>
      <c r="F2302" s="77">
        <f t="shared" ref="F2302:F2311" si="356">+SUMIF($L$2288:$L$2326,D2302,$R$2288:$R$2326)</f>
        <v>8.10350529100529</v>
      </c>
      <c r="G2302" s="89">
        <f>+VLOOKUP(D2302,'材料表 '!C:F,4,0)</f>
        <v>0.03</v>
      </c>
      <c r="H2302" s="74">
        <f t="shared" si="355"/>
        <v>8.34661044973545</v>
      </c>
      <c r="I2302" s="74">
        <f>+VLOOKUP(D2302,'材料表 '!C:F,3,0)</f>
        <v>3.53982300884956</v>
      </c>
      <c r="J2302" s="95">
        <f t="shared" si="354"/>
        <v>29.5455237158777</v>
      </c>
      <c r="K2302" s="92">
        <f ca="1">H2302*K2287</f>
        <v>575.096901216105</v>
      </c>
      <c r="L2302" s="90"/>
      <c r="M2302" s="44"/>
      <c r="N2302" s="82"/>
      <c r="O2302" s="44"/>
      <c r="P2302" s="44"/>
      <c r="Q2302" s="44"/>
      <c r="R2302" s="84"/>
      <c r="S2302" s="47"/>
      <c r="T2302" s="47"/>
    </row>
    <row r="2303" s="27" customFormat="1" ht="18" customHeight="1" spans="1:20">
      <c r="A2303" s="34"/>
      <c r="B2303" s="48">
        <v>3</v>
      </c>
      <c r="C2303" s="48"/>
      <c r="D2303" s="88" t="s">
        <v>465</v>
      </c>
      <c r="E2303" s="72" t="str">
        <f>+VLOOKUP(D2303,'材料表 '!C:F,2,0)</f>
        <v>kg</v>
      </c>
      <c r="F2303" s="77">
        <f t="shared" si="356"/>
        <v>0.610030859375</v>
      </c>
      <c r="G2303" s="89">
        <f>+VLOOKUP(D2303,'材料表 '!C:F,4,0)</f>
        <v>0.03</v>
      </c>
      <c r="H2303" s="74">
        <f t="shared" si="355"/>
        <v>0.62833178515625</v>
      </c>
      <c r="I2303" s="74">
        <f>+VLOOKUP(D2303,'材料表 '!C:F,3,0)</f>
        <v>6.01769911504425</v>
      </c>
      <c r="J2303" s="95">
        <f t="shared" si="354"/>
        <v>3.78111162748894</v>
      </c>
      <c r="K2303" s="92">
        <f ca="1">H2303*K2287</f>
        <v>43.2932224110682</v>
      </c>
      <c r="L2303" s="90"/>
      <c r="M2303" s="44"/>
      <c r="N2303" s="82"/>
      <c r="O2303" s="44"/>
      <c r="P2303" s="44"/>
      <c r="Q2303" s="44"/>
      <c r="R2303" s="84"/>
      <c r="S2303" s="47"/>
      <c r="T2303" s="47"/>
    </row>
    <row r="2304" s="27" customFormat="1" ht="18" customHeight="1" spans="1:20">
      <c r="A2304" s="34"/>
      <c r="B2304" s="48">
        <v>4</v>
      </c>
      <c r="C2304" s="48"/>
      <c r="D2304" s="88" t="s">
        <v>463</v>
      </c>
      <c r="E2304" s="72" t="str">
        <f>+VLOOKUP(D2304,'材料表 '!C:F,2,0)</f>
        <v>kg</v>
      </c>
      <c r="F2304" s="77">
        <f t="shared" si="356"/>
        <v>4.08854166666667</v>
      </c>
      <c r="G2304" s="89">
        <f>+VLOOKUP(D2304,'材料表 '!C:F,4,0)</f>
        <v>0.03</v>
      </c>
      <c r="H2304" s="74">
        <f t="shared" si="355"/>
        <v>4.21119791666667</v>
      </c>
      <c r="I2304" s="74">
        <f>+VLOOKUP(D2304,'材料表 '!C:F,3,0)</f>
        <v>6.01769911504425</v>
      </c>
      <c r="J2304" s="95">
        <f t="shared" si="354"/>
        <v>25.3417219764012</v>
      </c>
      <c r="K2304" s="92">
        <f ca="1">H2304*K2287</f>
        <v>290.159327174479</v>
      </c>
      <c r="L2304" s="90" t="s">
        <v>474</v>
      </c>
      <c r="M2304" s="44"/>
      <c r="N2304" s="82"/>
      <c r="O2304" s="44"/>
      <c r="P2304" s="44"/>
      <c r="Q2304" s="44">
        <f>+O2294*P2294*4</f>
        <v>16.8</v>
      </c>
      <c r="R2304" s="84">
        <f>+Q2304/R2288</f>
        <v>3.47222222222222</v>
      </c>
      <c r="S2304" s="47"/>
      <c r="T2304" s="47"/>
    </row>
    <row r="2305" s="27" customFormat="1" ht="18" customHeight="1" spans="1:21">
      <c r="A2305" s="34"/>
      <c r="B2305" s="48">
        <v>5</v>
      </c>
      <c r="C2305" s="48"/>
      <c r="D2305" s="88" t="s">
        <v>433</v>
      </c>
      <c r="E2305" s="72" t="str">
        <f>+VLOOKUP(D2305,'材料表 '!C:F,2,0)</f>
        <v>kg</v>
      </c>
      <c r="F2305" s="77">
        <f t="shared" si="356"/>
        <v>0.906755559689154</v>
      </c>
      <c r="G2305" s="89">
        <f>+VLOOKUP(D2305,'材料表 '!C:F,4,0)</f>
        <v>0.03</v>
      </c>
      <c r="H2305" s="74">
        <f t="shared" si="355"/>
        <v>0.933958226479829</v>
      </c>
      <c r="I2305" s="74">
        <f>+VLOOKUP(D2305,'材料表 '!C:F,3,0)</f>
        <v>26.1150442477876</v>
      </c>
      <c r="J2305" s="95">
        <f t="shared" si="354"/>
        <v>24.390360410106</v>
      </c>
      <c r="K2305" s="92">
        <f ca="1">H2305*K2287</f>
        <v>64.3514496271792</v>
      </c>
      <c r="L2305" s="92" t="s">
        <v>476</v>
      </c>
      <c r="M2305" s="44"/>
      <c r="N2305" s="82"/>
      <c r="O2305" s="44"/>
      <c r="P2305" s="44"/>
      <c r="Q2305" s="44">
        <f>15*8*(O2288*1+P2288*0)/500</f>
        <v>4.3008</v>
      </c>
      <c r="R2305" s="84">
        <f>+Q2305/R2288</f>
        <v>0.888888888888889</v>
      </c>
      <c r="S2305" s="47"/>
      <c r="T2305" s="47"/>
    </row>
    <row r="2306" s="27" customFormat="1" ht="18" customHeight="1" spans="1:21">
      <c r="A2306" s="34"/>
      <c r="B2306" s="48">
        <v>6</v>
      </c>
      <c r="C2306" s="48"/>
      <c r="D2306" s="88" t="s">
        <v>427</v>
      </c>
      <c r="E2306" s="72" t="str">
        <f>+VLOOKUP(D2306,'材料表 '!C:F,2,0)</f>
        <v>kg</v>
      </c>
      <c r="F2306" s="77">
        <f t="shared" si="356"/>
        <v>2.43046875</v>
      </c>
      <c r="G2306" s="89">
        <f>+VLOOKUP(D2306,'材料表 '!C:F,4,0)</f>
        <v>0.03</v>
      </c>
      <c r="H2306" s="74">
        <f t="shared" si="355"/>
        <v>2.5033828125</v>
      </c>
      <c r="I2306" s="74">
        <f>+VLOOKUP(D2306,'材料表 '!C:F,3,0)</f>
        <v>25.8495575221239</v>
      </c>
      <c r="J2306" s="95">
        <f t="shared" si="354"/>
        <v>64.7113380116151</v>
      </c>
      <c r="K2306" s="92">
        <f ca="1">H2306*K2287</f>
        <v>172.487707039453</v>
      </c>
      <c r="L2306" s="69" t="s">
        <v>427</v>
      </c>
      <c r="M2306" s="70" t="s">
        <v>1007</v>
      </c>
      <c r="N2306" s="34">
        <v>3.111</v>
      </c>
      <c r="O2306" s="34">
        <f>P2288</f>
        <v>0.27</v>
      </c>
      <c r="P2306" s="34">
        <v>14</v>
      </c>
      <c r="Q2306" s="44">
        <f t="shared" ref="Q2306:Q2314" si="357">+P2306*O2306*N2306</f>
        <v>11.75958</v>
      </c>
      <c r="R2306" s="71">
        <f>+Q2306/R2288</f>
        <v>2.43046875</v>
      </c>
      <c r="S2306" s="47"/>
      <c r="T2306" s="47"/>
    </row>
    <row r="2307" s="27" customFormat="1" ht="18" customHeight="1" spans="1:21">
      <c r="A2307" s="34"/>
      <c r="B2307" s="48">
        <v>7</v>
      </c>
      <c r="C2307" s="48"/>
      <c r="D2307" s="88"/>
      <c r="E2307" s="72"/>
      <c r="F2307" s="77">
        <f t="shared" si="356"/>
        <v>0</v>
      </c>
      <c r="G2307" s="89"/>
      <c r="H2307" s="74"/>
      <c r="I2307" s="74"/>
      <c r="J2307" s="95"/>
      <c r="K2307" s="92">
        <f ca="1">H2307*K2287</f>
        <v>0</v>
      </c>
      <c r="L2307" s="69" t="s">
        <v>429</v>
      </c>
      <c r="M2307" s="70" t="s">
        <v>1037</v>
      </c>
      <c r="N2307" s="34">
        <v>3.063</v>
      </c>
      <c r="O2307" s="100">
        <f>O2306/0.3*0.1</f>
        <v>0.09</v>
      </c>
      <c r="P2307" s="34">
        <v>0</v>
      </c>
      <c r="Q2307" s="44">
        <f t="shared" si="357"/>
        <v>0</v>
      </c>
      <c r="R2307" s="71">
        <f>+Q2307/R2288</f>
        <v>0</v>
      </c>
      <c r="S2307" s="47"/>
      <c r="T2307" s="47"/>
    </row>
    <row r="2308" s="27" customFormat="1" ht="18" customHeight="1" spans="1:21">
      <c r="A2308" s="34"/>
      <c r="B2308" s="48">
        <v>8</v>
      </c>
      <c r="C2308" s="48"/>
      <c r="D2308" s="88"/>
      <c r="E2308" s="72"/>
      <c r="F2308" s="77">
        <f t="shared" si="356"/>
        <v>0</v>
      </c>
      <c r="G2308" s="89"/>
      <c r="H2308" s="74"/>
      <c r="I2308" s="74"/>
      <c r="J2308" s="95"/>
      <c r="K2308" s="92">
        <f ca="1">H2308*K2287</f>
        <v>0</v>
      </c>
      <c r="L2308" s="69" t="s">
        <v>447</v>
      </c>
      <c r="M2308" s="70" t="s">
        <v>1038</v>
      </c>
      <c r="N2308" s="34">
        <f>1.041+0.104</f>
        <v>1.145</v>
      </c>
      <c r="O2308" s="34">
        <f>O2306</f>
        <v>0.27</v>
      </c>
      <c r="P2308" s="34">
        <v>0</v>
      </c>
      <c r="Q2308" s="44">
        <f t="shared" si="357"/>
        <v>0</v>
      </c>
      <c r="R2308" s="71">
        <f>+Q2308/R2288</f>
        <v>0</v>
      </c>
      <c r="S2308" s="47">
        <v>0.172</v>
      </c>
      <c r="T2308" s="47">
        <f>O2308*P2308*S2308</f>
        <v>0</v>
      </c>
      <c r="U2308" s="76">
        <f>T2308/R2288</f>
        <v>0</v>
      </c>
    </row>
    <row r="2309" s="27" customFormat="1" ht="18" customHeight="1" spans="1:21">
      <c r="A2309" s="34"/>
      <c r="B2309" s="48">
        <v>9</v>
      </c>
      <c r="C2309" s="48"/>
      <c r="D2309" s="88" t="s">
        <v>476</v>
      </c>
      <c r="E2309" s="72" t="str">
        <f>+VLOOKUP(D2309,'材料表 '!C:F,2,0)</f>
        <v>支</v>
      </c>
      <c r="F2309" s="77">
        <f t="shared" si="356"/>
        <v>0.888888888888889</v>
      </c>
      <c r="G2309" s="89">
        <f>+VLOOKUP(D2309,'材料表 '!C:F,4,0)</f>
        <v>0.15</v>
      </c>
      <c r="H2309" s="74">
        <f t="shared" ref="H2309:H2314" si="358">F2309*(G2309+1)</f>
        <v>1.02222222222222</v>
      </c>
      <c r="I2309" s="74">
        <f>+VLOOKUP(D2309,'材料表 '!C:F,3,0)</f>
        <v>11.5044247787611</v>
      </c>
      <c r="J2309" s="95">
        <f t="shared" ref="J2309:J2314" si="359">H2309*I2309</f>
        <v>11.7600786627336</v>
      </c>
      <c r="K2309" s="92">
        <f ca="1">H2309*K2287</f>
        <v>70.4330022222221</v>
      </c>
      <c r="L2309" s="69" t="s">
        <v>429</v>
      </c>
      <c r="M2309" s="70" t="s">
        <v>1010</v>
      </c>
      <c r="N2309" s="102">
        <f>2.9</f>
        <v>2.9</v>
      </c>
      <c r="O2309" s="34">
        <v>0.2</v>
      </c>
      <c r="P2309" s="34">
        <v>0</v>
      </c>
      <c r="Q2309" s="44">
        <f t="shared" si="357"/>
        <v>0</v>
      </c>
      <c r="R2309" s="71">
        <f>+Q2309/R2288</f>
        <v>0</v>
      </c>
      <c r="S2309" s="47"/>
      <c r="T2309" s="47"/>
    </row>
    <row r="2310" s="27" customFormat="1" ht="18" customHeight="1" spans="1:21">
      <c r="A2310" s="34"/>
      <c r="B2310" s="48">
        <v>10</v>
      </c>
      <c r="C2310" s="48"/>
      <c r="D2310" s="88" t="s">
        <v>474</v>
      </c>
      <c r="E2310" s="72" t="str">
        <f>+VLOOKUP(D2310,'材料表 '!C:F,2,0)</f>
        <v>套</v>
      </c>
      <c r="F2310" s="77">
        <f t="shared" si="356"/>
        <v>3.47222222222222</v>
      </c>
      <c r="G2310" s="89">
        <f>+VLOOKUP(D2310,'材料表 '!C:F,4,0)</f>
        <v>0</v>
      </c>
      <c r="H2310" s="74">
        <f t="shared" si="358"/>
        <v>3.47222222222222</v>
      </c>
      <c r="I2310" s="74">
        <f>+VLOOKUP(D2310,'材料表 '!C:F,3,0)</f>
        <v>2.21238938053097</v>
      </c>
      <c r="J2310" s="95">
        <f t="shared" si="359"/>
        <v>7.68190757128809</v>
      </c>
      <c r="K2310" s="92">
        <f ca="1">H2310*K2287</f>
        <v>239.242534722222</v>
      </c>
      <c r="L2310" s="69" t="s">
        <v>429</v>
      </c>
      <c r="M2310" s="70" t="s">
        <v>1040</v>
      </c>
      <c r="N2310" s="34">
        <v>0.733</v>
      </c>
      <c r="O2310" s="100">
        <f>O2307*2</f>
        <v>0.18</v>
      </c>
      <c r="P2310" s="34">
        <v>0</v>
      </c>
      <c r="Q2310" s="44">
        <f t="shared" si="357"/>
        <v>0</v>
      </c>
      <c r="R2310" s="71">
        <f>+Q2310/R2288</f>
        <v>0</v>
      </c>
      <c r="S2310" s="79"/>
      <c r="T2310" s="47"/>
    </row>
    <row r="2311" s="27" customFormat="1" ht="18" customHeight="1" spans="1:21">
      <c r="A2311" s="34"/>
      <c r="B2311" s="48">
        <v>11</v>
      </c>
      <c r="C2311" s="48"/>
      <c r="D2311" s="88" t="s">
        <v>472</v>
      </c>
      <c r="E2311" s="72" t="str">
        <f>+VLOOKUP(D2311,'材料表 '!C:F,2,0)</f>
        <v>套</v>
      </c>
      <c r="F2311" s="77">
        <f t="shared" si="356"/>
        <v>1.73611111111111</v>
      </c>
      <c r="G2311" s="89">
        <f>+VLOOKUP(D2311,'材料表 '!C:F,4,0)</f>
        <v>0</v>
      </c>
      <c r="H2311" s="74">
        <f t="shared" si="358"/>
        <v>1.73611111111111</v>
      </c>
      <c r="I2311" s="74">
        <f>+VLOOKUP(D2311,'材料表 '!C:F,3,0)</f>
        <v>2.47787610619469</v>
      </c>
      <c r="J2311" s="95">
        <f t="shared" si="359"/>
        <v>4.30186823992133</v>
      </c>
      <c r="K2311" s="92">
        <f ca="1">H2311*K2287</f>
        <v>119.621267361111</v>
      </c>
      <c r="L2311" s="69" t="s">
        <v>404</v>
      </c>
      <c r="M2311" s="70" t="s">
        <v>1041</v>
      </c>
      <c r="N2311" s="34">
        <v>3.727</v>
      </c>
      <c r="O2311" s="34">
        <v>0</v>
      </c>
      <c r="P2311" s="34">
        <v>1</v>
      </c>
      <c r="Q2311" s="44">
        <f t="shared" si="357"/>
        <v>0</v>
      </c>
      <c r="R2311" s="71">
        <f>+Q2311/R2288</f>
        <v>0</v>
      </c>
      <c r="S2311" s="47"/>
      <c r="T2311" s="47"/>
      <c r="U2311" s="76"/>
    </row>
    <row r="2312" s="27" customFormat="1" ht="24" customHeight="1" spans="1:21">
      <c r="A2312" s="34"/>
      <c r="B2312" s="48">
        <v>12</v>
      </c>
      <c r="C2312" s="48"/>
      <c r="D2312" s="88" t="s">
        <v>631</v>
      </c>
      <c r="E2312" s="72" t="str">
        <f>+VLOOKUP(D2312,'材料表 '!C:F,2,0)</f>
        <v>m2</v>
      </c>
      <c r="F2312" s="77">
        <v>1</v>
      </c>
      <c r="G2312" s="89">
        <f>+VLOOKUP(D2312,'材料表 '!C:F,4,0)</f>
        <v>0.02</v>
      </c>
      <c r="H2312" s="74">
        <f t="shared" si="358"/>
        <v>1.02</v>
      </c>
      <c r="I2312" s="74">
        <f>+VLOOKUP(D2312,'材料表 '!C:F,3,0)</f>
        <v>207.964601769912</v>
      </c>
      <c r="J2312" s="95">
        <f t="shared" si="359"/>
        <v>212.12389380531</v>
      </c>
      <c r="K2312" s="92">
        <f ca="1">H2312*K2287</f>
        <v>70.279887</v>
      </c>
      <c r="L2312" s="69" t="s">
        <v>429</v>
      </c>
      <c r="M2312" s="81" t="s">
        <v>1027</v>
      </c>
      <c r="N2312" s="82">
        <v>0.735</v>
      </c>
      <c r="O2312" s="34">
        <v>0</v>
      </c>
      <c r="P2312" s="34">
        <v>1</v>
      </c>
      <c r="Q2312" s="44">
        <f t="shared" si="357"/>
        <v>0</v>
      </c>
      <c r="R2312" s="71">
        <f>+Q2312/R2288</f>
        <v>0</v>
      </c>
      <c r="S2312" s="47"/>
      <c r="T2312" s="47"/>
    </row>
    <row r="2313" s="27" customFormat="1" ht="25" customHeight="1" spans="1:21">
      <c r="A2313" s="34"/>
      <c r="B2313" s="48">
        <v>13</v>
      </c>
      <c r="C2313" s="48"/>
      <c r="D2313" s="124" t="s">
        <v>500</v>
      </c>
      <c r="E2313" s="72" t="str">
        <f>+VLOOKUP(D2313,'材料表 '!C:F,2,0)</f>
        <v>kg</v>
      </c>
      <c r="F2313" s="77">
        <v>0</v>
      </c>
      <c r="G2313" s="89">
        <f>+VLOOKUP(D2313,'材料表 '!C:F,4,0)</f>
        <v>0.03</v>
      </c>
      <c r="H2313" s="74">
        <f t="shared" si="358"/>
        <v>0</v>
      </c>
      <c r="I2313" s="74">
        <f>+VLOOKUP(D2313,'材料表 '!C:F,3,0)</f>
        <v>14.1592920353982</v>
      </c>
      <c r="J2313" s="95">
        <f t="shared" si="359"/>
        <v>0</v>
      </c>
      <c r="K2313" s="92">
        <f ca="1">H2313*K2287</f>
        <v>0</v>
      </c>
      <c r="L2313" s="69" t="s">
        <v>447</v>
      </c>
      <c r="M2313" s="70" t="s">
        <v>1038</v>
      </c>
      <c r="N2313" s="83">
        <v>0.977</v>
      </c>
      <c r="O2313" s="34">
        <v>0</v>
      </c>
      <c r="P2313" s="34">
        <v>1</v>
      </c>
      <c r="Q2313" s="44">
        <f t="shared" si="357"/>
        <v>0</v>
      </c>
      <c r="R2313" s="84">
        <f>+Q2313/R2288</f>
        <v>0</v>
      </c>
      <c r="S2313" s="47">
        <v>0.185</v>
      </c>
      <c r="T2313" s="47">
        <f>O2313*P2313*S2313</f>
        <v>0</v>
      </c>
      <c r="U2313" s="27">
        <f>T2313/R2288</f>
        <v>0</v>
      </c>
    </row>
    <row r="2314" s="27" customFormat="1" ht="20" customHeight="1" spans="1:21">
      <c r="A2314" s="34"/>
      <c r="B2314" s="48">
        <v>14</v>
      </c>
      <c r="C2314" s="48"/>
      <c r="D2314" s="88" t="s">
        <v>479</v>
      </c>
      <c r="E2314" s="72" t="str">
        <f>+VLOOKUP(D2314,'材料表 '!C:F,2,0)</f>
        <v>kg</v>
      </c>
      <c r="F2314" s="77">
        <v>0</v>
      </c>
      <c r="G2314" s="89">
        <f>+VLOOKUP(D2314,'材料表 '!C:F,4,0)</f>
        <v>0.03</v>
      </c>
      <c r="H2314" s="74">
        <f t="shared" si="358"/>
        <v>0</v>
      </c>
      <c r="I2314" s="74">
        <f>+VLOOKUP(D2314,'材料表 '!C:F,3,0)</f>
        <v>14.1592920353982</v>
      </c>
      <c r="J2314" s="95">
        <f t="shared" si="359"/>
        <v>0</v>
      </c>
      <c r="K2314" s="92">
        <f ca="1">H2314*K2287</f>
        <v>0</v>
      </c>
      <c r="L2314" s="69" t="s">
        <v>429</v>
      </c>
      <c r="M2314" s="81" t="s">
        <v>1042</v>
      </c>
      <c r="N2314" s="82">
        <v>0.687</v>
      </c>
      <c r="O2314" s="44">
        <v>0</v>
      </c>
      <c r="P2314" s="34">
        <f>8*2</f>
        <v>16</v>
      </c>
      <c r="Q2314" s="44">
        <f t="shared" si="357"/>
        <v>0</v>
      </c>
      <c r="R2314" s="84">
        <f>+Q2314/R2288</f>
        <v>0</v>
      </c>
      <c r="S2314" s="47"/>
      <c r="T2314" s="47"/>
    </row>
    <row r="2315" s="27" customFormat="1" ht="18" customHeight="1" spans="1:21">
      <c r="A2315" s="34"/>
      <c r="B2315" s="48">
        <v>15</v>
      </c>
      <c r="C2315" s="48"/>
      <c r="D2315" s="88"/>
      <c r="E2315" s="72"/>
      <c r="F2315" s="77"/>
      <c r="G2315" s="89"/>
      <c r="H2315" s="74"/>
      <c r="I2315" s="74"/>
      <c r="J2315" s="95"/>
      <c r="K2315" s="92"/>
      <c r="L2315" s="92"/>
      <c r="M2315" s="44"/>
      <c r="N2315" s="44"/>
      <c r="O2315" s="44"/>
      <c r="P2315" s="44"/>
      <c r="Q2315" s="44"/>
      <c r="R2315" s="84"/>
      <c r="S2315" s="47"/>
      <c r="T2315" s="47"/>
    </row>
    <row r="2316" s="27" customFormat="1" ht="18" customHeight="1" spans="1:21">
      <c r="A2316" s="34"/>
      <c r="B2316" s="48">
        <v>16</v>
      </c>
      <c r="C2316" s="48"/>
      <c r="D2316" s="88"/>
      <c r="E2316" s="72"/>
      <c r="F2316" s="77"/>
      <c r="G2316" s="89"/>
      <c r="H2316" s="74"/>
      <c r="I2316" s="74"/>
      <c r="J2316" s="95"/>
      <c r="K2316" s="92"/>
      <c r="L2316" s="92"/>
      <c r="M2316" s="44"/>
      <c r="N2316" s="44"/>
      <c r="O2316" s="44"/>
      <c r="P2316" s="44"/>
      <c r="Q2316" s="44"/>
      <c r="R2316" s="84"/>
      <c r="S2316" s="47"/>
      <c r="T2316" s="47"/>
    </row>
    <row r="2317" s="27" customFormat="1" ht="18" customHeight="1" spans="1:21">
      <c r="A2317" s="34"/>
      <c r="B2317" s="48">
        <v>17</v>
      </c>
      <c r="C2317" s="48"/>
      <c r="D2317" s="121"/>
      <c r="E2317" s="72"/>
      <c r="F2317" s="77"/>
      <c r="G2317" s="89"/>
      <c r="H2317" s="74"/>
      <c r="I2317" s="74"/>
      <c r="J2317" s="95"/>
      <c r="K2317" s="92"/>
      <c r="L2317" s="92"/>
      <c r="M2317" s="44"/>
      <c r="N2317" s="44"/>
      <c r="O2317" s="44"/>
      <c r="P2317" s="44"/>
      <c r="Q2317" s="101"/>
      <c r="R2317" s="84"/>
      <c r="S2317" s="47"/>
      <c r="T2317" s="47"/>
    </row>
    <row r="2318" s="27" customFormat="1" ht="18" customHeight="1" spans="1:21">
      <c r="A2318" s="34"/>
      <c r="B2318" s="48">
        <v>18</v>
      </c>
      <c r="C2318" s="48"/>
      <c r="D2318" s="88"/>
      <c r="E2318" s="72"/>
      <c r="F2318" s="77"/>
      <c r="G2318" s="89"/>
      <c r="H2318" s="74"/>
      <c r="I2318" s="74"/>
      <c r="J2318" s="95"/>
      <c r="K2318" s="92"/>
      <c r="L2318" s="92"/>
      <c r="M2318" s="44"/>
      <c r="N2318" s="44"/>
      <c r="O2318" s="44"/>
      <c r="P2318" s="44"/>
      <c r="Q2318" s="44"/>
      <c r="R2318" s="84"/>
      <c r="S2318" s="47"/>
      <c r="T2318" s="47"/>
    </row>
    <row r="2319" s="27" customFormat="1" ht="18" customHeight="1" spans="1:21">
      <c r="A2319" s="34"/>
      <c r="B2319" s="48">
        <v>19</v>
      </c>
      <c r="C2319" s="48"/>
      <c r="D2319" s="27"/>
      <c r="E2319" s="72"/>
      <c r="F2319" s="77"/>
      <c r="G2319" s="89"/>
      <c r="H2319" s="74"/>
      <c r="I2319" s="74"/>
      <c r="J2319" s="95"/>
      <c r="K2319" s="92"/>
      <c r="L2319" s="92"/>
      <c r="M2319" s="44"/>
      <c r="N2319" s="44"/>
      <c r="O2319" s="44"/>
      <c r="P2319" s="44"/>
      <c r="Q2319" s="44"/>
      <c r="R2319" s="84"/>
      <c r="S2319" s="47"/>
      <c r="T2319" s="47"/>
    </row>
    <row r="2320" s="27" customFormat="1" ht="18" customHeight="1" spans="1:21">
      <c r="A2320" s="34"/>
      <c r="B2320" s="48">
        <v>20</v>
      </c>
      <c r="C2320" s="48"/>
      <c r="D2320" s="88"/>
      <c r="E2320" s="72"/>
      <c r="F2320" s="77"/>
      <c r="G2320" s="89"/>
      <c r="H2320" s="74"/>
      <c r="I2320" s="74"/>
      <c r="J2320" s="95"/>
      <c r="K2320" s="92"/>
      <c r="L2320" s="92"/>
      <c r="M2320" s="44"/>
      <c r="N2320" s="44"/>
      <c r="O2320" s="44"/>
      <c r="P2320" s="44"/>
      <c r="Q2320" s="44"/>
      <c r="R2320" s="84"/>
      <c r="S2320" s="47"/>
      <c r="T2320" s="47"/>
    </row>
    <row r="2321" s="27" customFormat="1" ht="18" customHeight="1" spans="1:20">
      <c r="A2321" s="34"/>
      <c r="B2321" s="48">
        <v>21</v>
      </c>
      <c r="C2321" s="48"/>
      <c r="D2321" s="88"/>
      <c r="E2321" s="72"/>
      <c r="F2321" s="77"/>
      <c r="G2321" s="89"/>
      <c r="H2321" s="74"/>
      <c r="I2321" s="74"/>
      <c r="J2321" s="95"/>
      <c r="K2321" s="92"/>
      <c r="L2321" s="92"/>
      <c r="M2321" s="44"/>
      <c r="N2321" s="44"/>
      <c r="O2321" s="44"/>
      <c r="P2321" s="44"/>
      <c r="Q2321" s="44"/>
      <c r="R2321" s="84"/>
      <c r="S2321" s="47"/>
      <c r="T2321" s="47"/>
    </row>
    <row r="2322" s="27" customFormat="1" ht="18" customHeight="1" spans="1:20">
      <c r="A2322" s="34"/>
      <c r="B2322" s="48">
        <v>22</v>
      </c>
      <c r="C2322" s="48"/>
      <c r="D2322" s="27"/>
      <c r="E2322" s="72"/>
      <c r="F2322" s="77"/>
      <c r="G2322" s="72"/>
      <c r="H2322" s="74"/>
      <c r="I2322" s="74"/>
      <c r="J2322" s="95"/>
      <c r="K2322" s="92"/>
      <c r="L2322" s="92"/>
      <c r="M2322" s="44"/>
      <c r="N2322" s="44"/>
      <c r="O2322" s="44"/>
      <c r="P2322" s="44"/>
      <c r="Q2322" s="44"/>
      <c r="R2322" s="62"/>
      <c r="S2322" s="47"/>
      <c r="T2322" s="47"/>
    </row>
    <row r="2323" s="27" customFormat="1" ht="18" customHeight="1" spans="1:20">
      <c r="A2323" s="34"/>
      <c r="B2323" s="48">
        <v>23</v>
      </c>
      <c r="C2323" s="48"/>
      <c r="D2323" s="88"/>
      <c r="E2323" s="72"/>
      <c r="F2323" s="77"/>
      <c r="G2323" s="89"/>
      <c r="H2323" s="74"/>
      <c r="I2323" s="74"/>
      <c r="J2323" s="95"/>
      <c r="K2323" s="92"/>
      <c r="L2323" s="92"/>
      <c r="M2323" s="44"/>
      <c r="N2323" s="44"/>
      <c r="O2323" s="44"/>
      <c r="P2323" s="44"/>
      <c r="Q2323" s="44"/>
      <c r="R2323" s="62"/>
      <c r="S2323" s="47"/>
      <c r="T2323" s="47"/>
    </row>
    <row r="2324" s="27" customFormat="1" ht="18" customHeight="1" spans="1:20">
      <c r="A2324" s="34"/>
      <c r="B2324" s="48">
        <v>24</v>
      </c>
      <c r="C2324" s="48"/>
      <c r="D2324" s="88" t="s">
        <v>478</v>
      </c>
      <c r="E2324" s="72" t="s">
        <v>43</v>
      </c>
      <c r="F2324" s="77"/>
      <c r="G2324" s="72">
        <v>1</v>
      </c>
      <c r="H2324" s="74">
        <v>1</v>
      </c>
      <c r="I2324" s="74">
        <f>+辅材及安装费!$E$3</f>
        <v>5</v>
      </c>
      <c r="J2324" s="95">
        <f>H2324*I2324</f>
        <v>5</v>
      </c>
      <c r="K2324" s="92"/>
      <c r="L2324" s="92"/>
      <c r="M2324" s="44"/>
      <c r="N2324" s="44"/>
      <c r="O2324" s="44"/>
      <c r="P2324" s="44"/>
      <c r="Q2324" s="44"/>
      <c r="R2324" s="62"/>
      <c r="S2324" s="47"/>
      <c r="T2324" s="47"/>
    </row>
    <row r="2325" s="27" customFormat="1" ht="18" customHeight="1" spans="1:20">
      <c r="A2325" s="34"/>
      <c r="B2325" s="48">
        <v>25</v>
      </c>
      <c r="C2325" s="48"/>
      <c r="D2325" s="93" t="s">
        <v>442</v>
      </c>
      <c r="E2325" s="72"/>
      <c r="F2325" s="77"/>
      <c r="G2325" s="72"/>
      <c r="H2325" s="74"/>
      <c r="I2325" s="74"/>
      <c r="J2325" s="95">
        <f>SUM(J2301:J2324)</f>
        <v>388.637804020742</v>
      </c>
      <c r="K2325" s="92"/>
      <c r="L2325" s="94"/>
      <c r="M2325" s="27"/>
      <c r="N2325" s="83"/>
      <c r="O2325" s="83"/>
      <c r="P2325" s="83"/>
      <c r="Q2325" s="83"/>
      <c r="R2325" s="87"/>
      <c r="S2325" s="47"/>
      <c r="T2325" s="47"/>
    </row>
    <row r="2326" s="27" customFormat="1" ht="18" customHeight="1" spans="1:20">
      <c r="A2326" s="34"/>
      <c r="B2326" s="48">
        <v>1</v>
      </c>
      <c r="C2326" s="48" t="s">
        <v>443</v>
      </c>
      <c r="D2326" s="48" t="s">
        <v>444</v>
      </c>
      <c r="E2326" s="72" t="s">
        <v>43</v>
      </c>
      <c r="F2326" s="50"/>
      <c r="G2326" s="48"/>
      <c r="H2326" s="51">
        <v>1</v>
      </c>
      <c r="I2326" s="74">
        <f>+辅材及安装费!$F$3</f>
        <v>5</v>
      </c>
      <c r="J2326" s="95">
        <f>H2326*I2326</f>
        <v>5</v>
      </c>
      <c r="K2326" s="118"/>
      <c r="L2326" s="96"/>
      <c r="M2326" s="97"/>
      <c r="N2326" s="98"/>
      <c r="O2326" s="98"/>
      <c r="P2326" s="98"/>
      <c r="Q2326" s="98"/>
      <c r="R2326" s="99"/>
      <c r="S2326" s="47"/>
      <c r="T2326" s="47"/>
    </row>
    <row r="2327" s="26" customFormat="1" ht="30" customHeight="1" spans="1:20">
      <c r="A2327" s="28"/>
      <c r="B2327" s="29" t="s">
        <v>386</v>
      </c>
      <c r="C2327" s="29"/>
      <c r="D2327" s="29"/>
      <c r="E2327" s="29"/>
      <c r="F2327" s="29"/>
      <c r="G2327" s="29"/>
      <c r="H2327" s="29"/>
      <c r="I2327" s="29"/>
      <c r="J2327" s="29"/>
      <c r="K2327" s="29"/>
      <c r="L2327" s="30"/>
      <c r="M2327" s="31"/>
      <c r="N2327" s="31"/>
      <c r="O2327" s="31"/>
      <c r="P2327" s="31"/>
      <c r="Q2327" s="31"/>
      <c r="R2327" s="32"/>
      <c r="S2327" s="33"/>
      <c r="T2327" s="33"/>
    </row>
    <row r="2328" s="27" customFormat="1" ht="33.75" customHeight="1" spans="1:20">
      <c r="A2328" s="34">
        <v>4</v>
      </c>
      <c r="B2328" s="35" t="s">
        <v>1</v>
      </c>
      <c r="C2328" s="35" t="s">
        <v>387</v>
      </c>
      <c r="D2328" s="36" t="str">
        <f>+A2336</f>
        <v>香槟色瓦楞板（弧形）</v>
      </c>
      <c r="E2328" s="37"/>
      <c r="F2328" s="38" t="s">
        <v>119</v>
      </c>
      <c r="G2328" s="39"/>
      <c r="H2328" s="35" t="s">
        <v>388</v>
      </c>
      <c r="I2328" s="40" t="s">
        <v>389</v>
      </c>
      <c r="J2328" s="41" t="s">
        <v>37</v>
      </c>
      <c r="K2328" s="122">
        <f ca="1">VLOOKUP(A2328,'商业工程量清单 '!$A$59:$D$81,4,FALSE)</f>
        <v>7.56828</v>
      </c>
      <c r="L2328" s="43"/>
      <c r="M2328" s="44"/>
      <c r="N2328" s="44"/>
      <c r="O2328" s="44"/>
      <c r="P2328" s="45"/>
      <c r="Q2328" s="44"/>
      <c r="R2328" s="46"/>
      <c r="S2328" s="47"/>
      <c r="T2328" s="47"/>
    </row>
    <row r="2329" s="27" customFormat="1" ht="25" customHeight="1" spans="1:20">
      <c r="A2329" s="34"/>
      <c r="B2329" s="48">
        <v>1</v>
      </c>
      <c r="C2329" s="49" t="s">
        <v>390</v>
      </c>
      <c r="D2329" s="48" t="s">
        <v>391</v>
      </c>
      <c r="E2329" s="48"/>
      <c r="F2329" s="50"/>
      <c r="G2329" s="48"/>
      <c r="H2329" s="51"/>
      <c r="I2329" s="52">
        <f>J2341</f>
        <v>165</v>
      </c>
      <c r="J2329" s="53" t="s">
        <v>392</v>
      </c>
      <c r="K2329" s="54"/>
      <c r="L2329" s="55" t="s">
        <v>313</v>
      </c>
      <c r="M2329" s="56" t="s">
        <v>1058</v>
      </c>
      <c r="N2329" s="57"/>
      <c r="O2329" s="57">
        <f>18.5+1.9-2.48</f>
        <v>17.92</v>
      </c>
      <c r="P2329" s="57">
        <v>0.27</v>
      </c>
      <c r="Q2329" s="57">
        <v>1</v>
      </c>
      <c r="R2329" s="58">
        <f>+Q2329*P2329*O2329</f>
        <v>4.8384</v>
      </c>
      <c r="S2329" s="47"/>
      <c r="T2329" s="47"/>
    </row>
    <row r="2330" s="27" customFormat="1" ht="18" customHeight="1" spans="1:20">
      <c r="A2330" s="34"/>
      <c r="B2330" s="48">
        <v>2</v>
      </c>
      <c r="C2330" s="59"/>
      <c r="D2330" s="48" t="s">
        <v>394</v>
      </c>
      <c r="E2330" s="48"/>
      <c r="F2330" s="50"/>
      <c r="G2330" s="48"/>
      <c r="H2330" s="51"/>
      <c r="I2330" s="52">
        <f>J2366</f>
        <v>535.077040992226</v>
      </c>
      <c r="J2330" s="53" t="s">
        <v>392</v>
      </c>
      <c r="K2330" s="60"/>
      <c r="L2330" s="61" t="s">
        <v>119</v>
      </c>
      <c r="M2330" s="44"/>
      <c r="N2330" s="44"/>
      <c r="O2330" s="44"/>
      <c r="P2330" s="44"/>
      <c r="Q2330" s="44"/>
      <c r="R2330" s="62"/>
      <c r="S2330" s="47"/>
      <c r="T2330" s="47"/>
    </row>
    <row r="2331" s="27" customFormat="1" ht="18" customHeight="1" spans="1:20">
      <c r="A2331" s="34"/>
      <c r="B2331" s="48">
        <v>3</v>
      </c>
      <c r="C2331" s="63"/>
      <c r="D2331" s="48" t="s">
        <v>395</v>
      </c>
      <c r="E2331" s="48"/>
      <c r="F2331" s="50"/>
      <c r="G2331" s="48"/>
      <c r="H2331" s="51"/>
      <c r="I2331" s="52">
        <f>J2367</f>
        <v>5</v>
      </c>
      <c r="J2331" s="53" t="s">
        <v>392</v>
      </c>
      <c r="K2331" s="60"/>
      <c r="L2331" s="60"/>
      <c r="M2331" s="65" t="s">
        <v>396</v>
      </c>
      <c r="N2331" s="65" t="s">
        <v>397</v>
      </c>
      <c r="O2331" s="65" t="s">
        <v>398</v>
      </c>
      <c r="P2331" s="65" t="s">
        <v>399</v>
      </c>
      <c r="Q2331" s="65" t="s">
        <v>400</v>
      </c>
      <c r="R2331" s="66" t="s">
        <v>401</v>
      </c>
      <c r="S2331" s="47"/>
      <c r="T2331" s="47"/>
    </row>
    <row r="2332" s="27" customFormat="1" ht="18" customHeight="1" spans="1:20">
      <c r="A2332" s="34"/>
      <c r="B2332" s="48">
        <v>4</v>
      </c>
      <c r="C2332" s="48" t="s">
        <v>402</v>
      </c>
      <c r="D2332" s="67" t="s">
        <v>403</v>
      </c>
      <c r="E2332" s="67"/>
      <c r="F2332" s="50"/>
      <c r="G2332" s="67"/>
      <c r="H2332" s="68"/>
      <c r="I2332" s="52">
        <f>SUM(I2329:I2331)</f>
        <v>705.077040992226</v>
      </c>
      <c r="J2332" s="53" t="s">
        <v>392</v>
      </c>
      <c r="K2332" s="60"/>
      <c r="L2332" s="69" t="s">
        <v>431</v>
      </c>
      <c r="M2332" s="34" t="s">
        <v>460</v>
      </c>
      <c r="N2332" s="34">
        <v>10.21</v>
      </c>
      <c r="O2332" s="34">
        <v>7.045</v>
      </c>
      <c r="P2332" s="34">
        <v>0</v>
      </c>
      <c r="Q2332" s="44">
        <f t="shared" ref="Q2332:Q2339" si="360">+P2332*O2332*N2332</f>
        <v>0</v>
      </c>
      <c r="R2332" s="71">
        <f>+Q2332/R2329</f>
        <v>0</v>
      </c>
      <c r="S2332" s="47"/>
      <c r="T2332" s="47"/>
    </row>
    <row r="2333" s="27" customFormat="1" ht="28" customHeight="1" spans="1:20">
      <c r="A2333" s="34"/>
      <c r="B2333" s="48">
        <v>5</v>
      </c>
      <c r="C2333" s="72" t="s">
        <v>406</v>
      </c>
      <c r="D2333" s="48" t="s">
        <v>407</v>
      </c>
      <c r="E2333" s="48"/>
      <c r="F2333" s="50"/>
      <c r="G2333" s="48"/>
      <c r="H2333" s="73">
        <f>+'材料表 '!$E$178</f>
        <v>0</v>
      </c>
      <c r="I2333" s="52">
        <f>H2333*I2332</f>
        <v>0</v>
      </c>
      <c r="J2333" s="53" t="s">
        <v>392</v>
      </c>
      <c r="K2333" s="60"/>
      <c r="L2333" s="69" t="s">
        <v>461</v>
      </c>
      <c r="M2333" s="34" t="s">
        <v>462</v>
      </c>
      <c r="N2333" s="34">
        <v>3.77</v>
      </c>
      <c r="O2333" s="34">
        <f>+O2329</f>
        <v>17.92</v>
      </c>
      <c r="P2333" s="34">
        <v>0.5</v>
      </c>
      <c r="Q2333" s="44">
        <f t="shared" si="360"/>
        <v>33.7792</v>
      </c>
      <c r="R2333" s="71">
        <f>+Q2333/R2329</f>
        <v>6.98148148148148</v>
      </c>
      <c r="S2333" s="47"/>
      <c r="T2333" s="47"/>
    </row>
    <row r="2334" s="27" customFormat="1" ht="22" customHeight="1" spans="1:20">
      <c r="A2334" s="34"/>
      <c r="B2334" s="48">
        <v>6</v>
      </c>
      <c r="C2334" s="48" t="s">
        <v>409</v>
      </c>
      <c r="D2334" s="48" t="s">
        <v>410</v>
      </c>
      <c r="E2334" s="48"/>
      <c r="F2334" s="50"/>
      <c r="G2334" s="48"/>
      <c r="H2334" s="73">
        <f>+'材料表 '!$E$179</f>
        <v>0</v>
      </c>
      <c r="I2334" s="52">
        <f>H2334*I2332</f>
        <v>0</v>
      </c>
      <c r="J2334" s="53" t="s">
        <v>392</v>
      </c>
      <c r="K2334" s="60"/>
      <c r="L2334" s="69" t="s">
        <v>461</v>
      </c>
      <c r="M2334" s="34" t="s">
        <v>462</v>
      </c>
      <c r="N2334" s="34">
        <v>3.77</v>
      </c>
      <c r="O2334" s="34">
        <f>0.18</f>
        <v>0.18</v>
      </c>
      <c r="P2334" s="34">
        <v>8</v>
      </c>
      <c r="Q2334" s="44">
        <f t="shared" si="360"/>
        <v>5.4288</v>
      </c>
      <c r="R2334" s="71">
        <f>+Q2334/R2329</f>
        <v>1.12202380952381</v>
      </c>
      <c r="S2334" s="47"/>
      <c r="T2334" s="47"/>
    </row>
    <row r="2335" s="27" customFormat="1" ht="23" customHeight="1" spans="1:20">
      <c r="A2335" s="34"/>
      <c r="B2335" s="48">
        <v>7</v>
      </c>
      <c r="C2335" s="48" t="s">
        <v>412</v>
      </c>
      <c r="D2335" s="72" t="s">
        <v>413</v>
      </c>
      <c r="E2335" s="72"/>
      <c r="F2335" s="77"/>
      <c r="G2335" s="72"/>
      <c r="H2335" s="73">
        <f>+'材料表 '!$E$180</f>
        <v>0.09</v>
      </c>
      <c r="I2335" s="52">
        <f>(I2332+I2333+I2334)*H2335</f>
        <v>63.4569336893003</v>
      </c>
      <c r="J2335" s="53" t="s">
        <v>392</v>
      </c>
      <c r="K2335" s="60"/>
      <c r="L2335" s="69" t="s">
        <v>463</v>
      </c>
      <c r="M2335" s="34" t="s">
        <v>490</v>
      </c>
      <c r="N2335" s="34">
        <f>0.3*0.2*7.85*10</f>
        <v>4.71</v>
      </c>
      <c r="O2335" s="34">
        <v>0.3</v>
      </c>
      <c r="P2335" s="34">
        <v>14</v>
      </c>
      <c r="Q2335" s="44">
        <f t="shared" si="360"/>
        <v>19.782</v>
      </c>
      <c r="R2335" s="71">
        <f>+Q2335/R2329</f>
        <v>4.08854166666667</v>
      </c>
      <c r="S2335" s="47"/>
      <c r="T2335" s="47"/>
    </row>
    <row r="2336" s="27" customFormat="1" ht="23" customHeight="1" spans="1:20">
      <c r="A2336" s="34" t="s">
        <v>311</v>
      </c>
      <c r="B2336" s="48">
        <v>8</v>
      </c>
      <c r="C2336" s="48" t="s">
        <v>363</v>
      </c>
      <c r="D2336" s="106" t="s">
        <v>415</v>
      </c>
      <c r="E2336" s="107"/>
      <c r="F2336" s="108"/>
      <c r="G2336" s="107"/>
      <c r="H2336" s="51"/>
      <c r="I2336" s="74">
        <f>SUM(I2332:I2335)</f>
        <v>768.533974681526</v>
      </c>
      <c r="J2336" s="53" t="s">
        <v>416</v>
      </c>
      <c r="K2336" s="60"/>
      <c r="L2336" s="69" t="s">
        <v>465</v>
      </c>
      <c r="M2336" s="34" t="s">
        <v>466</v>
      </c>
      <c r="N2336" s="100">
        <f>1.2789*7.85</f>
        <v>10.039365</v>
      </c>
      <c r="O2336" s="34">
        <f>35/1000</f>
        <v>0.035</v>
      </c>
      <c r="P2336" s="44">
        <f>+P2335*O2335*2</f>
        <v>8.4</v>
      </c>
      <c r="Q2336" s="44">
        <f t="shared" si="360"/>
        <v>2.95157331</v>
      </c>
      <c r="R2336" s="84">
        <f>+Q2336/R2329</f>
        <v>0.610030859375</v>
      </c>
      <c r="S2336" s="79"/>
      <c r="T2336" s="47"/>
    </row>
    <row r="2337" s="27" customFormat="1" ht="18" customHeight="1" spans="1:21">
      <c r="A2337" s="34"/>
      <c r="B2337" s="109" t="s">
        <v>418</v>
      </c>
      <c r="C2337" s="110"/>
      <c r="D2337" s="110"/>
      <c r="E2337" s="110"/>
      <c r="F2337" s="110"/>
      <c r="G2337" s="110"/>
      <c r="H2337" s="110"/>
      <c r="I2337" s="110"/>
      <c r="J2337" s="110"/>
      <c r="K2337" s="80"/>
      <c r="L2337" s="69" t="s">
        <v>433</v>
      </c>
      <c r="M2337" s="44"/>
      <c r="N2337" s="82">
        <f>0.056*3*2.71+0.0675*3*2.71</f>
        <v>1.004055</v>
      </c>
      <c r="O2337" s="44">
        <f>O2329</f>
        <v>17.92</v>
      </c>
      <c r="P2337" s="44">
        <v>0</v>
      </c>
      <c r="Q2337" s="44">
        <f t="shared" si="360"/>
        <v>0</v>
      </c>
      <c r="R2337" s="84">
        <f>+Q2337/R2329</f>
        <v>0</v>
      </c>
      <c r="S2337" s="47">
        <f>0.16*P2337*O2337/R2329</f>
        <v>0</v>
      </c>
      <c r="T2337" s="47"/>
    </row>
    <row r="2338" s="27" customFormat="1" ht="18" customHeight="1" spans="1:21">
      <c r="A2338" s="34"/>
      <c r="B2338" s="48">
        <v>1</v>
      </c>
      <c r="C2338" s="48" t="s">
        <v>391</v>
      </c>
      <c r="D2338" s="48" t="s">
        <v>396</v>
      </c>
      <c r="E2338" s="48" t="s">
        <v>37</v>
      </c>
      <c r="F2338" s="50"/>
      <c r="G2338" s="48"/>
      <c r="H2338" s="51" t="s">
        <v>399</v>
      </c>
      <c r="I2338" s="51" t="s">
        <v>420</v>
      </c>
      <c r="J2338" s="95" t="s">
        <v>421</v>
      </c>
      <c r="K2338" s="92"/>
      <c r="L2338" s="69" t="s">
        <v>433</v>
      </c>
      <c r="M2338" s="44" t="s">
        <v>498</v>
      </c>
      <c r="N2338" s="82">
        <f>0.0445*2*2.71</f>
        <v>0.24119</v>
      </c>
      <c r="O2338" s="44">
        <f>+O2337</f>
        <v>17.92</v>
      </c>
      <c r="P2338" s="44">
        <v>1</v>
      </c>
      <c r="Q2338" s="44">
        <f t="shared" si="360"/>
        <v>4.3221248</v>
      </c>
      <c r="R2338" s="84">
        <f>+Q2338/R2329</f>
        <v>0.893296296296296</v>
      </c>
      <c r="S2338" s="47"/>
      <c r="T2338" s="47"/>
    </row>
    <row r="2339" s="27" customFormat="1" ht="18" customHeight="1" spans="1:21">
      <c r="A2339" s="34"/>
      <c r="B2339" s="48">
        <v>2</v>
      </c>
      <c r="C2339" s="48"/>
      <c r="D2339" s="111" t="s">
        <v>491</v>
      </c>
      <c r="E2339" s="49" t="s">
        <v>423</v>
      </c>
      <c r="F2339" s="112"/>
      <c r="G2339" s="111"/>
      <c r="H2339" s="113">
        <v>1</v>
      </c>
      <c r="I2339" s="113">
        <f>+辅材及安装费!$G$3</f>
        <v>165</v>
      </c>
      <c r="J2339" s="114">
        <f t="shared" ref="J2339:J2347" si="361">H2339*I2339</f>
        <v>165</v>
      </c>
      <c r="K2339" s="92"/>
      <c r="L2339" s="69" t="s">
        <v>433</v>
      </c>
      <c r="M2339" s="44" t="s">
        <v>498</v>
      </c>
      <c r="N2339" s="82">
        <f>0.0445*2*2.71</f>
        <v>0.24119</v>
      </c>
      <c r="O2339" s="44">
        <f>P2329</f>
        <v>0.27</v>
      </c>
      <c r="P2339" s="44">
        <v>1</v>
      </c>
      <c r="Q2339" s="44">
        <f t="shared" si="360"/>
        <v>0.0651213</v>
      </c>
      <c r="R2339" s="84">
        <f>+Q2339/R2329</f>
        <v>0.0134592633928571</v>
      </c>
      <c r="S2339" s="47"/>
      <c r="T2339" s="47"/>
    </row>
    <row r="2340" s="27" customFormat="1" ht="18" customHeight="1" spans="1:21">
      <c r="A2340" s="34"/>
      <c r="B2340" s="48">
        <v>3</v>
      </c>
      <c r="C2340" s="48"/>
      <c r="D2340" s="115"/>
      <c r="E2340" s="63"/>
      <c r="F2340" s="116"/>
      <c r="G2340" s="115"/>
      <c r="H2340" s="117"/>
      <c r="I2340" s="117"/>
      <c r="J2340" s="118"/>
      <c r="K2340" s="92"/>
      <c r="L2340" s="90" t="s">
        <v>472</v>
      </c>
      <c r="M2340" s="44"/>
      <c r="N2340" s="82"/>
      <c r="O2340" s="44"/>
      <c r="P2340" s="44">
        <f>+P2336</f>
        <v>8.4</v>
      </c>
      <c r="Q2340" s="44">
        <f>+P2340</f>
        <v>8.4</v>
      </c>
      <c r="R2340" s="84">
        <f>+Q2340/R2329</f>
        <v>1.73611111111111</v>
      </c>
      <c r="S2340" s="47"/>
      <c r="T2340" s="47"/>
    </row>
    <row r="2341" s="27" customFormat="1" ht="21" customHeight="1" spans="1:21">
      <c r="A2341" s="34"/>
      <c r="B2341" s="48">
        <v>4</v>
      </c>
      <c r="C2341" s="48"/>
      <c r="D2341" s="85" t="s">
        <v>426</v>
      </c>
      <c r="E2341" s="48" t="s">
        <v>392</v>
      </c>
      <c r="F2341" s="50"/>
      <c r="G2341" s="48"/>
      <c r="H2341" s="86"/>
      <c r="I2341" s="86"/>
      <c r="J2341" s="95">
        <f>SUM(J2339:J2339)</f>
        <v>165</v>
      </c>
      <c r="K2341" s="92"/>
      <c r="L2341" s="90" t="s">
        <v>473</v>
      </c>
      <c r="M2341" s="44"/>
      <c r="N2341" s="82"/>
      <c r="O2341" s="44"/>
      <c r="P2341" s="44"/>
      <c r="Q2341" s="44">
        <f>+(Q2338)*2</f>
        <v>8.6442496</v>
      </c>
      <c r="R2341" s="84">
        <f>+Q2341/R2329</f>
        <v>1.78659259259259</v>
      </c>
      <c r="S2341" s="47"/>
      <c r="T2341" s="47"/>
    </row>
    <row r="2342" s="27" customFormat="1" ht="26" customHeight="1" spans="1:21">
      <c r="A2342" s="34"/>
      <c r="B2342" s="48">
        <v>1</v>
      </c>
      <c r="C2342" s="48" t="s">
        <v>394</v>
      </c>
      <c r="D2342" s="88" t="s">
        <v>431</v>
      </c>
      <c r="E2342" s="72" t="str">
        <f>+VLOOKUP(D2342,'材料表 '!C:F,2,0)</f>
        <v>kg</v>
      </c>
      <c r="F2342" s="77">
        <f t="shared" ref="F2342:F2352" si="362">+SUMIF($L$2288:$L$2326,D2342,$R$2288:$R$2326)</f>
        <v>0</v>
      </c>
      <c r="G2342" s="89">
        <f>+VLOOKUP(D2342,'材料表 '!C:F,4,0)</f>
        <v>0.03</v>
      </c>
      <c r="H2342" s="74">
        <f t="shared" ref="H2342:H2347" si="363">F2342*(G2342+1)</f>
        <v>0</v>
      </c>
      <c r="I2342" s="74">
        <f>+VLOOKUP(D2342,'材料表 '!C:F,3,0)</f>
        <v>3.80530973451327</v>
      </c>
      <c r="J2342" s="95">
        <f t="shared" si="361"/>
        <v>0</v>
      </c>
      <c r="K2342" s="92">
        <f ca="1">H2342*K2328</f>
        <v>0</v>
      </c>
      <c r="L2342" s="90"/>
      <c r="M2342" s="44"/>
      <c r="N2342" s="82"/>
      <c r="O2342" s="44"/>
      <c r="P2342" s="44"/>
      <c r="Q2342" s="44"/>
      <c r="R2342" s="84"/>
      <c r="S2342" s="47"/>
      <c r="T2342" s="47"/>
    </row>
    <row r="2343" s="27" customFormat="1" ht="18" customHeight="1" spans="1:21">
      <c r="A2343" s="34"/>
      <c r="B2343" s="48">
        <v>2</v>
      </c>
      <c r="C2343" s="48"/>
      <c r="D2343" s="88" t="s">
        <v>461</v>
      </c>
      <c r="E2343" s="72" t="str">
        <f>+VLOOKUP(D2343,'材料表 '!C:F,2,0)</f>
        <v>kg</v>
      </c>
      <c r="F2343" s="77">
        <f t="shared" si="362"/>
        <v>8.10350529100529</v>
      </c>
      <c r="G2343" s="89">
        <f>+VLOOKUP(D2343,'材料表 '!C:F,4,0)</f>
        <v>0.03</v>
      </c>
      <c r="H2343" s="74">
        <f t="shared" si="363"/>
        <v>8.34661044973545</v>
      </c>
      <c r="I2343" s="74">
        <f>+VLOOKUP(D2343,'材料表 '!C:F,3,0)</f>
        <v>3.53982300884956</v>
      </c>
      <c r="J2343" s="95">
        <f t="shared" si="361"/>
        <v>29.5455237158777</v>
      </c>
      <c r="K2343" s="92">
        <f ca="1">H2343*K2328</f>
        <v>63.1694849345238</v>
      </c>
      <c r="L2343" s="90"/>
      <c r="M2343" s="44"/>
      <c r="N2343" s="82"/>
      <c r="O2343" s="44"/>
      <c r="P2343" s="44"/>
      <c r="Q2343" s="44"/>
      <c r="R2343" s="84"/>
      <c r="S2343" s="47"/>
      <c r="T2343" s="47"/>
    </row>
    <row r="2344" s="27" customFormat="1" ht="18" customHeight="1" spans="1:21">
      <c r="A2344" s="34"/>
      <c r="B2344" s="48">
        <v>3</v>
      </c>
      <c r="C2344" s="48"/>
      <c r="D2344" s="88" t="s">
        <v>465</v>
      </c>
      <c r="E2344" s="72" t="str">
        <f>+VLOOKUP(D2344,'材料表 '!C:F,2,0)</f>
        <v>kg</v>
      </c>
      <c r="F2344" s="77">
        <f t="shared" si="362"/>
        <v>0.610030859375</v>
      </c>
      <c r="G2344" s="89">
        <f>+VLOOKUP(D2344,'材料表 '!C:F,4,0)</f>
        <v>0.03</v>
      </c>
      <c r="H2344" s="74">
        <f t="shared" si="363"/>
        <v>0.62833178515625</v>
      </c>
      <c r="I2344" s="74">
        <f>+VLOOKUP(D2344,'材料表 '!C:F,3,0)</f>
        <v>6.01769911504425</v>
      </c>
      <c r="J2344" s="95">
        <f t="shared" si="361"/>
        <v>3.78111162748894</v>
      </c>
      <c r="K2344" s="92">
        <f ca="1">H2344*K2328</f>
        <v>4.75539088296234</v>
      </c>
      <c r="L2344" s="90"/>
      <c r="M2344" s="44"/>
      <c r="N2344" s="82"/>
      <c r="O2344" s="44"/>
      <c r="P2344" s="44"/>
      <c r="Q2344" s="44"/>
      <c r="R2344" s="84"/>
      <c r="S2344" s="47"/>
      <c r="T2344" s="47"/>
    </row>
    <row r="2345" s="27" customFormat="1" ht="18" customHeight="1" spans="1:21">
      <c r="A2345" s="34"/>
      <c r="B2345" s="48">
        <v>4</v>
      </c>
      <c r="C2345" s="48"/>
      <c r="D2345" s="88" t="s">
        <v>463</v>
      </c>
      <c r="E2345" s="72" t="str">
        <f>+VLOOKUP(D2345,'材料表 '!C:F,2,0)</f>
        <v>kg</v>
      </c>
      <c r="F2345" s="77">
        <f t="shared" si="362"/>
        <v>4.08854166666667</v>
      </c>
      <c r="G2345" s="89">
        <f>+VLOOKUP(D2345,'材料表 '!C:F,4,0)</f>
        <v>0.03</v>
      </c>
      <c r="H2345" s="74">
        <f t="shared" si="363"/>
        <v>4.21119791666667</v>
      </c>
      <c r="I2345" s="74">
        <f>+VLOOKUP(D2345,'材料表 '!C:F,3,0)</f>
        <v>6.01769911504425</v>
      </c>
      <c r="J2345" s="95">
        <f t="shared" si="361"/>
        <v>25.3417219764012</v>
      </c>
      <c r="K2345" s="92">
        <f ca="1">H2345*K2328</f>
        <v>31.87152496875</v>
      </c>
      <c r="L2345" s="90" t="s">
        <v>474</v>
      </c>
      <c r="M2345" s="44"/>
      <c r="N2345" s="82"/>
      <c r="O2345" s="44"/>
      <c r="P2345" s="44"/>
      <c r="Q2345" s="44">
        <f>+O2335*P2335*4</f>
        <v>16.8</v>
      </c>
      <c r="R2345" s="84">
        <f>+Q2345/R2329</f>
        <v>3.47222222222222</v>
      </c>
      <c r="S2345" s="47"/>
      <c r="T2345" s="47"/>
    </row>
    <row r="2346" s="27" customFormat="1" ht="18" customHeight="1" spans="1:21">
      <c r="A2346" s="34"/>
      <c r="B2346" s="48">
        <v>5</v>
      </c>
      <c r="C2346" s="48"/>
      <c r="D2346" s="88" t="s">
        <v>433</v>
      </c>
      <c r="E2346" s="72" t="str">
        <f>+VLOOKUP(D2346,'材料表 '!C:F,2,0)</f>
        <v>kg</v>
      </c>
      <c r="F2346" s="77">
        <f t="shared" si="362"/>
        <v>0.906755559689154</v>
      </c>
      <c r="G2346" s="89">
        <f>+VLOOKUP(D2346,'材料表 '!C:F,4,0)</f>
        <v>0.03</v>
      </c>
      <c r="H2346" s="74">
        <f t="shared" si="363"/>
        <v>0.933958226479829</v>
      </c>
      <c r="I2346" s="74">
        <f>+VLOOKUP(D2346,'材料表 '!C:F,3,0)</f>
        <v>26.1150442477876</v>
      </c>
      <c r="J2346" s="95">
        <f t="shared" si="361"/>
        <v>24.390360410106</v>
      </c>
      <c r="K2346" s="92">
        <f ca="1">H2346*K2328</f>
        <v>7.06845736630276</v>
      </c>
      <c r="L2346" s="92" t="s">
        <v>476</v>
      </c>
      <c r="M2346" s="44"/>
      <c r="N2346" s="82"/>
      <c r="O2346" s="44"/>
      <c r="P2346" s="44"/>
      <c r="Q2346" s="44">
        <f>15*8*(O2329*1+P2329*0)/500</f>
        <v>4.3008</v>
      </c>
      <c r="R2346" s="84">
        <f>+Q2346/R2329</f>
        <v>0.888888888888889</v>
      </c>
      <c r="S2346" s="47"/>
      <c r="T2346" s="47"/>
    </row>
    <row r="2347" s="27" customFormat="1" ht="18" customHeight="1" spans="1:21">
      <c r="A2347" s="34"/>
      <c r="B2347" s="48">
        <v>6</v>
      </c>
      <c r="C2347" s="48"/>
      <c r="D2347" s="88" t="s">
        <v>427</v>
      </c>
      <c r="E2347" s="72" t="str">
        <f>+VLOOKUP(D2347,'材料表 '!C:F,2,0)</f>
        <v>kg</v>
      </c>
      <c r="F2347" s="77">
        <f t="shared" si="362"/>
        <v>2.43046875</v>
      </c>
      <c r="G2347" s="89">
        <f>+VLOOKUP(D2347,'材料表 '!C:F,4,0)</f>
        <v>0.03</v>
      </c>
      <c r="H2347" s="74">
        <f t="shared" si="363"/>
        <v>2.5033828125</v>
      </c>
      <c r="I2347" s="74">
        <f>+VLOOKUP(D2347,'材料表 '!C:F,3,0)</f>
        <v>25.8495575221239</v>
      </c>
      <c r="J2347" s="95">
        <f t="shared" si="361"/>
        <v>64.7113380116151</v>
      </c>
      <c r="K2347" s="92">
        <f ca="1">H2347*K2328</f>
        <v>18.9463020721875</v>
      </c>
      <c r="L2347" s="69" t="s">
        <v>427</v>
      </c>
      <c r="M2347" s="70" t="s">
        <v>1007</v>
      </c>
      <c r="N2347" s="34">
        <v>3.111</v>
      </c>
      <c r="O2347" s="34">
        <f>P2329</f>
        <v>0.27</v>
      </c>
      <c r="P2347" s="34">
        <v>14</v>
      </c>
      <c r="Q2347" s="44">
        <f t="shared" ref="Q2347:Q2355" si="364">+P2347*O2347*N2347</f>
        <v>11.75958</v>
      </c>
      <c r="R2347" s="71">
        <f>+Q2347/R2329</f>
        <v>2.43046875</v>
      </c>
      <c r="S2347" s="47"/>
      <c r="T2347" s="47"/>
    </row>
    <row r="2348" s="27" customFormat="1" ht="18" customHeight="1" spans="1:21">
      <c r="A2348" s="34"/>
      <c r="B2348" s="48">
        <v>7</v>
      </c>
      <c r="C2348" s="48"/>
      <c r="D2348" s="88"/>
      <c r="E2348" s="72"/>
      <c r="F2348" s="77">
        <f t="shared" si="362"/>
        <v>0</v>
      </c>
      <c r="G2348" s="89"/>
      <c r="H2348" s="74"/>
      <c r="I2348" s="74"/>
      <c r="J2348" s="95"/>
      <c r="K2348" s="92">
        <f ca="1">H2348*K2328</f>
        <v>0</v>
      </c>
      <c r="L2348" s="69" t="s">
        <v>429</v>
      </c>
      <c r="M2348" s="70" t="s">
        <v>1037</v>
      </c>
      <c r="N2348" s="34">
        <v>3.063</v>
      </c>
      <c r="O2348" s="100">
        <f>O2347/0.3*0.1</f>
        <v>0.09</v>
      </c>
      <c r="P2348" s="34">
        <v>0</v>
      </c>
      <c r="Q2348" s="44">
        <f t="shared" si="364"/>
        <v>0</v>
      </c>
      <c r="R2348" s="71">
        <f>+Q2348/R2329</f>
        <v>0</v>
      </c>
      <c r="S2348" s="47"/>
      <c r="T2348" s="47"/>
    </row>
    <row r="2349" s="27" customFormat="1" ht="18" customHeight="1" spans="1:21">
      <c r="A2349" s="34"/>
      <c r="B2349" s="48">
        <v>8</v>
      </c>
      <c r="C2349" s="48"/>
      <c r="D2349" s="88"/>
      <c r="E2349" s="72"/>
      <c r="F2349" s="77">
        <f t="shared" si="362"/>
        <v>0</v>
      </c>
      <c r="G2349" s="89"/>
      <c r="H2349" s="74"/>
      <c r="I2349" s="74"/>
      <c r="J2349" s="95"/>
      <c r="K2349" s="92">
        <f ca="1">H2349*K2328</f>
        <v>0</v>
      </c>
      <c r="L2349" s="69" t="s">
        <v>447</v>
      </c>
      <c r="M2349" s="70" t="s">
        <v>1038</v>
      </c>
      <c r="N2349" s="34">
        <f>1.041+0.104</f>
        <v>1.145</v>
      </c>
      <c r="O2349" s="34">
        <f>O2347</f>
        <v>0.27</v>
      </c>
      <c r="P2349" s="34">
        <v>0</v>
      </c>
      <c r="Q2349" s="44">
        <f t="shared" si="364"/>
        <v>0</v>
      </c>
      <c r="R2349" s="71">
        <f>+Q2349/R2329</f>
        <v>0</v>
      </c>
      <c r="S2349" s="47">
        <v>0.172</v>
      </c>
      <c r="T2349" s="47">
        <f>O2349*P2349*S2349</f>
        <v>0</v>
      </c>
      <c r="U2349" s="76">
        <f>T2349/R2329</f>
        <v>0</v>
      </c>
    </row>
    <row r="2350" s="27" customFormat="1" ht="18" customHeight="1" spans="1:21">
      <c r="A2350" s="34"/>
      <c r="B2350" s="48">
        <v>9</v>
      </c>
      <c r="C2350" s="48"/>
      <c r="D2350" s="88" t="s">
        <v>476</v>
      </c>
      <c r="E2350" s="72" t="str">
        <f>+VLOOKUP(D2350,'材料表 '!C:F,2,0)</f>
        <v>支</v>
      </c>
      <c r="F2350" s="77">
        <f t="shared" si="362"/>
        <v>0.888888888888889</v>
      </c>
      <c r="G2350" s="89">
        <f>+VLOOKUP(D2350,'材料表 '!C:F,4,0)</f>
        <v>0.15</v>
      </c>
      <c r="H2350" s="74">
        <f t="shared" ref="H2350:H2355" si="365">F2350*(G2350+1)</f>
        <v>1.02222222222222</v>
      </c>
      <c r="I2350" s="74">
        <f>+VLOOKUP(D2350,'材料表 '!C:F,3,0)</f>
        <v>11.5044247787611</v>
      </c>
      <c r="J2350" s="95">
        <f t="shared" ref="J2350:J2355" si="366">H2350*I2350</f>
        <v>11.7600786627336</v>
      </c>
      <c r="K2350" s="92">
        <f ca="1">H2350*K2328</f>
        <v>7.73646399999998</v>
      </c>
      <c r="L2350" s="69" t="s">
        <v>429</v>
      </c>
      <c r="M2350" s="70" t="s">
        <v>1010</v>
      </c>
      <c r="N2350" s="102">
        <f>2.9</f>
        <v>2.9</v>
      </c>
      <c r="O2350" s="34">
        <v>0.2</v>
      </c>
      <c r="P2350" s="34">
        <v>0</v>
      </c>
      <c r="Q2350" s="44">
        <f t="shared" si="364"/>
        <v>0</v>
      </c>
      <c r="R2350" s="71">
        <f>+Q2350/R2329</f>
        <v>0</v>
      </c>
      <c r="S2350" s="47"/>
      <c r="T2350" s="47"/>
    </row>
    <row r="2351" s="27" customFormat="1" ht="18" customHeight="1" spans="1:21">
      <c r="A2351" s="34"/>
      <c r="B2351" s="48">
        <v>10</v>
      </c>
      <c r="C2351" s="48"/>
      <c r="D2351" s="88" t="s">
        <v>474</v>
      </c>
      <c r="E2351" s="72" t="str">
        <f>+VLOOKUP(D2351,'材料表 '!C:F,2,0)</f>
        <v>套</v>
      </c>
      <c r="F2351" s="77">
        <f t="shared" si="362"/>
        <v>3.47222222222222</v>
      </c>
      <c r="G2351" s="89">
        <f>+VLOOKUP(D2351,'材料表 '!C:F,4,0)</f>
        <v>0</v>
      </c>
      <c r="H2351" s="74">
        <f t="shared" si="365"/>
        <v>3.47222222222222</v>
      </c>
      <c r="I2351" s="74">
        <f>+VLOOKUP(D2351,'材料表 '!C:F,3,0)</f>
        <v>2.21238938053097</v>
      </c>
      <c r="J2351" s="95">
        <f t="shared" si="366"/>
        <v>7.68190757128809</v>
      </c>
      <c r="K2351" s="92">
        <f ca="1">H2351*K2328</f>
        <v>26.27875</v>
      </c>
      <c r="L2351" s="69" t="s">
        <v>429</v>
      </c>
      <c r="M2351" s="70" t="s">
        <v>1040</v>
      </c>
      <c r="N2351" s="34">
        <v>0.733</v>
      </c>
      <c r="O2351" s="100">
        <f>O2348*2</f>
        <v>0.18</v>
      </c>
      <c r="P2351" s="34">
        <v>0</v>
      </c>
      <c r="Q2351" s="44">
        <f t="shared" si="364"/>
        <v>0</v>
      </c>
      <c r="R2351" s="71">
        <f>+Q2351/R2329</f>
        <v>0</v>
      </c>
      <c r="S2351" s="79"/>
      <c r="T2351" s="47"/>
    </row>
    <row r="2352" s="27" customFormat="1" ht="18" customHeight="1" spans="1:21">
      <c r="A2352" s="34"/>
      <c r="B2352" s="48">
        <v>11</v>
      </c>
      <c r="C2352" s="48"/>
      <c r="D2352" s="88" t="s">
        <v>472</v>
      </c>
      <c r="E2352" s="72" t="str">
        <f>+VLOOKUP(D2352,'材料表 '!C:F,2,0)</f>
        <v>套</v>
      </c>
      <c r="F2352" s="77">
        <f t="shared" si="362"/>
        <v>1.73611111111111</v>
      </c>
      <c r="G2352" s="89">
        <f>+VLOOKUP(D2352,'材料表 '!C:F,4,0)</f>
        <v>0</v>
      </c>
      <c r="H2352" s="74">
        <f t="shared" si="365"/>
        <v>1.73611111111111</v>
      </c>
      <c r="I2352" s="74">
        <f>+VLOOKUP(D2352,'材料表 '!C:F,3,0)</f>
        <v>2.47787610619469</v>
      </c>
      <c r="J2352" s="95">
        <f t="shared" si="366"/>
        <v>4.30186823992133</v>
      </c>
      <c r="K2352" s="92">
        <f ca="1">H2352*K2328</f>
        <v>13.139375</v>
      </c>
      <c r="L2352" s="69" t="s">
        <v>404</v>
      </c>
      <c r="M2352" s="70" t="s">
        <v>1041</v>
      </c>
      <c r="N2352" s="34">
        <v>3.727</v>
      </c>
      <c r="O2352" s="34">
        <v>0</v>
      </c>
      <c r="P2352" s="34">
        <v>1</v>
      </c>
      <c r="Q2352" s="44">
        <f t="shared" si="364"/>
        <v>0</v>
      </c>
      <c r="R2352" s="71">
        <f>+Q2352/R2329</f>
        <v>0</v>
      </c>
      <c r="S2352" s="47"/>
      <c r="T2352" s="47"/>
      <c r="U2352" s="76"/>
    </row>
    <row r="2353" s="27" customFormat="1" ht="24" customHeight="1" spans="1:21">
      <c r="A2353" s="34"/>
      <c r="B2353" s="48">
        <v>12</v>
      </c>
      <c r="C2353" s="48"/>
      <c r="D2353" s="88" t="s">
        <v>632</v>
      </c>
      <c r="E2353" s="72" t="str">
        <f>+VLOOKUP(D2353,'材料表 '!C:F,2,0)</f>
        <v>m2</v>
      </c>
      <c r="F2353" s="77">
        <v>1</v>
      </c>
      <c r="G2353" s="89">
        <f>+VLOOKUP(D2353,'材料表 '!C:F,4,0)</f>
        <v>0.02</v>
      </c>
      <c r="H2353" s="74">
        <f t="shared" si="365"/>
        <v>1.02</v>
      </c>
      <c r="I2353" s="74">
        <f>+VLOOKUP(D2353,'材料表 '!C:F,3,0)</f>
        <v>238.938053097345</v>
      </c>
      <c r="J2353" s="95">
        <f t="shared" si="366"/>
        <v>243.716814159292</v>
      </c>
      <c r="K2353" s="92">
        <f ca="1">H2353*K2328</f>
        <v>7.7196456</v>
      </c>
      <c r="L2353" s="69" t="s">
        <v>429</v>
      </c>
      <c r="M2353" s="81" t="s">
        <v>1027</v>
      </c>
      <c r="N2353" s="82">
        <v>0.735</v>
      </c>
      <c r="O2353" s="34">
        <v>0</v>
      </c>
      <c r="P2353" s="34">
        <v>1</v>
      </c>
      <c r="Q2353" s="44">
        <f t="shared" si="364"/>
        <v>0</v>
      </c>
      <c r="R2353" s="71">
        <f>+Q2353/R2329</f>
        <v>0</v>
      </c>
      <c r="S2353" s="47"/>
      <c r="T2353" s="47"/>
    </row>
    <row r="2354" s="27" customFormat="1" ht="25" customHeight="1" spans="1:21">
      <c r="A2354" s="34"/>
      <c r="B2354" s="48">
        <v>13</v>
      </c>
      <c r="C2354" s="48"/>
      <c r="D2354" s="124" t="s">
        <v>500</v>
      </c>
      <c r="E2354" s="72" t="str">
        <f>+VLOOKUP(D2354,'材料表 '!C:F,2,0)</f>
        <v>kg</v>
      </c>
      <c r="F2354" s="77">
        <f>R2338</f>
        <v>0.893296296296296</v>
      </c>
      <c r="G2354" s="89">
        <f>+VLOOKUP(D2354,'材料表 '!C:F,4,0)</f>
        <v>0.03</v>
      </c>
      <c r="H2354" s="74">
        <f t="shared" si="365"/>
        <v>0.920095185185185</v>
      </c>
      <c r="I2354" s="74">
        <f>+VLOOKUP(D2354,'材料表 '!C:F,3,0)</f>
        <v>14.1592920353982</v>
      </c>
      <c r="J2354" s="95">
        <f t="shared" si="366"/>
        <v>13.0278964274008</v>
      </c>
      <c r="K2354" s="92">
        <f ca="1">H2354*K2328</f>
        <v>6.96353798813333</v>
      </c>
      <c r="L2354" s="69" t="s">
        <v>447</v>
      </c>
      <c r="M2354" s="70" t="s">
        <v>1038</v>
      </c>
      <c r="N2354" s="83">
        <v>0.977</v>
      </c>
      <c r="O2354" s="34">
        <v>0</v>
      </c>
      <c r="P2354" s="34">
        <v>1</v>
      </c>
      <c r="Q2354" s="44">
        <f t="shared" si="364"/>
        <v>0</v>
      </c>
      <c r="R2354" s="84">
        <f>+Q2354/R2329</f>
        <v>0</v>
      </c>
      <c r="S2354" s="47">
        <v>0.185</v>
      </c>
      <c r="T2354" s="47">
        <f>O2354*P2354*S2354</f>
        <v>0</v>
      </c>
      <c r="U2354" s="27">
        <f>T2354/R2329</f>
        <v>0</v>
      </c>
    </row>
    <row r="2355" s="27" customFormat="1" ht="20" customHeight="1" spans="1:21">
      <c r="A2355" s="34"/>
      <c r="B2355" s="48">
        <v>14</v>
      </c>
      <c r="C2355" s="48"/>
      <c r="D2355" s="88" t="s">
        <v>479</v>
      </c>
      <c r="E2355" s="72" t="str">
        <f>+VLOOKUP(D2355,'材料表 '!C:F,2,0)</f>
        <v>kg</v>
      </c>
      <c r="F2355" s="77">
        <f>R2333</f>
        <v>6.98148148148148</v>
      </c>
      <c r="G2355" s="89">
        <f>+VLOOKUP(D2355,'材料表 '!C:F,4,0)</f>
        <v>0.03</v>
      </c>
      <c r="H2355" s="74">
        <f t="shared" si="365"/>
        <v>7.19092592592592</v>
      </c>
      <c r="I2355" s="74">
        <f>+VLOOKUP(D2355,'材料表 '!C:F,3,0)</f>
        <v>14.1592920353982</v>
      </c>
      <c r="J2355" s="95">
        <f t="shared" si="366"/>
        <v>101.818420190101</v>
      </c>
      <c r="K2355" s="92">
        <f ca="1">H2355*K2328</f>
        <v>54.4229408666666</v>
      </c>
      <c r="L2355" s="69" t="s">
        <v>429</v>
      </c>
      <c r="M2355" s="81" t="s">
        <v>1042</v>
      </c>
      <c r="N2355" s="82">
        <v>0.687</v>
      </c>
      <c r="O2355" s="44">
        <v>0</v>
      </c>
      <c r="P2355" s="34">
        <f>8*2</f>
        <v>16</v>
      </c>
      <c r="Q2355" s="44">
        <f t="shared" si="364"/>
        <v>0</v>
      </c>
      <c r="R2355" s="84">
        <f>+Q2355/R2329</f>
        <v>0</v>
      </c>
      <c r="S2355" s="47"/>
      <c r="T2355" s="47"/>
    </row>
    <row r="2356" s="27" customFormat="1" ht="18" customHeight="1" spans="1:21">
      <c r="A2356" s="34"/>
      <c r="B2356" s="48">
        <v>15</v>
      </c>
      <c r="C2356" s="48"/>
      <c r="D2356" s="88"/>
      <c r="E2356" s="72"/>
      <c r="F2356" s="77"/>
      <c r="G2356" s="89"/>
      <c r="H2356" s="74"/>
      <c r="I2356" s="74"/>
      <c r="J2356" s="95"/>
      <c r="K2356" s="92"/>
      <c r="L2356" s="92"/>
      <c r="M2356" s="44"/>
      <c r="N2356" s="44"/>
      <c r="O2356" s="44"/>
      <c r="P2356" s="44"/>
      <c r="Q2356" s="44"/>
      <c r="R2356" s="84"/>
      <c r="S2356" s="47"/>
      <c r="T2356" s="47"/>
    </row>
    <row r="2357" s="27" customFormat="1" ht="18" customHeight="1" spans="1:21">
      <c r="A2357" s="34"/>
      <c r="B2357" s="48">
        <v>16</v>
      </c>
      <c r="C2357" s="48"/>
      <c r="D2357" s="88"/>
      <c r="E2357" s="72"/>
      <c r="F2357" s="77"/>
      <c r="G2357" s="89"/>
      <c r="H2357" s="74"/>
      <c r="I2357" s="74"/>
      <c r="J2357" s="95"/>
      <c r="K2357" s="92"/>
      <c r="L2357" s="92"/>
      <c r="M2357" s="44"/>
      <c r="N2357" s="44"/>
      <c r="O2357" s="44"/>
      <c r="P2357" s="44"/>
      <c r="Q2357" s="44"/>
      <c r="R2357" s="84"/>
      <c r="S2357" s="47"/>
      <c r="T2357" s="47"/>
    </row>
    <row r="2358" s="27" customFormat="1" ht="18" customHeight="1" spans="1:21">
      <c r="A2358" s="34"/>
      <c r="B2358" s="48">
        <v>17</v>
      </c>
      <c r="C2358" s="48"/>
      <c r="D2358" s="121"/>
      <c r="E2358" s="72"/>
      <c r="F2358" s="77"/>
      <c r="G2358" s="89"/>
      <c r="H2358" s="74"/>
      <c r="I2358" s="74"/>
      <c r="J2358" s="95"/>
      <c r="K2358" s="92"/>
      <c r="L2358" s="92"/>
      <c r="M2358" s="44"/>
      <c r="N2358" s="44"/>
      <c r="O2358" s="44"/>
      <c r="P2358" s="44"/>
      <c r="Q2358" s="101"/>
      <c r="R2358" s="84"/>
      <c r="S2358" s="47"/>
      <c r="T2358" s="47"/>
    </row>
    <row r="2359" s="27" customFormat="1" ht="18" customHeight="1" spans="1:21">
      <c r="A2359" s="34"/>
      <c r="B2359" s="48">
        <v>18</v>
      </c>
      <c r="C2359" s="48"/>
      <c r="D2359" s="88"/>
      <c r="E2359" s="72"/>
      <c r="F2359" s="77"/>
      <c r="G2359" s="89"/>
      <c r="H2359" s="74"/>
      <c r="I2359" s="74"/>
      <c r="J2359" s="95"/>
      <c r="K2359" s="92"/>
      <c r="L2359" s="92"/>
      <c r="M2359" s="44"/>
      <c r="N2359" s="44"/>
      <c r="O2359" s="44"/>
      <c r="P2359" s="44"/>
      <c r="Q2359" s="44"/>
      <c r="R2359" s="84"/>
      <c r="S2359" s="47"/>
      <c r="T2359" s="47"/>
    </row>
    <row r="2360" s="27" customFormat="1" ht="18" customHeight="1" spans="1:21">
      <c r="A2360" s="34"/>
      <c r="B2360" s="48">
        <v>19</v>
      </c>
      <c r="C2360" s="48"/>
      <c r="D2360" s="27"/>
      <c r="E2360" s="72"/>
      <c r="F2360" s="77"/>
      <c r="G2360" s="89"/>
      <c r="H2360" s="74"/>
      <c r="I2360" s="74"/>
      <c r="J2360" s="95"/>
      <c r="K2360" s="92"/>
      <c r="L2360" s="92"/>
      <c r="M2360" s="44"/>
      <c r="N2360" s="44"/>
      <c r="O2360" s="44"/>
      <c r="P2360" s="44"/>
      <c r="Q2360" s="44"/>
      <c r="R2360" s="84"/>
      <c r="S2360" s="47"/>
      <c r="T2360" s="47"/>
    </row>
    <row r="2361" s="27" customFormat="1" ht="18" customHeight="1" spans="1:21">
      <c r="A2361" s="34"/>
      <c r="B2361" s="48">
        <v>20</v>
      </c>
      <c r="C2361" s="48"/>
      <c r="D2361" s="88"/>
      <c r="E2361" s="72"/>
      <c r="F2361" s="77"/>
      <c r="G2361" s="89"/>
      <c r="H2361" s="74"/>
      <c r="I2361" s="74"/>
      <c r="J2361" s="95"/>
      <c r="K2361" s="92"/>
      <c r="L2361" s="92"/>
      <c r="M2361" s="44"/>
      <c r="N2361" s="44"/>
      <c r="O2361" s="44"/>
      <c r="P2361" s="44"/>
      <c r="Q2361" s="44"/>
      <c r="R2361" s="84"/>
      <c r="S2361" s="47"/>
      <c r="T2361" s="47"/>
    </row>
    <row r="2362" s="27" customFormat="1" ht="18" customHeight="1" spans="1:21">
      <c r="A2362" s="34"/>
      <c r="B2362" s="48">
        <v>21</v>
      </c>
      <c r="C2362" s="48"/>
      <c r="D2362" s="88"/>
      <c r="E2362" s="72"/>
      <c r="F2362" s="77"/>
      <c r="G2362" s="89"/>
      <c r="H2362" s="74"/>
      <c r="I2362" s="74"/>
      <c r="J2362" s="95"/>
      <c r="K2362" s="92"/>
      <c r="L2362" s="92"/>
      <c r="M2362" s="44"/>
      <c r="N2362" s="44"/>
      <c r="O2362" s="44"/>
      <c r="P2362" s="44"/>
      <c r="Q2362" s="44"/>
      <c r="R2362" s="84"/>
      <c r="S2362" s="47"/>
      <c r="T2362" s="47"/>
    </row>
    <row r="2363" s="27" customFormat="1" ht="18" customHeight="1" spans="1:21">
      <c r="A2363" s="34"/>
      <c r="B2363" s="48">
        <v>22</v>
      </c>
      <c r="C2363" s="48"/>
      <c r="D2363" s="27"/>
      <c r="E2363" s="72"/>
      <c r="F2363" s="77"/>
      <c r="G2363" s="72"/>
      <c r="H2363" s="74"/>
      <c r="I2363" s="74"/>
      <c r="J2363" s="95"/>
      <c r="K2363" s="92"/>
      <c r="L2363" s="92"/>
      <c r="M2363" s="44"/>
      <c r="N2363" s="44"/>
      <c r="O2363" s="44"/>
      <c r="P2363" s="44"/>
      <c r="Q2363" s="44"/>
      <c r="R2363" s="62"/>
      <c r="S2363" s="47"/>
      <c r="T2363" s="47"/>
    </row>
    <row r="2364" s="27" customFormat="1" ht="18" customHeight="1" spans="1:21">
      <c r="A2364" s="34"/>
      <c r="B2364" s="48">
        <v>23</v>
      </c>
      <c r="C2364" s="48"/>
      <c r="D2364" s="88"/>
      <c r="E2364" s="72"/>
      <c r="F2364" s="77"/>
      <c r="G2364" s="89"/>
      <c r="H2364" s="74"/>
      <c r="I2364" s="74"/>
      <c r="J2364" s="95"/>
      <c r="K2364" s="92"/>
      <c r="L2364" s="92"/>
      <c r="M2364" s="44"/>
      <c r="N2364" s="44"/>
      <c r="O2364" s="44"/>
      <c r="P2364" s="44"/>
      <c r="Q2364" s="44"/>
      <c r="R2364" s="62"/>
      <c r="S2364" s="47"/>
      <c r="T2364" s="47"/>
    </row>
    <row r="2365" s="27" customFormat="1" ht="18" customHeight="1" spans="1:21">
      <c r="A2365" s="34"/>
      <c r="B2365" s="48">
        <v>24</v>
      </c>
      <c r="C2365" s="48"/>
      <c r="D2365" s="88" t="s">
        <v>478</v>
      </c>
      <c r="E2365" s="72" t="s">
        <v>43</v>
      </c>
      <c r="F2365" s="77"/>
      <c r="G2365" s="72">
        <v>1</v>
      </c>
      <c r="H2365" s="74">
        <v>1</v>
      </c>
      <c r="I2365" s="74">
        <f>+辅材及安装费!$E$3</f>
        <v>5</v>
      </c>
      <c r="J2365" s="95">
        <f>H2365*I2365</f>
        <v>5</v>
      </c>
      <c r="K2365" s="92"/>
      <c r="L2365" s="92"/>
      <c r="M2365" s="44"/>
      <c r="N2365" s="44"/>
      <c r="O2365" s="44"/>
      <c r="P2365" s="44"/>
      <c r="Q2365" s="44"/>
      <c r="R2365" s="62"/>
      <c r="S2365" s="47"/>
      <c r="T2365" s="47"/>
    </row>
    <row r="2366" s="27" customFormat="1" ht="18" customHeight="1" spans="1:21">
      <c r="A2366" s="34"/>
      <c r="B2366" s="48">
        <v>25</v>
      </c>
      <c r="C2366" s="48"/>
      <c r="D2366" s="93" t="s">
        <v>442</v>
      </c>
      <c r="E2366" s="72"/>
      <c r="F2366" s="77"/>
      <c r="G2366" s="72"/>
      <c r="H2366" s="74"/>
      <c r="I2366" s="74"/>
      <c r="J2366" s="95">
        <f>SUM(J2342:J2365)</f>
        <v>535.077040992226</v>
      </c>
      <c r="K2366" s="92"/>
      <c r="L2366" s="94"/>
      <c r="M2366" s="27"/>
      <c r="N2366" s="83"/>
      <c r="O2366" s="83"/>
      <c r="P2366" s="83"/>
      <c r="Q2366" s="83"/>
      <c r="R2366" s="87"/>
      <c r="S2366" s="47"/>
      <c r="T2366" s="47"/>
    </row>
    <row r="2367" s="27" customFormat="1" ht="18" customHeight="1" spans="1:21">
      <c r="A2367" s="34"/>
      <c r="B2367" s="48">
        <v>1</v>
      </c>
      <c r="C2367" s="48" t="s">
        <v>443</v>
      </c>
      <c r="D2367" s="48" t="s">
        <v>444</v>
      </c>
      <c r="E2367" s="72" t="s">
        <v>43</v>
      </c>
      <c r="F2367" s="50"/>
      <c r="G2367" s="48"/>
      <c r="H2367" s="51">
        <v>1</v>
      </c>
      <c r="I2367" s="74">
        <f>+辅材及安装费!$F$3</f>
        <v>5</v>
      </c>
      <c r="J2367" s="95">
        <f>H2367*I2367</f>
        <v>5</v>
      </c>
      <c r="K2367" s="118"/>
      <c r="L2367" s="96"/>
      <c r="M2367" s="97"/>
      <c r="N2367" s="98"/>
      <c r="O2367" s="98"/>
      <c r="P2367" s="98"/>
      <c r="Q2367" s="98"/>
      <c r="R2367" s="99"/>
      <c r="S2367" s="47"/>
      <c r="T2367" s="47"/>
    </row>
    <row r="2368" s="26" customFormat="1" ht="30" customHeight="1" spans="1:21">
      <c r="A2368" s="28"/>
      <c r="B2368" s="29" t="s">
        <v>386</v>
      </c>
      <c r="C2368" s="29"/>
      <c r="D2368" s="29"/>
      <c r="E2368" s="29"/>
      <c r="F2368" s="29"/>
      <c r="G2368" s="29"/>
      <c r="H2368" s="29"/>
      <c r="I2368" s="29"/>
      <c r="J2368" s="29"/>
      <c r="K2368" s="29"/>
      <c r="L2368" s="30"/>
      <c r="M2368" s="31"/>
      <c r="N2368" s="31"/>
      <c r="O2368" s="31"/>
      <c r="P2368" s="31"/>
      <c r="Q2368" s="31"/>
      <c r="R2368" s="32"/>
      <c r="S2368" s="33"/>
      <c r="T2368" s="33"/>
    </row>
    <row r="2369" s="27" customFormat="1" ht="33.75" customHeight="1" spans="1:20">
      <c r="A2369" s="34">
        <v>5</v>
      </c>
      <c r="B2369" s="35" t="s">
        <v>1</v>
      </c>
      <c r="C2369" s="35" t="s">
        <v>387</v>
      </c>
      <c r="D2369" s="36" t="str">
        <f>+A2377</f>
        <v>银灰色铝合金瓦楞板（异形）</v>
      </c>
      <c r="E2369" s="37"/>
      <c r="F2369" s="38" t="s">
        <v>119</v>
      </c>
      <c r="G2369" s="39"/>
      <c r="H2369" s="35" t="s">
        <v>388</v>
      </c>
      <c r="I2369" s="40" t="s">
        <v>389</v>
      </c>
      <c r="J2369" s="41" t="s">
        <v>37</v>
      </c>
      <c r="K2369" s="122">
        <f ca="1">VLOOKUP(A2369,'商业工程量清单 '!$A$59:$D$81,4,FALSE)</f>
        <v>39.45325</v>
      </c>
      <c r="L2369" s="43"/>
      <c r="M2369" s="44"/>
      <c r="N2369" s="44"/>
      <c r="O2369" s="44"/>
      <c r="P2369" s="45"/>
      <c r="Q2369" s="44"/>
      <c r="R2369" s="46"/>
      <c r="S2369" s="47"/>
      <c r="T2369" s="47"/>
    </row>
    <row r="2370" s="27" customFormat="1" ht="25" customHeight="1" spans="1:20">
      <c r="A2370" s="34"/>
      <c r="B2370" s="48">
        <v>1</v>
      </c>
      <c r="C2370" s="49" t="s">
        <v>390</v>
      </c>
      <c r="D2370" s="48" t="s">
        <v>391</v>
      </c>
      <c r="E2370" s="48"/>
      <c r="F2370" s="50"/>
      <c r="G2370" s="48"/>
      <c r="H2370" s="51"/>
      <c r="I2370" s="52">
        <f>J2382</f>
        <v>165</v>
      </c>
      <c r="J2370" s="53" t="s">
        <v>392</v>
      </c>
      <c r="K2370" s="54"/>
      <c r="L2370" s="55" t="s">
        <v>313</v>
      </c>
      <c r="M2370" s="56" t="s">
        <v>1059</v>
      </c>
      <c r="N2370" s="57"/>
      <c r="O2370" s="57">
        <f>11.4+1.85</f>
        <v>13.25</v>
      </c>
      <c r="P2370" s="57">
        <v>0.25</v>
      </c>
      <c r="Q2370" s="57">
        <v>1</v>
      </c>
      <c r="R2370" s="58">
        <f>+Q2370*P2370*O2370</f>
        <v>3.3125</v>
      </c>
      <c r="S2370" s="47"/>
      <c r="T2370" s="47"/>
    </row>
    <row r="2371" s="27" customFormat="1" ht="18" customHeight="1" spans="1:20">
      <c r="A2371" s="34"/>
      <c r="B2371" s="48">
        <v>2</v>
      </c>
      <c r="C2371" s="59"/>
      <c r="D2371" s="48" t="s">
        <v>394</v>
      </c>
      <c r="E2371" s="48"/>
      <c r="F2371" s="50"/>
      <c r="G2371" s="48"/>
      <c r="H2371" s="51"/>
      <c r="I2371" s="52">
        <f>J2407</f>
        <v>725.700187389014</v>
      </c>
      <c r="J2371" s="53" t="s">
        <v>392</v>
      </c>
      <c r="K2371" s="60"/>
      <c r="L2371" s="61" t="s">
        <v>119</v>
      </c>
      <c r="M2371" s="44"/>
      <c r="N2371" s="44"/>
      <c r="O2371" s="44"/>
      <c r="P2371" s="44"/>
      <c r="Q2371" s="44"/>
      <c r="R2371" s="62"/>
      <c r="S2371" s="47"/>
      <c r="T2371" s="47"/>
    </row>
    <row r="2372" s="27" customFormat="1" ht="18" customHeight="1" spans="1:20">
      <c r="A2372" s="34"/>
      <c r="B2372" s="48">
        <v>3</v>
      </c>
      <c r="C2372" s="63"/>
      <c r="D2372" s="48" t="s">
        <v>395</v>
      </c>
      <c r="E2372" s="48"/>
      <c r="F2372" s="50"/>
      <c r="G2372" s="48"/>
      <c r="H2372" s="51"/>
      <c r="I2372" s="52">
        <f>J2408</f>
        <v>5</v>
      </c>
      <c r="J2372" s="53" t="s">
        <v>392</v>
      </c>
      <c r="K2372" s="60"/>
      <c r="L2372" s="60"/>
      <c r="M2372" s="65" t="s">
        <v>396</v>
      </c>
      <c r="N2372" s="65" t="s">
        <v>397</v>
      </c>
      <c r="O2372" s="65" t="s">
        <v>398</v>
      </c>
      <c r="P2372" s="65" t="s">
        <v>399</v>
      </c>
      <c r="Q2372" s="65" t="s">
        <v>400</v>
      </c>
      <c r="R2372" s="66" t="s">
        <v>401</v>
      </c>
      <c r="S2372" s="47"/>
      <c r="T2372" s="47"/>
    </row>
    <row r="2373" s="27" customFormat="1" ht="18" customHeight="1" spans="1:20">
      <c r="A2373" s="34"/>
      <c r="B2373" s="48">
        <v>4</v>
      </c>
      <c r="C2373" s="48" t="s">
        <v>402</v>
      </c>
      <c r="D2373" s="67" t="s">
        <v>403</v>
      </c>
      <c r="E2373" s="67"/>
      <c r="F2373" s="50"/>
      <c r="G2373" s="67"/>
      <c r="H2373" s="68"/>
      <c r="I2373" s="52">
        <f>SUM(I2370:I2372)</f>
        <v>895.700187389014</v>
      </c>
      <c r="J2373" s="53" t="s">
        <v>392</v>
      </c>
      <c r="K2373" s="60"/>
      <c r="L2373" s="69" t="s">
        <v>431</v>
      </c>
      <c r="M2373" s="34" t="s">
        <v>1060</v>
      </c>
      <c r="N2373" s="34">
        <v>7.07</v>
      </c>
      <c r="O2373" s="34">
        <f>O2370</f>
        <v>13.25</v>
      </c>
      <c r="P2373" s="34">
        <v>0.5</v>
      </c>
      <c r="Q2373" s="44">
        <f t="shared" ref="Q2373:Q2380" si="367">+P2373*O2373*N2373</f>
        <v>46.83875</v>
      </c>
      <c r="R2373" s="71">
        <f>+Q2373/R2370</f>
        <v>14.14</v>
      </c>
      <c r="S2373" s="47"/>
      <c r="T2373" s="47"/>
    </row>
    <row r="2374" s="27" customFormat="1" ht="28" customHeight="1" spans="1:20">
      <c r="A2374" s="34"/>
      <c r="B2374" s="48">
        <v>5</v>
      </c>
      <c r="C2374" s="72" t="s">
        <v>406</v>
      </c>
      <c r="D2374" s="48" t="s">
        <v>407</v>
      </c>
      <c r="E2374" s="48"/>
      <c r="F2374" s="50"/>
      <c r="G2374" s="48"/>
      <c r="H2374" s="73">
        <f>+'材料表 '!$E$178</f>
        <v>0</v>
      </c>
      <c r="I2374" s="52">
        <f>H2374*I2373</f>
        <v>0</v>
      </c>
      <c r="J2374" s="53" t="s">
        <v>392</v>
      </c>
      <c r="K2374" s="60"/>
      <c r="L2374" s="69" t="s">
        <v>461</v>
      </c>
      <c r="M2374" s="34" t="s">
        <v>462</v>
      </c>
      <c r="N2374" s="34">
        <v>3.77</v>
      </c>
      <c r="O2374" s="34">
        <f>+O2370</f>
        <v>13.25</v>
      </c>
      <c r="P2374" s="34">
        <v>0</v>
      </c>
      <c r="Q2374" s="44">
        <f t="shared" si="367"/>
        <v>0</v>
      </c>
      <c r="R2374" s="71">
        <f>+Q2374/R2370</f>
        <v>0</v>
      </c>
      <c r="S2374" s="47"/>
      <c r="T2374" s="47"/>
    </row>
    <row r="2375" s="27" customFormat="1" ht="22" customHeight="1" spans="1:20">
      <c r="A2375" s="34"/>
      <c r="B2375" s="48">
        <v>6</v>
      </c>
      <c r="C2375" s="48" t="s">
        <v>409</v>
      </c>
      <c r="D2375" s="48" t="s">
        <v>410</v>
      </c>
      <c r="E2375" s="48"/>
      <c r="F2375" s="50"/>
      <c r="G2375" s="48"/>
      <c r="H2375" s="73">
        <f>+'材料表 '!$E$179</f>
        <v>0</v>
      </c>
      <c r="I2375" s="52">
        <f>H2375*I2373</f>
        <v>0</v>
      </c>
      <c r="J2375" s="53" t="s">
        <v>392</v>
      </c>
      <c r="K2375" s="60"/>
      <c r="L2375" s="69" t="s">
        <v>461</v>
      </c>
      <c r="M2375" s="34" t="s">
        <v>462</v>
      </c>
      <c r="N2375" s="34">
        <v>3.77</v>
      </c>
      <c r="O2375" s="34">
        <f>0.18</f>
        <v>0.18</v>
      </c>
      <c r="P2375" s="34">
        <v>0</v>
      </c>
      <c r="Q2375" s="44">
        <f t="shared" si="367"/>
        <v>0</v>
      </c>
      <c r="R2375" s="71">
        <f>+Q2375/R2370</f>
        <v>0</v>
      </c>
      <c r="S2375" s="47"/>
      <c r="T2375" s="47"/>
    </row>
    <row r="2376" s="27" customFormat="1" ht="23" customHeight="1" spans="1:20">
      <c r="A2376" s="34"/>
      <c r="B2376" s="48">
        <v>7</v>
      </c>
      <c r="C2376" s="48" t="s">
        <v>412</v>
      </c>
      <c r="D2376" s="72" t="s">
        <v>413</v>
      </c>
      <c r="E2376" s="72"/>
      <c r="F2376" s="77"/>
      <c r="G2376" s="72"/>
      <c r="H2376" s="73">
        <f>+'材料表 '!$E$180</f>
        <v>0.09</v>
      </c>
      <c r="I2376" s="52">
        <f>(I2373+I2374+I2375)*H2376</f>
        <v>80.6130168650112</v>
      </c>
      <c r="J2376" s="53" t="s">
        <v>392</v>
      </c>
      <c r="K2376" s="60"/>
      <c r="L2376" s="69" t="s">
        <v>463</v>
      </c>
      <c r="M2376" s="34" t="s">
        <v>490</v>
      </c>
      <c r="N2376" s="34">
        <f>0.3*0.2*7.85*10</f>
        <v>4.71</v>
      </c>
      <c r="O2376" s="34">
        <v>0</v>
      </c>
      <c r="P2376" s="34">
        <v>8</v>
      </c>
      <c r="Q2376" s="44">
        <f t="shared" si="367"/>
        <v>0</v>
      </c>
      <c r="R2376" s="71">
        <f>+Q2376/R2370</f>
        <v>0</v>
      </c>
      <c r="S2376" s="47"/>
      <c r="T2376" s="47"/>
    </row>
    <row r="2377" s="27" customFormat="1" ht="23" customHeight="1" spans="1:20">
      <c r="A2377" s="34" t="s">
        <v>312</v>
      </c>
      <c r="B2377" s="48">
        <v>8</v>
      </c>
      <c r="C2377" s="48" t="s">
        <v>363</v>
      </c>
      <c r="D2377" s="106" t="s">
        <v>415</v>
      </c>
      <c r="E2377" s="107"/>
      <c r="F2377" s="108"/>
      <c r="G2377" s="107"/>
      <c r="H2377" s="51"/>
      <c r="I2377" s="74">
        <f>SUM(I2373:I2376)</f>
        <v>976.313204254025</v>
      </c>
      <c r="J2377" s="53" t="s">
        <v>416</v>
      </c>
      <c r="K2377" s="60"/>
      <c r="L2377" s="69" t="s">
        <v>465</v>
      </c>
      <c r="M2377" s="34" t="s">
        <v>466</v>
      </c>
      <c r="N2377" s="100">
        <f>1.2789*7.85</f>
        <v>10.039365</v>
      </c>
      <c r="O2377" s="34">
        <f>35/1000</f>
        <v>0.035</v>
      </c>
      <c r="P2377" s="44">
        <f>+P2376*O2376*2</f>
        <v>0</v>
      </c>
      <c r="Q2377" s="44">
        <f t="shared" si="367"/>
        <v>0</v>
      </c>
      <c r="R2377" s="84">
        <f>+Q2377/R2370</f>
        <v>0</v>
      </c>
      <c r="S2377" s="79"/>
      <c r="T2377" s="47"/>
    </row>
    <row r="2378" s="27" customFormat="1" ht="18" customHeight="1" spans="1:20">
      <c r="A2378" s="34"/>
      <c r="B2378" s="109" t="s">
        <v>418</v>
      </c>
      <c r="C2378" s="110"/>
      <c r="D2378" s="110"/>
      <c r="E2378" s="110"/>
      <c r="F2378" s="110"/>
      <c r="G2378" s="110"/>
      <c r="H2378" s="110"/>
      <c r="I2378" s="110"/>
      <c r="J2378" s="110"/>
      <c r="K2378" s="80"/>
      <c r="L2378" s="69" t="s">
        <v>433</v>
      </c>
      <c r="M2378" s="44"/>
      <c r="N2378" s="82">
        <f>0.056*3*2.71+0.0675*3*2.71</f>
        <v>1.004055</v>
      </c>
      <c r="O2378" s="44">
        <f>O2370</f>
        <v>13.25</v>
      </c>
      <c r="P2378" s="44">
        <v>0</v>
      </c>
      <c r="Q2378" s="44">
        <f t="shared" si="367"/>
        <v>0</v>
      </c>
      <c r="R2378" s="84">
        <f>+Q2378/R2370</f>
        <v>0</v>
      </c>
      <c r="S2378" s="47">
        <f>0.16*P2378*O2378/R2370</f>
        <v>0</v>
      </c>
      <c r="T2378" s="47"/>
    </row>
    <row r="2379" s="27" customFormat="1" ht="18" customHeight="1" spans="1:20">
      <c r="A2379" s="34"/>
      <c r="B2379" s="48">
        <v>1</v>
      </c>
      <c r="C2379" s="48" t="s">
        <v>391</v>
      </c>
      <c r="D2379" s="48" t="s">
        <v>396</v>
      </c>
      <c r="E2379" s="48" t="s">
        <v>37</v>
      </c>
      <c r="F2379" s="50"/>
      <c r="G2379" s="48"/>
      <c r="H2379" s="51" t="s">
        <v>399</v>
      </c>
      <c r="I2379" s="51" t="s">
        <v>420</v>
      </c>
      <c r="J2379" s="95" t="s">
        <v>421</v>
      </c>
      <c r="K2379" s="92"/>
      <c r="L2379" s="69" t="s">
        <v>433</v>
      </c>
      <c r="M2379" s="44" t="s">
        <v>498</v>
      </c>
      <c r="N2379" s="82">
        <f>0.0445*2*2.71</f>
        <v>0.24119</v>
      </c>
      <c r="O2379" s="44">
        <f>+O2378</f>
        <v>13.25</v>
      </c>
      <c r="P2379" s="44">
        <v>1</v>
      </c>
      <c r="Q2379" s="44">
        <f t="shared" si="367"/>
        <v>3.1957675</v>
      </c>
      <c r="R2379" s="84">
        <f>+Q2379/R2370</f>
        <v>0.96476</v>
      </c>
      <c r="S2379" s="47"/>
      <c r="T2379" s="47"/>
    </row>
    <row r="2380" s="27" customFormat="1" ht="18" customHeight="1" spans="1:20">
      <c r="A2380" s="34"/>
      <c r="B2380" s="48">
        <v>2</v>
      </c>
      <c r="C2380" s="48"/>
      <c r="D2380" s="111" t="s">
        <v>491</v>
      </c>
      <c r="E2380" s="49" t="s">
        <v>423</v>
      </c>
      <c r="F2380" s="112"/>
      <c r="G2380" s="111"/>
      <c r="H2380" s="113">
        <v>1</v>
      </c>
      <c r="I2380" s="113">
        <f>+辅材及安装费!$G$3</f>
        <v>165</v>
      </c>
      <c r="J2380" s="114">
        <f t="shared" ref="J2380:J2388" si="368">H2380*I2380</f>
        <v>165</v>
      </c>
      <c r="K2380" s="92"/>
      <c r="L2380" s="69" t="s">
        <v>433</v>
      </c>
      <c r="M2380" s="44" t="s">
        <v>498</v>
      </c>
      <c r="N2380" s="82">
        <f>0.0445*2*2.71</f>
        <v>0.24119</v>
      </c>
      <c r="O2380" s="44">
        <f>P2370</f>
        <v>0.25</v>
      </c>
      <c r="P2380" s="44">
        <v>1</v>
      </c>
      <c r="Q2380" s="44">
        <f t="shared" si="367"/>
        <v>0.0602975</v>
      </c>
      <c r="R2380" s="84">
        <f>+Q2380/R2370</f>
        <v>0.0182030188679245</v>
      </c>
      <c r="S2380" s="47"/>
      <c r="T2380" s="47"/>
    </row>
    <row r="2381" s="27" customFormat="1" ht="18" customHeight="1" spans="1:20">
      <c r="A2381" s="34"/>
      <c r="B2381" s="48">
        <v>3</v>
      </c>
      <c r="C2381" s="48"/>
      <c r="D2381" s="115"/>
      <c r="E2381" s="63"/>
      <c r="F2381" s="116"/>
      <c r="G2381" s="115"/>
      <c r="H2381" s="117"/>
      <c r="I2381" s="117"/>
      <c r="J2381" s="118"/>
      <c r="K2381" s="92"/>
      <c r="L2381" s="90" t="s">
        <v>472</v>
      </c>
      <c r="M2381" s="44"/>
      <c r="N2381" s="82"/>
      <c r="O2381" s="44"/>
      <c r="P2381" s="44">
        <f>+P2377</f>
        <v>0</v>
      </c>
      <c r="Q2381" s="44">
        <f>+P2381</f>
        <v>0</v>
      </c>
      <c r="R2381" s="84">
        <f>+Q2381/R2370</f>
        <v>0</v>
      </c>
      <c r="S2381" s="47"/>
      <c r="T2381" s="47"/>
    </row>
    <row r="2382" s="27" customFormat="1" ht="21" customHeight="1" spans="1:20">
      <c r="A2382" s="34"/>
      <c r="B2382" s="48">
        <v>4</v>
      </c>
      <c r="C2382" s="48"/>
      <c r="D2382" s="85" t="s">
        <v>426</v>
      </c>
      <c r="E2382" s="48" t="s">
        <v>392</v>
      </c>
      <c r="F2382" s="50"/>
      <c r="G2382" s="48"/>
      <c r="H2382" s="86"/>
      <c r="I2382" s="86"/>
      <c r="J2382" s="95">
        <f>SUM(J2380:J2380)</f>
        <v>165</v>
      </c>
      <c r="K2382" s="92"/>
      <c r="L2382" s="90" t="s">
        <v>473</v>
      </c>
      <c r="M2382" s="44"/>
      <c r="N2382" s="82"/>
      <c r="O2382" s="44"/>
      <c r="P2382" s="44"/>
      <c r="Q2382" s="44">
        <f>+(Q2379)*2</f>
        <v>6.391535</v>
      </c>
      <c r="R2382" s="84">
        <f>+Q2382/R2370</f>
        <v>1.92952</v>
      </c>
      <c r="S2382" s="47"/>
      <c r="T2382" s="47"/>
    </row>
    <row r="2383" s="27" customFormat="1" ht="26" customHeight="1" spans="1:20">
      <c r="A2383" s="34"/>
      <c r="B2383" s="48">
        <v>1</v>
      </c>
      <c r="C2383" s="48" t="s">
        <v>394</v>
      </c>
      <c r="D2383" s="88" t="s">
        <v>431</v>
      </c>
      <c r="E2383" s="72" t="str">
        <f>+VLOOKUP(D2383,'材料表 '!C:F,2,0)</f>
        <v>kg</v>
      </c>
      <c r="F2383" s="77">
        <f>+SUMIF($L$2370:$L$2408,D2383,$R$2370:$R$2408)</f>
        <v>14.14</v>
      </c>
      <c r="G2383" s="89">
        <f>+VLOOKUP(D2383,'材料表 '!C:F,4,0)</f>
        <v>0.03</v>
      </c>
      <c r="H2383" s="74">
        <f t="shared" ref="H2383:H2388" si="369">F2383*(G2383+1)</f>
        <v>14.5642</v>
      </c>
      <c r="I2383" s="74">
        <f>+VLOOKUP(D2383,'材料表 '!C:F,3,0)</f>
        <v>3.80530973451327</v>
      </c>
      <c r="J2383" s="95">
        <f t="shared" si="368"/>
        <v>55.4212920353982</v>
      </c>
      <c r="K2383" s="92">
        <f ca="1">H2383*K2369</f>
        <v>574.60502365</v>
      </c>
      <c r="L2383" s="90"/>
      <c r="M2383" s="44"/>
      <c r="N2383" s="82"/>
      <c r="O2383" s="44"/>
      <c r="P2383" s="44"/>
      <c r="Q2383" s="44"/>
      <c r="R2383" s="84"/>
      <c r="S2383" s="47"/>
      <c r="T2383" s="47"/>
    </row>
    <row r="2384" s="27" customFormat="1" ht="18" customHeight="1" spans="1:20">
      <c r="A2384" s="34"/>
      <c r="B2384" s="48">
        <v>2</v>
      </c>
      <c r="C2384" s="48"/>
      <c r="D2384" s="88" t="s">
        <v>461</v>
      </c>
      <c r="E2384" s="72" t="str">
        <f>+VLOOKUP(D2384,'材料表 '!C:F,2,0)</f>
        <v>kg</v>
      </c>
      <c r="F2384" s="77">
        <f t="shared" ref="F2384:F2393" si="370">+SUMIF($L$2370:$L$2408,D2384,$R$2370:$R$2408)</f>
        <v>0</v>
      </c>
      <c r="G2384" s="89">
        <f>+VLOOKUP(D2384,'材料表 '!C:F,4,0)</f>
        <v>0.03</v>
      </c>
      <c r="H2384" s="74">
        <f t="shared" si="369"/>
        <v>0</v>
      </c>
      <c r="I2384" s="74">
        <f>+VLOOKUP(D2384,'材料表 '!C:F,3,0)</f>
        <v>3.53982300884956</v>
      </c>
      <c r="J2384" s="95">
        <f t="shared" si="368"/>
        <v>0</v>
      </c>
      <c r="K2384" s="92">
        <f ca="1">H2384*K2369</f>
        <v>0</v>
      </c>
      <c r="L2384" s="90"/>
      <c r="M2384" s="44"/>
      <c r="N2384" s="82"/>
      <c r="O2384" s="44"/>
      <c r="P2384" s="44"/>
      <c r="Q2384" s="44"/>
      <c r="R2384" s="84"/>
      <c r="S2384" s="47"/>
      <c r="T2384" s="47"/>
    </row>
    <row r="2385" s="27" customFormat="1" ht="18" customHeight="1" spans="1:21">
      <c r="A2385" s="34"/>
      <c r="B2385" s="48">
        <v>3</v>
      </c>
      <c r="C2385" s="48"/>
      <c r="D2385" s="88" t="s">
        <v>465</v>
      </c>
      <c r="E2385" s="72" t="str">
        <f>+VLOOKUP(D2385,'材料表 '!C:F,2,0)</f>
        <v>kg</v>
      </c>
      <c r="F2385" s="77">
        <f t="shared" si="370"/>
        <v>0</v>
      </c>
      <c r="G2385" s="89">
        <f>+VLOOKUP(D2385,'材料表 '!C:F,4,0)</f>
        <v>0.03</v>
      </c>
      <c r="H2385" s="74">
        <f t="shared" si="369"/>
        <v>0</v>
      </c>
      <c r="I2385" s="74">
        <f>+VLOOKUP(D2385,'材料表 '!C:F,3,0)</f>
        <v>6.01769911504425</v>
      </c>
      <c r="J2385" s="95">
        <f t="shared" si="368"/>
        <v>0</v>
      </c>
      <c r="K2385" s="92">
        <f ca="1">H2385*K2369</f>
        <v>0</v>
      </c>
      <c r="L2385" s="90"/>
      <c r="M2385" s="44"/>
      <c r="N2385" s="82"/>
      <c r="O2385" s="44"/>
      <c r="P2385" s="44"/>
      <c r="Q2385" s="44"/>
      <c r="R2385" s="84"/>
      <c r="S2385" s="47"/>
      <c r="T2385" s="47"/>
    </row>
    <row r="2386" s="27" customFormat="1" ht="18" customHeight="1" spans="1:21">
      <c r="A2386" s="34"/>
      <c r="B2386" s="48">
        <v>4</v>
      </c>
      <c r="C2386" s="48"/>
      <c r="D2386" s="88" t="s">
        <v>463</v>
      </c>
      <c r="E2386" s="72" t="str">
        <f>+VLOOKUP(D2386,'材料表 '!C:F,2,0)</f>
        <v>kg</v>
      </c>
      <c r="F2386" s="77">
        <f t="shared" si="370"/>
        <v>0</v>
      </c>
      <c r="G2386" s="89">
        <f>+VLOOKUP(D2386,'材料表 '!C:F,4,0)</f>
        <v>0.03</v>
      </c>
      <c r="H2386" s="74">
        <f t="shared" si="369"/>
        <v>0</v>
      </c>
      <c r="I2386" s="74">
        <f>+VLOOKUP(D2386,'材料表 '!C:F,3,0)</f>
        <v>6.01769911504425</v>
      </c>
      <c r="J2386" s="95">
        <f t="shared" si="368"/>
        <v>0</v>
      </c>
      <c r="K2386" s="92">
        <f ca="1">H2386*K2369</f>
        <v>0</v>
      </c>
      <c r="L2386" s="90" t="s">
        <v>474</v>
      </c>
      <c r="M2386" s="44"/>
      <c r="N2386" s="82"/>
      <c r="O2386" s="44"/>
      <c r="P2386" s="44"/>
      <c r="Q2386" s="44">
        <f>+O2376*P2376*4</f>
        <v>0</v>
      </c>
      <c r="R2386" s="84">
        <f>+Q2386/R2370</f>
        <v>0</v>
      </c>
      <c r="S2386" s="47"/>
      <c r="T2386" s="47"/>
    </row>
    <row r="2387" s="27" customFormat="1" ht="18" customHeight="1" spans="1:21">
      <c r="A2387" s="34"/>
      <c r="B2387" s="48">
        <v>5</v>
      </c>
      <c r="C2387" s="48"/>
      <c r="D2387" s="88" t="s">
        <v>433</v>
      </c>
      <c r="E2387" s="72" t="str">
        <f>+VLOOKUP(D2387,'材料表 '!C:F,2,0)</f>
        <v>kg</v>
      </c>
      <c r="F2387" s="77">
        <f t="shared" si="370"/>
        <v>0.982963018867924</v>
      </c>
      <c r="G2387" s="89">
        <f>+VLOOKUP(D2387,'材料表 '!C:F,4,0)</f>
        <v>0.03</v>
      </c>
      <c r="H2387" s="74">
        <f t="shared" si="369"/>
        <v>1.01245190943396</v>
      </c>
      <c r="I2387" s="74">
        <f>+VLOOKUP(D2387,'材料表 '!C:F,3,0)</f>
        <v>26.1150442477876</v>
      </c>
      <c r="J2387" s="95">
        <f t="shared" si="368"/>
        <v>26.440226413625</v>
      </c>
      <c r="K2387" s="92">
        <f ca="1">H2387*K2369</f>
        <v>39.9445182958754</v>
      </c>
      <c r="L2387" s="92" t="s">
        <v>476</v>
      </c>
      <c r="M2387" s="44"/>
      <c r="N2387" s="82"/>
      <c r="O2387" s="44"/>
      <c r="P2387" s="44"/>
      <c r="Q2387" s="44">
        <f>15*8*(O2370*0.5+P2370*2)/500</f>
        <v>1.71</v>
      </c>
      <c r="R2387" s="84">
        <f>+Q2387/R2370</f>
        <v>0.51622641509434</v>
      </c>
      <c r="S2387" s="47"/>
      <c r="T2387" s="47"/>
    </row>
    <row r="2388" s="27" customFormat="1" ht="18" customHeight="1" spans="1:21">
      <c r="A2388" s="34"/>
      <c r="B2388" s="48">
        <v>6</v>
      </c>
      <c r="C2388" s="48"/>
      <c r="D2388" s="88" t="s">
        <v>427</v>
      </c>
      <c r="E2388" s="72" t="str">
        <f>+VLOOKUP(D2388,'材料表 '!C:F,2,0)</f>
        <v>kg</v>
      </c>
      <c r="F2388" s="77">
        <f t="shared" si="370"/>
        <v>1.2397041509434</v>
      </c>
      <c r="G2388" s="89">
        <f>+VLOOKUP(D2388,'材料表 '!C:F,4,0)</f>
        <v>0.03</v>
      </c>
      <c r="H2388" s="74">
        <f t="shared" si="369"/>
        <v>1.2768952754717</v>
      </c>
      <c r="I2388" s="74">
        <f>+VLOOKUP(D2388,'材料表 '!C:F,3,0)</f>
        <v>25.8495575221239</v>
      </c>
      <c r="J2388" s="95">
        <f t="shared" si="368"/>
        <v>33.007177873034</v>
      </c>
      <c r="K2388" s="92">
        <f ca="1">H2388*K2369</f>
        <v>50.3776685270038</v>
      </c>
      <c r="L2388" s="69" t="s">
        <v>427</v>
      </c>
      <c r="M2388" s="70" t="s">
        <v>1007</v>
      </c>
      <c r="N2388" s="34">
        <v>3.111</v>
      </c>
      <c r="O2388" s="34">
        <v>0.165</v>
      </c>
      <c r="P2388" s="34">
        <v>8</v>
      </c>
      <c r="Q2388" s="44">
        <f t="shared" ref="Q2388:Q2396" si="371">+P2388*O2388*N2388</f>
        <v>4.10652</v>
      </c>
      <c r="R2388" s="71">
        <f>+Q2388/R2370</f>
        <v>1.2397041509434</v>
      </c>
      <c r="S2388" s="47"/>
      <c r="T2388" s="47"/>
    </row>
    <row r="2389" s="27" customFormat="1" ht="18" customHeight="1" spans="1:21">
      <c r="A2389" s="34"/>
      <c r="B2389" s="48">
        <v>7</v>
      </c>
      <c r="C2389" s="48"/>
      <c r="D2389" s="88"/>
      <c r="E2389" s="72"/>
      <c r="F2389" s="77">
        <f t="shared" si="370"/>
        <v>0</v>
      </c>
      <c r="G2389" s="89"/>
      <c r="H2389" s="74"/>
      <c r="I2389" s="74"/>
      <c r="J2389" s="95"/>
      <c r="K2389" s="92">
        <f ca="1">H2389*K2369</f>
        <v>0</v>
      </c>
      <c r="L2389" s="69" t="s">
        <v>429</v>
      </c>
      <c r="M2389" s="70" t="s">
        <v>1037</v>
      </c>
      <c r="N2389" s="34">
        <v>3.063</v>
      </c>
      <c r="O2389" s="100">
        <f>O2388/0.3*0.1</f>
        <v>0.055</v>
      </c>
      <c r="P2389" s="34">
        <v>0</v>
      </c>
      <c r="Q2389" s="44">
        <f t="shared" si="371"/>
        <v>0</v>
      </c>
      <c r="R2389" s="71">
        <f>+Q2389/R2370</f>
        <v>0</v>
      </c>
      <c r="S2389" s="47"/>
      <c r="T2389" s="47"/>
    </row>
    <row r="2390" s="27" customFormat="1" ht="18" customHeight="1" spans="1:21">
      <c r="A2390" s="34"/>
      <c r="B2390" s="48">
        <v>8</v>
      </c>
      <c r="C2390" s="48"/>
      <c r="D2390" s="88"/>
      <c r="E2390" s="72"/>
      <c r="F2390" s="77">
        <f t="shared" si="370"/>
        <v>0</v>
      </c>
      <c r="G2390" s="89"/>
      <c r="H2390" s="74"/>
      <c r="I2390" s="74"/>
      <c r="J2390" s="95"/>
      <c r="K2390" s="92">
        <f ca="1">H2390*K2369</f>
        <v>0</v>
      </c>
      <c r="L2390" s="69" t="s">
        <v>447</v>
      </c>
      <c r="M2390" s="70" t="s">
        <v>1038</v>
      </c>
      <c r="N2390" s="34">
        <f>1.041+0.104</f>
        <v>1.145</v>
      </c>
      <c r="O2390" s="34">
        <f>O2388</f>
        <v>0.165</v>
      </c>
      <c r="P2390" s="34">
        <v>0</v>
      </c>
      <c r="Q2390" s="44">
        <f t="shared" si="371"/>
        <v>0</v>
      </c>
      <c r="R2390" s="71">
        <f>+Q2390/R2370</f>
        <v>0</v>
      </c>
      <c r="S2390" s="47">
        <v>0.172</v>
      </c>
      <c r="T2390" s="47">
        <f>O2390*P2390*S2390</f>
        <v>0</v>
      </c>
      <c r="U2390" s="76">
        <f>T2390/R2370</f>
        <v>0</v>
      </c>
    </row>
    <row r="2391" s="27" customFormat="1" ht="18" customHeight="1" spans="1:21">
      <c r="A2391" s="34"/>
      <c r="B2391" s="48">
        <v>9</v>
      </c>
      <c r="C2391" s="48"/>
      <c r="D2391" s="88" t="s">
        <v>476</v>
      </c>
      <c r="E2391" s="72" t="str">
        <f>+VLOOKUP(D2391,'材料表 '!C:F,2,0)</f>
        <v>支</v>
      </c>
      <c r="F2391" s="77">
        <f t="shared" si="370"/>
        <v>0.51622641509434</v>
      </c>
      <c r="G2391" s="89">
        <f>+VLOOKUP(D2391,'材料表 '!C:F,4,0)</f>
        <v>0.15</v>
      </c>
      <c r="H2391" s="74">
        <f t="shared" ref="H2391:H2396" si="372">F2391*(G2391+1)</f>
        <v>0.593660377358491</v>
      </c>
      <c r="I2391" s="74">
        <f>+VLOOKUP(D2391,'材料表 '!C:F,3,0)</f>
        <v>11.5044247787611</v>
      </c>
      <c r="J2391" s="95">
        <f t="shared" ref="J2391:J2396" si="373">H2391*I2391</f>
        <v>6.82972115545169</v>
      </c>
      <c r="K2391" s="92">
        <f ca="1">H2391*K2369</f>
        <v>23.4218312830189</v>
      </c>
      <c r="L2391" s="69" t="s">
        <v>429</v>
      </c>
      <c r="M2391" s="70" t="s">
        <v>1010</v>
      </c>
      <c r="N2391" s="102">
        <f>2.9</f>
        <v>2.9</v>
      </c>
      <c r="O2391" s="34">
        <v>0.2</v>
      </c>
      <c r="P2391" s="34">
        <v>0</v>
      </c>
      <c r="Q2391" s="44">
        <f t="shared" si="371"/>
        <v>0</v>
      </c>
      <c r="R2391" s="71">
        <f>+Q2391/R2370</f>
        <v>0</v>
      </c>
      <c r="S2391" s="47"/>
      <c r="T2391" s="47"/>
    </row>
    <row r="2392" s="27" customFormat="1" ht="18" customHeight="1" spans="1:21">
      <c r="A2392" s="34"/>
      <c r="B2392" s="48">
        <v>10</v>
      </c>
      <c r="C2392" s="48"/>
      <c r="D2392" s="88" t="s">
        <v>474</v>
      </c>
      <c r="E2392" s="72" t="str">
        <f>+VLOOKUP(D2392,'材料表 '!C:F,2,0)</f>
        <v>套</v>
      </c>
      <c r="F2392" s="77">
        <f t="shared" si="370"/>
        <v>0</v>
      </c>
      <c r="G2392" s="89">
        <f>+VLOOKUP(D2392,'材料表 '!C:F,4,0)</f>
        <v>0</v>
      </c>
      <c r="H2392" s="74">
        <f t="shared" si="372"/>
        <v>0</v>
      </c>
      <c r="I2392" s="74">
        <f>+VLOOKUP(D2392,'材料表 '!C:F,3,0)</f>
        <v>2.21238938053097</v>
      </c>
      <c r="J2392" s="95">
        <f t="shared" si="373"/>
        <v>0</v>
      </c>
      <c r="K2392" s="92">
        <f ca="1">H2392*K2369</f>
        <v>0</v>
      </c>
      <c r="L2392" s="69" t="s">
        <v>429</v>
      </c>
      <c r="M2392" s="70" t="s">
        <v>1040</v>
      </c>
      <c r="N2392" s="34">
        <v>0.733</v>
      </c>
      <c r="O2392" s="100">
        <f>O2389*2</f>
        <v>0.11</v>
      </c>
      <c r="P2392" s="34">
        <v>0</v>
      </c>
      <c r="Q2392" s="44">
        <f t="shared" si="371"/>
        <v>0</v>
      </c>
      <c r="R2392" s="71">
        <f>+Q2392/R2370</f>
        <v>0</v>
      </c>
      <c r="S2392" s="79"/>
      <c r="T2392" s="47"/>
    </row>
    <row r="2393" s="27" customFormat="1" ht="18" customHeight="1" spans="1:21">
      <c r="A2393" s="34"/>
      <c r="B2393" s="48">
        <v>11</v>
      </c>
      <c r="C2393" s="48"/>
      <c r="D2393" s="88" t="s">
        <v>472</v>
      </c>
      <c r="E2393" s="72" t="str">
        <f>+VLOOKUP(D2393,'材料表 '!C:F,2,0)</f>
        <v>套</v>
      </c>
      <c r="F2393" s="77">
        <f t="shared" si="370"/>
        <v>0</v>
      </c>
      <c r="G2393" s="89">
        <f>+VLOOKUP(D2393,'材料表 '!C:F,4,0)</f>
        <v>0</v>
      </c>
      <c r="H2393" s="74">
        <f t="shared" si="372"/>
        <v>0</v>
      </c>
      <c r="I2393" s="74">
        <f>+VLOOKUP(D2393,'材料表 '!C:F,3,0)</f>
        <v>2.47787610619469</v>
      </c>
      <c r="J2393" s="95">
        <f t="shared" si="373"/>
        <v>0</v>
      </c>
      <c r="K2393" s="92">
        <f ca="1">H2393*K2369</f>
        <v>0</v>
      </c>
      <c r="L2393" s="69" t="s">
        <v>404</v>
      </c>
      <c r="M2393" s="70" t="s">
        <v>1041</v>
      </c>
      <c r="N2393" s="34">
        <v>3.727</v>
      </c>
      <c r="O2393" s="34">
        <v>0</v>
      </c>
      <c r="P2393" s="34">
        <v>1</v>
      </c>
      <c r="Q2393" s="44">
        <f t="shared" si="371"/>
        <v>0</v>
      </c>
      <c r="R2393" s="71">
        <f>+Q2393/R2370</f>
        <v>0</v>
      </c>
      <c r="S2393" s="47"/>
      <c r="T2393" s="47"/>
      <c r="U2393" s="76"/>
    </row>
    <row r="2394" s="27" customFormat="1" ht="34" customHeight="1" spans="1:21">
      <c r="A2394" s="34"/>
      <c r="B2394" s="48">
        <v>12</v>
      </c>
      <c r="C2394" s="48"/>
      <c r="D2394" s="88" t="s">
        <v>633</v>
      </c>
      <c r="E2394" s="72" t="str">
        <f>+VLOOKUP(D2394,'材料表 '!C:F,2,0)</f>
        <v>m2</v>
      </c>
      <c r="F2394" s="77">
        <f>(0.17+0.25)/0.25</f>
        <v>1.68</v>
      </c>
      <c r="G2394" s="89">
        <f>+VLOOKUP(D2394,'材料表 '!C:F,4,0)</f>
        <v>0.02</v>
      </c>
      <c r="H2394" s="74">
        <f t="shared" si="372"/>
        <v>1.7136</v>
      </c>
      <c r="I2394" s="74">
        <f>+VLOOKUP(D2394,'材料表 '!C:F,3,0)</f>
        <v>349.557522123894</v>
      </c>
      <c r="J2394" s="95">
        <f t="shared" si="373"/>
        <v>599.001769911505</v>
      </c>
      <c r="K2394" s="92">
        <f ca="1">H2394*K2369</f>
        <v>67.6070892</v>
      </c>
      <c r="L2394" s="69" t="s">
        <v>429</v>
      </c>
      <c r="M2394" s="81" t="s">
        <v>1027</v>
      </c>
      <c r="N2394" s="82">
        <v>0.735</v>
      </c>
      <c r="O2394" s="34">
        <v>0</v>
      </c>
      <c r="P2394" s="34">
        <v>1</v>
      </c>
      <c r="Q2394" s="44">
        <f t="shared" si="371"/>
        <v>0</v>
      </c>
      <c r="R2394" s="71">
        <f>+Q2394/R2370</f>
        <v>0</v>
      </c>
      <c r="S2394" s="47"/>
      <c r="T2394" s="47"/>
    </row>
    <row r="2395" s="27" customFormat="1" ht="25" customHeight="1" spans="1:21">
      <c r="A2395" s="34"/>
      <c r="B2395" s="48">
        <v>13</v>
      </c>
      <c r="C2395" s="48"/>
      <c r="D2395" s="124" t="s">
        <v>500</v>
      </c>
      <c r="E2395" s="72" t="str">
        <f>+VLOOKUP(D2395,'材料表 '!C:F,2,0)</f>
        <v>kg</v>
      </c>
      <c r="F2395" s="77">
        <v>0</v>
      </c>
      <c r="G2395" s="89">
        <f>+VLOOKUP(D2395,'材料表 '!C:F,4,0)</f>
        <v>0.03</v>
      </c>
      <c r="H2395" s="74">
        <f t="shared" si="372"/>
        <v>0</v>
      </c>
      <c r="I2395" s="74">
        <f>+VLOOKUP(D2395,'材料表 '!C:F,3,0)</f>
        <v>14.1592920353982</v>
      </c>
      <c r="J2395" s="95">
        <f t="shared" si="373"/>
        <v>0</v>
      </c>
      <c r="K2395" s="92">
        <f ca="1">H2395*K2369</f>
        <v>0</v>
      </c>
      <c r="L2395" s="69" t="s">
        <v>447</v>
      </c>
      <c r="M2395" s="70" t="s">
        <v>1038</v>
      </c>
      <c r="N2395" s="83">
        <v>0.977</v>
      </c>
      <c r="O2395" s="34">
        <v>0</v>
      </c>
      <c r="P2395" s="34">
        <v>1</v>
      </c>
      <c r="Q2395" s="44">
        <f t="shared" si="371"/>
        <v>0</v>
      </c>
      <c r="R2395" s="84">
        <f>+Q2395/R2370</f>
        <v>0</v>
      </c>
      <c r="S2395" s="47">
        <v>0.185</v>
      </c>
      <c r="T2395" s="47">
        <f>O2395*P2395*S2395</f>
        <v>0</v>
      </c>
      <c r="U2395" s="27">
        <f>T2395/R2370</f>
        <v>0</v>
      </c>
    </row>
    <row r="2396" s="27" customFormat="1" ht="20" customHeight="1" spans="1:21">
      <c r="A2396" s="34"/>
      <c r="B2396" s="48">
        <v>14</v>
      </c>
      <c r="C2396" s="48"/>
      <c r="D2396" s="88" t="s">
        <v>479</v>
      </c>
      <c r="E2396" s="72" t="str">
        <f>+VLOOKUP(D2396,'材料表 '!C:F,2,0)</f>
        <v>kg</v>
      </c>
      <c r="F2396" s="77">
        <v>0</v>
      </c>
      <c r="G2396" s="89">
        <f>+VLOOKUP(D2396,'材料表 '!C:F,4,0)</f>
        <v>0.03</v>
      </c>
      <c r="H2396" s="74">
        <f t="shared" si="372"/>
        <v>0</v>
      </c>
      <c r="I2396" s="74">
        <f>+VLOOKUP(D2396,'材料表 '!C:F,3,0)</f>
        <v>14.1592920353982</v>
      </c>
      <c r="J2396" s="95">
        <f t="shared" si="373"/>
        <v>0</v>
      </c>
      <c r="K2396" s="92">
        <f ca="1">H2396*K2369</f>
        <v>0</v>
      </c>
      <c r="L2396" s="69" t="s">
        <v>429</v>
      </c>
      <c r="M2396" s="81" t="s">
        <v>1042</v>
      </c>
      <c r="N2396" s="82">
        <v>0.687</v>
      </c>
      <c r="O2396" s="44">
        <v>0</v>
      </c>
      <c r="P2396" s="34">
        <f>8*2</f>
        <v>16</v>
      </c>
      <c r="Q2396" s="44">
        <f t="shared" si="371"/>
        <v>0</v>
      </c>
      <c r="R2396" s="84">
        <f>+Q2396/R2370</f>
        <v>0</v>
      </c>
      <c r="S2396" s="47"/>
      <c r="T2396" s="47"/>
    </row>
    <row r="2397" s="27" customFormat="1" ht="18" customHeight="1" spans="1:21">
      <c r="A2397" s="34"/>
      <c r="B2397" s="48">
        <v>15</v>
      </c>
      <c r="C2397" s="48"/>
      <c r="D2397" s="88"/>
      <c r="E2397" s="72"/>
      <c r="F2397" s="77"/>
      <c r="G2397" s="89"/>
      <c r="H2397" s="74"/>
      <c r="I2397" s="74"/>
      <c r="J2397" s="95"/>
      <c r="K2397" s="92"/>
      <c r="L2397" s="92"/>
      <c r="M2397" s="44"/>
      <c r="N2397" s="44"/>
      <c r="O2397" s="44"/>
      <c r="P2397" s="44"/>
      <c r="Q2397" s="44"/>
      <c r="R2397" s="84"/>
      <c r="S2397" s="47"/>
      <c r="T2397" s="47"/>
    </row>
    <row r="2398" s="27" customFormat="1" ht="18" customHeight="1" spans="1:21">
      <c r="A2398" s="34"/>
      <c r="B2398" s="48">
        <v>16</v>
      </c>
      <c r="C2398" s="48"/>
      <c r="D2398" s="88"/>
      <c r="E2398" s="72"/>
      <c r="F2398" s="77"/>
      <c r="G2398" s="89"/>
      <c r="H2398" s="74"/>
      <c r="I2398" s="74"/>
      <c r="J2398" s="95"/>
      <c r="K2398" s="92"/>
      <c r="L2398" s="92"/>
      <c r="M2398" s="44"/>
      <c r="N2398" s="44"/>
      <c r="O2398" s="44"/>
      <c r="P2398" s="44"/>
      <c r="Q2398" s="44"/>
      <c r="R2398" s="84"/>
      <c r="S2398" s="47"/>
      <c r="T2398" s="47"/>
    </row>
    <row r="2399" s="27" customFormat="1" ht="18" customHeight="1" spans="1:21">
      <c r="A2399" s="34"/>
      <c r="B2399" s="48">
        <v>17</v>
      </c>
      <c r="C2399" s="48"/>
      <c r="D2399" s="121"/>
      <c r="E2399" s="72"/>
      <c r="F2399" s="77"/>
      <c r="G2399" s="89"/>
      <c r="H2399" s="74"/>
      <c r="I2399" s="74"/>
      <c r="J2399" s="95"/>
      <c r="K2399" s="92"/>
      <c r="L2399" s="92"/>
      <c r="M2399" s="44"/>
      <c r="N2399" s="44"/>
      <c r="O2399" s="44"/>
      <c r="P2399" s="44"/>
      <c r="Q2399" s="101"/>
      <c r="R2399" s="84"/>
      <c r="S2399" s="47"/>
      <c r="T2399" s="47"/>
    </row>
    <row r="2400" s="27" customFormat="1" ht="18" customHeight="1" spans="1:21">
      <c r="A2400" s="34"/>
      <c r="B2400" s="48">
        <v>18</v>
      </c>
      <c r="C2400" s="48"/>
      <c r="D2400" s="88"/>
      <c r="E2400" s="72"/>
      <c r="F2400" s="77"/>
      <c r="G2400" s="89"/>
      <c r="H2400" s="74"/>
      <c r="I2400" s="74"/>
      <c r="J2400" s="95"/>
      <c r="K2400" s="92"/>
      <c r="L2400" s="92"/>
      <c r="M2400" s="44"/>
      <c r="N2400" s="44"/>
      <c r="O2400" s="44"/>
      <c r="P2400" s="44"/>
      <c r="Q2400" s="44"/>
      <c r="R2400" s="84"/>
      <c r="S2400" s="47"/>
      <c r="T2400" s="47"/>
    </row>
    <row r="2401" s="27" customFormat="1" ht="18" customHeight="1" spans="1:20">
      <c r="A2401" s="34"/>
      <c r="B2401" s="48">
        <v>19</v>
      </c>
      <c r="C2401" s="48"/>
      <c r="D2401" s="27"/>
      <c r="E2401" s="72"/>
      <c r="F2401" s="77"/>
      <c r="G2401" s="89"/>
      <c r="H2401" s="74"/>
      <c r="I2401" s="74"/>
      <c r="J2401" s="95"/>
      <c r="K2401" s="92"/>
      <c r="L2401" s="92"/>
      <c r="M2401" s="44"/>
      <c r="N2401" s="44"/>
      <c r="O2401" s="44"/>
      <c r="P2401" s="44"/>
      <c r="Q2401" s="44"/>
      <c r="R2401" s="84"/>
      <c r="S2401" s="47"/>
      <c r="T2401" s="47"/>
    </row>
    <row r="2402" s="27" customFormat="1" ht="18" customHeight="1" spans="1:20">
      <c r="A2402" s="34"/>
      <c r="B2402" s="48">
        <v>20</v>
      </c>
      <c r="C2402" s="48"/>
      <c r="D2402" s="88"/>
      <c r="E2402" s="72"/>
      <c r="F2402" s="77"/>
      <c r="G2402" s="89"/>
      <c r="H2402" s="74"/>
      <c r="I2402" s="74"/>
      <c r="J2402" s="95"/>
      <c r="K2402" s="92"/>
      <c r="L2402" s="92"/>
      <c r="M2402" s="44"/>
      <c r="N2402" s="44"/>
      <c r="O2402" s="44"/>
      <c r="P2402" s="44"/>
      <c r="Q2402" s="44"/>
      <c r="R2402" s="84"/>
      <c r="S2402" s="47"/>
      <c r="T2402" s="47"/>
    </row>
    <row r="2403" s="27" customFormat="1" ht="18" customHeight="1" spans="1:20">
      <c r="A2403" s="34"/>
      <c r="B2403" s="48">
        <v>21</v>
      </c>
      <c r="C2403" s="48"/>
      <c r="D2403" s="88"/>
      <c r="E2403" s="72"/>
      <c r="F2403" s="77"/>
      <c r="G2403" s="89"/>
      <c r="H2403" s="74"/>
      <c r="I2403" s="74"/>
      <c r="J2403" s="95"/>
      <c r="K2403" s="92"/>
      <c r="L2403" s="92"/>
      <c r="M2403" s="44"/>
      <c r="N2403" s="44"/>
      <c r="O2403" s="44"/>
      <c r="P2403" s="44"/>
      <c r="Q2403" s="44"/>
      <c r="R2403" s="84"/>
      <c r="S2403" s="47"/>
      <c r="T2403" s="47"/>
    </row>
    <row r="2404" s="27" customFormat="1" ht="18" customHeight="1" spans="1:20">
      <c r="A2404" s="34"/>
      <c r="B2404" s="48">
        <v>22</v>
      </c>
      <c r="C2404" s="48"/>
      <c r="D2404" s="27"/>
      <c r="E2404" s="72"/>
      <c r="F2404" s="77"/>
      <c r="G2404" s="72"/>
      <c r="H2404" s="74"/>
      <c r="I2404" s="74"/>
      <c r="J2404" s="95"/>
      <c r="K2404" s="92"/>
      <c r="L2404" s="92"/>
      <c r="M2404" s="44"/>
      <c r="N2404" s="44"/>
      <c r="O2404" s="44"/>
      <c r="P2404" s="44"/>
      <c r="Q2404" s="44"/>
      <c r="R2404" s="62"/>
      <c r="S2404" s="47"/>
      <c r="T2404" s="47"/>
    </row>
    <row r="2405" s="27" customFormat="1" ht="18" customHeight="1" spans="1:20">
      <c r="A2405" s="34"/>
      <c r="B2405" s="48">
        <v>23</v>
      </c>
      <c r="C2405" s="48"/>
      <c r="D2405" s="88"/>
      <c r="E2405" s="72"/>
      <c r="F2405" s="77"/>
      <c r="G2405" s="89"/>
      <c r="H2405" s="74"/>
      <c r="I2405" s="74"/>
      <c r="J2405" s="95"/>
      <c r="K2405" s="92"/>
      <c r="L2405" s="92"/>
      <c r="M2405" s="44"/>
      <c r="N2405" s="44"/>
      <c r="O2405" s="44"/>
      <c r="P2405" s="44"/>
      <c r="Q2405" s="44"/>
      <c r="R2405" s="62"/>
      <c r="S2405" s="47"/>
      <c r="T2405" s="47"/>
    </row>
    <row r="2406" s="27" customFormat="1" ht="18" customHeight="1" spans="1:20">
      <c r="A2406" s="34"/>
      <c r="B2406" s="48">
        <v>24</v>
      </c>
      <c r="C2406" s="48"/>
      <c r="D2406" s="88" t="s">
        <v>478</v>
      </c>
      <c r="E2406" s="72" t="s">
        <v>43</v>
      </c>
      <c r="F2406" s="77"/>
      <c r="G2406" s="72">
        <v>1</v>
      </c>
      <c r="H2406" s="74">
        <v>1</v>
      </c>
      <c r="I2406" s="74">
        <f>+辅材及安装费!$E$3</f>
        <v>5</v>
      </c>
      <c r="J2406" s="95">
        <f>H2406*I2406</f>
        <v>5</v>
      </c>
      <c r="K2406" s="92"/>
      <c r="L2406" s="92"/>
      <c r="M2406" s="44"/>
      <c r="N2406" s="44"/>
      <c r="O2406" s="44"/>
      <c r="P2406" s="44"/>
      <c r="Q2406" s="44"/>
      <c r="R2406" s="62"/>
      <c r="S2406" s="47"/>
      <c r="T2406" s="47"/>
    </row>
    <row r="2407" s="27" customFormat="1" ht="18" customHeight="1" spans="1:20">
      <c r="A2407" s="34"/>
      <c r="B2407" s="48">
        <v>25</v>
      </c>
      <c r="C2407" s="48"/>
      <c r="D2407" s="93" t="s">
        <v>442</v>
      </c>
      <c r="E2407" s="72"/>
      <c r="F2407" s="77"/>
      <c r="G2407" s="72"/>
      <c r="H2407" s="74"/>
      <c r="I2407" s="74"/>
      <c r="J2407" s="95">
        <f>SUM(J2383:J2406)</f>
        <v>725.700187389014</v>
      </c>
      <c r="K2407" s="92"/>
      <c r="L2407" s="94"/>
      <c r="M2407" s="27"/>
      <c r="N2407" s="83"/>
      <c r="O2407" s="83"/>
      <c r="P2407" s="83"/>
      <c r="Q2407" s="83"/>
      <c r="R2407" s="87"/>
      <c r="S2407" s="47"/>
      <c r="T2407" s="47"/>
    </row>
    <row r="2408" s="27" customFormat="1" ht="18" customHeight="1" spans="1:20">
      <c r="A2408" s="34"/>
      <c r="B2408" s="48">
        <v>1</v>
      </c>
      <c r="C2408" s="48" t="s">
        <v>443</v>
      </c>
      <c r="D2408" s="48" t="s">
        <v>444</v>
      </c>
      <c r="E2408" s="72" t="s">
        <v>43</v>
      </c>
      <c r="F2408" s="50"/>
      <c r="G2408" s="48"/>
      <c r="H2408" s="51">
        <v>1</v>
      </c>
      <c r="I2408" s="74">
        <f>+辅材及安装费!$F$3</f>
        <v>5</v>
      </c>
      <c r="J2408" s="95">
        <f>H2408*I2408</f>
        <v>5</v>
      </c>
      <c r="K2408" s="118"/>
      <c r="L2408" s="96"/>
      <c r="M2408" s="97"/>
      <c r="N2408" s="98"/>
      <c r="O2408" s="98"/>
      <c r="P2408" s="98"/>
      <c r="Q2408" s="98"/>
      <c r="R2408" s="99"/>
      <c r="S2408" s="47"/>
      <c r="T2408" s="47"/>
    </row>
    <row r="2409" s="26" customFormat="1" ht="30" customHeight="1" spans="1:20">
      <c r="A2409" s="28"/>
      <c r="B2409" s="29" t="s">
        <v>386</v>
      </c>
      <c r="C2409" s="29"/>
      <c r="D2409" s="29"/>
      <c r="E2409" s="29"/>
      <c r="F2409" s="29"/>
      <c r="G2409" s="29"/>
      <c r="H2409" s="29"/>
      <c r="I2409" s="29"/>
      <c r="J2409" s="29"/>
      <c r="K2409" s="29"/>
      <c r="L2409" s="30"/>
      <c r="M2409" s="31"/>
      <c r="N2409" s="31"/>
      <c r="O2409" s="31"/>
      <c r="P2409" s="31"/>
      <c r="Q2409" s="31"/>
      <c r="R2409" s="32"/>
      <c r="S2409" s="33"/>
      <c r="T2409" s="33"/>
    </row>
    <row r="2410" s="27" customFormat="1" ht="33.75" customHeight="1" spans="1:20">
      <c r="A2410" s="34">
        <v>6</v>
      </c>
      <c r="B2410" s="35" t="s">
        <v>1</v>
      </c>
      <c r="C2410" s="35" t="s">
        <v>387</v>
      </c>
      <c r="D2410" s="36" t="str">
        <f>+A2418</f>
        <v>银灰色铝合金瓦楞板（异形）（弧形）</v>
      </c>
      <c r="E2410" s="37"/>
      <c r="F2410" s="38" t="s">
        <v>119</v>
      </c>
      <c r="G2410" s="39"/>
      <c r="H2410" s="35" t="s">
        <v>388</v>
      </c>
      <c r="I2410" s="40" t="s">
        <v>389</v>
      </c>
      <c r="J2410" s="41" t="s">
        <v>37</v>
      </c>
      <c r="K2410" s="122">
        <f ca="1">VLOOKUP(A2410,'商业工程量清单 '!$A$59:$D$81,4,FALSE)</f>
        <v>6.183</v>
      </c>
      <c r="L2410" s="43"/>
      <c r="M2410" s="44"/>
      <c r="N2410" s="44"/>
      <c r="O2410" s="44"/>
      <c r="P2410" s="45"/>
      <c r="Q2410" s="44"/>
      <c r="R2410" s="46"/>
      <c r="S2410" s="47"/>
      <c r="T2410" s="47"/>
    </row>
    <row r="2411" s="27" customFormat="1" ht="25" customHeight="1" spans="1:20">
      <c r="A2411" s="34"/>
      <c r="B2411" s="48">
        <v>1</v>
      </c>
      <c r="C2411" s="49" t="s">
        <v>390</v>
      </c>
      <c r="D2411" s="48" t="s">
        <v>391</v>
      </c>
      <c r="E2411" s="48"/>
      <c r="F2411" s="50"/>
      <c r="G2411" s="48"/>
      <c r="H2411" s="51"/>
      <c r="I2411" s="52">
        <f>J2423</f>
        <v>165</v>
      </c>
      <c r="J2411" s="53" t="s">
        <v>392</v>
      </c>
      <c r="K2411" s="54"/>
      <c r="L2411" s="55" t="s">
        <v>313</v>
      </c>
      <c r="M2411" s="56" t="s">
        <v>1059</v>
      </c>
      <c r="N2411" s="57"/>
      <c r="O2411" s="57">
        <f>11.4+1.85</f>
        <v>13.25</v>
      </c>
      <c r="P2411" s="57">
        <v>0.25</v>
      </c>
      <c r="Q2411" s="57">
        <v>1</v>
      </c>
      <c r="R2411" s="58">
        <f>+Q2411*P2411*O2411</f>
        <v>3.3125</v>
      </c>
      <c r="S2411" s="47"/>
      <c r="T2411" s="47"/>
    </row>
    <row r="2412" s="27" customFormat="1" ht="18" customHeight="1" spans="1:20">
      <c r="A2412" s="34"/>
      <c r="B2412" s="48">
        <v>2</v>
      </c>
      <c r="C2412" s="59"/>
      <c r="D2412" s="48" t="s">
        <v>394</v>
      </c>
      <c r="E2412" s="48"/>
      <c r="F2412" s="50"/>
      <c r="G2412" s="48"/>
      <c r="H2412" s="51"/>
      <c r="I2412" s="52">
        <f>J2448</f>
        <v>945.989076592553</v>
      </c>
      <c r="J2412" s="53" t="s">
        <v>392</v>
      </c>
      <c r="K2412" s="60"/>
      <c r="L2412" s="61" t="s">
        <v>119</v>
      </c>
      <c r="M2412" s="44"/>
      <c r="N2412" s="44"/>
      <c r="O2412" s="44"/>
      <c r="P2412" s="44"/>
      <c r="Q2412" s="44"/>
      <c r="R2412" s="62"/>
      <c r="S2412" s="47"/>
      <c r="T2412" s="47"/>
    </row>
    <row r="2413" s="27" customFormat="1" ht="18" customHeight="1" spans="1:20">
      <c r="A2413" s="34"/>
      <c r="B2413" s="48">
        <v>3</v>
      </c>
      <c r="C2413" s="63"/>
      <c r="D2413" s="48" t="s">
        <v>395</v>
      </c>
      <c r="E2413" s="48"/>
      <c r="F2413" s="50"/>
      <c r="G2413" s="48"/>
      <c r="H2413" s="51"/>
      <c r="I2413" s="52">
        <f>J2449</f>
        <v>5</v>
      </c>
      <c r="J2413" s="53" t="s">
        <v>392</v>
      </c>
      <c r="K2413" s="60"/>
      <c r="L2413" s="60"/>
      <c r="M2413" s="65" t="s">
        <v>396</v>
      </c>
      <c r="N2413" s="65" t="s">
        <v>397</v>
      </c>
      <c r="O2413" s="65" t="s">
        <v>398</v>
      </c>
      <c r="P2413" s="65" t="s">
        <v>399</v>
      </c>
      <c r="Q2413" s="65" t="s">
        <v>400</v>
      </c>
      <c r="R2413" s="66" t="s">
        <v>401</v>
      </c>
      <c r="S2413" s="47"/>
      <c r="T2413" s="47"/>
    </row>
    <row r="2414" s="27" customFormat="1" ht="18" customHeight="1" spans="1:20">
      <c r="A2414" s="34"/>
      <c r="B2414" s="48">
        <v>4</v>
      </c>
      <c r="C2414" s="48" t="s">
        <v>402</v>
      </c>
      <c r="D2414" s="67" t="s">
        <v>403</v>
      </c>
      <c r="E2414" s="67"/>
      <c r="F2414" s="50"/>
      <c r="G2414" s="67"/>
      <c r="H2414" s="68"/>
      <c r="I2414" s="52">
        <f>SUM(I2411:I2413)</f>
        <v>1115.98907659255</v>
      </c>
      <c r="J2414" s="53" t="s">
        <v>392</v>
      </c>
      <c r="K2414" s="60"/>
      <c r="L2414" s="69" t="s">
        <v>431</v>
      </c>
      <c r="M2414" s="34" t="s">
        <v>1060</v>
      </c>
      <c r="N2414" s="34">
        <v>7.07</v>
      </c>
      <c r="O2414" s="34">
        <f>O2411</f>
        <v>13.25</v>
      </c>
      <c r="P2414" s="34">
        <v>0.5</v>
      </c>
      <c r="Q2414" s="44">
        <f t="shared" ref="Q2414:Q2421" si="374">+P2414*O2414*N2414</f>
        <v>46.83875</v>
      </c>
      <c r="R2414" s="71">
        <f>+Q2414/R2411</f>
        <v>14.14</v>
      </c>
      <c r="S2414" s="47"/>
      <c r="T2414" s="47"/>
    </row>
    <row r="2415" s="27" customFormat="1" ht="28" customHeight="1" spans="1:20">
      <c r="A2415" s="34"/>
      <c r="B2415" s="48">
        <v>5</v>
      </c>
      <c r="C2415" s="72" t="s">
        <v>406</v>
      </c>
      <c r="D2415" s="48" t="s">
        <v>407</v>
      </c>
      <c r="E2415" s="48"/>
      <c r="F2415" s="50"/>
      <c r="G2415" s="48"/>
      <c r="H2415" s="73">
        <f>+'材料表 '!$E$178</f>
        <v>0</v>
      </c>
      <c r="I2415" s="52">
        <f>H2415*I2414</f>
        <v>0</v>
      </c>
      <c r="J2415" s="53" t="s">
        <v>392</v>
      </c>
      <c r="K2415" s="60"/>
      <c r="L2415" s="69" t="s">
        <v>461</v>
      </c>
      <c r="M2415" s="34" t="s">
        <v>462</v>
      </c>
      <c r="N2415" s="34">
        <v>3.77</v>
      </c>
      <c r="O2415" s="34">
        <f>+O2411</f>
        <v>13.25</v>
      </c>
      <c r="P2415" s="34">
        <v>0</v>
      </c>
      <c r="Q2415" s="44">
        <f t="shared" si="374"/>
        <v>0</v>
      </c>
      <c r="R2415" s="71">
        <f>+Q2415/R2411</f>
        <v>0</v>
      </c>
      <c r="S2415" s="47"/>
      <c r="T2415" s="47"/>
    </row>
    <row r="2416" s="27" customFormat="1" ht="22" customHeight="1" spans="1:20">
      <c r="A2416" s="34"/>
      <c r="B2416" s="48">
        <v>6</v>
      </c>
      <c r="C2416" s="48" t="s">
        <v>409</v>
      </c>
      <c r="D2416" s="48" t="s">
        <v>410</v>
      </c>
      <c r="E2416" s="48"/>
      <c r="F2416" s="50"/>
      <c r="G2416" s="48"/>
      <c r="H2416" s="73">
        <f>+'材料表 '!$E$179</f>
        <v>0</v>
      </c>
      <c r="I2416" s="52">
        <f>H2416*I2414</f>
        <v>0</v>
      </c>
      <c r="J2416" s="53" t="s">
        <v>392</v>
      </c>
      <c r="K2416" s="60"/>
      <c r="L2416" s="69" t="s">
        <v>461</v>
      </c>
      <c r="M2416" s="34" t="s">
        <v>462</v>
      </c>
      <c r="N2416" s="34">
        <v>3.77</v>
      </c>
      <c r="O2416" s="34">
        <f>0.18</f>
        <v>0.18</v>
      </c>
      <c r="P2416" s="34">
        <v>0</v>
      </c>
      <c r="Q2416" s="44">
        <f t="shared" si="374"/>
        <v>0</v>
      </c>
      <c r="R2416" s="71">
        <f>+Q2416/R2411</f>
        <v>0</v>
      </c>
      <c r="S2416" s="47"/>
      <c r="T2416" s="47"/>
    </row>
    <row r="2417" s="27" customFormat="1" ht="23" customHeight="1" spans="1:21">
      <c r="A2417" s="34"/>
      <c r="B2417" s="48">
        <v>7</v>
      </c>
      <c r="C2417" s="48" t="s">
        <v>412</v>
      </c>
      <c r="D2417" s="72" t="s">
        <v>413</v>
      </c>
      <c r="E2417" s="72"/>
      <c r="F2417" s="77"/>
      <c r="G2417" s="72"/>
      <c r="H2417" s="73">
        <f>+'材料表 '!$E$180</f>
        <v>0.09</v>
      </c>
      <c r="I2417" s="52">
        <f>(I2414+I2415+I2416)*H2417</f>
        <v>100.43901689333</v>
      </c>
      <c r="J2417" s="53" t="s">
        <v>392</v>
      </c>
      <c r="K2417" s="60"/>
      <c r="L2417" s="69" t="s">
        <v>463</v>
      </c>
      <c r="M2417" s="34" t="s">
        <v>490</v>
      </c>
      <c r="N2417" s="34">
        <f>0.3*0.2*7.85*10</f>
        <v>4.71</v>
      </c>
      <c r="O2417" s="34">
        <v>0</v>
      </c>
      <c r="P2417" s="34">
        <v>8</v>
      </c>
      <c r="Q2417" s="44">
        <f t="shared" si="374"/>
        <v>0</v>
      </c>
      <c r="R2417" s="71">
        <f>+Q2417/R2411</f>
        <v>0</v>
      </c>
      <c r="S2417" s="47"/>
      <c r="T2417" s="47"/>
    </row>
    <row r="2418" s="27" customFormat="1" ht="23" customHeight="1" spans="1:21">
      <c r="A2418" s="34" t="s">
        <v>314</v>
      </c>
      <c r="B2418" s="48">
        <v>8</v>
      </c>
      <c r="C2418" s="48" t="s">
        <v>363</v>
      </c>
      <c r="D2418" s="106" t="s">
        <v>415</v>
      </c>
      <c r="E2418" s="107"/>
      <c r="F2418" s="108"/>
      <c r="G2418" s="107"/>
      <c r="H2418" s="51"/>
      <c r="I2418" s="74">
        <f>SUM(I2414:I2417)</f>
        <v>1216.42809348588</v>
      </c>
      <c r="J2418" s="53" t="s">
        <v>416</v>
      </c>
      <c r="K2418" s="60"/>
      <c r="L2418" s="69" t="s">
        <v>465</v>
      </c>
      <c r="M2418" s="34" t="s">
        <v>466</v>
      </c>
      <c r="N2418" s="100">
        <f>1.2789*7.85</f>
        <v>10.039365</v>
      </c>
      <c r="O2418" s="34">
        <f>35/1000</f>
        <v>0.035</v>
      </c>
      <c r="P2418" s="44">
        <f>+P2417*O2417*2</f>
        <v>0</v>
      </c>
      <c r="Q2418" s="44">
        <f t="shared" si="374"/>
        <v>0</v>
      </c>
      <c r="R2418" s="84">
        <f>+Q2418/R2411</f>
        <v>0</v>
      </c>
      <c r="S2418" s="79"/>
      <c r="T2418" s="47"/>
    </row>
    <row r="2419" s="27" customFormat="1" ht="18" customHeight="1" spans="1:21">
      <c r="A2419" s="34"/>
      <c r="B2419" s="109" t="s">
        <v>418</v>
      </c>
      <c r="C2419" s="110"/>
      <c r="D2419" s="110"/>
      <c r="E2419" s="110"/>
      <c r="F2419" s="110"/>
      <c r="G2419" s="110"/>
      <c r="H2419" s="110"/>
      <c r="I2419" s="110"/>
      <c r="J2419" s="110"/>
      <c r="K2419" s="80"/>
      <c r="L2419" s="69" t="s">
        <v>433</v>
      </c>
      <c r="M2419" s="44"/>
      <c r="N2419" s="82">
        <f>0.056*3*2.71+0.0675*3*2.71</f>
        <v>1.004055</v>
      </c>
      <c r="O2419" s="44">
        <f>O2411</f>
        <v>13.25</v>
      </c>
      <c r="P2419" s="44">
        <v>0</v>
      </c>
      <c r="Q2419" s="44">
        <f t="shared" si="374"/>
        <v>0</v>
      </c>
      <c r="R2419" s="84">
        <f>+Q2419/R2411</f>
        <v>0</v>
      </c>
      <c r="S2419" s="47">
        <f>0.16*P2419*O2419/R2411</f>
        <v>0</v>
      </c>
      <c r="T2419" s="47"/>
    </row>
    <row r="2420" s="27" customFormat="1" ht="18" customHeight="1" spans="1:21">
      <c r="A2420" s="34"/>
      <c r="B2420" s="48">
        <v>1</v>
      </c>
      <c r="C2420" s="48" t="s">
        <v>391</v>
      </c>
      <c r="D2420" s="48" t="s">
        <v>396</v>
      </c>
      <c r="E2420" s="48" t="s">
        <v>37</v>
      </c>
      <c r="F2420" s="50"/>
      <c r="G2420" s="48"/>
      <c r="H2420" s="51" t="s">
        <v>399</v>
      </c>
      <c r="I2420" s="51" t="s">
        <v>420</v>
      </c>
      <c r="J2420" s="95" t="s">
        <v>421</v>
      </c>
      <c r="K2420" s="92"/>
      <c r="L2420" s="69" t="s">
        <v>433</v>
      </c>
      <c r="M2420" s="44" t="s">
        <v>498</v>
      </c>
      <c r="N2420" s="82">
        <f>0.0445*2*2.71</f>
        <v>0.24119</v>
      </c>
      <c r="O2420" s="44">
        <f>+O2419</f>
        <v>13.25</v>
      </c>
      <c r="P2420" s="44">
        <v>1</v>
      </c>
      <c r="Q2420" s="44">
        <f t="shared" si="374"/>
        <v>3.1957675</v>
      </c>
      <c r="R2420" s="84">
        <f>+Q2420/R2411</f>
        <v>0.96476</v>
      </c>
      <c r="S2420" s="47"/>
      <c r="T2420" s="47"/>
    </row>
    <row r="2421" s="27" customFormat="1" ht="18" customHeight="1" spans="1:21">
      <c r="A2421" s="34"/>
      <c r="B2421" s="48">
        <v>2</v>
      </c>
      <c r="C2421" s="48"/>
      <c r="D2421" s="111" t="s">
        <v>491</v>
      </c>
      <c r="E2421" s="49" t="s">
        <v>423</v>
      </c>
      <c r="F2421" s="112"/>
      <c r="G2421" s="111"/>
      <c r="H2421" s="113">
        <v>1</v>
      </c>
      <c r="I2421" s="113">
        <f>+辅材及安装费!$G$3</f>
        <v>165</v>
      </c>
      <c r="J2421" s="114">
        <f t="shared" ref="J2421:J2429" si="375">H2421*I2421</f>
        <v>165</v>
      </c>
      <c r="K2421" s="92"/>
      <c r="L2421" s="69" t="s">
        <v>433</v>
      </c>
      <c r="M2421" s="44" t="s">
        <v>498</v>
      </c>
      <c r="N2421" s="82">
        <f>0.0445*2*2.71</f>
        <v>0.24119</v>
      </c>
      <c r="O2421" s="44">
        <f>P2411</f>
        <v>0.25</v>
      </c>
      <c r="P2421" s="44">
        <v>1</v>
      </c>
      <c r="Q2421" s="44">
        <f t="shared" si="374"/>
        <v>0.0602975</v>
      </c>
      <c r="R2421" s="84">
        <f>+Q2421/R2411</f>
        <v>0.0182030188679245</v>
      </c>
      <c r="S2421" s="47"/>
      <c r="T2421" s="47"/>
    </row>
    <row r="2422" s="27" customFormat="1" ht="18" customHeight="1" spans="1:21">
      <c r="A2422" s="34"/>
      <c r="B2422" s="48">
        <v>3</v>
      </c>
      <c r="C2422" s="48"/>
      <c r="D2422" s="115"/>
      <c r="E2422" s="63"/>
      <c r="F2422" s="116"/>
      <c r="G2422" s="115"/>
      <c r="H2422" s="117"/>
      <c r="I2422" s="117"/>
      <c r="J2422" s="118"/>
      <c r="K2422" s="92"/>
      <c r="L2422" s="90" t="s">
        <v>472</v>
      </c>
      <c r="M2422" s="44"/>
      <c r="N2422" s="82"/>
      <c r="O2422" s="44"/>
      <c r="P2422" s="44">
        <f>+P2418</f>
        <v>0</v>
      </c>
      <c r="Q2422" s="44">
        <f>+P2422</f>
        <v>0</v>
      </c>
      <c r="R2422" s="84">
        <f>+Q2422/R2411</f>
        <v>0</v>
      </c>
      <c r="S2422" s="47"/>
      <c r="T2422" s="47"/>
    </row>
    <row r="2423" s="27" customFormat="1" ht="21" customHeight="1" spans="1:21">
      <c r="A2423" s="34"/>
      <c r="B2423" s="48">
        <v>4</v>
      </c>
      <c r="C2423" s="48"/>
      <c r="D2423" s="85" t="s">
        <v>426</v>
      </c>
      <c r="E2423" s="48" t="s">
        <v>392</v>
      </c>
      <c r="F2423" s="50"/>
      <c r="G2423" s="48"/>
      <c r="H2423" s="86"/>
      <c r="I2423" s="86"/>
      <c r="J2423" s="95">
        <f>SUM(J2421:J2421)</f>
        <v>165</v>
      </c>
      <c r="K2423" s="92"/>
      <c r="L2423" s="90" t="s">
        <v>473</v>
      </c>
      <c r="M2423" s="44"/>
      <c r="N2423" s="82"/>
      <c r="O2423" s="44"/>
      <c r="P2423" s="44"/>
      <c r="Q2423" s="44">
        <f>+(Q2420)*2</f>
        <v>6.391535</v>
      </c>
      <c r="R2423" s="84">
        <f>+Q2423/R2411</f>
        <v>1.92952</v>
      </c>
      <c r="S2423" s="47"/>
      <c r="T2423" s="47"/>
    </row>
    <row r="2424" s="27" customFormat="1" ht="26" customHeight="1" spans="1:21">
      <c r="A2424" s="34"/>
      <c r="B2424" s="48">
        <v>1</v>
      </c>
      <c r="C2424" s="48" t="s">
        <v>394</v>
      </c>
      <c r="D2424" s="88" t="s">
        <v>431</v>
      </c>
      <c r="E2424" s="72" t="str">
        <f>+VLOOKUP(D2424,'材料表 '!C:F,2,0)</f>
        <v>kg</v>
      </c>
      <c r="F2424" s="77">
        <f>+SUMIF($L$2411:$L$2449,D2424,$R$2411:$R$2449)</f>
        <v>14.14</v>
      </c>
      <c r="G2424" s="89">
        <f>+VLOOKUP(D2424,'材料表 '!C:F,4,0)</f>
        <v>0.03</v>
      </c>
      <c r="H2424" s="74">
        <f t="shared" ref="H2424:H2429" si="376">F2424*(G2424+1)</f>
        <v>14.5642</v>
      </c>
      <c r="I2424" s="74">
        <f>+VLOOKUP(D2424,'材料表 '!C:F,3,0)</f>
        <v>3.80530973451327</v>
      </c>
      <c r="J2424" s="95">
        <f t="shared" si="375"/>
        <v>55.4212920353982</v>
      </c>
      <c r="K2424" s="92">
        <f ca="1">H2424*K2410</f>
        <v>90.0504486</v>
      </c>
      <c r="L2424" s="90"/>
      <c r="M2424" s="44"/>
      <c r="N2424" s="82"/>
      <c r="O2424" s="44"/>
      <c r="P2424" s="44"/>
      <c r="Q2424" s="44"/>
      <c r="R2424" s="84"/>
      <c r="S2424" s="47"/>
      <c r="T2424" s="47"/>
    </row>
    <row r="2425" s="27" customFormat="1" ht="18" customHeight="1" spans="1:21">
      <c r="A2425" s="34"/>
      <c r="B2425" s="48">
        <v>2</v>
      </c>
      <c r="C2425" s="48"/>
      <c r="D2425" s="88" t="s">
        <v>461</v>
      </c>
      <c r="E2425" s="72" t="str">
        <f>+VLOOKUP(D2425,'材料表 '!C:F,2,0)</f>
        <v>kg</v>
      </c>
      <c r="F2425" s="77">
        <f t="shared" ref="F2425:F2434" si="377">+SUMIF($L$2411:$L$2449,D2425,$R$2411:$R$2449)</f>
        <v>0</v>
      </c>
      <c r="G2425" s="89">
        <f>+VLOOKUP(D2425,'材料表 '!C:F,4,0)</f>
        <v>0.03</v>
      </c>
      <c r="H2425" s="74">
        <f t="shared" si="376"/>
        <v>0</v>
      </c>
      <c r="I2425" s="74">
        <f>+VLOOKUP(D2425,'材料表 '!C:F,3,0)</f>
        <v>3.53982300884956</v>
      </c>
      <c r="J2425" s="95">
        <f t="shared" si="375"/>
        <v>0</v>
      </c>
      <c r="K2425" s="92">
        <f ca="1">H2425*K2410</f>
        <v>0</v>
      </c>
      <c r="L2425" s="90"/>
      <c r="M2425" s="44"/>
      <c r="N2425" s="82"/>
      <c r="O2425" s="44"/>
      <c r="P2425" s="44"/>
      <c r="Q2425" s="44"/>
      <c r="R2425" s="84"/>
      <c r="S2425" s="47"/>
      <c r="T2425" s="47"/>
    </row>
    <row r="2426" s="27" customFormat="1" ht="18" customHeight="1" spans="1:21">
      <c r="A2426" s="34"/>
      <c r="B2426" s="48">
        <v>3</v>
      </c>
      <c r="C2426" s="48"/>
      <c r="D2426" s="88" t="s">
        <v>465</v>
      </c>
      <c r="E2426" s="72" t="str">
        <f>+VLOOKUP(D2426,'材料表 '!C:F,2,0)</f>
        <v>kg</v>
      </c>
      <c r="F2426" s="77">
        <f t="shared" si="377"/>
        <v>0</v>
      </c>
      <c r="G2426" s="89">
        <f>+VLOOKUP(D2426,'材料表 '!C:F,4,0)</f>
        <v>0.03</v>
      </c>
      <c r="H2426" s="74">
        <f t="shared" si="376"/>
        <v>0</v>
      </c>
      <c r="I2426" s="74">
        <f>+VLOOKUP(D2426,'材料表 '!C:F,3,0)</f>
        <v>6.01769911504425</v>
      </c>
      <c r="J2426" s="95">
        <f t="shared" si="375"/>
        <v>0</v>
      </c>
      <c r="K2426" s="92">
        <f ca="1">H2426*K2410</f>
        <v>0</v>
      </c>
      <c r="L2426" s="90"/>
      <c r="M2426" s="44"/>
      <c r="N2426" s="82"/>
      <c r="O2426" s="44"/>
      <c r="P2426" s="44"/>
      <c r="Q2426" s="44"/>
      <c r="R2426" s="84"/>
      <c r="S2426" s="47"/>
      <c r="T2426" s="47"/>
    </row>
    <row r="2427" s="27" customFormat="1" ht="18" customHeight="1" spans="1:21">
      <c r="A2427" s="34"/>
      <c r="B2427" s="48">
        <v>4</v>
      </c>
      <c r="C2427" s="48"/>
      <c r="D2427" s="88" t="s">
        <v>463</v>
      </c>
      <c r="E2427" s="72" t="str">
        <f>+VLOOKUP(D2427,'材料表 '!C:F,2,0)</f>
        <v>kg</v>
      </c>
      <c r="F2427" s="77">
        <f t="shared" si="377"/>
        <v>0</v>
      </c>
      <c r="G2427" s="89">
        <f>+VLOOKUP(D2427,'材料表 '!C:F,4,0)</f>
        <v>0.03</v>
      </c>
      <c r="H2427" s="74">
        <f t="shared" si="376"/>
        <v>0</v>
      </c>
      <c r="I2427" s="74">
        <f>+VLOOKUP(D2427,'材料表 '!C:F,3,0)</f>
        <v>6.01769911504425</v>
      </c>
      <c r="J2427" s="95">
        <f t="shared" si="375"/>
        <v>0</v>
      </c>
      <c r="K2427" s="92">
        <f ca="1">H2427*K2410</f>
        <v>0</v>
      </c>
      <c r="L2427" s="90" t="s">
        <v>474</v>
      </c>
      <c r="M2427" s="44"/>
      <c r="N2427" s="82"/>
      <c r="O2427" s="44"/>
      <c r="P2427" s="44"/>
      <c r="Q2427" s="44">
        <f>+O2417*P2417*4</f>
        <v>0</v>
      </c>
      <c r="R2427" s="84">
        <f>+Q2427/R2411</f>
        <v>0</v>
      </c>
      <c r="S2427" s="47"/>
      <c r="T2427" s="47"/>
    </row>
    <row r="2428" s="27" customFormat="1" ht="18" customHeight="1" spans="1:21">
      <c r="A2428" s="34"/>
      <c r="B2428" s="48">
        <v>5</v>
      </c>
      <c r="C2428" s="48"/>
      <c r="D2428" s="88" t="s">
        <v>433</v>
      </c>
      <c r="E2428" s="72" t="str">
        <f>+VLOOKUP(D2428,'材料表 '!C:F,2,0)</f>
        <v>kg</v>
      </c>
      <c r="F2428" s="77">
        <f t="shared" si="377"/>
        <v>0.982963018867924</v>
      </c>
      <c r="G2428" s="89">
        <f>+VLOOKUP(D2428,'材料表 '!C:F,4,0)</f>
        <v>0.03</v>
      </c>
      <c r="H2428" s="74">
        <f t="shared" si="376"/>
        <v>1.01245190943396</v>
      </c>
      <c r="I2428" s="74">
        <f>+VLOOKUP(D2428,'材料表 '!C:F,3,0)</f>
        <v>26.1150442477876</v>
      </c>
      <c r="J2428" s="95">
        <f t="shared" si="375"/>
        <v>26.440226413625</v>
      </c>
      <c r="K2428" s="92">
        <f ca="1">H2428*K2410</f>
        <v>6.25999015603017</v>
      </c>
      <c r="L2428" s="92" t="s">
        <v>476</v>
      </c>
      <c r="M2428" s="44"/>
      <c r="N2428" s="82"/>
      <c r="O2428" s="44"/>
      <c r="P2428" s="44"/>
      <c r="Q2428" s="44">
        <f>15*8*(O2411*0.5+P2411*2)/500</f>
        <v>1.71</v>
      </c>
      <c r="R2428" s="84">
        <f>+Q2428/R2411</f>
        <v>0.51622641509434</v>
      </c>
      <c r="S2428" s="47"/>
      <c r="T2428" s="47"/>
    </row>
    <row r="2429" s="27" customFormat="1" ht="18" customHeight="1" spans="1:21">
      <c r="A2429" s="34"/>
      <c r="B2429" s="48">
        <v>6</v>
      </c>
      <c r="C2429" s="48"/>
      <c r="D2429" s="88" t="s">
        <v>427</v>
      </c>
      <c r="E2429" s="72" t="str">
        <f>+VLOOKUP(D2429,'材料表 '!C:F,2,0)</f>
        <v>kg</v>
      </c>
      <c r="F2429" s="77">
        <f t="shared" si="377"/>
        <v>1.2397041509434</v>
      </c>
      <c r="G2429" s="89">
        <f>+VLOOKUP(D2429,'材料表 '!C:F,4,0)</f>
        <v>0.03</v>
      </c>
      <c r="H2429" s="74">
        <f t="shared" si="376"/>
        <v>1.2768952754717</v>
      </c>
      <c r="I2429" s="74">
        <f>+VLOOKUP(D2429,'材料表 '!C:F,3,0)</f>
        <v>25.8495575221239</v>
      </c>
      <c r="J2429" s="95">
        <f t="shared" si="375"/>
        <v>33.007177873034</v>
      </c>
      <c r="K2429" s="92">
        <f ca="1">H2429*K2410</f>
        <v>7.89504348824152</v>
      </c>
      <c r="L2429" s="69" t="s">
        <v>427</v>
      </c>
      <c r="M2429" s="70" t="s">
        <v>1007</v>
      </c>
      <c r="N2429" s="34">
        <v>3.111</v>
      </c>
      <c r="O2429" s="34">
        <v>0.165</v>
      </c>
      <c r="P2429" s="34">
        <v>8</v>
      </c>
      <c r="Q2429" s="44">
        <f t="shared" ref="Q2429:Q2437" si="378">+P2429*O2429*N2429</f>
        <v>4.10652</v>
      </c>
      <c r="R2429" s="71">
        <f>+Q2429/R2411</f>
        <v>1.2397041509434</v>
      </c>
      <c r="S2429" s="47"/>
      <c r="T2429" s="47"/>
    </row>
    <row r="2430" s="27" customFormat="1" ht="18" customHeight="1" spans="1:21">
      <c r="A2430" s="34"/>
      <c r="B2430" s="48">
        <v>7</v>
      </c>
      <c r="C2430" s="48"/>
      <c r="D2430" s="88"/>
      <c r="E2430" s="72"/>
      <c r="F2430" s="77">
        <f t="shared" si="377"/>
        <v>0</v>
      </c>
      <c r="G2430" s="89"/>
      <c r="H2430" s="74"/>
      <c r="I2430" s="74"/>
      <c r="J2430" s="95"/>
      <c r="K2430" s="92">
        <f ca="1">H2430*K2410</f>
        <v>0</v>
      </c>
      <c r="L2430" s="69" t="s">
        <v>429</v>
      </c>
      <c r="M2430" s="70" t="s">
        <v>1037</v>
      </c>
      <c r="N2430" s="34">
        <v>3.063</v>
      </c>
      <c r="O2430" s="100">
        <f>O2429/0.3*0.1</f>
        <v>0.055</v>
      </c>
      <c r="P2430" s="34">
        <v>0</v>
      </c>
      <c r="Q2430" s="44">
        <f t="shared" si="378"/>
        <v>0</v>
      </c>
      <c r="R2430" s="71">
        <f>+Q2430/R2411</f>
        <v>0</v>
      </c>
      <c r="S2430" s="47"/>
      <c r="T2430" s="47"/>
    </row>
    <row r="2431" s="27" customFormat="1" ht="18" customHeight="1" spans="1:21">
      <c r="A2431" s="34"/>
      <c r="B2431" s="48">
        <v>8</v>
      </c>
      <c r="C2431" s="48"/>
      <c r="D2431" s="88"/>
      <c r="E2431" s="72"/>
      <c r="F2431" s="77">
        <f t="shared" si="377"/>
        <v>0</v>
      </c>
      <c r="G2431" s="89"/>
      <c r="H2431" s="74"/>
      <c r="I2431" s="74"/>
      <c r="J2431" s="95"/>
      <c r="K2431" s="92">
        <f ca="1">H2431*K2410</f>
        <v>0</v>
      </c>
      <c r="L2431" s="69" t="s">
        <v>447</v>
      </c>
      <c r="M2431" s="70" t="s">
        <v>1038</v>
      </c>
      <c r="N2431" s="34">
        <f>1.041+0.104</f>
        <v>1.145</v>
      </c>
      <c r="O2431" s="34">
        <f>O2429</f>
        <v>0.165</v>
      </c>
      <c r="P2431" s="34">
        <v>0</v>
      </c>
      <c r="Q2431" s="44">
        <f t="shared" si="378"/>
        <v>0</v>
      </c>
      <c r="R2431" s="71">
        <f>+Q2431/R2411</f>
        <v>0</v>
      </c>
      <c r="S2431" s="47">
        <v>0.172</v>
      </c>
      <c r="T2431" s="47">
        <f>O2431*P2431*S2431</f>
        <v>0</v>
      </c>
      <c r="U2431" s="76">
        <f>T2431/R2411</f>
        <v>0</v>
      </c>
    </row>
    <row r="2432" s="27" customFormat="1" ht="18" customHeight="1" spans="1:21">
      <c r="A2432" s="34"/>
      <c r="B2432" s="48">
        <v>9</v>
      </c>
      <c r="C2432" s="48"/>
      <c r="D2432" s="88" t="s">
        <v>476</v>
      </c>
      <c r="E2432" s="72" t="str">
        <f>+VLOOKUP(D2432,'材料表 '!C:F,2,0)</f>
        <v>支</v>
      </c>
      <c r="F2432" s="77">
        <f t="shared" si="377"/>
        <v>0.51622641509434</v>
      </c>
      <c r="G2432" s="89">
        <f>+VLOOKUP(D2432,'材料表 '!C:F,4,0)</f>
        <v>0.15</v>
      </c>
      <c r="H2432" s="74">
        <f t="shared" ref="H2432:H2437" si="379">F2432*(G2432+1)</f>
        <v>0.593660377358491</v>
      </c>
      <c r="I2432" s="74">
        <f>+VLOOKUP(D2432,'材料表 '!C:F,3,0)</f>
        <v>11.5044247787611</v>
      </c>
      <c r="J2432" s="95">
        <f t="shared" ref="J2432:J2437" si="380">H2432*I2432</f>
        <v>6.82972115545169</v>
      </c>
      <c r="K2432" s="92">
        <f ca="1">H2432*K2410</f>
        <v>3.67060211320755</v>
      </c>
      <c r="L2432" s="69" t="s">
        <v>429</v>
      </c>
      <c r="M2432" s="70" t="s">
        <v>1010</v>
      </c>
      <c r="N2432" s="102">
        <f>2.9</f>
        <v>2.9</v>
      </c>
      <c r="O2432" s="34">
        <v>0.2</v>
      </c>
      <c r="P2432" s="34">
        <v>0</v>
      </c>
      <c r="Q2432" s="44">
        <f t="shared" si="378"/>
        <v>0</v>
      </c>
      <c r="R2432" s="71">
        <f>+Q2432/R2411</f>
        <v>0</v>
      </c>
      <c r="S2432" s="47"/>
      <c r="T2432" s="47"/>
    </row>
    <row r="2433" s="27" customFormat="1" ht="18" customHeight="1" spans="1:21">
      <c r="A2433" s="34"/>
      <c r="B2433" s="48">
        <v>10</v>
      </c>
      <c r="C2433" s="48"/>
      <c r="D2433" s="88" t="s">
        <v>474</v>
      </c>
      <c r="E2433" s="72" t="str">
        <f>+VLOOKUP(D2433,'材料表 '!C:F,2,0)</f>
        <v>套</v>
      </c>
      <c r="F2433" s="77">
        <f t="shared" si="377"/>
        <v>0</v>
      </c>
      <c r="G2433" s="89">
        <f>+VLOOKUP(D2433,'材料表 '!C:F,4,0)</f>
        <v>0</v>
      </c>
      <c r="H2433" s="74">
        <f t="shared" si="379"/>
        <v>0</v>
      </c>
      <c r="I2433" s="74">
        <f>+VLOOKUP(D2433,'材料表 '!C:F,3,0)</f>
        <v>2.21238938053097</v>
      </c>
      <c r="J2433" s="95">
        <f t="shared" si="380"/>
        <v>0</v>
      </c>
      <c r="K2433" s="92">
        <f ca="1">H2433*K2410</f>
        <v>0</v>
      </c>
      <c r="L2433" s="69" t="s">
        <v>429</v>
      </c>
      <c r="M2433" s="70" t="s">
        <v>1040</v>
      </c>
      <c r="N2433" s="34">
        <v>0.733</v>
      </c>
      <c r="O2433" s="100">
        <f>O2430*2</f>
        <v>0.11</v>
      </c>
      <c r="P2433" s="34">
        <v>0</v>
      </c>
      <c r="Q2433" s="44">
        <f t="shared" si="378"/>
        <v>0</v>
      </c>
      <c r="R2433" s="71">
        <f>+Q2433/R2411</f>
        <v>0</v>
      </c>
      <c r="S2433" s="79"/>
      <c r="T2433" s="47"/>
    </row>
    <row r="2434" s="27" customFormat="1" ht="18" customHeight="1" spans="1:21">
      <c r="A2434" s="34"/>
      <c r="B2434" s="48">
        <v>11</v>
      </c>
      <c r="C2434" s="48"/>
      <c r="D2434" s="88" t="s">
        <v>472</v>
      </c>
      <c r="E2434" s="72" t="str">
        <f>+VLOOKUP(D2434,'材料表 '!C:F,2,0)</f>
        <v>套</v>
      </c>
      <c r="F2434" s="77">
        <f t="shared" si="377"/>
        <v>0</v>
      </c>
      <c r="G2434" s="89">
        <f>+VLOOKUP(D2434,'材料表 '!C:F,4,0)</f>
        <v>0</v>
      </c>
      <c r="H2434" s="74">
        <f t="shared" si="379"/>
        <v>0</v>
      </c>
      <c r="I2434" s="74">
        <f>+VLOOKUP(D2434,'材料表 '!C:F,3,0)</f>
        <v>2.47787610619469</v>
      </c>
      <c r="J2434" s="95">
        <f t="shared" si="380"/>
        <v>0</v>
      </c>
      <c r="K2434" s="92">
        <f ca="1">H2434*K2410</f>
        <v>0</v>
      </c>
      <c r="L2434" s="69" t="s">
        <v>404</v>
      </c>
      <c r="M2434" s="70" t="s">
        <v>1041</v>
      </c>
      <c r="N2434" s="34">
        <v>3.727</v>
      </c>
      <c r="O2434" s="34">
        <v>0</v>
      </c>
      <c r="P2434" s="34">
        <v>1</v>
      </c>
      <c r="Q2434" s="44">
        <f t="shared" si="378"/>
        <v>0</v>
      </c>
      <c r="R2434" s="71">
        <f>+Q2434/R2411</f>
        <v>0</v>
      </c>
      <c r="S2434" s="47"/>
      <c r="T2434" s="47"/>
      <c r="U2434" s="76"/>
    </row>
    <row r="2435" s="27" customFormat="1" ht="34" customHeight="1" spans="1:21">
      <c r="A2435" s="34"/>
      <c r="B2435" s="48">
        <v>12</v>
      </c>
      <c r="C2435" s="48"/>
      <c r="D2435" s="88" t="s">
        <v>633</v>
      </c>
      <c r="E2435" s="72" t="str">
        <f>+VLOOKUP(D2435,'材料表 '!C:F,2,0)</f>
        <v>m2</v>
      </c>
      <c r="F2435" s="77">
        <f>(0.17+0.25)/0.25</f>
        <v>1.68</v>
      </c>
      <c r="G2435" s="89">
        <f>+VLOOKUP(D2435,'材料表 '!C:F,4,0)</f>
        <v>0.02</v>
      </c>
      <c r="H2435" s="74">
        <f t="shared" si="379"/>
        <v>1.7136</v>
      </c>
      <c r="I2435" s="74">
        <f>+VLOOKUP(D2435,'材料表 '!C:F,3,0)</f>
        <v>349.557522123894</v>
      </c>
      <c r="J2435" s="95">
        <f t="shared" si="380"/>
        <v>599.001769911505</v>
      </c>
      <c r="K2435" s="92">
        <f ca="1">H2435*K2410</f>
        <v>10.5951888</v>
      </c>
      <c r="L2435" s="69" t="s">
        <v>429</v>
      </c>
      <c r="M2435" s="81" t="s">
        <v>1027</v>
      </c>
      <c r="N2435" s="82">
        <v>0.735</v>
      </c>
      <c r="O2435" s="34">
        <v>0</v>
      </c>
      <c r="P2435" s="34">
        <v>1</v>
      </c>
      <c r="Q2435" s="44">
        <f t="shared" si="378"/>
        <v>0</v>
      </c>
      <c r="R2435" s="71">
        <f>+Q2435/R2411</f>
        <v>0</v>
      </c>
      <c r="S2435" s="47"/>
      <c r="T2435" s="47"/>
    </row>
    <row r="2436" s="27" customFormat="1" ht="25" customHeight="1" spans="1:21">
      <c r="A2436" s="34"/>
      <c r="B2436" s="48">
        <v>13</v>
      </c>
      <c r="C2436" s="48"/>
      <c r="D2436" s="124" t="s">
        <v>500</v>
      </c>
      <c r="E2436" s="72" t="str">
        <f>+VLOOKUP(D2436,'材料表 '!C:F,2,0)</f>
        <v>kg</v>
      </c>
      <c r="F2436" s="77">
        <f>R2420</f>
        <v>0.96476</v>
      </c>
      <c r="G2436" s="89">
        <f>+VLOOKUP(D2436,'材料表 '!C:F,4,0)</f>
        <v>0.03</v>
      </c>
      <c r="H2436" s="74">
        <f t="shared" si="379"/>
        <v>0.9937028</v>
      </c>
      <c r="I2436" s="74">
        <f>+VLOOKUP(D2436,'材料表 '!C:F,3,0)</f>
        <v>14.1592920353982</v>
      </c>
      <c r="J2436" s="95">
        <f t="shared" si="380"/>
        <v>14.0701281415929</v>
      </c>
      <c r="K2436" s="92">
        <f ca="1">H2436*K2410</f>
        <v>6.1440644124</v>
      </c>
      <c r="L2436" s="69" t="s">
        <v>447</v>
      </c>
      <c r="M2436" s="70" t="s">
        <v>1038</v>
      </c>
      <c r="N2436" s="83">
        <v>0.977</v>
      </c>
      <c r="O2436" s="34">
        <v>0</v>
      </c>
      <c r="P2436" s="34">
        <v>1</v>
      </c>
      <c r="Q2436" s="44">
        <f t="shared" si="378"/>
        <v>0</v>
      </c>
      <c r="R2436" s="84">
        <f>+Q2436/R2411</f>
        <v>0</v>
      </c>
      <c r="S2436" s="47">
        <v>0.185</v>
      </c>
      <c r="T2436" s="47">
        <f>O2436*P2436*S2436</f>
        <v>0</v>
      </c>
      <c r="U2436" s="27">
        <f>T2436/R2411</f>
        <v>0</v>
      </c>
    </row>
    <row r="2437" s="27" customFormat="1" ht="20" customHeight="1" spans="1:21">
      <c r="A2437" s="34"/>
      <c r="B2437" s="48">
        <v>14</v>
      </c>
      <c r="C2437" s="48"/>
      <c r="D2437" s="88" t="s">
        <v>479</v>
      </c>
      <c r="E2437" s="72" t="str">
        <f>+VLOOKUP(D2437,'材料表 '!C:F,2,0)</f>
        <v>kg</v>
      </c>
      <c r="F2437" s="77">
        <f>R2414</f>
        <v>14.14</v>
      </c>
      <c r="G2437" s="89">
        <f>+VLOOKUP(D2437,'材料表 '!C:F,4,0)</f>
        <v>0.03</v>
      </c>
      <c r="H2437" s="74">
        <f t="shared" si="379"/>
        <v>14.5642</v>
      </c>
      <c r="I2437" s="74">
        <f>+VLOOKUP(D2437,'材料表 '!C:F,3,0)</f>
        <v>14.1592920353982</v>
      </c>
      <c r="J2437" s="95">
        <f t="shared" si="380"/>
        <v>206.218761061946</v>
      </c>
      <c r="K2437" s="92">
        <f ca="1">H2437*K2410</f>
        <v>90.0504486</v>
      </c>
      <c r="L2437" s="69" t="s">
        <v>429</v>
      </c>
      <c r="M2437" s="81" t="s">
        <v>1042</v>
      </c>
      <c r="N2437" s="82">
        <v>0.687</v>
      </c>
      <c r="O2437" s="44">
        <v>0</v>
      </c>
      <c r="P2437" s="34">
        <f>8*2</f>
        <v>16</v>
      </c>
      <c r="Q2437" s="44">
        <f t="shared" si="378"/>
        <v>0</v>
      </c>
      <c r="R2437" s="84">
        <f>+Q2437/R2411</f>
        <v>0</v>
      </c>
      <c r="S2437" s="47"/>
      <c r="T2437" s="47"/>
    </row>
    <row r="2438" s="27" customFormat="1" ht="18" customHeight="1" spans="1:21">
      <c r="A2438" s="34"/>
      <c r="B2438" s="48">
        <v>15</v>
      </c>
      <c r="C2438" s="48"/>
      <c r="D2438" s="88"/>
      <c r="E2438" s="72"/>
      <c r="F2438" s="77"/>
      <c r="G2438" s="89"/>
      <c r="H2438" s="74"/>
      <c r="I2438" s="74"/>
      <c r="J2438" s="95"/>
      <c r="K2438" s="92"/>
      <c r="L2438" s="92"/>
      <c r="M2438" s="44"/>
      <c r="N2438" s="44"/>
      <c r="O2438" s="44"/>
      <c r="P2438" s="44"/>
      <c r="Q2438" s="44"/>
      <c r="R2438" s="84"/>
      <c r="S2438" s="47"/>
      <c r="T2438" s="47"/>
    </row>
    <row r="2439" s="27" customFormat="1" ht="18" customHeight="1" spans="1:21">
      <c r="A2439" s="34"/>
      <c r="B2439" s="48">
        <v>16</v>
      </c>
      <c r="C2439" s="48"/>
      <c r="D2439" s="88"/>
      <c r="E2439" s="72"/>
      <c r="F2439" s="77"/>
      <c r="G2439" s="89"/>
      <c r="H2439" s="74"/>
      <c r="I2439" s="74"/>
      <c r="J2439" s="95"/>
      <c r="K2439" s="92"/>
      <c r="L2439" s="92"/>
      <c r="M2439" s="44"/>
      <c r="N2439" s="44"/>
      <c r="O2439" s="44"/>
      <c r="P2439" s="44"/>
      <c r="Q2439" s="44"/>
      <c r="R2439" s="84"/>
      <c r="S2439" s="47"/>
      <c r="T2439" s="47"/>
    </row>
    <row r="2440" s="27" customFormat="1" ht="18" customHeight="1" spans="1:21">
      <c r="A2440" s="34"/>
      <c r="B2440" s="48">
        <v>17</v>
      </c>
      <c r="C2440" s="48"/>
      <c r="D2440" s="121"/>
      <c r="E2440" s="72"/>
      <c r="F2440" s="77"/>
      <c r="G2440" s="89"/>
      <c r="H2440" s="74"/>
      <c r="I2440" s="74"/>
      <c r="J2440" s="95"/>
      <c r="K2440" s="92"/>
      <c r="L2440" s="92"/>
      <c r="M2440" s="44"/>
      <c r="N2440" s="44"/>
      <c r="O2440" s="44"/>
      <c r="P2440" s="44"/>
      <c r="Q2440" s="101"/>
      <c r="R2440" s="84"/>
      <c r="S2440" s="47"/>
      <c r="T2440" s="47"/>
    </row>
    <row r="2441" s="27" customFormat="1" ht="18" customHeight="1" spans="1:21">
      <c r="A2441" s="34"/>
      <c r="B2441" s="48">
        <v>18</v>
      </c>
      <c r="C2441" s="48"/>
      <c r="D2441" s="88"/>
      <c r="E2441" s="72"/>
      <c r="F2441" s="77"/>
      <c r="G2441" s="89"/>
      <c r="H2441" s="74"/>
      <c r="I2441" s="74"/>
      <c r="J2441" s="95"/>
      <c r="K2441" s="92"/>
      <c r="L2441" s="92"/>
      <c r="M2441" s="44"/>
      <c r="N2441" s="44"/>
      <c r="O2441" s="44"/>
      <c r="P2441" s="44"/>
      <c r="Q2441" s="44"/>
      <c r="R2441" s="84"/>
      <c r="S2441" s="47"/>
      <c r="T2441" s="47"/>
    </row>
    <row r="2442" s="27" customFormat="1" ht="18" customHeight="1" spans="1:21">
      <c r="A2442" s="34"/>
      <c r="B2442" s="48">
        <v>19</v>
      </c>
      <c r="C2442" s="48"/>
      <c r="D2442" s="27"/>
      <c r="E2442" s="72"/>
      <c r="F2442" s="77"/>
      <c r="G2442" s="89"/>
      <c r="H2442" s="74"/>
      <c r="I2442" s="74"/>
      <c r="J2442" s="95"/>
      <c r="K2442" s="92"/>
      <c r="L2442" s="92"/>
      <c r="M2442" s="44"/>
      <c r="N2442" s="44"/>
      <c r="O2442" s="44"/>
      <c r="P2442" s="44"/>
      <c r="Q2442" s="44"/>
      <c r="R2442" s="84"/>
      <c r="S2442" s="47"/>
      <c r="T2442" s="47"/>
    </row>
    <row r="2443" s="27" customFormat="1" ht="18" customHeight="1" spans="1:21">
      <c r="A2443" s="34"/>
      <c r="B2443" s="48">
        <v>20</v>
      </c>
      <c r="C2443" s="48"/>
      <c r="D2443" s="88"/>
      <c r="E2443" s="72"/>
      <c r="F2443" s="77"/>
      <c r="G2443" s="89"/>
      <c r="H2443" s="74"/>
      <c r="I2443" s="74"/>
      <c r="J2443" s="95"/>
      <c r="K2443" s="92"/>
      <c r="L2443" s="92"/>
      <c r="M2443" s="44"/>
      <c r="N2443" s="44"/>
      <c r="O2443" s="44"/>
      <c r="P2443" s="44"/>
      <c r="Q2443" s="44"/>
      <c r="R2443" s="84"/>
      <c r="S2443" s="47"/>
      <c r="T2443" s="47"/>
    </row>
    <row r="2444" s="27" customFormat="1" ht="18" customHeight="1" spans="1:21">
      <c r="A2444" s="34"/>
      <c r="B2444" s="48">
        <v>21</v>
      </c>
      <c r="C2444" s="48"/>
      <c r="D2444" s="88"/>
      <c r="E2444" s="72"/>
      <c r="F2444" s="77"/>
      <c r="G2444" s="89"/>
      <c r="H2444" s="74"/>
      <c r="I2444" s="74"/>
      <c r="J2444" s="95"/>
      <c r="K2444" s="92"/>
      <c r="L2444" s="92"/>
      <c r="M2444" s="44"/>
      <c r="N2444" s="44"/>
      <c r="O2444" s="44"/>
      <c r="P2444" s="44"/>
      <c r="Q2444" s="44"/>
      <c r="R2444" s="84"/>
      <c r="S2444" s="47"/>
      <c r="T2444" s="47"/>
    </row>
    <row r="2445" s="27" customFormat="1" ht="18" customHeight="1" spans="1:21">
      <c r="A2445" s="34"/>
      <c r="B2445" s="48">
        <v>22</v>
      </c>
      <c r="C2445" s="48"/>
      <c r="D2445" s="27"/>
      <c r="E2445" s="72"/>
      <c r="F2445" s="77"/>
      <c r="G2445" s="72"/>
      <c r="H2445" s="74"/>
      <c r="I2445" s="74"/>
      <c r="J2445" s="95"/>
      <c r="K2445" s="92"/>
      <c r="L2445" s="92"/>
      <c r="M2445" s="44"/>
      <c r="N2445" s="44"/>
      <c r="O2445" s="44"/>
      <c r="P2445" s="44"/>
      <c r="Q2445" s="44"/>
      <c r="R2445" s="62"/>
      <c r="S2445" s="47"/>
      <c r="T2445" s="47"/>
    </row>
    <row r="2446" s="27" customFormat="1" ht="18" customHeight="1" spans="1:21">
      <c r="A2446" s="34"/>
      <c r="B2446" s="48">
        <v>23</v>
      </c>
      <c r="C2446" s="48"/>
      <c r="D2446" s="88"/>
      <c r="E2446" s="72"/>
      <c r="F2446" s="77"/>
      <c r="G2446" s="89"/>
      <c r="H2446" s="74"/>
      <c r="I2446" s="74"/>
      <c r="J2446" s="95"/>
      <c r="K2446" s="92"/>
      <c r="L2446" s="92"/>
      <c r="M2446" s="44"/>
      <c r="N2446" s="44"/>
      <c r="O2446" s="44"/>
      <c r="P2446" s="44"/>
      <c r="Q2446" s="44"/>
      <c r="R2446" s="62"/>
      <c r="S2446" s="47"/>
      <c r="T2446" s="47"/>
    </row>
    <row r="2447" s="27" customFormat="1" ht="18" customHeight="1" spans="1:21">
      <c r="A2447" s="34"/>
      <c r="B2447" s="48">
        <v>24</v>
      </c>
      <c r="C2447" s="48"/>
      <c r="D2447" s="88" t="s">
        <v>478</v>
      </c>
      <c r="E2447" s="72" t="s">
        <v>43</v>
      </c>
      <c r="F2447" s="77"/>
      <c r="G2447" s="72">
        <v>1</v>
      </c>
      <c r="H2447" s="74">
        <v>1</v>
      </c>
      <c r="I2447" s="74">
        <f>+辅材及安装费!$E$3</f>
        <v>5</v>
      </c>
      <c r="J2447" s="95">
        <f>H2447*I2447</f>
        <v>5</v>
      </c>
      <c r="K2447" s="92"/>
      <c r="L2447" s="92"/>
      <c r="M2447" s="44"/>
      <c r="N2447" s="44"/>
      <c r="O2447" s="44"/>
      <c r="P2447" s="44"/>
      <c r="Q2447" s="44"/>
      <c r="R2447" s="62"/>
      <c r="S2447" s="47"/>
      <c r="T2447" s="47"/>
    </row>
    <row r="2448" s="27" customFormat="1" ht="18" customHeight="1" spans="1:21">
      <c r="A2448" s="34"/>
      <c r="B2448" s="48">
        <v>25</v>
      </c>
      <c r="C2448" s="48"/>
      <c r="D2448" s="93" t="s">
        <v>442</v>
      </c>
      <c r="E2448" s="72"/>
      <c r="F2448" s="77"/>
      <c r="G2448" s="72"/>
      <c r="H2448" s="74"/>
      <c r="I2448" s="74"/>
      <c r="J2448" s="95">
        <f>SUM(J2424:J2447)</f>
        <v>945.989076592553</v>
      </c>
      <c r="K2448" s="92"/>
      <c r="L2448" s="94"/>
      <c r="M2448" s="27"/>
      <c r="N2448" s="83"/>
      <c r="O2448" s="83"/>
      <c r="P2448" s="83"/>
      <c r="Q2448" s="83"/>
      <c r="R2448" s="87"/>
      <c r="S2448" s="47"/>
      <c r="T2448" s="47"/>
    </row>
    <row r="2449" s="27" customFormat="1" ht="18" customHeight="1" spans="1:20">
      <c r="A2449" s="34"/>
      <c r="B2449" s="48">
        <v>1</v>
      </c>
      <c r="C2449" s="48" t="s">
        <v>443</v>
      </c>
      <c r="D2449" s="48" t="s">
        <v>444</v>
      </c>
      <c r="E2449" s="72" t="s">
        <v>43</v>
      </c>
      <c r="F2449" s="50"/>
      <c r="G2449" s="48"/>
      <c r="H2449" s="51">
        <v>1</v>
      </c>
      <c r="I2449" s="74">
        <f>+辅材及安装费!$F$3</f>
        <v>5</v>
      </c>
      <c r="J2449" s="95">
        <f>H2449*I2449</f>
        <v>5</v>
      </c>
      <c r="K2449" s="118"/>
      <c r="L2449" s="96"/>
      <c r="M2449" s="97"/>
      <c r="N2449" s="98"/>
      <c r="O2449" s="98"/>
      <c r="P2449" s="98"/>
      <c r="Q2449" s="98"/>
      <c r="R2449" s="99"/>
      <c r="S2449" s="47"/>
      <c r="T2449" s="47"/>
    </row>
    <row r="2450" s="26" customFormat="1" ht="30" customHeight="1" spans="1:20">
      <c r="A2450" s="28"/>
      <c r="B2450" s="29" t="s">
        <v>386</v>
      </c>
      <c r="C2450" s="29"/>
      <c r="D2450" s="29"/>
      <c r="E2450" s="29"/>
      <c r="F2450" s="29"/>
      <c r="G2450" s="29"/>
      <c r="H2450" s="29"/>
      <c r="I2450" s="29"/>
      <c r="J2450" s="29"/>
      <c r="K2450" s="29"/>
      <c r="L2450" s="30"/>
      <c r="M2450" s="31"/>
      <c r="N2450" s="31"/>
      <c r="O2450" s="31"/>
      <c r="P2450" s="31"/>
      <c r="Q2450" s="31"/>
      <c r="R2450" s="32"/>
      <c r="S2450" s="33"/>
      <c r="T2450" s="33"/>
    </row>
    <row r="2451" s="27" customFormat="1" ht="33.75" customHeight="1" spans="1:20">
      <c r="A2451" s="34">
        <v>7</v>
      </c>
      <c r="B2451" s="35" t="s">
        <v>1</v>
      </c>
      <c r="C2451" s="35" t="s">
        <v>387</v>
      </c>
      <c r="D2451" s="36" t="str">
        <f>+A2459</f>
        <v>中灰色铝单板</v>
      </c>
      <c r="E2451" s="37"/>
      <c r="F2451" s="38" t="s">
        <v>119</v>
      </c>
      <c r="G2451" s="39"/>
      <c r="H2451" s="35" t="s">
        <v>388</v>
      </c>
      <c r="I2451" s="40" t="s">
        <v>389</v>
      </c>
      <c r="J2451" s="41" t="s">
        <v>37</v>
      </c>
      <c r="K2451" s="122">
        <f ca="1">VLOOKUP(A2451,'商业工程量清单 '!$A$59:$D$81,4,FALSE)</f>
        <v>1.05</v>
      </c>
      <c r="L2451" s="43"/>
      <c r="M2451" s="44"/>
      <c r="N2451" s="44"/>
      <c r="O2451" s="44"/>
      <c r="P2451" s="45"/>
      <c r="Q2451" s="44"/>
      <c r="R2451" s="46"/>
      <c r="S2451" s="47"/>
      <c r="T2451" s="47"/>
    </row>
    <row r="2452" s="27" customFormat="1" ht="25" customHeight="1" spans="1:20">
      <c r="A2452" s="34"/>
      <c r="B2452" s="48">
        <v>1</v>
      </c>
      <c r="C2452" s="49" t="s">
        <v>390</v>
      </c>
      <c r="D2452" s="48" t="s">
        <v>391</v>
      </c>
      <c r="E2452" s="48"/>
      <c r="F2452" s="50"/>
      <c r="G2452" s="48"/>
      <c r="H2452" s="51"/>
      <c r="I2452" s="52">
        <f>J2464</f>
        <v>165</v>
      </c>
      <c r="J2452" s="53" t="s">
        <v>392</v>
      </c>
      <c r="K2452" s="54"/>
      <c r="L2452" s="55" t="s">
        <v>1061</v>
      </c>
      <c r="M2452" s="56"/>
      <c r="N2452" s="57"/>
      <c r="O2452" s="57">
        <v>1.5</v>
      </c>
      <c r="P2452" s="57">
        <v>0.7</v>
      </c>
      <c r="Q2452" s="57">
        <v>1</v>
      </c>
      <c r="R2452" s="58">
        <f>+Q2452*P2452*O2452</f>
        <v>1.05</v>
      </c>
      <c r="S2452" s="47"/>
      <c r="T2452" s="47"/>
    </row>
    <row r="2453" s="27" customFormat="1" ht="18" customHeight="1" spans="1:20">
      <c r="A2453" s="34"/>
      <c r="B2453" s="48">
        <v>2</v>
      </c>
      <c r="C2453" s="59"/>
      <c r="D2453" s="48" t="s">
        <v>394</v>
      </c>
      <c r="E2453" s="48"/>
      <c r="F2453" s="50"/>
      <c r="G2453" s="48"/>
      <c r="H2453" s="51"/>
      <c r="I2453" s="52">
        <f>J2489</f>
        <v>427.022057124399</v>
      </c>
      <c r="J2453" s="53" t="s">
        <v>392</v>
      </c>
      <c r="K2453" s="60"/>
      <c r="L2453" s="61" t="s">
        <v>119</v>
      </c>
      <c r="M2453" s="44"/>
      <c r="N2453" s="44"/>
      <c r="O2453" s="44"/>
      <c r="P2453" s="44"/>
      <c r="Q2453" s="44"/>
      <c r="R2453" s="62"/>
      <c r="S2453" s="47"/>
      <c r="T2453" s="47"/>
    </row>
    <row r="2454" s="27" customFormat="1" ht="18" customHeight="1" spans="1:20">
      <c r="A2454" s="34"/>
      <c r="B2454" s="48">
        <v>3</v>
      </c>
      <c r="C2454" s="63"/>
      <c r="D2454" s="48" t="s">
        <v>395</v>
      </c>
      <c r="E2454" s="48"/>
      <c r="F2454" s="50"/>
      <c r="G2454" s="48"/>
      <c r="H2454" s="51"/>
      <c r="I2454" s="52">
        <f>J2490</f>
        <v>5</v>
      </c>
      <c r="J2454" s="53" t="s">
        <v>392</v>
      </c>
      <c r="K2454" s="60"/>
      <c r="L2454" s="60"/>
      <c r="M2454" s="65" t="s">
        <v>396</v>
      </c>
      <c r="N2454" s="65" t="s">
        <v>397</v>
      </c>
      <c r="O2454" s="65" t="s">
        <v>398</v>
      </c>
      <c r="P2454" s="65" t="s">
        <v>399</v>
      </c>
      <c r="Q2454" s="65" t="s">
        <v>400</v>
      </c>
      <c r="R2454" s="66" t="s">
        <v>401</v>
      </c>
      <c r="S2454" s="47"/>
      <c r="T2454" s="47"/>
    </row>
    <row r="2455" s="27" customFormat="1" ht="18" customHeight="1" spans="1:20">
      <c r="A2455" s="34"/>
      <c r="B2455" s="48">
        <v>4</v>
      </c>
      <c r="C2455" s="48" t="s">
        <v>402</v>
      </c>
      <c r="D2455" s="67" t="s">
        <v>403</v>
      </c>
      <c r="E2455" s="67"/>
      <c r="F2455" s="50"/>
      <c r="G2455" s="67"/>
      <c r="H2455" s="68"/>
      <c r="I2455" s="52">
        <f>SUM(I2452:I2454)</f>
        <v>597.022057124399</v>
      </c>
      <c r="J2455" s="53" t="s">
        <v>392</v>
      </c>
      <c r="K2455" s="60"/>
      <c r="L2455" s="69" t="s">
        <v>431</v>
      </c>
      <c r="M2455" s="34" t="s">
        <v>529</v>
      </c>
      <c r="N2455" s="34">
        <v>8.29</v>
      </c>
      <c r="O2455" s="34">
        <f>P2452</f>
        <v>0.7</v>
      </c>
      <c r="P2455" s="34">
        <v>2</v>
      </c>
      <c r="Q2455" s="44">
        <f t="shared" ref="Q2455:Q2462" si="381">+P2455*O2455*N2455</f>
        <v>11.606</v>
      </c>
      <c r="R2455" s="71">
        <f>+Q2455/R2452</f>
        <v>11.0533333333333</v>
      </c>
      <c r="S2455" s="47"/>
      <c r="T2455" s="47"/>
    </row>
    <row r="2456" s="27" customFormat="1" ht="28" customHeight="1" spans="1:20">
      <c r="A2456" s="34"/>
      <c r="B2456" s="48">
        <v>5</v>
      </c>
      <c r="C2456" s="72" t="s">
        <v>406</v>
      </c>
      <c r="D2456" s="48" t="s">
        <v>407</v>
      </c>
      <c r="E2456" s="48"/>
      <c r="F2456" s="50"/>
      <c r="G2456" s="48"/>
      <c r="H2456" s="73">
        <f>+'材料表 '!$E$178</f>
        <v>0</v>
      </c>
      <c r="I2456" s="52">
        <f>H2456*I2455</f>
        <v>0</v>
      </c>
      <c r="J2456" s="53" t="s">
        <v>392</v>
      </c>
      <c r="K2456" s="60"/>
      <c r="L2456" s="69" t="s">
        <v>461</v>
      </c>
      <c r="M2456" s="34" t="s">
        <v>462</v>
      </c>
      <c r="N2456" s="34">
        <v>3.77</v>
      </c>
      <c r="O2456" s="34">
        <f>+O2452</f>
        <v>1.5</v>
      </c>
      <c r="P2456" s="34">
        <v>2</v>
      </c>
      <c r="Q2456" s="44">
        <f t="shared" si="381"/>
        <v>11.31</v>
      </c>
      <c r="R2456" s="71">
        <f>+Q2456/R2452</f>
        <v>10.7714285714286</v>
      </c>
      <c r="S2456" s="47"/>
      <c r="T2456" s="47"/>
    </row>
    <row r="2457" s="27" customFormat="1" ht="18" customHeight="1" spans="1:20">
      <c r="A2457" s="34"/>
      <c r="B2457" s="48">
        <v>6</v>
      </c>
      <c r="C2457" s="48" t="s">
        <v>409</v>
      </c>
      <c r="D2457" s="48" t="s">
        <v>410</v>
      </c>
      <c r="E2457" s="48"/>
      <c r="F2457" s="50"/>
      <c r="G2457" s="48"/>
      <c r="H2457" s="73">
        <f>+'材料表 '!$E$179</f>
        <v>0</v>
      </c>
      <c r="I2457" s="52">
        <f>H2457*I2455</f>
        <v>0</v>
      </c>
      <c r="J2457" s="53" t="s">
        <v>392</v>
      </c>
      <c r="K2457" s="60"/>
      <c r="L2457" s="69" t="s">
        <v>461</v>
      </c>
      <c r="M2457" s="34" t="s">
        <v>462</v>
      </c>
      <c r="N2457" s="34">
        <v>3.77</v>
      </c>
      <c r="O2457" s="34">
        <f>0.18</f>
        <v>0.18</v>
      </c>
      <c r="P2457" s="34">
        <v>0</v>
      </c>
      <c r="Q2457" s="44">
        <f t="shared" si="381"/>
        <v>0</v>
      </c>
      <c r="R2457" s="71">
        <f>+Q2457/R2452</f>
        <v>0</v>
      </c>
      <c r="S2457" s="47"/>
      <c r="T2457" s="47"/>
    </row>
    <row r="2458" s="27" customFormat="1" ht="18" customHeight="1" spans="1:20">
      <c r="A2458" s="34"/>
      <c r="B2458" s="48">
        <v>7</v>
      </c>
      <c r="C2458" s="48" t="s">
        <v>412</v>
      </c>
      <c r="D2458" s="72" t="s">
        <v>413</v>
      </c>
      <c r="E2458" s="72"/>
      <c r="F2458" s="77"/>
      <c r="G2458" s="72"/>
      <c r="H2458" s="73">
        <f>+'材料表 '!$E$180</f>
        <v>0.09</v>
      </c>
      <c r="I2458" s="52">
        <f>(I2455+I2456+I2457)*H2458</f>
        <v>53.7319851411959</v>
      </c>
      <c r="J2458" s="53" t="s">
        <v>392</v>
      </c>
      <c r="K2458" s="60"/>
      <c r="L2458" s="69" t="s">
        <v>463</v>
      </c>
      <c r="M2458" s="34" t="s">
        <v>490</v>
      </c>
      <c r="N2458" s="34">
        <f>0.3*0.2*7.85*10</f>
        <v>4.71</v>
      </c>
      <c r="O2458" s="34">
        <v>1</v>
      </c>
      <c r="P2458" s="34">
        <v>1</v>
      </c>
      <c r="Q2458" s="44">
        <f t="shared" si="381"/>
        <v>4.71</v>
      </c>
      <c r="R2458" s="71">
        <f>+Q2458/R2452</f>
        <v>4.48571428571429</v>
      </c>
      <c r="S2458" s="47"/>
      <c r="T2458" s="47"/>
    </row>
    <row r="2459" s="27" customFormat="1" ht="18" customHeight="1" spans="1:20">
      <c r="A2459" s="34" t="s">
        <v>315</v>
      </c>
      <c r="B2459" s="48">
        <v>8</v>
      </c>
      <c r="C2459" s="48" t="s">
        <v>363</v>
      </c>
      <c r="D2459" s="106" t="s">
        <v>415</v>
      </c>
      <c r="E2459" s="107"/>
      <c r="F2459" s="108"/>
      <c r="G2459" s="107"/>
      <c r="H2459" s="51"/>
      <c r="I2459" s="74">
        <f>SUM(I2455:I2458)</f>
        <v>650.754042265595</v>
      </c>
      <c r="J2459" s="53" t="s">
        <v>416</v>
      </c>
      <c r="K2459" s="60"/>
      <c r="L2459" s="69" t="s">
        <v>465</v>
      </c>
      <c r="M2459" s="34" t="s">
        <v>466</v>
      </c>
      <c r="N2459" s="100">
        <f>1.2789*7.85</f>
        <v>10.039365</v>
      </c>
      <c r="O2459" s="34">
        <f>35/1000</f>
        <v>0.035</v>
      </c>
      <c r="P2459" s="44">
        <f>+P2458*O2458*2</f>
        <v>2</v>
      </c>
      <c r="Q2459" s="44">
        <f t="shared" si="381"/>
        <v>0.70275555</v>
      </c>
      <c r="R2459" s="84">
        <f>+Q2459/R2452</f>
        <v>0.669291</v>
      </c>
      <c r="S2459" s="79"/>
      <c r="T2459" s="47"/>
    </row>
    <row r="2460" s="27" customFormat="1" ht="18" customHeight="1" spans="1:20">
      <c r="A2460" s="34"/>
      <c r="B2460" s="109" t="s">
        <v>418</v>
      </c>
      <c r="C2460" s="110"/>
      <c r="D2460" s="110"/>
      <c r="E2460" s="110"/>
      <c r="F2460" s="110"/>
      <c r="G2460" s="110"/>
      <c r="H2460" s="110"/>
      <c r="I2460" s="110"/>
      <c r="J2460" s="110"/>
      <c r="K2460" s="80"/>
      <c r="L2460" s="69" t="s">
        <v>433</v>
      </c>
      <c r="M2460" s="44"/>
      <c r="N2460" s="82">
        <f>0.056*3*2.71+0.0675*3*2.71</f>
        <v>1.004055</v>
      </c>
      <c r="O2460" s="44">
        <f>O2452</f>
        <v>1.5</v>
      </c>
      <c r="P2460" s="44">
        <v>0</v>
      </c>
      <c r="Q2460" s="44">
        <f t="shared" si="381"/>
        <v>0</v>
      </c>
      <c r="R2460" s="84">
        <f>+Q2460/R2452</f>
        <v>0</v>
      </c>
      <c r="S2460" s="47">
        <f>0.16*P2460*O2460/R2452</f>
        <v>0</v>
      </c>
      <c r="T2460" s="47"/>
    </row>
    <row r="2461" s="27" customFormat="1" ht="18" customHeight="1" spans="1:20">
      <c r="A2461" s="34"/>
      <c r="B2461" s="48">
        <v>1</v>
      </c>
      <c r="C2461" s="48" t="s">
        <v>391</v>
      </c>
      <c r="D2461" s="48" t="s">
        <v>396</v>
      </c>
      <c r="E2461" s="48" t="s">
        <v>37</v>
      </c>
      <c r="F2461" s="50"/>
      <c r="G2461" s="48"/>
      <c r="H2461" s="51" t="s">
        <v>399</v>
      </c>
      <c r="I2461" s="51" t="s">
        <v>420</v>
      </c>
      <c r="J2461" s="95" t="s">
        <v>421</v>
      </c>
      <c r="K2461" s="92"/>
      <c r="L2461" s="69" t="s">
        <v>433</v>
      </c>
      <c r="M2461" s="44" t="s">
        <v>498</v>
      </c>
      <c r="N2461" s="82">
        <f>0.0445*2*2.71</f>
        <v>0.24119</v>
      </c>
      <c r="O2461" s="44">
        <f>+O2460</f>
        <v>1.5</v>
      </c>
      <c r="P2461" s="44">
        <v>2</v>
      </c>
      <c r="Q2461" s="44">
        <f t="shared" si="381"/>
        <v>0.72357</v>
      </c>
      <c r="R2461" s="84">
        <f>+Q2461/R2452</f>
        <v>0.689114285714286</v>
      </c>
      <c r="S2461" s="47"/>
      <c r="T2461" s="47"/>
    </row>
    <row r="2462" s="27" customFormat="1" ht="18" customHeight="1" spans="1:20">
      <c r="A2462" s="34"/>
      <c r="B2462" s="48">
        <v>2</v>
      </c>
      <c r="C2462" s="48"/>
      <c r="D2462" s="111" t="s">
        <v>491</v>
      </c>
      <c r="E2462" s="49" t="s">
        <v>423</v>
      </c>
      <c r="F2462" s="112"/>
      <c r="G2462" s="111"/>
      <c r="H2462" s="113">
        <v>1</v>
      </c>
      <c r="I2462" s="113">
        <f>+辅材及安装费!$G$3</f>
        <v>165</v>
      </c>
      <c r="J2462" s="114">
        <f t="shared" ref="J2462:J2470" si="382">H2462*I2462</f>
        <v>165</v>
      </c>
      <c r="K2462" s="92"/>
      <c r="L2462" s="69" t="s">
        <v>433</v>
      </c>
      <c r="M2462" s="44" t="s">
        <v>498</v>
      </c>
      <c r="N2462" s="82">
        <f>0.0445*2*2.71</f>
        <v>0.24119</v>
      </c>
      <c r="O2462" s="44">
        <f>P2452</f>
        <v>0.7</v>
      </c>
      <c r="P2462" s="44">
        <v>1</v>
      </c>
      <c r="Q2462" s="44">
        <f t="shared" si="381"/>
        <v>0.168833</v>
      </c>
      <c r="R2462" s="84">
        <f>+Q2462/R2452</f>
        <v>0.160793333333333</v>
      </c>
      <c r="S2462" s="47"/>
      <c r="T2462" s="47"/>
    </row>
    <row r="2463" s="27" customFormat="1" ht="18" customHeight="1" spans="1:20">
      <c r="A2463" s="34"/>
      <c r="B2463" s="48">
        <v>3</v>
      </c>
      <c r="C2463" s="48"/>
      <c r="D2463" s="115"/>
      <c r="E2463" s="63"/>
      <c r="F2463" s="116"/>
      <c r="G2463" s="115"/>
      <c r="H2463" s="117"/>
      <c r="I2463" s="117"/>
      <c r="J2463" s="118"/>
      <c r="K2463" s="92"/>
      <c r="L2463" s="90" t="s">
        <v>472</v>
      </c>
      <c r="M2463" s="44"/>
      <c r="N2463" s="82"/>
      <c r="O2463" s="44"/>
      <c r="P2463" s="44">
        <f>+P2459</f>
        <v>2</v>
      </c>
      <c r="Q2463" s="44">
        <f>+P2463</f>
        <v>2</v>
      </c>
      <c r="R2463" s="84">
        <f>+Q2463/R2452</f>
        <v>1.90476190476191</v>
      </c>
      <c r="S2463" s="47"/>
      <c r="T2463" s="47"/>
    </row>
    <row r="2464" s="27" customFormat="1" ht="18" customHeight="1" spans="1:20">
      <c r="A2464" s="34"/>
      <c r="B2464" s="48">
        <v>4</v>
      </c>
      <c r="C2464" s="48"/>
      <c r="D2464" s="85" t="s">
        <v>426</v>
      </c>
      <c r="E2464" s="48" t="s">
        <v>392</v>
      </c>
      <c r="F2464" s="50"/>
      <c r="G2464" s="48"/>
      <c r="H2464" s="86"/>
      <c r="I2464" s="86"/>
      <c r="J2464" s="95">
        <f>SUM(J2462:J2462)</f>
        <v>165</v>
      </c>
      <c r="K2464" s="92"/>
      <c r="L2464" s="90" t="s">
        <v>473</v>
      </c>
      <c r="M2464" s="44"/>
      <c r="N2464" s="82"/>
      <c r="O2464" s="44"/>
      <c r="P2464" s="44"/>
      <c r="Q2464" s="44">
        <f>+(Q2461)*2</f>
        <v>1.44714</v>
      </c>
      <c r="R2464" s="84">
        <f>+Q2464/R2452</f>
        <v>1.37822857142857</v>
      </c>
      <c r="S2464" s="47"/>
      <c r="T2464" s="47"/>
    </row>
    <row r="2465" s="27" customFormat="1" ht="30" customHeight="1" spans="1:21">
      <c r="A2465" s="34"/>
      <c r="B2465" s="48">
        <v>1</v>
      </c>
      <c r="C2465" s="48" t="s">
        <v>394</v>
      </c>
      <c r="D2465" s="88" t="s">
        <v>431</v>
      </c>
      <c r="E2465" s="72" t="str">
        <f>+VLOOKUP(D2465,'材料表 '!C:F,2,0)</f>
        <v>kg</v>
      </c>
      <c r="F2465" s="77">
        <f>+SUMIF($L$2452:$L$2490,D2465,$R$2452:$R$2490)</f>
        <v>11.0533333333333</v>
      </c>
      <c r="G2465" s="89">
        <f>+VLOOKUP(D2465,'材料表 '!C:F,4,0)</f>
        <v>0.03</v>
      </c>
      <c r="H2465" s="74">
        <f t="shared" ref="H2465:H2470" si="383">F2465*(G2465+1)</f>
        <v>11.3849333333333</v>
      </c>
      <c r="I2465" s="74">
        <f>+VLOOKUP(D2465,'材料表 '!C:F,3,0)</f>
        <v>3.80530973451327</v>
      </c>
      <c r="J2465" s="95">
        <f t="shared" si="382"/>
        <v>43.3231976401178</v>
      </c>
      <c r="K2465" s="92">
        <f ca="1">H2465*K2451</f>
        <v>11.95418</v>
      </c>
      <c r="L2465" s="90"/>
      <c r="M2465" s="44"/>
      <c r="N2465" s="82"/>
      <c r="O2465" s="44"/>
      <c r="P2465" s="44"/>
      <c r="Q2465" s="44"/>
      <c r="R2465" s="84"/>
      <c r="S2465" s="47"/>
      <c r="T2465" s="47"/>
    </row>
    <row r="2466" s="27" customFormat="1" ht="18" customHeight="1" spans="1:21">
      <c r="A2466" s="34"/>
      <c r="B2466" s="48">
        <v>2</v>
      </c>
      <c r="C2466" s="48"/>
      <c r="D2466" s="88" t="s">
        <v>461</v>
      </c>
      <c r="E2466" s="72" t="str">
        <f>+VLOOKUP(D2466,'材料表 '!C:F,2,0)</f>
        <v>kg</v>
      </c>
      <c r="F2466" s="77">
        <f t="shared" ref="F2466:F2475" si="384">+SUMIF($L$2452:$L$2490,D2466,$R$2452:$R$2490)</f>
        <v>10.7714285714286</v>
      </c>
      <c r="G2466" s="89">
        <f>+VLOOKUP(D2466,'材料表 '!C:F,4,0)</f>
        <v>0.03</v>
      </c>
      <c r="H2466" s="74">
        <f t="shared" si="383"/>
        <v>11.0945714285715</v>
      </c>
      <c r="I2466" s="74">
        <f>+VLOOKUP(D2466,'材料表 '!C:F,3,0)</f>
        <v>3.53982300884956</v>
      </c>
      <c r="J2466" s="95">
        <f t="shared" si="382"/>
        <v>39.2728192161822</v>
      </c>
      <c r="K2466" s="92">
        <f ca="1">H2466*K2451</f>
        <v>11.6493000000001</v>
      </c>
      <c r="L2466" s="90"/>
      <c r="M2466" s="44"/>
      <c r="N2466" s="82"/>
      <c r="O2466" s="44"/>
      <c r="P2466" s="44"/>
      <c r="Q2466" s="44"/>
      <c r="R2466" s="84"/>
      <c r="S2466" s="47"/>
      <c r="T2466" s="47"/>
    </row>
    <row r="2467" s="27" customFormat="1" ht="18" customHeight="1" spans="1:21">
      <c r="A2467" s="34"/>
      <c r="B2467" s="48">
        <v>3</v>
      </c>
      <c r="C2467" s="48"/>
      <c r="D2467" s="88" t="s">
        <v>465</v>
      </c>
      <c r="E2467" s="72" t="str">
        <f>+VLOOKUP(D2467,'材料表 '!C:F,2,0)</f>
        <v>kg</v>
      </c>
      <c r="F2467" s="77">
        <f t="shared" si="384"/>
        <v>0.669291</v>
      </c>
      <c r="G2467" s="89">
        <f>+VLOOKUP(D2467,'材料表 '!C:F,4,0)</f>
        <v>0.03</v>
      </c>
      <c r="H2467" s="74">
        <f t="shared" si="383"/>
        <v>0.68936973</v>
      </c>
      <c r="I2467" s="74">
        <f>+VLOOKUP(D2467,'材料表 '!C:F,3,0)</f>
        <v>6.01769911504425</v>
      </c>
      <c r="J2467" s="95">
        <f t="shared" si="382"/>
        <v>4.14841961415929</v>
      </c>
      <c r="K2467" s="92">
        <f ca="1">H2467*K2451</f>
        <v>0.7238382165</v>
      </c>
      <c r="L2467" s="90"/>
      <c r="M2467" s="44"/>
      <c r="N2467" s="82"/>
      <c r="O2467" s="44"/>
      <c r="P2467" s="44"/>
      <c r="Q2467" s="44"/>
      <c r="R2467" s="84"/>
      <c r="S2467" s="47"/>
      <c r="T2467" s="47"/>
    </row>
    <row r="2468" s="27" customFormat="1" ht="18" customHeight="1" spans="1:21">
      <c r="A2468" s="34"/>
      <c r="B2468" s="48">
        <v>4</v>
      </c>
      <c r="C2468" s="48"/>
      <c r="D2468" s="88" t="s">
        <v>463</v>
      </c>
      <c r="E2468" s="72" t="str">
        <f>+VLOOKUP(D2468,'材料表 '!C:F,2,0)</f>
        <v>kg</v>
      </c>
      <c r="F2468" s="77">
        <f t="shared" si="384"/>
        <v>4.48571428571429</v>
      </c>
      <c r="G2468" s="89">
        <f>+VLOOKUP(D2468,'材料表 '!C:F,4,0)</f>
        <v>0.03</v>
      </c>
      <c r="H2468" s="74">
        <f t="shared" si="383"/>
        <v>4.62028571428572</v>
      </c>
      <c r="I2468" s="74">
        <f>+VLOOKUP(D2468,'材料表 '!C:F,3,0)</f>
        <v>6.01769911504425</v>
      </c>
      <c r="J2468" s="95">
        <f t="shared" si="382"/>
        <v>27.8034892541088</v>
      </c>
      <c r="K2468" s="92">
        <f ca="1">H2468*K2451</f>
        <v>4.85130000000001</v>
      </c>
      <c r="L2468" s="90" t="s">
        <v>474</v>
      </c>
      <c r="M2468" s="44"/>
      <c r="N2468" s="82"/>
      <c r="O2468" s="44"/>
      <c r="P2468" s="44"/>
      <c r="Q2468" s="44">
        <f>+O2458*P2458*4</f>
        <v>4</v>
      </c>
      <c r="R2468" s="84">
        <f>+Q2468/R2452</f>
        <v>3.80952380952381</v>
      </c>
      <c r="S2468" s="47"/>
      <c r="T2468" s="47"/>
    </row>
    <row r="2469" s="27" customFormat="1" ht="18" customHeight="1" spans="1:21">
      <c r="A2469" s="34"/>
      <c r="B2469" s="48">
        <v>5</v>
      </c>
      <c r="C2469" s="48"/>
      <c r="D2469" s="88" t="s">
        <v>433</v>
      </c>
      <c r="E2469" s="72" t="str">
        <f>+VLOOKUP(D2469,'材料表 '!C:F,2,0)</f>
        <v>kg</v>
      </c>
      <c r="F2469" s="77">
        <f t="shared" si="384"/>
        <v>0.849907619047619</v>
      </c>
      <c r="G2469" s="89">
        <f>+VLOOKUP(D2469,'材料表 '!C:F,4,0)</f>
        <v>0.03</v>
      </c>
      <c r="H2469" s="74">
        <f t="shared" si="383"/>
        <v>0.875404847619048</v>
      </c>
      <c r="I2469" s="74">
        <f>+VLOOKUP(D2469,'材料表 '!C:F,3,0)</f>
        <v>26.1150442477876</v>
      </c>
      <c r="J2469" s="95">
        <f t="shared" si="382"/>
        <v>22.8612363302992</v>
      </c>
      <c r="K2469" s="92">
        <f ca="1">H2469*K2451</f>
        <v>0.91917509</v>
      </c>
      <c r="L2469" s="92" t="s">
        <v>476</v>
      </c>
      <c r="M2469" s="44"/>
      <c r="N2469" s="82"/>
      <c r="O2469" s="44"/>
      <c r="P2469" s="44"/>
      <c r="Q2469" s="44">
        <f>15*8*(O2452*2+P2452*2)/500</f>
        <v>1.056</v>
      </c>
      <c r="R2469" s="84">
        <f>+Q2469/R2452</f>
        <v>1.00571428571429</v>
      </c>
      <c r="S2469" s="47"/>
      <c r="T2469" s="47"/>
    </row>
    <row r="2470" s="27" customFormat="1" ht="18" customHeight="1" spans="1:21">
      <c r="A2470" s="34"/>
      <c r="B2470" s="48">
        <v>6</v>
      </c>
      <c r="C2470" s="48"/>
      <c r="D2470" s="88" t="s">
        <v>427</v>
      </c>
      <c r="E2470" s="72" t="str">
        <f>+VLOOKUP(D2470,'材料表 '!C:F,2,0)</f>
        <v>kg</v>
      </c>
      <c r="F2470" s="77">
        <f t="shared" si="384"/>
        <v>0</v>
      </c>
      <c r="G2470" s="89">
        <f>+VLOOKUP(D2470,'材料表 '!C:F,4,0)</f>
        <v>0.03</v>
      </c>
      <c r="H2470" s="74">
        <f t="shared" si="383"/>
        <v>0</v>
      </c>
      <c r="I2470" s="74">
        <f>+VLOOKUP(D2470,'材料表 '!C:F,3,0)</f>
        <v>25.8495575221239</v>
      </c>
      <c r="J2470" s="95">
        <f t="shared" si="382"/>
        <v>0</v>
      </c>
      <c r="K2470" s="92">
        <f ca="1">H2470*K2451</f>
        <v>0</v>
      </c>
      <c r="L2470" s="69" t="s">
        <v>427</v>
      </c>
      <c r="M2470" s="70" t="s">
        <v>1007</v>
      </c>
      <c r="N2470" s="34">
        <v>3.111</v>
      </c>
      <c r="O2470" s="34">
        <f>P2452</f>
        <v>0.7</v>
      </c>
      <c r="P2470" s="34">
        <v>0</v>
      </c>
      <c r="Q2470" s="44">
        <f t="shared" ref="Q2470:Q2478" si="385">+P2470*O2470*N2470</f>
        <v>0</v>
      </c>
      <c r="R2470" s="71">
        <f>+Q2470/R2452</f>
        <v>0</v>
      </c>
      <c r="S2470" s="47"/>
      <c r="T2470" s="47"/>
    </row>
    <row r="2471" s="27" customFormat="1" ht="18" customHeight="1" spans="1:21">
      <c r="A2471" s="34"/>
      <c r="B2471" s="48">
        <v>7</v>
      </c>
      <c r="C2471" s="48"/>
      <c r="D2471" s="88"/>
      <c r="E2471" s="72"/>
      <c r="F2471" s="77">
        <f t="shared" si="384"/>
        <v>0</v>
      </c>
      <c r="G2471" s="89"/>
      <c r="H2471" s="74"/>
      <c r="I2471" s="74"/>
      <c r="J2471" s="95"/>
      <c r="K2471" s="92">
        <f ca="1">H2471*K2451</f>
        <v>0</v>
      </c>
      <c r="L2471" s="69" t="s">
        <v>429</v>
      </c>
      <c r="M2471" s="70" t="s">
        <v>1037</v>
      </c>
      <c r="N2471" s="34">
        <v>3.063</v>
      </c>
      <c r="O2471" s="100">
        <f>O2470/0.3*0.1</f>
        <v>0.233333333333333</v>
      </c>
      <c r="P2471" s="34">
        <v>0</v>
      </c>
      <c r="Q2471" s="44">
        <f t="shared" si="385"/>
        <v>0</v>
      </c>
      <c r="R2471" s="71">
        <f>+Q2471/R2452</f>
        <v>0</v>
      </c>
      <c r="S2471" s="47"/>
      <c r="T2471" s="47"/>
    </row>
    <row r="2472" s="27" customFormat="1" ht="18" customHeight="1" spans="1:21">
      <c r="A2472" s="34"/>
      <c r="B2472" s="48">
        <v>8</v>
      </c>
      <c r="C2472" s="48"/>
      <c r="D2472" s="88"/>
      <c r="E2472" s="72"/>
      <c r="F2472" s="77">
        <f t="shared" si="384"/>
        <v>0</v>
      </c>
      <c r="G2472" s="89"/>
      <c r="H2472" s="74"/>
      <c r="I2472" s="74"/>
      <c r="J2472" s="95"/>
      <c r="K2472" s="92">
        <f ca="1">H2472*K2451</f>
        <v>0</v>
      </c>
      <c r="L2472" s="69" t="s">
        <v>447</v>
      </c>
      <c r="M2472" s="70" t="s">
        <v>1038</v>
      </c>
      <c r="N2472" s="34">
        <f>1.041+0.104</f>
        <v>1.145</v>
      </c>
      <c r="O2472" s="34">
        <f>O2470</f>
        <v>0.7</v>
      </c>
      <c r="P2472" s="34">
        <v>0</v>
      </c>
      <c r="Q2472" s="44">
        <f t="shared" si="385"/>
        <v>0</v>
      </c>
      <c r="R2472" s="71">
        <f>+Q2472/R2452</f>
        <v>0</v>
      </c>
      <c r="S2472" s="47">
        <v>0.172</v>
      </c>
      <c r="T2472" s="47">
        <f>O2472*P2472*S2472</f>
        <v>0</v>
      </c>
      <c r="U2472" s="76">
        <f>T2472/R2452</f>
        <v>0</v>
      </c>
    </row>
    <row r="2473" s="27" customFormat="1" ht="18" customHeight="1" spans="1:21">
      <c r="A2473" s="34"/>
      <c r="B2473" s="48">
        <v>9</v>
      </c>
      <c r="C2473" s="48"/>
      <c r="D2473" s="88" t="s">
        <v>476</v>
      </c>
      <c r="E2473" s="72" t="str">
        <f>+VLOOKUP(D2473,'材料表 '!C:F,2,0)</f>
        <v>支</v>
      </c>
      <c r="F2473" s="77">
        <f t="shared" si="384"/>
        <v>1.00571428571429</v>
      </c>
      <c r="G2473" s="89">
        <f>+VLOOKUP(D2473,'材料表 '!C:F,4,0)</f>
        <v>0.15</v>
      </c>
      <c r="H2473" s="74">
        <f t="shared" ref="H2473:H2476" si="386">F2473*(G2473+1)</f>
        <v>1.15657142857143</v>
      </c>
      <c r="I2473" s="74">
        <f>+VLOOKUP(D2473,'材料表 '!C:F,3,0)</f>
        <v>11.5044247787611</v>
      </c>
      <c r="J2473" s="95">
        <f t="shared" ref="J2473:J2476" si="387">H2473*I2473</f>
        <v>13.3056890012643</v>
      </c>
      <c r="K2473" s="92">
        <f ca="1">H2473*K2451</f>
        <v>1.2144</v>
      </c>
      <c r="L2473" s="69" t="s">
        <v>429</v>
      </c>
      <c r="M2473" s="70" t="s">
        <v>1010</v>
      </c>
      <c r="N2473" s="102">
        <f>2.9</f>
        <v>2.9</v>
      </c>
      <c r="O2473" s="34">
        <v>0.2</v>
      </c>
      <c r="P2473" s="34">
        <v>0</v>
      </c>
      <c r="Q2473" s="44">
        <f t="shared" si="385"/>
        <v>0</v>
      </c>
      <c r="R2473" s="71">
        <f>+Q2473/R2452</f>
        <v>0</v>
      </c>
      <c r="S2473" s="47"/>
      <c r="T2473" s="47"/>
    </row>
    <row r="2474" s="27" customFormat="1" ht="18" customHeight="1" spans="1:21">
      <c r="A2474" s="34"/>
      <c r="B2474" s="48">
        <v>10</v>
      </c>
      <c r="C2474" s="48"/>
      <c r="D2474" s="88" t="s">
        <v>474</v>
      </c>
      <c r="E2474" s="72" t="str">
        <f>+VLOOKUP(D2474,'材料表 '!C:F,2,0)</f>
        <v>套</v>
      </c>
      <c r="F2474" s="77">
        <f t="shared" si="384"/>
        <v>3.80952380952381</v>
      </c>
      <c r="G2474" s="89">
        <f>+VLOOKUP(D2474,'材料表 '!C:F,4,0)</f>
        <v>0</v>
      </c>
      <c r="H2474" s="74">
        <f t="shared" si="386"/>
        <v>3.80952380952381</v>
      </c>
      <c r="I2474" s="74">
        <f>+VLOOKUP(D2474,'材料表 '!C:F,3,0)</f>
        <v>2.21238938053097</v>
      </c>
      <c r="J2474" s="95">
        <f t="shared" si="387"/>
        <v>8.42815002107036</v>
      </c>
      <c r="K2474" s="92">
        <f ca="1">H2474*K2451</f>
        <v>4</v>
      </c>
      <c r="L2474" s="69" t="s">
        <v>429</v>
      </c>
      <c r="M2474" s="70" t="s">
        <v>1040</v>
      </c>
      <c r="N2474" s="34">
        <v>0.733</v>
      </c>
      <c r="O2474" s="100">
        <f>O2471*2</f>
        <v>0.466666666666667</v>
      </c>
      <c r="P2474" s="34">
        <v>0</v>
      </c>
      <c r="Q2474" s="44">
        <f t="shared" si="385"/>
        <v>0</v>
      </c>
      <c r="R2474" s="71">
        <f>+Q2474/R2452</f>
        <v>0</v>
      </c>
      <c r="S2474" s="79"/>
      <c r="T2474" s="47"/>
    </row>
    <row r="2475" s="27" customFormat="1" ht="18" customHeight="1" spans="1:21">
      <c r="A2475" s="34"/>
      <c r="B2475" s="48">
        <v>11</v>
      </c>
      <c r="C2475" s="48"/>
      <c r="D2475" s="88" t="s">
        <v>472</v>
      </c>
      <c r="E2475" s="72" t="str">
        <f>+VLOOKUP(D2475,'材料表 '!C:F,2,0)</f>
        <v>套</v>
      </c>
      <c r="F2475" s="77">
        <f t="shared" si="384"/>
        <v>1.90476190476191</v>
      </c>
      <c r="G2475" s="89">
        <f>+VLOOKUP(D2475,'材料表 '!C:F,4,0)</f>
        <v>0</v>
      </c>
      <c r="H2475" s="74">
        <f t="shared" si="386"/>
        <v>1.90476190476191</v>
      </c>
      <c r="I2475" s="74">
        <f>+VLOOKUP(D2475,'材料表 '!C:F,3,0)</f>
        <v>2.47787610619469</v>
      </c>
      <c r="J2475" s="95">
        <f t="shared" si="387"/>
        <v>4.71976401179942</v>
      </c>
      <c r="K2475" s="92">
        <f ca="1">H2475*K2451</f>
        <v>2.00000000000001</v>
      </c>
      <c r="L2475" s="69" t="s">
        <v>404</v>
      </c>
      <c r="M2475" s="70" t="s">
        <v>1041</v>
      </c>
      <c r="N2475" s="34">
        <v>3.727</v>
      </c>
      <c r="O2475" s="34">
        <v>0</v>
      </c>
      <c r="P2475" s="34">
        <v>1</v>
      </c>
      <c r="Q2475" s="44">
        <f t="shared" si="385"/>
        <v>0</v>
      </c>
      <c r="R2475" s="71">
        <f>+Q2475/R2452</f>
        <v>0</v>
      </c>
      <c r="S2475" s="47"/>
      <c r="T2475" s="47"/>
      <c r="U2475" s="76"/>
    </row>
    <row r="2476" s="27" customFormat="1" ht="18" customHeight="1" spans="1:21">
      <c r="A2476" s="34"/>
      <c r="B2476" s="48">
        <v>12</v>
      </c>
      <c r="C2476" s="48"/>
      <c r="D2476" s="88" t="s">
        <v>493</v>
      </c>
      <c r="E2476" s="72" t="str">
        <f>+VLOOKUP(D2476,'材料表 '!C:F,2,0)</f>
        <v>m2</v>
      </c>
      <c r="F2476" s="77">
        <v>1</v>
      </c>
      <c r="G2476" s="89">
        <f>+VLOOKUP(D2476,'材料表 '!C:F,4,0)</f>
        <v>0.02</v>
      </c>
      <c r="H2476" s="74">
        <f t="shared" si="386"/>
        <v>1.02</v>
      </c>
      <c r="I2476" s="74">
        <f>+VLOOKUP(D2476,'材料表 '!C:F,3,0)</f>
        <v>253.097345132743</v>
      </c>
      <c r="J2476" s="95">
        <f t="shared" si="387"/>
        <v>258.159292035398</v>
      </c>
      <c r="K2476" s="92">
        <f ca="1">H2476*K2451</f>
        <v>1.071</v>
      </c>
      <c r="L2476" s="69" t="s">
        <v>429</v>
      </c>
      <c r="M2476" s="81" t="s">
        <v>1027</v>
      </c>
      <c r="N2476" s="82">
        <v>0.735</v>
      </c>
      <c r="O2476" s="34">
        <v>0</v>
      </c>
      <c r="P2476" s="34">
        <v>1</v>
      </c>
      <c r="Q2476" s="44">
        <f t="shared" si="385"/>
        <v>0</v>
      </c>
      <c r="R2476" s="71">
        <f>+Q2476/R2452</f>
        <v>0</v>
      </c>
      <c r="S2476" s="47"/>
      <c r="T2476" s="47"/>
    </row>
    <row r="2477" s="27" customFormat="1" ht="18" customHeight="1" spans="1:21">
      <c r="A2477" s="34"/>
      <c r="B2477" s="48">
        <v>13</v>
      </c>
      <c r="C2477" s="48"/>
      <c r="D2477" s="88"/>
      <c r="E2477" s="72"/>
      <c r="F2477" s="77"/>
      <c r="G2477" s="89"/>
      <c r="H2477" s="74"/>
      <c r="I2477" s="74"/>
      <c r="J2477" s="95"/>
      <c r="K2477" s="92">
        <f ca="1">H2477*K2451</f>
        <v>0</v>
      </c>
      <c r="L2477" s="69" t="s">
        <v>447</v>
      </c>
      <c r="M2477" s="70" t="s">
        <v>1038</v>
      </c>
      <c r="N2477" s="83">
        <v>0.977</v>
      </c>
      <c r="O2477" s="34">
        <v>0</v>
      </c>
      <c r="P2477" s="34">
        <v>1</v>
      </c>
      <c r="Q2477" s="44">
        <f t="shared" si="385"/>
        <v>0</v>
      </c>
      <c r="R2477" s="84">
        <f>+Q2477/R2452</f>
        <v>0</v>
      </c>
      <c r="S2477" s="47">
        <v>0.185</v>
      </c>
      <c r="T2477" s="47">
        <f>O2477*P2477*S2477</f>
        <v>0</v>
      </c>
      <c r="U2477" s="27">
        <f>T2477/R2452</f>
        <v>0</v>
      </c>
    </row>
    <row r="2478" s="27" customFormat="1" ht="24" customHeight="1" spans="1:21">
      <c r="A2478" s="34"/>
      <c r="B2478" s="48">
        <v>14</v>
      </c>
      <c r="C2478" s="48"/>
      <c r="D2478" s="88"/>
      <c r="E2478" s="72"/>
      <c r="F2478" s="77"/>
      <c r="G2478" s="89"/>
      <c r="H2478" s="74"/>
      <c r="I2478" s="74"/>
      <c r="J2478" s="95"/>
      <c r="K2478" s="92">
        <f ca="1">H2478*K2451</f>
        <v>0</v>
      </c>
      <c r="L2478" s="69" t="s">
        <v>429</v>
      </c>
      <c r="M2478" s="81" t="s">
        <v>1042</v>
      </c>
      <c r="N2478" s="82">
        <v>0.687</v>
      </c>
      <c r="O2478" s="44">
        <v>0</v>
      </c>
      <c r="P2478" s="34">
        <v>0</v>
      </c>
      <c r="Q2478" s="44">
        <f t="shared" si="385"/>
        <v>0</v>
      </c>
      <c r="R2478" s="84">
        <f>+Q2478/R2452</f>
        <v>0</v>
      </c>
      <c r="S2478" s="47"/>
      <c r="T2478" s="47"/>
    </row>
    <row r="2479" s="27" customFormat="1" ht="18" customHeight="1" spans="1:21">
      <c r="A2479" s="34"/>
      <c r="B2479" s="48">
        <v>15</v>
      </c>
      <c r="C2479" s="48"/>
      <c r="D2479" s="88"/>
      <c r="E2479" s="72"/>
      <c r="F2479" s="77"/>
      <c r="G2479" s="89"/>
      <c r="H2479" s="74"/>
      <c r="I2479" s="74"/>
      <c r="J2479" s="95"/>
      <c r="K2479" s="92"/>
      <c r="L2479" s="92"/>
      <c r="M2479" s="44"/>
      <c r="N2479" s="44"/>
      <c r="O2479" s="44"/>
      <c r="P2479" s="44"/>
      <c r="Q2479" s="44"/>
      <c r="R2479" s="84"/>
      <c r="S2479" s="47"/>
      <c r="T2479" s="47"/>
    </row>
    <row r="2480" s="27" customFormat="1" ht="18" customHeight="1" spans="1:21">
      <c r="A2480" s="34"/>
      <c r="B2480" s="48">
        <v>16</v>
      </c>
      <c r="C2480" s="48"/>
      <c r="D2480" s="88"/>
      <c r="E2480" s="72"/>
      <c r="F2480" s="77"/>
      <c r="G2480" s="89"/>
      <c r="H2480" s="74"/>
      <c r="I2480" s="74"/>
      <c r="J2480" s="95"/>
      <c r="K2480" s="92"/>
      <c r="L2480" s="92"/>
      <c r="M2480" s="44"/>
      <c r="N2480" s="44"/>
      <c r="O2480" s="44"/>
      <c r="P2480" s="44"/>
      <c r="Q2480" s="44"/>
      <c r="R2480" s="84"/>
      <c r="S2480" s="47"/>
      <c r="T2480" s="47"/>
    </row>
    <row r="2481" s="27" customFormat="1" ht="18" customHeight="1" spans="1:20">
      <c r="A2481" s="34"/>
      <c r="B2481" s="48">
        <v>17</v>
      </c>
      <c r="C2481" s="48"/>
      <c r="D2481" s="121"/>
      <c r="E2481" s="72"/>
      <c r="F2481" s="77"/>
      <c r="G2481" s="89"/>
      <c r="H2481" s="74"/>
      <c r="I2481" s="74"/>
      <c r="J2481" s="95"/>
      <c r="K2481" s="92"/>
      <c r="L2481" s="92"/>
      <c r="M2481" s="44"/>
      <c r="N2481" s="44"/>
      <c r="O2481" s="44"/>
      <c r="P2481" s="44"/>
      <c r="Q2481" s="101"/>
      <c r="R2481" s="84"/>
      <c r="S2481" s="47"/>
      <c r="T2481" s="47"/>
    </row>
    <row r="2482" s="27" customFormat="1" ht="18" customHeight="1" spans="1:20">
      <c r="A2482" s="34"/>
      <c r="B2482" s="48">
        <v>18</v>
      </c>
      <c r="C2482" s="48"/>
      <c r="D2482" s="88"/>
      <c r="E2482" s="72"/>
      <c r="F2482" s="77"/>
      <c r="G2482" s="89"/>
      <c r="H2482" s="74"/>
      <c r="I2482" s="74"/>
      <c r="J2482" s="95"/>
      <c r="K2482" s="92"/>
      <c r="L2482" s="92"/>
      <c r="M2482" s="44"/>
      <c r="N2482" s="44"/>
      <c r="O2482" s="44"/>
      <c r="P2482" s="44"/>
      <c r="Q2482" s="44"/>
      <c r="R2482" s="84"/>
      <c r="S2482" s="47"/>
      <c r="T2482" s="47"/>
    </row>
    <row r="2483" s="27" customFormat="1" ht="18" customHeight="1" spans="1:20">
      <c r="A2483" s="34"/>
      <c r="B2483" s="48">
        <v>19</v>
      </c>
      <c r="C2483" s="48"/>
      <c r="D2483" s="27"/>
      <c r="E2483" s="72"/>
      <c r="F2483" s="77"/>
      <c r="G2483" s="89"/>
      <c r="H2483" s="74"/>
      <c r="I2483" s="74"/>
      <c r="J2483" s="95"/>
      <c r="K2483" s="92"/>
      <c r="L2483" s="92"/>
      <c r="M2483" s="44"/>
      <c r="N2483" s="44"/>
      <c r="O2483" s="44"/>
      <c r="P2483" s="44"/>
      <c r="Q2483" s="44"/>
      <c r="R2483" s="84"/>
      <c r="S2483" s="47"/>
      <c r="T2483" s="47"/>
    </row>
    <row r="2484" s="27" customFormat="1" ht="18" customHeight="1" spans="1:20">
      <c r="A2484" s="34"/>
      <c r="B2484" s="48">
        <v>20</v>
      </c>
      <c r="C2484" s="48"/>
      <c r="D2484" s="88"/>
      <c r="E2484" s="72"/>
      <c r="F2484" s="77"/>
      <c r="G2484" s="89"/>
      <c r="H2484" s="74"/>
      <c r="I2484" s="74"/>
      <c r="J2484" s="95"/>
      <c r="K2484" s="92"/>
      <c r="L2484" s="92"/>
      <c r="M2484" s="44"/>
      <c r="N2484" s="44"/>
      <c r="O2484" s="44"/>
      <c r="P2484" s="44"/>
      <c r="Q2484" s="44"/>
      <c r="R2484" s="84"/>
      <c r="S2484" s="47"/>
      <c r="T2484" s="47"/>
    </row>
    <row r="2485" s="27" customFormat="1" ht="18" customHeight="1" spans="1:20">
      <c r="A2485" s="34"/>
      <c r="B2485" s="48">
        <v>21</v>
      </c>
      <c r="C2485" s="48"/>
      <c r="D2485" s="88"/>
      <c r="E2485" s="72"/>
      <c r="F2485" s="77"/>
      <c r="G2485" s="89"/>
      <c r="H2485" s="74"/>
      <c r="I2485" s="74"/>
      <c r="J2485" s="95"/>
      <c r="K2485" s="92"/>
      <c r="L2485" s="92"/>
      <c r="M2485" s="44"/>
      <c r="N2485" s="44"/>
      <c r="O2485" s="44"/>
      <c r="P2485" s="44"/>
      <c r="Q2485" s="44"/>
      <c r="R2485" s="84"/>
      <c r="S2485" s="47"/>
      <c r="T2485" s="47"/>
    </row>
    <row r="2486" s="27" customFormat="1" ht="18" customHeight="1" spans="1:20">
      <c r="A2486" s="34"/>
      <c r="B2486" s="48">
        <v>22</v>
      </c>
      <c r="C2486" s="48"/>
      <c r="D2486" s="27"/>
      <c r="E2486" s="72"/>
      <c r="F2486" s="77"/>
      <c r="G2486" s="72"/>
      <c r="H2486" s="74"/>
      <c r="I2486" s="74"/>
      <c r="J2486" s="95"/>
      <c r="K2486" s="92"/>
      <c r="L2486" s="92"/>
      <c r="M2486" s="44"/>
      <c r="N2486" s="44"/>
      <c r="O2486" s="44"/>
      <c r="P2486" s="44"/>
      <c r="Q2486" s="44"/>
      <c r="R2486" s="62"/>
      <c r="S2486" s="47"/>
      <c r="T2486" s="47"/>
    </row>
    <row r="2487" s="27" customFormat="1" ht="18" customHeight="1" spans="1:20">
      <c r="A2487" s="34"/>
      <c r="B2487" s="48">
        <v>23</v>
      </c>
      <c r="C2487" s="48"/>
      <c r="D2487" s="88"/>
      <c r="E2487" s="72"/>
      <c r="F2487" s="77"/>
      <c r="G2487" s="89"/>
      <c r="H2487" s="74"/>
      <c r="I2487" s="74"/>
      <c r="J2487" s="95"/>
      <c r="K2487" s="92"/>
      <c r="L2487" s="92"/>
      <c r="M2487" s="44"/>
      <c r="N2487" s="44"/>
      <c r="O2487" s="44"/>
      <c r="P2487" s="44"/>
      <c r="Q2487" s="44"/>
      <c r="R2487" s="62"/>
      <c r="S2487" s="47"/>
      <c r="T2487" s="47"/>
    </row>
    <row r="2488" s="27" customFormat="1" ht="18" customHeight="1" spans="1:20">
      <c r="A2488" s="34"/>
      <c r="B2488" s="48">
        <v>24</v>
      </c>
      <c r="C2488" s="48"/>
      <c r="D2488" s="88" t="s">
        <v>478</v>
      </c>
      <c r="E2488" s="72" t="s">
        <v>43</v>
      </c>
      <c r="F2488" s="77"/>
      <c r="G2488" s="72">
        <v>1</v>
      </c>
      <c r="H2488" s="74">
        <v>1</v>
      </c>
      <c r="I2488" s="74">
        <f>+辅材及安装费!$E$3</f>
        <v>5</v>
      </c>
      <c r="J2488" s="95">
        <f>H2488*I2488</f>
        <v>5</v>
      </c>
      <c r="K2488" s="92"/>
      <c r="L2488" s="92"/>
      <c r="M2488" s="44"/>
      <c r="N2488" s="44"/>
      <c r="O2488" s="44"/>
      <c r="P2488" s="44"/>
      <c r="Q2488" s="44"/>
      <c r="R2488" s="62"/>
      <c r="S2488" s="47"/>
      <c r="T2488" s="47"/>
    </row>
    <row r="2489" s="27" customFormat="1" ht="18" customHeight="1" spans="1:20">
      <c r="A2489" s="34"/>
      <c r="B2489" s="48">
        <v>25</v>
      </c>
      <c r="C2489" s="48"/>
      <c r="D2489" s="93" t="s">
        <v>442</v>
      </c>
      <c r="E2489" s="72"/>
      <c r="F2489" s="77"/>
      <c r="G2489" s="72"/>
      <c r="H2489" s="74"/>
      <c r="I2489" s="74"/>
      <c r="J2489" s="95">
        <f>SUM(J2465:J2488)</f>
        <v>427.022057124399</v>
      </c>
      <c r="K2489" s="92"/>
      <c r="L2489" s="94"/>
      <c r="M2489" s="27"/>
      <c r="N2489" s="83"/>
      <c r="O2489" s="83"/>
      <c r="P2489" s="83"/>
      <c r="Q2489" s="83"/>
      <c r="R2489" s="87"/>
      <c r="S2489" s="47"/>
      <c r="T2489" s="47"/>
    </row>
    <row r="2490" s="27" customFormat="1" ht="18" customHeight="1" spans="1:20">
      <c r="A2490" s="34"/>
      <c r="B2490" s="48">
        <v>1</v>
      </c>
      <c r="C2490" s="48" t="s">
        <v>443</v>
      </c>
      <c r="D2490" s="48" t="s">
        <v>444</v>
      </c>
      <c r="E2490" s="72" t="s">
        <v>43</v>
      </c>
      <c r="F2490" s="50"/>
      <c r="G2490" s="48"/>
      <c r="H2490" s="51">
        <v>1</v>
      </c>
      <c r="I2490" s="74">
        <f>+辅材及安装费!$F$3</f>
        <v>5</v>
      </c>
      <c r="J2490" s="95">
        <f>H2490*I2490</f>
        <v>5</v>
      </c>
      <c r="K2490" s="118"/>
      <c r="L2490" s="96"/>
      <c r="M2490" s="97"/>
      <c r="N2490" s="98"/>
      <c r="O2490" s="98"/>
      <c r="P2490" s="98"/>
      <c r="Q2490" s="98"/>
      <c r="R2490" s="99"/>
      <c r="S2490" s="47"/>
      <c r="T2490" s="47"/>
    </row>
    <row r="2491" s="26" customFormat="1" ht="30" customHeight="1" spans="1:20">
      <c r="A2491" s="28"/>
      <c r="B2491" s="29" t="s">
        <v>386</v>
      </c>
      <c r="C2491" s="29"/>
      <c r="D2491" s="29"/>
      <c r="E2491" s="29"/>
      <c r="F2491" s="29"/>
      <c r="G2491" s="29"/>
      <c r="H2491" s="29"/>
      <c r="I2491" s="29"/>
      <c r="J2491" s="29"/>
      <c r="K2491" s="29"/>
      <c r="L2491" s="30"/>
      <c r="M2491" s="31"/>
      <c r="N2491" s="31"/>
      <c r="O2491" s="31"/>
      <c r="P2491" s="31"/>
      <c r="Q2491" s="31"/>
      <c r="R2491" s="32"/>
      <c r="S2491" s="33"/>
      <c r="T2491" s="33"/>
    </row>
    <row r="2492" s="27" customFormat="1" ht="33.75" customHeight="1" spans="1:20">
      <c r="A2492" s="34">
        <v>8</v>
      </c>
      <c r="B2492" s="35" t="s">
        <v>1</v>
      </c>
      <c r="C2492" s="35" t="s">
        <v>387</v>
      </c>
      <c r="D2492" s="36" t="str">
        <f>+A2500</f>
        <v>东立面墙面：银灰色铝板</v>
      </c>
      <c r="E2492" s="37"/>
      <c r="F2492" s="38" t="s">
        <v>119</v>
      </c>
      <c r="G2492" s="39"/>
      <c r="H2492" s="35" t="s">
        <v>388</v>
      </c>
      <c r="I2492" s="40" t="s">
        <v>389</v>
      </c>
      <c r="J2492" s="41" t="s">
        <v>37</v>
      </c>
      <c r="K2492" s="122">
        <f ca="1">VLOOKUP(A2492,'商业工程量清单 '!$A$59:$D$81,4,FALSE)</f>
        <v>171.446352</v>
      </c>
      <c r="L2492" s="43"/>
      <c r="M2492" s="44"/>
      <c r="N2492" s="44"/>
      <c r="O2492" s="44"/>
      <c r="P2492" s="45"/>
      <c r="Q2492" s="44"/>
      <c r="R2492" s="46"/>
      <c r="S2492" s="47"/>
      <c r="T2492" s="47"/>
    </row>
    <row r="2493" s="27" customFormat="1" ht="25" customHeight="1" spans="1:20">
      <c r="A2493" s="34"/>
      <c r="B2493" s="48">
        <v>1</v>
      </c>
      <c r="C2493" s="49" t="s">
        <v>390</v>
      </c>
      <c r="D2493" s="48" t="s">
        <v>391</v>
      </c>
      <c r="E2493" s="48"/>
      <c r="F2493" s="50"/>
      <c r="G2493" s="48"/>
      <c r="H2493" s="51"/>
      <c r="I2493" s="52">
        <f>J2505</f>
        <v>165</v>
      </c>
      <c r="J2493" s="53" t="s">
        <v>392</v>
      </c>
      <c r="K2493" s="54"/>
      <c r="L2493" s="55" t="s">
        <v>1062</v>
      </c>
      <c r="M2493" s="56" t="s">
        <v>1063</v>
      </c>
      <c r="N2493" s="57"/>
      <c r="O2493" s="57">
        <f>1.14*4</f>
        <v>4.56</v>
      </c>
      <c r="P2493" s="57">
        <v>8.528</v>
      </c>
      <c r="Q2493" s="57">
        <v>1</v>
      </c>
      <c r="R2493" s="58">
        <f>+Q2493*P2493*O2493</f>
        <v>38.88768</v>
      </c>
      <c r="S2493" s="47"/>
      <c r="T2493" s="47"/>
    </row>
    <row r="2494" s="27" customFormat="1" ht="18" customHeight="1" spans="1:20">
      <c r="A2494" s="34"/>
      <c r="B2494" s="48">
        <v>2</v>
      </c>
      <c r="C2494" s="59"/>
      <c r="D2494" s="48" t="s">
        <v>394</v>
      </c>
      <c r="E2494" s="48"/>
      <c r="F2494" s="50"/>
      <c r="G2494" s="48"/>
      <c r="H2494" s="51"/>
      <c r="I2494" s="52">
        <f>J2530</f>
        <v>476.928511740165</v>
      </c>
      <c r="J2494" s="53" t="s">
        <v>392</v>
      </c>
      <c r="K2494" s="60"/>
      <c r="L2494" s="61" t="s">
        <v>119</v>
      </c>
      <c r="M2494" s="44"/>
      <c r="N2494" s="44"/>
      <c r="O2494" s="44"/>
      <c r="P2494" s="44"/>
      <c r="Q2494" s="44"/>
      <c r="R2494" s="62"/>
      <c r="S2494" s="47"/>
      <c r="T2494" s="47"/>
    </row>
    <row r="2495" s="27" customFormat="1" ht="18" customHeight="1" spans="1:20">
      <c r="A2495" s="34"/>
      <c r="B2495" s="48">
        <v>3</v>
      </c>
      <c r="C2495" s="63"/>
      <c r="D2495" s="48" t="s">
        <v>395</v>
      </c>
      <c r="E2495" s="48"/>
      <c r="F2495" s="50"/>
      <c r="G2495" s="48"/>
      <c r="H2495" s="51"/>
      <c r="I2495" s="52">
        <f>J2531</f>
        <v>5</v>
      </c>
      <c r="J2495" s="53" t="s">
        <v>392</v>
      </c>
      <c r="K2495" s="60"/>
      <c r="L2495" s="60"/>
      <c r="M2495" s="65" t="s">
        <v>396</v>
      </c>
      <c r="N2495" s="65" t="s">
        <v>397</v>
      </c>
      <c r="O2495" s="65" t="s">
        <v>398</v>
      </c>
      <c r="P2495" s="65" t="s">
        <v>399</v>
      </c>
      <c r="Q2495" s="65" t="s">
        <v>400</v>
      </c>
      <c r="R2495" s="66" t="s">
        <v>401</v>
      </c>
      <c r="S2495" s="47"/>
      <c r="T2495" s="47"/>
    </row>
    <row r="2496" s="27" customFormat="1" ht="18" customHeight="1" spans="1:20">
      <c r="A2496" s="34"/>
      <c r="B2496" s="48">
        <v>4</v>
      </c>
      <c r="C2496" s="48" t="s">
        <v>402</v>
      </c>
      <c r="D2496" s="67" t="s">
        <v>403</v>
      </c>
      <c r="E2496" s="67"/>
      <c r="F2496" s="50"/>
      <c r="G2496" s="67"/>
      <c r="H2496" s="68"/>
      <c r="I2496" s="52">
        <f>SUM(I2493:I2495)</f>
        <v>646.928511740165</v>
      </c>
      <c r="J2496" s="53" t="s">
        <v>392</v>
      </c>
      <c r="K2496" s="60"/>
      <c r="L2496" s="69" t="s">
        <v>431</v>
      </c>
      <c r="M2496" s="34" t="s">
        <v>1064</v>
      </c>
      <c r="N2496" s="34">
        <v>13.35</v>
      </c>
      <c r="O2496" s="34">
        <f>7.165</f>
        <v>7.165</v>
      </c>
      <c r="P2496" s="34">
        <f>4*2</f>
        <v>8</v>
      </c>
      <c r="Q2496" s="44">
        <f t="shared" ref="Q2496:Q2503" si="388">+P2496*O2496*N2496</f>
        <v>765.222</v>
      </c>
      <c r="R2496" s="71">
        <f>+Q2496/R2493</f>
        <v>19.6777488397354</v>
      </c>
      <c r="S2496" s="47"/>
      <c r="T2496" s="47"/>
    </row>
    <row r="2497" s="27" customFormat="1" ht="28" customHeight="1" spans="1:20">
      <c r="A2497" s="34"/>
      <c r="B2497" s="48">
        <v>5</v>
      </c>
      <c r="C2497" s="72" t="s">
        <v>406</v>
      </c>
      <c r="D2497" s="48" t="s">
        <v>407</v>
      </c>
      <c r="E2497" s="48"/>
      <c r="F2497" s="50"/>
      <c r="G2497" s="48"/>
      <c r="H2497" s="73">
        <f>+'材料表 '!$E$178</f>
        <v>0</v>
      </c>
      <c r="I2497" s="52">
        <f>H2497*I2496</f>
        <v>0</v>
      </c>
      <c r="J2497" s="53" t="s">
        <v>392</v>
      </c>
      <c r="K2497" s="60"/>
      <c r="L2497" s="69" t="s">
        <v>461</v>
      </c>
      <c r="M2497" s="34" t="s">
        <v>462</v>
      </c>
      <c r="N2497" s="34">
        <v>3.77</v>
      </c>
      <c r="O2497" s="34">
        <f>+O2493</f>
        <v>4.56</v>
      </c>
      <c r="P2497" s="34">
        <v>8</v>
      </c>
      <c r="Q2497" s="44">
        <f t="shared" si="388"/>
        <v>137.5296</v>
      </c>
      <c r="R2497" s="71">
        <f>+Q2497/R2493</f>
        <v>3.53658536585366</v>
      </c>
      <c r="S2497" s="47"/>
      <c r="T2497" s="47"/>
    </row>
    <row r="2498" s="27" customFormat="1" ht="18" customHeight="1" spans="1:20">
      <c r="A2498" s="34"/>
      <c r="B2498" s="48">
        <v>6</v>
      </c>
      <c r="C2498" s="48" t="s">
        <v>409</v>
      </c>
      <c r="D2498" s="48" t="s">
        <v>410</v>
      </c>
      <c r="E2498" s="48"/>
      <c r="F2498" s="50"/>
      <c r="G2498" s="48"/>
      <c r="H2498" s="73">
        <f>+'材料表 '!$E$179</f>
        <v>0</v>
      </c>
      <c r="I2498" s="52">
        <f>H2498*I2496</f>
        <v>0</v>
      </c>
      <c r="J2498" s="53" t="s">
        <v>392</v>
      </c>
      <c r="K2498" s="60"/>
      <c r="L2498" s="69" t="s">
        <v>431</v>
      </c>
      <c r="M2498" s="34" t="s">
        <v>1065</v>
      </c>
      <c r="N2498" s="34">
        <v>8.65</v>
      </c>
      <c r="O2498" s="34">
        <f>(1.075*7)+(1.58*5)</f>
        <v>15.425</v>
      </c>
      <c r="P2498" s="34">
        <v>4</v>
      </c>
      <c r="Q2498" s="44">
        <f t="shared" si="388"/>
        <v>533.705</v>
      </c>
      <c r="R2498" s="71">
        <f>+Q2498/R2493</f>
        <v>13.7242694858629</v>
      </c>
      <c r="S2498" s="47"/>
      <c r="T2498" s="47"/>
    </row>
    <row r="2499" s="27" customFormat="1" ht="18" customHeight="1" spans="1:20">
      <c r="A2499" s="34"/>
      <c r="B2499" s="48">
        <v>7</v>
      </c>
      <c r="C2499" s="48" t="s">
        <v>412</v>
      </c>
      <c r="D2499" s="72" t="s">
        <v>413</v>
      </c>
      <c r="E2499" s="72"/>
      <c r="F2499" s="77"/>
      <c r="G2499" s="72"/>
      <c r="H2499" s="73">
        <f>+'材料表 '!$E$180</f>
        <v>0.09</v>
      </c>
      <c r="I2499" s="52">
        <f>(I2496+I2497+I2498)*H2499</f>
        <v>58.2235660566148</v>
      </c>
      <c r="J2499" s="53" t="s">
        <v>392</v>
      </c>
      <c r="K2499" s="60"/>
      <c r="L2499" s="69" t="s">
        <v>463</v>
      </c>
      <c r="M2499" s="34" t="s">
        <v>490</v>
      </c>
      <c r="N2499" s="34">
        <f>0.3*0.2*7.85*10</f>
        <v>4.71</v>
      </c>
      <c r="O2499" s="34">
        <v>4</v>
      </c>
      <c r="P2499" s="34">
        <v>4</v>
      </c>
      <c r="Q2499" s="44">
        <f t="shared" si="388"/>
        <v>75.36</v>
      </c>
      <c r="R2499" s="71">
        <f>+Q2499/R2493</f>
        <v>1.9378888120865</v>
      </c>
      <c r="S2499" s="47"/>
      <c r="T2499" s="47"/>
    </row>
    <row r="2500" s="27" customFormat="1" ht="18" customHeight="1" spans="1:20">
      <c r="A2500" s="34" t="s">
        <v>316</v>
      </c>
      <c r="B2500" s="48">
        <v>8</v>
      </c>
      <c r="C2500" s="48" t="s">
        <v>363</v>
      </c>
      <c r="D2500" s="106" t="s">
        <v>415</v>
      </c>
      <c r="E2500" s="107"/>
      <c r="F2500" s="108"/>
      <c r="G2500" s="107"/>
      <c r="H2500" s="51"/>
      <c r="I2500" s="74">
        <f>SUM(I2496:I2499)</f>
        <v>705.15207779678</v>
      </c>
      <c r="J2500" s="53" t="s">
        <v>416</v>
      </c>
      <c r="K2500" s="60"/>
      <c r="L2500" s="69" t="s">
        <v>465</v>
      </c>
      <c r="M2500" s="34" t="s">
        <v>1066</v>
      </c>
      <c r="N2500" s="100">
        <f>0.36*5*7.85</f>
        <v>14.13</v>
      </c>
      <c r="O2500" s="34">
        <f>110/1000</f>
        <v>0.11</v>
      </c>
      <c r="P2500" s="44">
        <f>+P2499*O2499*2</f>
        <v>32</v>
      </c>
      <c r="Q2500" s="44">
        <f t="shared" si="388"/>
        <v>49.7376</v>
      </c>
      <c r="R2500" s="84">
        <f>+Q2500/R2493</f>
        <v>1.27900661597709</v>
      </c>
      <c r="S2500" s="79"/>
      <c r="T2500" s="47"/>
    </row>
    <row r="2501" s="27" customFormat="1" ht="18" customHeight="1" spans="1:20">
      <c r="A2501" s="34"/>
      <c r="B2501" s="109" t="s">
        <v>418</v>
      </c>
      <c r="C2501" s="110"/>
      <c r="D2501" s="110"/>
      <c r="E2501" s="110"/>
      <c r="F2501" s="110"/>
      <c r="G2501" s="110"/>
      <c r="H2501" s="110"/>
      <c r="I2501" s="110"/>
      <c r="J2501" s="110"/>
      <c r="K2501" s="80"/>
      <c r="L2501" s="69" t="s">
        <v>433</v>
      </c>
      <c r="M2501" s="44"/>
      <c r="N2501" s="82">
        <f>0.056*3*2.71+0.0675*3*2.71</f>
        <v>1.004055</v>
      </c>
      <c r="O2501" s="44">
        <f>O2493</f>
        <v>4.56</v>
      </c>
      <c r="P2501" s="44">
        <v>4</v>
      </c>
      <c r="Q2501" s="44">
        <f t="shared" si="388"/>
        <v>18.3139632</v>
      </c>
      <c r="R2501" s="84">
        <f>+Q2501/R2493</f>
        <v>0.470945121951219</v>
      </c>
      <c r="S2501" s="47">
        <f>0.16*P2501*O2501/R2493</f>
        <v>0.075046904315197</v>
      </c>
      <c r="T2501" s="47"/>
    </row>
    <row r="2502" s="27" customFormat="1" ht="18" customHeight="1" spans="1:20">
      <c r="A2502" s="34"/>
      <c r="B2502" s="48">
        <v>1</v>
      </c>
      <c r="C2502" s="48" t="s">
        <v>391</v>
      </c>
      <c r="D2502" s="48" t="s">
        <v>396</v>
      </c>
      <c r="E2502" s="48" t="s">
        <v>37</v>
      </c>
      <c r="F2502" s="50"/>
      <c r="G2502" s="48"/>
      <c r="H2502" s="51" t="s">
        <v>399</v>
      </c>
      <c r="I2502" s="51" t="s">
        <v>420</v>
      </c>
      <c r="J2502" s="95" t="s">
        <v>421</v>
      </c>
      <c r="K2502" s="92"/>
      <c r="L2502" s="69" t="s">
        <v>433</v>
      </c>
      <c r="M2502" s="44"/>
      <c r="N2502" s="82">
        <f>0.056*3*2.71+0.0675*3*2.71</f>
        <v>1.004055</v>
      </c>
      <c r="O2502" s="44">
        <f>P2493</f>
        <v>8.528</v>
      </c>
      <c r="P2502" s="44">
        <v>4</v>
      </c>
      <c r="Q2502" s="44">
        <f t="shared" si="388"/>
        <v>34.25032416</v>
      </c>
      <c r="R2502" s="84">
        <f>+Q2502/R2493</f>
        <v>0.88075</v>
      </c>
      <c r="S2502" s="47"/>
      <c r="T2502" s="47"/>
    </row>
    <row r="2503" s="27" customFormat="1" ht="18" customHeight="1" spans="1:20">
      <c r="A2503" s="34"/>
      <c r="B2503" s="48">
        <v>2</v>
      </c>
      <c r="C2503" s="48"/>
      <c r="D2503" s="111" t="s">
        <v>491</v>
      </c>
      <c r="E2503" s="49" t="s">
        <v>423</v>
      </c>
      <c r="F2503" s="112"/>
      <c r="G2503" s="111"/>
      <c r="H2503" s="113">
        <v>1</v>
      </c>
      <c r="I2503" s="113">
        <f>+辅材及安装费!$G$3</f>
        <v>165</v>
      </c>
      <c r="J2503" s="114">
        <f t="shared" ref="J2503:J2511" si="389">H2503*I2503</f>
        <v>165</v>
      </c>
      <c r="K2503" s="92"/>
      <c r="L2503" s="69" t="s">
        <v>461</v>
      </c>
      <c r="M2503" s="34" t="s">
        <v>462</v>
      </c>
      <c r="N2503" s="34">
        <v>3.77</v>
      </c>
      <c r="O2503" s="34">
        <v>0.65</v>
      </c>
      <c r="P2503" s="34">
        <v>4</v>
      </c>
      <c r="Q2503" s="44">
        <f t="shared" si="388"/>
        <v>9.802</v>
      </c>
      <c r="R2503" s="84">
        <f>+Q2503/R2493</f>
        <v>0.252059264013693</v>
      </c>
      <c r="S2503" s="47"/>
      <c r="T2503" s="47"/>
    </row>
    <row r="2504" s="27" customFormat="1" ht="18" customHeight="1" spans="1:20">
      <c r="A2504" s="34"/>
      <c r="B2504" s="48">
        <v>3</v>
      </c>
      <c r="C2504" s="48"/>
      <c r="D2504" s="115"/>
      <c r="E2504" s="63"/>
      <c r="F2504" s="116"/>
      <c r="G2504" s="115"/>
      <c r="H2504" s="117"/>
      <c r="I2504" s="117"/>
      <c r="J2504" s="118"/>
      <c r="K2504" s="92"/>
      <c r="L2504" s="90" t="s">
        <v>472</v>
      </c>
      <c r="M2504" s="44"/>
      <c r="N2504" s="82"/>
      <c r="O2504" s="44"/>
      <c r="P2504" s="44">
        <f>+P2500</f>
        <v>32</v>
      </c>
      <c r="Q2504" s="44">
        <f>+P2504</f>
        <v>32</v>
      </c>
      <c r="R2504" s="84">
        <f>+Q2504/R2493</f>
        <v>0.822882722754353</v>
      </c>
      <c r="S2504" s="47"/>
      <c r="T2504" s="47"/>
    </row>
    <row r="2505" s="27" customFormat="1" ht="18" customHeight="1" spans="1:20">
      <c r="A2505" s="34"/>
      <c r="B2505" s="48">
        <v>4</v>
      </c>
      <c r="C2505" s="48"/>
      <c r="D2505" s="85" t="s">
        <v>426</v>
      </c>
      <c r="E2505" s="48" t="s">
        <v>392</v>
      </c>
      <c r="F2505" s="50"/>
      <c r="G2505" s="48"/>
      <c r="H2505" s="86"/>
      <c r="I2505" s="86"/>
      <c r="J2505" s="95">
        <f>SUM(J2503:J2503)</f>
        <v>165</v>
      </c>
      <c r="K2505" s="92"/>
      <c r="L2505" s="90" t="s">
        <v>473</v>
      </c>
      <c r="M2505" s="44"/>
      <c r="N2505" s="82"/>
      <c r="O2505" s="44"/>
      <c r="P2505" s="44"/>
      <c r="Q2505" s="44">
        <f>+(Q2502)*2</f>
        <v>68.50064832</v>
      </c>
      <c r="R2505" s="84">
        <f>+Q2505/R2493</f>
        <v>1.7615</v>
      </c>
      <c r="S2505" s="47"/>
      <c r="T2505" s="47"/>
    </row>
    <row r="2506" s="27" customFormat="1" ht="24" customHeight="1" spans="1:20">
      <c r="A2506" s="34"/>
      <c r="B2506" s="48">
        <v>1</v>
      </c>
      <c r="C2506" s="48" t="s">
        <v>394</v>
      </c>
      <c r="D2506" s="88" t="s">
        <v>431</v>
      </c>
      <c r="E2506" s="72" t="str">
        <f>+VLOOKUP(D2506,'材料表 '!C:F,2,0)</f>
        <v>kg</v>
      </c>
      <c r="F2506" s="77">
        <f>+SUMIF($L$2493:$L$2531,D2506,$R$2493:$R$2531)</f>
        <v>33.4020183255982</v>
      </c>
      <c r="G2506" s="89">
        <f>+VLOOKUP(D2506,'材料表 '!C:F,4,0)</f>
        <v>0.03</v>
      </c>
      <c r="H2506" s="74">
        <f t="shared" ref="H2506:H2511" si="390">F2506*(G2506+1)</f>
        <v>34.4040788753661</v>
      </c>
      <c r="I2506" s="74">
        <f>+VLOOKUP(D2506,'材料表 '!C:F,3,0)</f>
        <v>3.80530973451327</v>
      </c>
      <c r="J2506" s="95">
        <f t="shared" si="389"/>
        <v>130.918176251393</v>
      </c>
      <c r="K2506" s="92">
        <f ca="1">H2506*K2492</f>
        <v>5898.45381710178</v>
      </c>
      <c r="L2506" s="90"/>
      <c r="M2506" s="44"/>
      <c r="N2506" s="82"/>
      <c r="O2506" s="44"/>
      <c r="P2506" s="44"/>
      <c r="Q2506" s="44"/>
      <c r="R2506" s="84"/>
      <c r="S2506" s="47"/>
      <c r="T2506" s="47"/>
    </row>
    <row r="2507" s="27" customFormat="1" ht="18" customHeight="1" spans="1:20">
      <c r="A2507" s="34"/>
      <c r="B2507" s="48">
        <v>2</v>
      </c>
      <c r="C2507" s="48"/>
      <c r="D2507" s="88" t="s">
        <v>461</v>
      </c>
      <c r="E2507" s="72" t="str">
        <f>+VLOOKUP(D2507,'材料表 '!C:F,2,0)</f>
        <v>kg</v>
      </c>
      <c r="F2507" s="77">
        <f t="shared" ref="F2507:F2516" si="391">+SUMIF($L$2493:$L$2531,D2507,$R$2493:$R$2531)</f>
        <v>3.78864462986735</v>
      </c>
      <c r="G2507" s="89">
        <f>+VLOOKUP(D2507,'材料表 '!C:F,4,0)</f>
        <v>0.03</v>
      </c>
      <c r="H2507" s="74">
        <f t="shared" si="390"/>
        <v>3.90230396876337</v>
      </c>
      <c r="I2507" s="74">
        <f>+VLOOKUP(D2507,'材料表 '!C:F,3,0)</f>
        <v>3.53982300884956</v>
      </c>
      <c r="J2507" s="95">
        <f t="shared" si="389"/>
        <v>13.8134653761535</v>
      </c>
      <c r="K2507" s="92">
        <f ca="1">H2507*K2492</f>
        <v>669.035779839602</v>
      </c>
      <c r="L2507" s="90"/>
      <c r="M2507" s="44"/>
      <c r="N2507" s="82"/>
      <c r="O2507" s="44"/>
      <c r="P2507" s="44"/>
      <c r="Q2507" s="44"/>
      <c r="R2507" s="84"/>
      <c r="S2507" s="47"/>
      <c r="T2507" s="47"/>
    </row>
    <row r="2508" s="27" customFormat="1" ht="18" customHeight="1" spans="1:20">
      <c r="A2508" s="34"/>
      <c r="B2508" s="48">
        <v>3</v>
      </c>
      <c r="C2508" s="48"/>
      <c r="D2508" s="88" t="s">
        <v>465</v>
      </c>
      <c r="E2508" s="72" t="str">
        <f>+VLOOKUP(D2508,'材料表 '!C:F,2,0)</f>
        <v>kg</v>
      </c>
      <c r="F2508" s="77">
        <f t="shared" si="391"/>
        <v>1.27900661597709</v>
      </c>
      <c r="G2508" s="89">
        <f>+VLOOKUP(D2508,'材料表 '!C:F,4,0)</f>
        <v>0.03</v>
      </c>
      <c r="H2508" s="74">
        <f t="shared" si="390"/>
        <v>1.3173768144564</v>
      </c>
      <c r="I2508" s="74">
        <f>+VLOOKUP(D2508,'材料表 '!C:F,3,0)</f>
        <v>6.01769911504425</v>
      </c>
      <c r="J2508" s="95">
        <f t="shared" si="389"/>
        <v>7.92757729053411</v>
      </c>
      <c r="K2508" s="92">
        <f ca="1">H2508*K2492</f>
        <v>225.859449047931</v>
      </c>
      <c r="L2508" s="90"/>
      <c r="M2508" s="44"/>
      <c r="N2508" s="82"/>
      <c r="O2508" s="44"/>
      <c r="P2508" s="44"/>
      <c r="Q2508" s="44"/>
      <c r="R2508" s="84"/>
      <c r="S2508" s="47"/>
      <c r="T2508" s="47"/>
    </row>
    <row r="2509" s="27" customFormat="1" ht="18" customHeight="1" spans="1:20">
      <c r="A2509" s="34"/>
      <c r="B2509" s="48">
        <v>4</v>
      </c>
      <c r="C2509" s="48"/>
      <c r="D2509" s="88" t="s">
        <v>463</v>
      </c>
      <c r="E2509" s="72" t="str">
        <f>+VLOOKUP(D2509,'材料表 '!C:F,2,0)</f>
        <v>kg</v>
      </c>
      <c r="F2509" s="77">
        <f t="shared" si="391"/>
        <v>1.9378888120865</v>
      </c>
      <c r="G2509" s="89">
        <f>+VLOOKUP(D2509,'材料表 '!C:F,4,0)</f>
        <v>0.03</v>
      </c>
      <c r="H2509" s="74">
        <f t="shared" si="390"/>
        <v>1.9960254764491</v>
      </c>
      <c r="I2509" s="74">
        <f>+VLOOKUP(D2509,'材料表 '!C:F,3,0)</f>
        <v>6.01769911504425</v>
      </c>
      <c r="J2509" s="95">
        <f t="shared" si="389"/>
        <v>12.0114807432335</v>
      </c>
      <c r="K2509" s="92">
        <f ca="1">H2509*K2492</f>
        <v>342.21128643626</v>
      </c>
      <c r="L2509" s="90" t="s">
        <v>474</v>
      </c>
      <c r="M2509" s="44"/>
      <c r="N2509" s="82"/>
      <c r="O2509" s="44"/>
      <c r="P2509" s="44"/>
      <c r="Q2509" s="44">
        <f>+O2499*P2499*4</f>
        <v>64</v>
      </c>
      <c r="R2509" s="84">
        <f>+Q2509/R2493</f>
        <v>1.64576544550871</v>
      </c>
      <c r="S2509" s="47"/>
      <c r="T2509" s="47"/>
    </row>
    <row r="2510" s="27" customFormat="1" ht="18" customHeight="1" spans="1:20">
      <c r="A2510" s="34"/>
      <c r="B2510" s="48">
        <v>5</v>
      </c>
      <c r="C2510" s="48"/>
      <c r="D2510" s="88" t="s">
        <v>433</v>
      </c>
      <c r="E2510" s="72" t="str">
        <f>+VLOOKUP(D2510,'材料表 '!C:F,2,0)</f>
        <v>kg</v>
      </c>
      <c r="F2510" s="77">
        <f t="shared" si="391"/>
        <v>1.35169512195122</v>
      </c>
      <c r="G2510" s="89">
        <f>+VLOOKUP(D2510,'材料表 '!C:F,4,0)</f>
        <v>0.03</v>
      </c>
      <c r="H2510" s="74">
        <f t="shared" si="390"/>
        <v>1.39224597560976</v>
      </c>
      <c r="I2510" s="74">
        <f>+VLOOKUP(D2510,'材料表 '!C:F,3,0)</f>
        <v>26.1150442477876</v>
      </c>
      <c r="J2510" s="95">
        <f t="shared" si="389"/>
        <v>36.358565256853</v>
      </c>
      <c r="K2510" s="92">
        <f ca="1">H2510*K2492</f>
        <v>238.695493604974</v>
      </c>
      <c r="L2510" s="92" t="s">
        <v>476</v>
      </c>
      <c r="M2510" s="44"/>
      <c r="N2510" s="82"/>
      <c r="O2510" s="44"/>
      <c r="P2510" s="44"/>
      <c r="Q2510" s="44">
        <f>15*8*(O2493*4+P2493*8)/500</f>
        <v>20.75136</v>
      </c>
      <c r="R2510" s="84">
        <f>+Q2510/R2493</f>
        <v>0.533622988051743</v>
      </c>
      <c r="S2510" s="47"/>
      <c r="T2510" s="47"/>
    </row>
    <row r="2511" s="27" customFormat="1" ht="18" customHeight="1" spans="1:20">
      <c r="A2511" s="34"/>
      <c r="B2511" s="48">
        <v>6</v>
      </c>
      <c r="C2511" s="48"/>
      <c r="D2511" s="88" t="s">
        <v>427</v>
      </c>
      <c r="E2511" s="72" t="str">
        <f>+VLOOKUP(D2511,'材料表 '!C:F,2,0)</f>
        <v>kg</v>
      </c>
      <c r="F2511" s="77">
        <f t="shared" si="391"/>
        <v>0</v>
      </c>
      <c r="G2511" s="89">
        <f>+VLOOKUP(D2511,'材料表 '!C:F,4,0)</f>
        <v>0.03</v>
      </c>
      <c r="H2511" s="74">
        <f t="shared" si="390"/>
        <v>0</v>
      </c>
      <c r="I2511" s="74">
        <f>+VLOOKUP(D2511,'材料表 '!C:F,3,0)</f>
        <v>25.8495575221239</v>
      </c>
      <c r="J2511" s="95">
        <f t="shared" si="389"/>
        <v>0</v>
      </c>
      <c r="K2511" s="92">
        <f ca="1">H2511*K2492</f>
        <v>0</v>
      </c>
      <c r="L2511" s="69" t="s">
        <v>427</v>
      </c>
      <c r="M2511" s="70" t="s">
        <v>1007</v>
      </c>
      <c r="N2511" s="34">
        <v>3.111</v>
      </c>
      <c r="O2511" s="34">
        <f>P2493</f>
        <v>8.528</v>
      </c>
      <c r="P2511" s="34">
        <v>0</v>
      </c>
      <c r="Q2511" s="44">
        <f t="shared" ref="Q2511:Q2519" si="392">+P2511*O2511*N2511</f>
        <v>0</v>
      </c>
      <c r="R2511" s="71">
        <f>+Q2511/R2493</f>
        <v>0</v>
      </c>
      <c r="S2511" s="47"/>
      <c r="T2511" s="47"/>
    </row>
    <row r="2512" s="27" customFormat="1" ht="18" customHeight="1" spans="1:20">
      <c r="A2512" s="34"/>
      <c r="B2512" s="48">
        <v>7</v>
      </c>
      <c r="C2512" s="48"/>
      <c r="D2512" s="88"/>
      <c r="E2512" s="72"/>
      <c r="F2512" s="77">
        <f t="shared" si="391"/>
        <v>0</v>
      </c>
      <c r="G2512" s="89"/>
      <c r="H2512" s="74"/>
      <c r="I2512" s="74"/>
      <c r="J2512" s="95"/>
      <c r="K2512" s="92">
        <f ca="1">H2512*K2492</f>
        <v>0</v>
      </c>
      <c r="L2512" s="69" t="s">
        <v>429</v>
      </c>
      <c r="M2512" s="70" t="s">
        <v>1037</v>
      </c>
      <c r="N2512" s="34">
        <v>3.063</v>
      </c>
      <c r="O2512" s="100">
        <f>O2511/0.3*0.1</f>
        <v>2.84266666666667</v>
      </c>
      <c r="P2512" s="34">
        <v>0</v>
      </c>
      <c r="Q2512" s="44">
        <f t="shared" si="392"/>
        <v>0</v>
      </c>
      <c r="R2512" s="71">
        <f>+Q2512/R2493</f>
        <v>0</v>
      </c>
      <c r="S2512" s="47"/>
      <c r="T2512" s="47"/>
    </row>
    <row r="2513" s="27" customFormat="1" ht="18" customHeight="1" spans="1:21">
      <c r="A2513" s="34"/>
      <c r="B2513" s="48">
        <v>8</v>
      </c>
      <c r="C2513" s="48"/>
      <c r="D2513" s="88"/>
      <c r="E2513" s="72"/>
      <c r="F2513" s="77">
        <f t="shared" si="391"/>
        <v>0</v>
      </c>
      <c r="G2513" s="89"/>
      <c r="H2513" s="74"/>
      <c r="I2513" s="74"/>
      <c r="J2513" s="95"/>
      <c r="K2513" s="92">
        <f ca="1">H2513*K2492</f>
        <v>0</v>
      </c>
      <c r="L2513" s="69" t="s">
        <v>447</v>
      </c>
      <c r="M2513" s="70" t="s">
        <v>1038</v>
      </c>
      <c r="N2513" s="34">
        <f>1.041+0.104</f>
        <v>1.145</v>
      </c>
      <c r="O2513" s="34">
        <f>O2511</f>
        <v>8.528</v>
      </c>
      <c r="P2513" s="34">
        <v>0</v>
      </c>
      <c r="Q2513" s="44">
        <f t="shared" si="392"/>
        <v>0</v>
      </c>
      <c r="R2513" s="71">
        <f>+Q2513/R2493</f>
        <v>0</v>
      </c>
      <c r="S2513" s="47">
        <v>0.172</v>
      </c>
      <c r="T2513" s="47">
        <f>O2513*P2513*S2513</f>
        <v>0</v>
      </c>
      <c r="U2513" s="76">
        <f>T2513/R2493</f>
        <v>0</v>
      </c>
    </row>
    <row r="2514" s="27" customFormat="1" ht="18" customHeight="1" spans="1:21">
      <c r="A2514" s="34"/>
      <c r="B2514" s="48">
        <v>9</v>
      </c>
      <c r="C2514" s="48"/>
      <c r="D2514" s="88" t="s">
        <v>476</v>
      </c>
      <c r="E2514" s="72" t="str">
        <f>+VLOOKUP(D2514,'材料表 '!C:F,2,0)</f>
        <v>支</v>
      </c>
      <c r="F2514" s="77">
        <f t="shared" si="391"/>
        <v>0.533622988051743</v>
      </c>
      <c r="G2514" s="89">
        <f>+VLOOKUP(D2514,'材料表 '!C:F,4,0)</f>
        <v>0.15</v>
      </c>
      <c r="H2514" s="74">
        <f t="shared" ref="H2514:H2517" si="393">F2514*(G2514+1)</f>
        <v>0.613666436259504</v>
      </c>
      <c r="I2514" s="74">
        <f>+VLOOKUP(D2514,'材料表 '!C:F,3,0)</f>
        <v>11.5044247787611</v>
      </c>
      <c r="J2514" s="95">
        <f t="shared" ref="J2514:J2517" si="394">H2514*I2514</f>
        <v>7.05987935519786</v>
      </c>
      <c r="K2514" s="92">
        <f ca="1">H2514*K2492</f>
        <v>105.210871841532</v>
      </c>
      <c r="L2514" s="69" t="s">
        <v>429</v>
      </c>
      <c r="M2514" s="70" t="s">
        <v>1010</v>
      </c>
      <c r="N2514" s="102">
        <f>2.9</f>
        <v>2.9</v>
      </c>
      <c r="O2514" s="34">
        <v>0.2</v>
      </c>
      <c r="P2514" s="34">
        <v>0</v>
      </c>
      <c r="Q2514" s="44">
        <f t="shared" si="392"/>
        <v>0</v>
      </c>
      <c r="R2514" s="71">
        <f>+Q2514/R2493</f>
        <v>0</v>
      </c>
      <c r="S2514" s="47"/>
      <c r="T2514" s="47"/>
    </row>
    <row r="2515" s="27" customFormat="1" ht="18" customHeight="1" spans="1:21">
      <c r="A2515" s="34"/>
      <c r="B2515" s="48">
        <v>10</v>
      </c>
      <c r="C2515" s="48"/>
      <c r="D2515" s="88" t="s">
        <v>474</v>
      </c>
      <c r="E2515" s="72" t="str">
        <f>+VLOOKUP(D2515,'材料表 '!C:F,2,0)</f>
        <v>套</v>
      </c>
      <c r="F2515" s="77">
        <f t="shared" si="391"/>
        <v>1.64576544550871</v>
      </c>
      <c r="G2515" s="89">
        <f>+VLOOKUP(D2515,'材料表 '!C:F,4,0)</f>
        <v>0</v>
      </c>
      <c r="H2515" s="74">
        <f t="shared" si="393"/>
        <v>1.64576544550871</v>
      </c>
      <c r="I2515" s="74">
        <f>+VLOOKUP(D2515,'材料表 '!C:F,3,0)</f>
        <v>2.21238938053097</v>
      </c>
      <c r="J2515" s="95">
        <f t="shared" si="394"/>
        <v>3.64107399448829</v>
      </c>
      <c r="K2515" s="92">
        <f ca="1">H2515*K2492</f>
        <v>282.160481880123</v>
      </c>
      <c r="L2515" s="69" t="s">
        <v>429</v>
      </c>
      <c r="M2515" s="70" t="s">
        <v>1040</v>
      </c>
      <c r="N2515" s="34">
        <v>0.733</v>
      </c>
      <c r="O2515" s="100">
        <f>O2512*2</f>
        <v>5.68533333333333</v>
      </c>
      <c r="P2515" s="34">
        <v>0</v>
      </c>
      <c r="Q2515" s="44">
        <f t="shared" si="392"/>
        <v>0</v>
      </c>
      <c r="R2515" s="71">
        <f>+Q2515/R2493</f>
        <v>0</v>
      </c>
      <c r="S2515" s="79"/>
      <c r="T2515" s="47"/>
    </row>
    <row r="2516" s="27" customFormat="1" ht="18" customHeight="1" spans="1:21">
      <c r="A2516" s="34"/>
      <c r="B2516" s="48">
        <v>11</v>
      </c>
      <c r="C2516" s="48"/>
      <c r="D2516" s="88" t="s">
        <v>472</v>
      </c>
      <c r="E2516" s="72" t="str">
        <f>+VLOOKUP(D2516,'材料表 '!C:F,2,0)</f>
        <v>套</v>
      </c>
      <c r="F2516" s="77">
        <f t="shared" si="391"/>
        <v>0.822882722754353</v>
      </c>
      <c r="G2516" s="89">
        <f>+VLOOKUP(D2516,'材料表 '!C:F,4,0)</f>
        <v>0</v>
      </c>
      <c r="H2516" s="74">
        <f t="shared" si="393"/>
        <v>0.822882722754353</v>
      </c>
      <c r="I2516" s="74">
        <f>+VLOOKUP(D2516,'材料表 '!C:F,3,0)</f>
        <v>2.47787610619469</v>
      </c>
      <c r="J2516" s="95">
        <f t="shared" si="394"/>
        <v>2.03900143691344</v>
      </c>
      <c r="K2516" s="92">
        <f ca="1">H2516*K2492</f>
        <v>141.080240940061</v>
      </c>
      <c r="L2516" s="69" t="s">
        <v>404</v>
      </c>
      <c r="M2516" s="70" t="s">
        <v>1041</v>
      </c>
      <c r="N2516" s="34">
        <v>3.727</v>
      </c>
      <c r="O2516" s="34">
        <v>0</v>
      </c>
      <c r="P2516" s="34">
        <v>1</v>
      </c>
      <c r="Q2516" s="44">
        <f t="shared" si="392"/>
        <v>0</v>
      </c>
      <c r="R2516" s="71">
        <f>+Q2516/R2493</f>
        <v>0</v>
      </c>
      <c r="S2516" s="47"/>
      <c r="T2516" s="47"/>
      <c r="U2516" s="76"/>
    </row>
    <row r="2517" s="27" customFormat="1" ht="18" customHeight="1" spans="1:21">
      <c r="A2517" s="34"/>
      <c r="B2517" s="48">
        <v>12</v>
      </c>
      <c r="C2517" s="48"/>
      <c r="D2517" s="88" t="s">
        <v>510</v>
      </c>
      <c r="E2517" s="72" t="str">
        <f>+VLOOKUP(D2517,'材料表 '!C:F,2,0)</f>
        <v>m2</v>
      </c>
      <c r="F2517" s="77">
        <v>1</v>
      </c>
      <c r="G2517" s="89">
        <f>+VLOOKUP(D2517,'材料表 '!C:F,4,0)</f>
        <v>0.02</v>
      </c>
      <c r="H2517" s="74">
        <f t="shared" si="393"/>
        <v>1.02</v>
      </c>
      <c r="I2517" s="74">
        <f>+VLOOKUP(D2517,'材料表 '!C:F,3,0)</f>
        <v>253.097345132743</v>
      </c>
      <c r="J2517" s="95">
        <f t="shared" si="394"/>
        <v>258.159292035398</v>
      </c>
      <c r="K2517" s="92">
        <f ca="1">H2517*K2492</f>
        <v>174.87527904</v>
      </c>
      <c r="L2517" s="69" t="s">
        <v>429</v>
      </c>
      <c r="M2517" s="81" t="s">
        <v>1027</v>
      </c>
      <c r="N2517" s="82">
        <v>0.735</v>
      </c>
      <c r="O2517" s="34">
        <v>0</v>
      </c>
      <c r="P2517" s="34">
        <v>1</v>
      </c>
      <c r="Q2517" s="44">
        <f t="shared" si="392"/>
        <v>0</v>
      </c>
      <c r="R2517" s="71">
        <f>+Q2517/R2493</f>
        <v>0</v>
      </c>
      <c r="S2517" s="47"/>
      <c r="T2517" s="47"/>
    </row>
    <row r="2518" s="27" customFormat="1" ht="18" customHeight="1" spans="1:21">
      <c r="A2518" s="34"/>
      <c r="B2518" s="48">
        <v>13</v>
      </c>
      <c r="C2518" s="48"/>
      <c r="D2518" s="88"/>
      <c r="E2518" s="72"/>
      <c r="F2518" s="77"/>
      <c r="G2518" s="89"/>
      <c r="H2518" s="74"/>
      <c r="I2518" s="74"/>
      <c r="J2518" s="95"/>
      <c r="K2518" s="92">
        <f ca="1">H2518*K2492</f>
        <v>0</v>
      </c>
      <c r="L2518" s="69" t="s">
        <v>447</v>
      </c>
      <c r="M2518" s="70" t="s">
        <v>1038</v>
      </c>
      <c r="N2518" s="83">
        <v>0.977</v>
      </c>
      <c r="O2518" s="34">
        <v>0</v>
      </c>
      <c r="P2518" s="34">
        <v>1</v>
      </c>
      <c r="Q2518" s="44">
        <f t="shared" si="392"/>
        <v>0</v>
      </c>
      <c r="R2518" s="84">
        <f>+Q2518/R2493</f>
        <v>0</v>
      </c>
      <c r="S2518" s="47">
        <v>0.185</v>
      </c>
      <c r="T2518" s="47">
        <f>O2518*P2518*S2518</f>
        <v>0</v>
      </c>
      <c r="U2518" s="27">
        <f>T2518/R2493</f>
        <v>0</v>
      </c>
    </row>
    <row r="2519" s="27" customFormat="1" ht="24" customHeight="1" spans="1:21">
      <c r="A2519" s="34"/>
      <c r="B2519" s="48">
        <v>14</v>
      </c>
      <c r="C2519" s="48"/>
      <c r="D2519" s="88"/>
      <c r="E2519" s="72"/>
      <c r="F2519" s="77"/>
      <c r="G2519" s="89"/>
      <c r="H2519" s="74"/>
      <c r="I2519" s="74"/>
      <c r="J2519" s="95"/>
      <c r="K2519" s="92">
        <f ca="1">H2519*K2492</f>
        <v>0</v>
      </c>
      <c r="L2519" s="69" t="s">
        <v>429</v>
      </c>
      <c r="M2519" s="81" t="s">
        <v>1042</v>
      </c>
      <c r="N2519" s="82">
        <v>0.687</v>
      </c>
      <c r="O2519" s="44">
        <v>0</v>
      </c>
      <c r="P2519" s="34">
        <v>0</v>
      </c>
      <c r="Q2519" s="44">
        <f t="shared" si="392"/>
        <v>0</v>
      </c>
      <c r="R2519" s="84">
        <f>+Q2519/R2493</f>
        <v>0</v>
      </c>
      <c r="S2519" s="47"/>
      <c r="T2519" s="47"/>
    </row>
    <row r="2520" s="27" customFormat="1" ht="18" customHeight="1" spans="1:21">
      <c r="A2520" s="34"/>
      <c r="B2520" s="48">
        <v>15</v>
      </c>
      <c r="C2520" s="48"/>
      <c r="D2520" s="88"/>
      <c r="E2520" s="72"/>
      <c r="F2520" s="77"/>
      <c r="G2520" s="89"/>
      <c r="H2520" s="74"/>
      <c r="I2520" s="74"/>
      <c r="J2520" s="95"/>
      <c r="K2520" s="92"/>
      <c r="L2520" s="92"/>
      <c r="M2520" s="44"/>
      <c r="N2520" s="44"/>
      <c r="O2520" s="44"/>
      <c r="P2520" s="44"/>
      <c r="Q2520" s="44"/>
      <c r="R2520" s="84"/>
      <c r="S2520" s="47"/>
      <c r="T2520" s="47"/>
    </row>
    <row r="2521" s="27" customFormat="1" ht="18" customHeight="1" spans="1:21">
      <c r="A2521" s="34"/>
      <c r="B2521" s="48">
        <v>16</v>
      </c>
      <c r="C2521" s="48"/>
      <c r="D2521" s="88"/>
      <c r="E2521" s="72"/>
      <c r="F2521" s="77"/>
      <c r="G2521" s="89"/>
      <c r="H2521" s="74"/>
      <c r="I2521" s="74"/>
      <c r="J2521" s="95"/>
      <c r="K2521" s="92"/>
      <c r="L2521" s="92"/>
      <c r="M2521" s="44"/>
      <c r="N2521" s="44"/>
      <c r="O2521" s="44"/>
      <c r="P2521" s="44"/>
      <c r="Q2521" s="44"/>
      <c r="R2521" s="84"/>
      <c r="S2521" s="47"/>
      <c r="T2521" s="47"/>
    </row>
    <row r="2522" s="27" customFormat="1" ht="18" customHeight="1" spans="1:21">
      <c r="A2522" s="34"/>
      <c r="B2522" s="48">
        <v>17</v>
      </c>
      <c r="C2522" s="48"/>
      <c r="D2522" s="121"/>
      <c r="E2522" s="72"/>
      <c r="F2522" s="77"/>
      <c r="G2522" s="89"/>
      <c r="H2522" s="74"/>
      <c r="I2522" s="74"/>
      <c r="J2522" s="95"/>
      <c r="K2522" s="92"/>
      <c r="L2522" s="92"/>
      <c r="M2522" s="44"/>
      <c r="N2522" s="44"/>
      <c r="O2522" s="44"/>
      <c r="P2522" s="44"/>
      <c r="Q2522" s="101"/>
      <c r="R2522" s="84"/>
      <c r="S2522" s="47"/>
      <c r="T2522" s="47"/>
    </row>
    <row r="2523" s="27" customFormat="1" ht="18" customHeight="1" spans="1:21">
      <c r="A2523" s="34"/>
      <c r="B2523" s="48">
        <v>18</v>
      </c>
      <c r="C2523" s="48"/>
      <c r="D2523" s="88"/>
      <c r="E2523" s="72"/>
      <c r="F2523" s="77"/>
      <c r="G2523" s="89"/>
      <c r="H2523" s="74"/>
      <c r="I2523" s="74"/>
      <c r="J2523" s="95"/>
      <c r="K2523" s="92"/>
      <c r="L2523" s="92"/>
      <c r="M2523" s="44"/>
      <c r="N2523" s="44"/>
      <c r="O2523" s="44"/>
      <c r="P2523" s="44"/>
      <c r="Q2523" s="44"/>
      <c r="R2523" s="84"/>
      <c r="S2523" s="47"/>
      <c r="T2523" s="47"/>
    </row>
    <row r="2524" s="27" customFormat="1" ht="18" customHeight="1" spans="1:21">
      <c r="A2524" s="34"/>
      <c r="B2524" s="48">
        <v>19</v>
      </c>
      <c r="C2524" s="48"/>
      <c r="D2524" s="27"/>
      <c r="E2524" s="72"/>
      <c r="F2524" s="77"/>
      <c r="G2524" s="89"/>
      <c r="H2524" s="74"/>
      <c r="I2524" s="74"/>
      <c r="J2524" s="95"/>
      <c r="K2524" s="92"/>
      <c r="L2524" s="92"/>
      <c r="M2524" s="44"/>
      <c r="N2524" s="44"/>
      <c r="O2524" s="44"/>
      <c r="P2524" s="44"/>
      <c r="Q2524" s="44"/>
      <c r="R2524" s="84"/>
      <c r="S2524" s="47"/>
      <c r="T2524" s="47"/>
    </row>
    <row r="2525" s="27" customFormat="1" ht="18" customHeight="1" spans="1:21">
      <c r="A2525" s="34"/>
      <c r="B2525" s="48">
        <v>20</v>
      </c>
      <c r="C2525" s="48"/>
      <c r="D2525" s="88"/>
      <c r="E2525" s="72"/>
      <c r="F2525" s="77"/>
      <c r="G2525" s="89"/>
      <c r="H2525" s="74"/>
      <c r="I2525" s="74"/>
      <c r="J2525" s="95"/>
      <c r="K2525" s="92"/>
      <c r="L2525" s="92"/>
      <c r="M2525" s="44"/>
      <c r="N2525" s="44"/>
      <c r="O2525" s="44"/>
      <c r="P2525" s="44"/>
      <c r="Q2525" s="44"/>
      <c r="R2525" s="84"/>
      <c r="S2525" s="47"/>
      <c r="T2525" s="47"/>
    </row>
    <row r="2526" s="27" customFormat="1" ht="18" customHeight="1" spans="1:21">
      <c r="A2526" s="34"/>
      <c r="B2526" s="48">
        <v>21</v>
      </c>
      <c r="C2526" s="48"/>
      <c r="D2526" s="88"/>
      <c r="E2526" s="72"/>
      <c r="F2526" s="77"/>
      <c r="G2526" s="89"/>
      <c r="H2526" s="74"/>
      <c r="I2526" s="74"/>
      <c r="J2526" s="95"/>
      <c r="K2526" s="92"/>
      <c r="L2526" s="92"/>
      <c r="M2526" s="44"/>
      <c r="N2526" s="44"/>
      <c r="O2526" s="44"/>
      <c r="P2526" s="44"/>
      <c r="Q2526" s="44"/>
      <c r="R2526" s="84"/>
      <c r="S2526" s="47"/>
      <c r="T2526" s="47"/>
    </row>
    <row r="2527" s="27" customFormat="1" ht="18" customHeight="1" spans="1:21">
      <c r="A2527" s="34"/>
      <c r="B2527" s="48">
        <v>22</v>
      </c>
      <c r="C2527" s="48"/>
      <c r="D2527" s="27"/>
      <c r="E2527" s="72"/>
      <c r="F2527" s="77"/>
      <c r="G2527" s="72"/>
      <c r="H2527" s="74"/>
      <c r="I2527" s="74"/>
      <c r="J2527" s="95"/>
      <c r="K2527" s="92"/>
      <c r="L2527" s="92"/>
      <c r="M2527" s="44"/>
      <c r="N2527" s="44"/>
      <c r="O2527" s="44"/>
      <c r="P2527" s="44"/>
      <c r="Q2527" s="44"/>
      <c r="R2527" s="62"/>
      <c r="S2527" s="47"/>
      <c r="T2527" s="47"/>
    </row>
    <row r="2528" s="27" customFormat="1" ht="18" customHeight="1" spans="1:21">
      <c r="A2528" s="34"/>
      <c r="B2528" s="48">
        <v>23</v>
      </c>
      <c r="C2528" s="48"/>
      <c r="D2528" s="88"/>
      <c r="E2528" s="72"/>
      <c r="F2528" s="77"/>
      <c r="G2528" s="89"/>
      <c r="H2528" s="74"/>
      <c r="I2528" s="74"/>
      <c r="J2528" s="95"/>
      <c r="K2528" s="92"/>
      <c r="L2528" s="92"/>
      <c r="M2528" s="44"/>
      <c r="N2528" s="44"/>
      <c r="O2528" s="44"/>
      <c r="P2528" s="44"/>
      <c r="Q2528" s="44"/>
      <c r="R2528" s="62"/>
      <c r="S2528" s="47"/>
      <c r="T2528" s="47"/>
    </row>
    <row r="2529" s="27" customFormat="1" ht="18" customHeight="1" spans="1:20">
      <c r="A2529" s="34"/>
      <c r="B2529" s="48">
        <v>24</v>
      </c>
      <c r="C2529" s="48"/>
      <c r="D2529" s="88" t="s">
        <v>478</v>
      </c>
      <c r="E2529" s="72" t="s">
        <v>43</v>
      </c>
      <c r="F2529" s="77"/>
      <c r="G2529" s="72">
        <v>1</v>
      </c>
      <c r="H2529" s="74">
        <v>1</v>
      </c>
      <c r="I2529" s="74">
        <f>+辅材及安装费!$E$3</f>
        <v>5</v>
      </c>
      <c r="J2529" s="95">
        <f>H2529*I2529</f>
        <v>5</v>
      </c>
      <c r="K2529" s="92"/>
      <c r="L2529" s="92"/>
      <c r="M2529" s="44"/>
      <c r="N2529" s="44"/>
      <c r="O2529" s="44"/>
      <c r="P2529" s="44"/>
      <c r="Q2529" s="44"/>
      <c r="R2529" s="62"/>
      <c r="S2529" s="47"/>
      <c r="T2529" s="47"/>
    </row>
    <row r="2530" s="27" customFormat="1" ht="18" customHeight="1" spans="1:20">
      <c r="A2530" s="34"/>
      <c r="B2530" s="48">
        <v>25</v>
      </c>
      <c r="C2530" s="48"/>
      <c r="D2530" s="93" t="s">
        <v>442</v>
      </c>
      <c r="E2530" s="72"/>
      <c r="F2530" s="77"/>
      <c r="G2530" s="72"/>
      <c r="H2530" s="74"/>
      <c r="I2530" s="74"/>
      <c r="J2530" s="95">
        <f>SUM(J2506:J2529)</f>
        <v>476.928511740165</v>
      </c>
      <c r="K2530" s="92"/>
      <c r="L2530" s="94"/>
      <c r="M2530" s="27"/>
      <c r="N2530" s="83"/>
      <c r="O2530" s="83"/>
      <c r="P2530" s="83"/>
      <c r="Q2530" s="83"/>
      <c r="R2530" s="87"/>
      <c r="S2530" s="47"/>
      <c r="T2530" s="47"/>
    </row>
    <row r="2531" s="27" customFormat="1" ht="18" customHeight="1" spans="1:20">
      <c r="A2531" s="34"/>
      <c r="B2531" s="48">
        <v>1</v>
      </c>
      <c r="C2531" s="48" t="s">
        <v>443</v>
      </c>
      <c r="D2531" s="48" t="s">
        <v>444</v>
      </c>
      <c r="E2531" s="72" t="s">
        <v>43</v>
      </c>
      <c r="F2531" s="50"/>
      <c r="G2531" s="48"/>
      <c r="H2531" s="51">
        <v>1</v>
      </c>
      <c r="I2531" s="74">
        <f>+辅材及安装费!$F$3</f>
        <v>5</v>
      </c>
      <c r="J2531" s="95">
        <f>H2531*I2531</f>
        <v>5</v>
      </c>
      <c r="K2531" s="118"/>
      <c r="L2531" s="96"/>
      <c r="M2531" s="97"/>
      <c r="N2531" s="98"/>
      <c r="O2531" s="98"/>
      <c r="P2531" s="98"/>
      <c r="Q2531" s="98"/>
      <c r="R2531" s="99"/>
      <c r="S2531" s="47"/>
      <c r="T2531" s="47"/>
    </row>
    <row r="2532" s="26" customFormat="1" ht="30" customHeight="1" spans="1:20">
      <c r="A2532" s="28"/>
      <c r="B2532" s="29" t="s">
        <v>386</v>
      </c>
      <c r="C2532" s="29"/>
      <c r="D2532" s="29"/>
      <c r="E2532" s="29"/>
      <c r="F2532" s="29"/>
      <c r="G2532" s="29"/>
      <c r="H2532" s="29"/>
      <c r="I2532" s="29"/>
      <c r="J2532" s="29"/>
      <c r="K2532" s="29"/>
      <c r="L2532" s="30"/>
      <c r="M2532" s="31"/>
      <c r="N2532" s="31"/>
      <c r="O2532" s="31"/>
      <c r="P2532" s="31"/>
      <c r="Q2532" s="31"/>
      <c r="R2532" s="32"/>
      <c r="S2532" s="33"/>
      <c r="T2532" s="33"/>
    </row>
    <row r="2533" s="27" customFormat="1" ht="33.75" customHeight="1" spans="1:20">
      <c r="A2533" s="34">
        <v>9</v>
      </c>
      <c r="B2533" s="35" t="s">
        <v>1</v>
      </c>
      <c r="C2533" s="35" t="s">
        <v>387</v>
      </c>
      <c r="D2533" s="36" t="str">
        <f>+A2541</f>
        <v>东立面墙面：银灰色铝板（弧形）</v>
      </c>
      <c r="E2533" s="37"/>
      <c r="F2533" s="38" t="s">
        <v>119</v>
      </c>
      <c r="G2533" s="39"/>
      <c r="H2533" s="35" t="s">
        <v>388</v>
      </c>
      <c r="I2533" s="40" t="s">
        <v>389</v>
      </c>
      <c r="J2533" s="41" t="s">
        <v>37</v>
      </c>
      <c r="K2533" s="122">
        <f ca="1">VLOOKUP(A2533,'商业工程量清单 '!$A$59:$D$81,4,FALSE)</f>
        <v>25.7169528</v>
      </c>
      <c r="L2533" s="43"/>
      <c r="M2533" s="44"/>
      <c r="N2533" s="44"/>
      <c r="O2533" s="44"/>
      <c r="P2533" s="45"/>
      <c r="Q2533" s="44"/>
      <c r="R2533" s="46"/>
      <c r="S2533" s="47"/>
      <c r="T2533" s="47"/>
    </row>
    <row r="2534" s="27" customFormat="1" ht="25" customHeight="1" spans="1:20">
      <c r="A2534" s="34"/>
      <c r="B2534" s="48">
        <v>1</v>
      </c>
      <c r="C2534" s="49" t="s">
        <v>390</v>
      </c>
      <c r="D2534" s="48" t="s">
        <v>391</v>
      </c>
      <c r="E2534" s="48"/>
      <c r="F2534" s="50"/>
      <c r="G2534" s="48"/>
      <c r="H2534" s="51"/>
      <c r="I2534" s="52">
        <f>J2546</f>
        <v>165</v>
      </c>
      <c r="J2534" s="53" t="s">
        <v>392</v>
      </c>
      <c r="K2534" s="54"/>
      <c r="L2534" s="55" t="s">
        <v>1062</v>
      </c>
      <c r="M2534" s="56" t="s">
        <v>1063</v>
      </c>
      <c r="N2534" s="57"/>
      <c r="O2534" s="57">
        <f>1.14*4</f>
        <v>4.56</v>
      </c>
      <c r="P2534" s="57">
        <v>8.528</v>
      </c>
      <c r="Q2534" s="57">
        <v>1</v>
      </c>
      <c r="R2534" s="58">
        <f>+Q2534*P2534*O2534</f>
        <v>38.88768</v>
      </c>
      <c r="S2534" s="47"/>
      <c r="T2534" s="47"/>
    </row>
    <row r="2535" s="27" customFormat="1" ht="18" customHeight="1" spans="1:20">
      <c r="A2535" s="34"/>
      <c r="B2535" s="48">
        <v>2</v>
      </c>
      <c r="C2535" s="59"/>
      <c r="D2535" s="48" t="s">
        <v>394</v>
      </c>
      <c r="E2535" s="48"/>
      <c r="F2535" s="50"/>
      <c r="G2535" s="48"/>
      <c r="H2535" s="51"/>
      <c r="I2535" s="52">
        <f>J2571</f>
        <v>549.533851651899</v>
      </c>
      <c r="J2535" s="53" t="s">
        <v>392</v>
      </c>
      <c r="K2535" s="60"/>
      <c r="L2535" s="61" t="s">
        <v>119</v>
      </c>
      <c r="M2535" s="44"/>
      <c r="N2535" s="44"/>
      <c r="O2535" s="44"/>
      <c r="P2535" s="44"/>
      <c r="Q2535" s="44"/>
      <c r="R2535" s="62"/>
      <c r="S2535" s="47"/>
      <c r="T2535" s="47"/>
    </row>
    <row r="2536" s="27" customFormat="1" ht="18" customHeight="1" spans="1:20">
      <c r="A2536" s="34"/>
      <c r="B2536" s="48">
        <v>3</v>
      </c>
      <c r="C2536" s="63"/>
      <c r="D2536" s="48" t="s">
        <v>395</v>
      </c>
      <c r="E2536" s="48"/>
      <c r="F2536" s="50"/>
      <c r="G2536" s="48"/>
      <c r="H2536" s="51"/>
      <c r="I2536" s="52">
        <f>J2572</f>
        <v>5</v>
      </c>
      <c r="J2536" s="53" t="s">
        <v>392</v>
      </c>
      <c r="K2536" s="60"/>
      <c r="L2536" s="60"/>
      <c r="M2536" s="65" t="s">
        <v>396</v>
      </c>
      <c r="N2536" s="65" t="s">
        <v>397</v>
      </c>
      <c r="O2536" s="65" t="s">
        <v>398</v>
      </c>
      <c r="P2536" s="65" t="s">
        <v>399</v>
      </c>
      <c r="Q2536" s="65" t="s">
        <v>400</v>
      </c>
      <c r="R2536" s="66" t="s">
        <v>401</v>
      </c>
      <c r="S2536" s="47"/>
      <c r="T2536" s="47"/>
    </row>
    <row r="2537" s="27" customFormat="1" ht="18" customHeight="1" spans="1:20">
      <c r="A2537" s="34"/>
      <c r="B2537" s="48">
        <v>4</v>
      </c>
      <c r="C2537" s="48" t="s">
        <v>402</v>
      </c>
      <c r="D2537" s="67" t="s">
        <v>403</v>
      </c>
      <c r="E2537" s="67"/>
      <c r="F2537" s="50"/>
      <c r="G2537" s="67"/>
      <c r="H2537" s="68"/>
      <c r="I2537" s="52">
        <f>SUM(I2534:I2536)</f>
        <v>719.533851651899</v>
      </c>
      <c r="J2537" s="53" t="s">
        <v>392</v>
      </c>
      <c r="K2537" s="60"/>
      <c r="L2537" s="69" t="s">
        <v>431</v>
      </c>
      <c r="M2537" s="34" t="s">
        <v>1064</v>
      </c>
      <c r="N2537" s="34">
        <v>13.35</v>
      </c>
      <c r="O2537" s="34">
        <f>7.165</f>
        <v>7.165</v>
      </c>
      <c r="P2537" s="34">
        <f>4*2</f>
        <v>8</v>
      </c>
      <c r="Q2537" s="44">
        <f t="shared" ref="Q2537:Q2544" si="395">+P2537*O2537*N2537</f>
        <v>765.222</v>
      </c>
      <c r="R2537" s="71">
        <f>+Q2537/R2534</f>
        <v>19.6777488397354</v>
      </c>
      <c r="S2537" s="47"/>
      <c r="T2537" s="47"/>
    </row>
    <row r="2538" s="27" customFormat="1" ht="28" customHeight="1" spans="1:20">
      <c r="A2538" s="34"/>
      <c r="B2538" s="48">
        <v>5</v>
      </c>
      <c r="C2538" s="72" t="s">
        <v>406</v>
      </c>
      <c r="D2538" s="48" t="s">
        <v>407</v>
      </c>
      <c r="E2538" s="48"/>
      <c r="F2538" s="50"/>
      <c r="G2538" s="48"/>
      <c r="H2538" s="73">
        <f>+'材料表 '!$E$178</f>
        <v>0</v>
      </c>
      <c r="I2538" s="52">
        <f>H2538*I2537</f>
        <v>0</v>
      </c>
      <c r="J2538" s="53" t="s">
        <v>392</v>
      </c>
      <c r="K2538" s="60"/>
      <c r="L2538" s="69" t="s">
        <v>461</v>
      </c>
      <c r="M2538" s="34" t="s">
        <v>462</v>
      </c>
      <c r="N2538" s="34">
        <v>3.77</v>
      </c>
      <c r="O2538" s="34">
        <f>+O2534</f>
        <v>4.56</v>
      </c>
      <c r="P2538" s="34">
        <v>8</v>
      </c>
      <c r="Q2538" s="44">
        <f t="shared" si="395"/>
        <v>137.5296</v>
      </c>
      <c r="R2538" s="71">
        <f>+Q2538/R2534</f>
        <v>3.53658536585366</v>
      </c>
      <c r="S2538" s="47"/>
      <c r="T2538" s="47"/>
    </row>
    <row r="2539" s="27" customFormat="1" ht="18" customHeight="1" spans="1:20">
      <c r="A2539" s="34"/>
      <c r="B2539" s="48">
        <v>6</v>
      </c>
      <c r="C2539" s="48" t="s">
        <v>409</v>
      </c>
      <c r="D2539" s="48" t="s">
        <v>410</v>
      </c>
      <c r="E2539" s="48"/>
      <c r="F2539" s="50"/>
      <c r="G2539" s="48"/>
      <c r="H2539" s="73">
        <f>+'材料表 '!$E$179</f>
        <v>0</v>
      </c>
      <c r="I2539" s="52">
        <f>H2539*I2537</f>
        <v>0</v>
      </c>
      <c r="J2539" s="53" t="s">
        <v>392</v>
      </c>
      <c r="K2539" s="60"/>
      <c r="L2539" s="69" t="s">
        <v>431</v>
      </c>
      <c r="M2539" s="34" t="s">
        <v>1065</v>
      </c>
      <c r="N2539" s="34">
        <v>8.65</v>
      </c>
      <c r="O2539" s="34">
        <f>(1.075*7)+(1.58*5)</f>
        <v>15.425</v>
      </c>
      <c r="P2539" s="34">
        <v>4</v>
      </c>
      <c r="Q2539" s="44">
        <f t="shared" si="395"/>
        <v>533.705</v>
      </c>
      <c r="R2539" s="71">
        <f>+Q2539/R2534</f>
        <v>13.7242694858629</v>
      </c>
      <c r="S2539" s="47"/>
      <c r="T2539" s="47"/>
    </row>
    <row r="2540" s="27" customFormat="1" ht="18" customHeight="1" spans="1:20">
      <c r="A2540" s="34"/>
      <c r="B2540" s="48">
        <v>7</v>
      </c>
      <c r="C2540" s="48" t="s">
        <v>412</v>
      </c>
      <c r="D2540" s="72" t="s">
        <v>413</v>
      </c>
      <c r="E2540" s="72"/>
      <c r="F2540" s="77"/>
      <c r="G2540" s="72"/>
      <c r="H2540" s="73">
        <f>+'材料表 '!$E$180</f>
        <v>0.09</v>
      </c>
      <c r="I2540" s="52">
        <f>(I2537+I2538+I2539)*H2540</f>
        <v>64.7580466486709</v>
      </c>
      <c r="J2540" s="53" t="s">
        <v>392</v>
      </c>
      <c r="K2540" s="60"/>
      <c r="L2540" s="69" t="s">
        <v>463</v>
      </c>
      <c r="M2540" s="34" t="s">
        <v>490</v>
      </c>
      <c r="N2540" s="34">
        <f>0.3*0.2*7.85*10</f>
        <v>4.71</v>
      </c>
      <c r="O2540" s="34">
        <v>4</v>
      </c>
      <c r="P2540" s="34">
        <v>4</v>
      </c>
      <c r="Q2540" s="44">
        <f t="shared" si="395"/>
        <v>75.36</v>
      </c>
      <c r="R2540" s="71">
        <f>+Q2540/R2534</f>
        <v>1.9378888120865</v>
      </c>
      <c r="S2540" s="47"/>
      <c r="T2540" s="47"/>
    </row>
    <row r="2541" s="27" customFormat="1" ht="18" customHeight="1" spans="1:20">
      <c r="A2541" s="34" t="s">
        <v>318</v>
      </c>
      <c r="B2541" s="48">
        <v>8</v>
      </c>
      <c r="C2541" s="48" t="s">
        <v>363</v>
      </c>
      <c r="D2541" s="106" t="s">
        <v>415</v>
      </c>
      <c r="E2541" s="107"/>
      <c r="F2541" s="108"/>
      <c r="G2541" s="107"/>
      <c r="H2541" s="51"/>
      <c r="I2541" s="74">
        <f>SUM(I2537:I2540)</f>
        <v>784.29189830057</v>
      </c>
      <c r="J2541" s="53" t="s">
        <v>416</v>
      </c>
      <c r="K2541" s="60"/>
      <c r="L2541" s="69" t="s">
        <v>465</v>
      </c>
      <c r="M2541" s="34" t="s">
        <v>1066</v>
      </c>
      <c r="N2541" s="100">
        <f>0.36*5*7.85</f>
        <v>14.13</v>
      </c>
      <c r="O2541" s="34">
        <f>110/1000</f>
        <v>0.11</v>
      </c>
      <c r="P2541" s="44">
        <f>+P2540*O2540*2</f>
        <v>32</v>
      </c>
      <c r="Q2541" s="44">
        <f t="shared" si="395"/>
        <v>49.7376</v>
      </c>
      <c r="R2541" s="84">
        <f>+Q2541/R2534</f>
        <v>1.27900661597709</v>
      </c>
      <c r="S2541" s="79"/>
      <c r="T2541" s="47"/>
    </row>
    <row r="2542" s="27" customFormat="1" ht="18" customHeight="1" spans="1:20">
      <c r="A2542" s="34"/>
      <c r="B2542" s="109" t="s">
        <v>418</v>
      </c>
      <c r="C2542" s="110"/>
      <c r="D2542" s="110"/>
      <c r="E2542" s="110"/>
      <c r="F2542" s="110"/>
      <c r="G2542" s="110"/>
      <c r="H2542" s="110"/>
      <c r="I2542" s="110"/>
      <c r="J2542" s="110"/>
      <c r="K2542" s="80"/>
      <c r="L2542" s="69" t="s">
        <v>433</v>
      </c>
      <c r="M2542" s="44"/>
      <c r="N2542" s="82">
        <f>0.056*3*2.71+0.0675*3*2.71</f>
        <v>1.004055</v>
      </c>
      <c r="O2542" s="44">
        <f>O2534</f>
        <v>4.56</v>
      </c>
      <c r="P2542" s="44">
        <v>4</v>
      </c>
      <c r="Q2542" s="44">
        <f t="shared" si="395"/>
        <v>18.3139632</v>
      </c>
      <c r="R2542" s="84">
        <f>+Q2542/R2534</f>
        <v>0.470945121951219</v>
      </c>
      <c r="S2542" s="47">
        <f>0.16*P2542*O2542/R2534</f>
        <v>0.075046904315197</v>
      </c>
      <c r="T2542" s="47"/>
    </row>
    <row r="2543" s="27" customFormat="1" ht="18" customHeight="1" spans="1:20">
      <c r="A2543" s="34"/>
      <c r="B2543" s="48">
        <v>1</v>
      </c>
      <c r="C2543" s="48" t="s">
        <v>391</v>
      </c>
      <c r="D2543" s="48" t="s">
        <v>396</v>
      </c>
      <c r="E2543" s="48" t="s">
        <v>37</v>
      </c>
      <c r="F2543" s="50"/>
      <c r="G2543" s="48"/>
      <c r="H2543" s="51" t="s">
        <v>399</v>
      </c>
      <c r="I2543" s="51" t="s">
        <v>420</v>
      </c>
      <c r="J2543" s="95" t="s">
        <v>421</v>
      </c>
      <c r="K2543" s="92"/>
      <c r="L2543" s="69" t="s">
        <v>433</v>
      </c>
      <c r="M2543" s="44"/>
      <c r="N2543" s="82">
        <f>0.056*3*2.71+0.0675*3*2.71</f>
        <v>1.004055</v>
      </c>
      <c r="O2543" s="44">
        <f>P2534</f>
        <v>8.528</v>
      </c>
      <c r="P2543" s="44">
        <v>4</v>
      </c>
      <c r="Q2543" s="44">
        <f t="shared" si="395"/>
        <v>34.25032416</v>
      </c>
      <c r="R2543" s="84">
        <f>+Q2543/R2534</f>
        <v>0.88075</v>
      </c>
      <c r="S2543" s="47"/>
      <c r="T2543" s="47"/>
    </row>
    <row r="2544" s="27" customFormat="1" ht="18" customHeight="1" spans="1:20">
      <c r="A2544" s="34"/>
      <c r="B2544" s="48">
        <v>2</v>
      </c>
      <c r="C2544" s="48"/>
      <c r="D2544" s="111" t="s">
        <v>491</v>
      </c>
      <c r="E2544" s="49" t="s">
        <v>423</v>
      </c>
      <c r="F2544" s="112"/>
      <c r="G2544" s="111"/>
      <c r="H2544" s="113">
        <v>1</v>
      </c>
      <c r="I2544" s="113">
        <f>+辅材及安装费!$G$3</f>
        <v>165</v>
      </c>
      <c r="J2544" s="114">
        <f t="shared" ref="J2544:J2552" si="396">H2544*I2544</f>
        <v>165</v>
      </c>
      <c r="K2544" s="92"/>
      <c r="L2544" s="69" t="s">
        <v>461</v>
      </c>
      <c r="M2544" s="34" t="s">
        <v>462</v>
      </c>
      <c r="N2544" s="34">
        <v>3.77</v>
      </c>
      <c r="O2544" s="34">
        <v>0.65</v>
      </c>
      <c r="P2544" s="34">
        <v>4</v>
      </c>
      <c r="Q2544" s="44">
        <f t="shared" si="395"/>
        <v>9.802</v>
      </c>
      <c r="R2544" s="84">
        <f>+Q2544/R2534</f>
        <v>0.252059264013693</v>
      </c>
      <c r="S2544" s="47"/>
      <c r="T2544" s="47"/>
    </row>
    <row r="2545" s="27" customFormat="1" ht="18" customHeight="1" spans="1:21">
      <c r="A2545" s="34"/>
      <c r="B2545" s="48">
        <v>3</v>
      </c>
      <c r="C2545" s="48"/>
      <c r="D2545" s="115"/>
      <c r="E2545" s="63"/>
      <c r="F2545" s="116"/>
      <c r="G2545" s="115"/>
      <c r="H2545" s="117"/>
      <c r="I2545" s="117"/>
      <c r="J2545" s="118"/>
      <c r="K2545" s="92"/>
      <c r="L2545" s="90" t="s">
        <v>472</v>
      </c>
      <c r="M2545" s="44"/>
      <c r="N2545" s="82"/>
      <c r="O2545" s="44"/>
      <c r="P2545" s="44">
        <f>+P2541</f>
        <v>32</v>
      </c>
      <c r="Q2545" s="44">
        <f>+P2545</f>
        <v>32</v>
      </c>
      <c r="R2545" s="84">
        <f>+Q2545/R2534</f>
        <v>0.822882722754353</v>
      </c>
      <c r="S2545" s="47"/>
      <c r="T2545" s="47"/>
    </row>
    <row r="2546" s="27" customFormat="1" ht="18" customHeight="1" spans="1:21">
      <c r="A2546" s="34"/>
      <c r="B2546" s="48">
        <v>4</v>
      </c>
      <c r="C2546" s="48"/>
      <c r="D2546" s="85" t="s">
        <v>426</v>
      </c>
      <c r="E2546" s="48" t="s">
        <v>392</v>
      </c>
      <c r="F2546" s="50"/>
      <c r="G2546" s="48"/>
      <c r="H2546" s="86"/>
      <c r="I2546" s="86"/>
      <c r="J2546" s="95">
        <f>SUM(J2544:J2544)</f>
        <v>165</v>
      </c>
      <c r="K2546" s="92"/>
      <c r="L2546" s="90" t="s">
        <v>473</v>
      </c>
      <c r="M2546" s="44"/>
      <c r="N2546" s="82"/>
      <c r="O2546" s="44"/>
      <c r="P2546" s="44"/>
      <c r="Q2546" s="44">
        <f>+(Q2543)*2</f>
        <v>68.50064832</v>
      </c>
      <c r="R2546" s="84">
        <f>+Q2546/R2534</f>
        <v>1.7615</v>
      </c>
      <c r="S2546" s="47"/>
      <c r="T2546" s="47"/>
    </row>
    <row r="2547" s="27" customFormat="1" ht="24" customHeight="1" spans="1:21">
      <c r="A2547" s="34"/>
      <c r="B2547" s="48">
        <v>1</v>
      </c>
      <c r="C2547" s="48" t="s">
        <v>394</v>
      </c>
      <c r="D2547" s="88" t="s">
        <v>431</v>
      </c>
      <c r="E2547" s="72" t="str">
        <f>+VLOOKUP(D2547,'材料表 '!C:F,2,0)</f>
        <v>kg</v>
      </c>
      <c r="F2547" s="77">
        <f>+SUMIF($L$2534:$L$2572,D2547,$R$2534:$R$2572)</f>
        <v>33.4020183255982</v>
      </c>
      <c r="G2547" s="89">
        <f>+VLOOKUP(D2547,'材料表 '!C:F,4,0)</f>
        <v>0.03</v>
      </c>
      <c r="H2547" s="74">
        <f t="shared" ref="H2547:H2552" si="397">F2547*(G2547+1)</f>
        <v>34.4040788753661</v>
      </c>
      <c r="I2547" s="74">
        <f>+VLOOKUP(D2547,'材料表 '!C:F,3,0)</f>
        <v>3.80530973451327</v>
      </c>
      <c r="J2547" s="95">
        <f t="shared" si="396"/>
        <v>130.918176251393</v>
      </c>
      <c r="K2547" s="92">
        <f ca="1">H2547*K2533</f>
        <v>884.768072565267</v>
      </c>
      <c r="L2547" s="90"/>
      <c r="M2547" s="44"/>
      <c r="N2547" s="82"/>
      <c r="O2547" s="44"/>
      <c r="P2547" s="44"/>
      <c r="Q2547" s="44"/>
      <c r="R2547" s="84"/>
      <c r="S2547" s="47"/>
      <c r="T2547" s="47"/>
    </row>
    <row r="2548" s="27" customFormat="1" ht="18" customHeight="1" spans="1:21">
      <c r="A2548" s="34"/>
      <c r="B2548" s="48">
        <v>2</v>
      </c>
      <c r="C2548" s="48"/>
      <c r="D2548" s="88" t="s">
        <v>461</v>
      </c>
      <c r="E2548" s="72" t="str">
        <f>+VLOOKUP(D2548,'材料表 '!C:F,2,0)</f>
        <v>kg</v>
      </c>
      <c r="F2548" s="77">
        <f t="shared" ref="F2548:F2557" si="398">+SUMIF($L$2534:$L$2572,D2548,$R$2534:$R$2572)</f>
        <v>3.78864462986735</v>
      </c>
      <c r="G2548" s="89">
        <f>+VLOOKUP(D2548,'材料表 '!C:F,4,0)</f>
        <v>0.03</v>
      </c>
      <c r="H2548" s="74">
        <f t="shared" si="397"/>
        <v>3.90230396876337</v>
      </c>
      <c r="I2548" s="74">
        <f>+VLOOKUP(D2548,'材料表 '!C:F,3,0)</f>
        <v>3.53982300884956</v>
      </c>
      <c r="J2548" s="95">
        <f t="shared" si="396"/>
        <v>13.8134653761535</v>
      </c>
      <c r="K2548" s="92">
        <f ca="1">H2548*K2533</f>
        <v>100.35536697594</v>
      </c>
      <c r="L2548" s="90"/>
      <c r="M2548" s="44"/>
      <c r="N2548" s="82"/>
      <c r="O2548" s="44"/>
      <c r="P2548" s="44"/>
      <c r="Q2548" s="44"/>
      <c r="R2548" s="84"/>
      <c r="S2548" s="47"/>
      <c r="T2548" s="47"/>
    </row>
    <row r="2549" s="27" customFormat="1" ht="18" customHeight="1" spans="1:21">
      <c r="A2549" s="34"/>
      <c r="B2549" s="48">
        <v>3</v>
      </c>
      <c r="C2549" s="48"/>
      <c r="D2549" s="88" t="s">
        <v>465</v>
      </c>
      <c r="E2549" s="72" t="str">
        <f>+VLOOKUP(D2549,'材料表 '!C:F,2,0)</f>
        <v>kg</v>
      </c>
      <c r="F2549" s="77">
        <f t="shared" si="398"/>
        <v>1.27900661597709</v>
      </c>
      <c r="G2549" s="89">
        <f>+VLOOKUP(D2549,'材料表 '!C:F,4,0)</f>
        <v>0.03</v>
      </c>
      <c r="H2549" s="74">
        <f t="shared" si="397"/>
        <v>1.3173768144564</v>
      </c>
      <c r="I2549" s="74">
        <f>+VLOOKUP(D2549,'材料表 '!C:F,3,0)</f>
        <v>6.01769911504425</v>
      </c>
      <c r="J2549" s="95">
        <f t="shared" si="396"/>
        <v>7.92757729053411</v>
      </c>
      <c r="K2549" s="92">
        <f ca="1">H2549*K2533</f>
        <v>33.8789173571896</v>
      </c>
      <c r="L2549" s="90"/>
      <c r="M2549" s="44"/>
      <c r="N2549" s="82"/>
      <c r="O2549" s="44"/>
      <c r="P2549" s="44"/>
      <c r="Q2549" s="44"/>
      <c r="R2549" s="84"/>
      <c r="S2549" s="47"/>
      <c r="T2549" s="47"/>
    </row>
    <row r="2550" s="27" customFormat="1" ht="18" customHeight="1" spans="1:21">
      <c r="A2550" s="34"/>
      <c r="B2550" s="48">
        <v>4</v>
      </c>
      <c r="C2550" s="48"/>
      <c r="D2550" s="88" t="s">
        <v>463</v>
      </c>
      <c r="E2550" s="72" t="str">
        <f>+VLOOKUP(D2550,'材料表 '!C:F,2,0)</f>
        <v>kg</v>
      </c>
      <c r="F2550" s="77">
        <f t="shared" si="398"/>
        <v>1.9378888120865</v>
      </c>
      <c r="G2550" s="89">
        <f>+VLOOKUP(D2550,'材料表 '!C:F,4,0)</f>
        <v>0.03</v>
      </c>
      <c r="H2550" s="74">
        <f t="shared" si="397"/>
        <v>1.9960254764491</v>
      </c>
      <c r="I2550" s="74">
        <f>+VLOOKUP(D2550,'材料表 '!C:F,3,0)</f>
        <v>6.01769911504425</v>
      </c>
      <c r="J2550" s="95">
        <f t="shared" si="396"/>
        <v>12.0114807432335</v>
      </c>
      <c r="K2550" s="92">
        <f ca="1">H2550*K2533</f>
        <v>51.331692965439</v>
      </c>
      <c r="L2550" s="90" t="s">
        <v>474</v>
      </c>
      <c r="M2550" s="44"/>
      <c r="N2550" s="82"/>
      <c r="O2550" s="44"/>
      <c r="P2550" s="44"/>
      <c r="Q2550" s="44">
        <f>+O2540*P2540*4</f>
        <v>64</v>
      </c>
      <c r="R2550" s="84">
        <f>+Q2550/R2534</f>
        <v>1.64576544550871</v>
      </c>
      <c r="S2550" s="47"/>
      <c r="T2550" s="47"/>
    </row>
    <row r="2551" s="27" customFormat="1" ht="18" customHeight="1" spans="1:21">
      <c r="A2551" s="34"/>
      <c r="B2551" s="48">
        <v>5</v>
      </c>
      <c r="C2551" s="48"/>
      <c r="D2551" s="88" t="s">
        <v>433</v>
      </c>
      <c r="E2551" s="72" t="str">
        <f>+VLOOKUP(D2551,'材料表 '!C:F,2,0)</f>
        <v>kg</v>
      </c>
      <c r="F2551" s="77">
        <f t="shared" si="398"/>
        <v>1.35169512195122</v>
      </c>
      <c r="G2551" s="89">
        <f>+VLOOKUP(D2551,'材料表 '!C:F,4,0)</f>
        <v>0.03</v>
      </c>
      <c r="H2551" s="74">
        <f t="shared" si="397"/>
        <v>1.39224597560976</v>
      </c>
      <c r="I2551" s="74">
        <f>+VLOOKUP(D2551,'材料表 '!C:F,3,0)</f>
        <v>26.1150442477876</v>
      </c>
      <c r="J2551" s="95">
        <f t="shared" si="396"/>
        <v>36.358565256853</v>
      </c>
      <c r="K2551" s="92">
        <f ca="1">H2551*K2533</f>
        <v>35.8043240407461</v>
      </c>
      <c r="L2551" s="92" t="s">
        <v>476</v>
      </c>
      <c r="M2551" s="44"/>
      <c r="N2551" s="82"/>
      <c r="O2551" s="44"/>
      <c r="P2551" s="44"/>
      <c r="Q2551" s="44">
        <f>15*8*(O2534*4+P2534*8)/500</f>
        <v>20.75136</v>
      </c>
      <c r="R2551" s="84">
        <f>+Q2551/R2534</f>
        <v>0.533622988051743</v>
      </c>
      <c r="S2551" s="47"/>
      <c r="T2551" s="47"/>
    </row>
    <row r="2552" s="27" customFormat="1" ht="18" customHeight="1" spans="1:21">
      <c r="A2552" s="34"/>
      <c r="B2552" s="48">
        <v>6</v>
      </c>
      <c r="C2552" s="48"/>
      <c r="D2552" s="88" t="s">
        <v>427</v>
      </c>
      <c r="E2552" s="72" t="str">
        <f>+VLOOKUP(D2552,'材料表 '!C:F,2,0)</f>
        <v>kg</v>
      </c>
      <c r="F2552" s="77">
        <f t="shared" si="398"/>
        <v>0</v>
      </c>
      <c r="G2552" s="89">
        <f>+VLOOKUP(D2552,'材料表 '!C:F,4,0)</f>
        <v>0.03</v>
      </c>
      <c r="H2552" s="74">
        <f t="shared" si="397"/>
        <v>0</v>
      </c>
      <c r="I2552" s="74">
        <f>+VLOOKUP(D2552,'材料表 '!C:F,3,0)</f>
        <v>25.8495575221239</v>
      </c>
      <c r="J2552" s="95">
        <f t="shared" si="396"/>
        <v>0</v>
      </c>
      <c r="K2552" s="92">
        <f ca="1">H2552*K2533</f>
        <v>0</v>
      </c>
      <c r="L2552" s="69" t="s">
        <v>427</v>
      </c>
      <c r="M2552" s="70" t="s">
        <v>1007</v>
      </c>
      <c r="N2552" s="34">
        <v>3.111</v>
      </c>
      <c r="O2552" s="34">
        <f>P2534</f>
        <v>8.528</v>
      </c>
      <c r="P2552" s="34">
        <v>0</v>
      </c>
      <c r="Q2552" s="44">
        <f t="shared" ref="Q2552:Q2560" si="399">+P2552*O2552*N2552</f>
        <v>0</v>
      </c>
      <c r="R2552" s="71">
        <f>+Q2552/R2534</f>
        <v>0</v>
      </c>
      <c r="S2552" s="47"/>
      <c r="T2552" s="47"/>
    </row>
    <row r="2553" s="27" customFormat="1" ht="18" customHeight="1" spans="1:21">
      <c r="A2553" s="34"/>
      <c r="B2553" s="48">
        <v>7</v>
      </c>
      <c r="C2553" s="48"/>
      <c r="D2553" s="88"/>
      <c r="E2553" s="72"/>
      <c r="F2553" s="77">
        <f t="shared" si="398"/>
        <v>0</v>
      </c>
      <c r="G2553" s="89"/>
      <c r="H2553" s="74"/>
      <c r="I2553" s="74"/>
      <c r="J2553" s="95"/>
      <c r="K2553" s="92">
        <f ca="1">H2553*K2533</f>
        <v>0</v>
      </c>
      <c r="L2553" s="69" t="s">
        <v>429</v>
      </c>
      <c r="M2553" s="70" t="s">
        <v>1037</v>
      </c>
      <c r="N2553" s="34">
        <v>3.063</v>
      </c>
      <c r="O2553" s="100">
        <f>O2552/0.3*0.1</f>
        <v>2.84266666666667</v>
      </c>
      <c r="P2553" s="34">
        <v>0</v>
      </c>
      <c r="Q2553" s="44">
        <f t="shared" si="399"/>
        <v>0</v>
      </c>
      <c r="R2553" s="71">
        <f>+Q2553/R2534</f>
        <v>0</v>
      </c>
      <c r="S2553" s="47"/>
      <c r="T2553" s="47"/>
    </row>
    <row r="2554" s="27" customFormat="1" ht="18" customHeight="1" spans="1:21">
      <c r="A2554" s="34"/>
      <c r="B2554" s="48">
        <v>8</v>
      </c>
      <c r="C2554" s="48"/>
      <c r="D2554" s="88"/>
      <c r="E2554" s="72"/>
      <c r="F2554" s="77">
        <f t="shared" si="398"/>
        <v>0</v>
      </c>
      <c r="G2554" s="89"/>
      <c r="H2554" s="74"/>
      <c r="I2554" s="74"/>
      <c r="J2554" s="95"/>
      <c r="K2554" s="92">
        <f ca="1">H2554*K2533</f>
        <v>0</v>
      </c>
      <c r="L2554" s="69" t="s">
        <v>447</v>
      </c>
      <c r="M2554" s="70" t="s">
        <v>1038</v>
      </c>
      <c r="N2554" s="34">
        <f>1.041+0.104</f>
        <v>1.145</v>
      </c>
      <c r="O2554" s="34">
        <f>O2552</f>
        <v>8.528</v>
      </c>
      <c r="P2554" s="34">
        <v>0</v>
      </c>
      <c r="Q2554" s="44">
        <f t="shared" si="399"/>
        <v>0</v>
      </c>
      <c r="R2554" s="71">
        <f>+Q2554/R2534</f>
        <v>0</v>
      </c>
      <c r="S2554" s="47">
        <v>0.172</v>
      </c>
      <c r="T2554" s="47">
        <f>O2554*P2554*S2554</f>
        <v>0</v>
      </c>
      <c r="U2554" s="76">
        <f>T2554/R2534</f>
        <v>0</v>
      </c>
    </row>
    <row r="2555" s="27" customFormat="1" ht="18" customHeight="1" spans="1:21">
      <c r="A2555" s="34"/>
      <c r="B2555" s="48">
        <v>9</v>
      </c>
      <c r="C2555" s="48"/>
      <c r="D2555" s="88" t="s">
        <v>476</v>
      </c>
      <c r="E2555" s="72" t="str">
        <f>+VLOOKUP(D2555,'材料表 '!C:F,2,0)</f>
        <v>支</v>
      </c>
      <c r="F2555" s="77">
        <f t="shared" si="398"/>
        <v>0.533622988051743</v>
      </c>
      <c r="G2555" s="89">
        <f>+VLOOKUP(D2555,'材料表 '!C:F,4,0)</f>
        <v>0.15</v>
      </c>
      <c r="H2555" s="74">
        <f t="shared" ref="H2555:H2560" si="400">F2555*(G2555+1)</f>
        <v>0.613666436259504</v>
      </c>
      <c r="I2555" s="74">
        <f>+VLOOKUP(D2555,'材料表 '!C:F,3,0)</f>
        <v>11.5044247787611</v>
      </c>
      <c r="J2555" s="95">
        <f t="shared" ref="J2555:J2560" si="401">H2555*I2555</f>
        <v>7.05987935519786</v>
      </c>
      <c r="K2555" s="92">
        <f ca="1">H2555*K2533</f>
        <v>15.7816307762299</v>
      </c>
      <c r="L2555" s="69" t="s">
        <v>429</v>
      </c>
      <c r="M2555" s="70" t="s">
        <v>1010</v>
      </c>
      <c r="N2555" s="102">
        <f>2.9</f>
        <v>2.9</v>
      </c>
      <c r="O2555" s="34">
        <v>0.2</v>
      </c>
      <c r="P2555" s="34">
        <v>0</v>
      </c>
      <c r="Q2555" s="44">
        <f t="shared" si="399"/>
        <v>0</v>
      </c>
      <c r="R2555" s="71">
        <f>+Q2555/R2534</f>
        <v>0</v>
      </c>
      <c r="S2555" s="47"/>
      <c r="T2555" s="47"/>
    </row>
    <row r="2556" s="27" customFormat="1" ht="18" customHeight="1" spans="1:21">
      <c r="A2556" s="34"/>
      <c r="B2556" s="48">
        <v>10</v>
      </c>
      <c r="C2556" s="48"/>
      <c r="D2556" s="88" t="s">
        <v>474</v>
      </c>
      <c r="E2556" s="72" t="str">
        <f>+VLOOKUP(D2556,'材料表 '!C:F,2,0)</f>
        <v>套</v>
      </c>
      <c r="F2556" s="77">
        <f t="shared" si="398"/>
        <v>1.64576544550871</v>
      </c>
      <c r="G2556" s="89">
        <f>+VLOOKUP(D2556,'材料表 '!C:F,4,0)</f>
        <v>0</v>
      </c>
      <c r="H2556" s="74">
        <f t="shared" si="400"/>
        <v>1.64576544550871</v>
      </c>
      <c r="I2556" s="74">
        <f>+VLOOKUP(D2556,'材料表 '!C:F,3,0)</f>
        <v>2.21238938053097</v>
      </c>
      <c r="J2556" s="95">
        <f t="shared" si="401"/>
        <v>3.64107399448829</v>
      </c>
      <c r="K2556" s="92">
        <f ca="1">H2556*K2533</f>
        <v>42.3240722820185</v>
      </c>
      <c r="L2556" s="69" t="s">
        <v>429</v>
      </c>
      <c r="M2556" s="70" t="s">
        <v>1040</v>
      </c>
      <c r="N2556" s="34">
        <v>0.733</v>
      </c>
      <c r="O2556" s="100">
        <f>O2553*2</f>
        <v>5.68533333333333</v>
      </c>
      <c r="P2556" s="34">
        <v>0</v>
      </c>
      <c r="Q2556" s="44">
        <f t="shared" si="399"/>
        <v>0</v>
      </c>
      <c r="R2556" s="71">
        <f>+Q2556/R2534</f>
        <v>0</v>
      </c>
      <c r="S2556" s="79"/>
      <c r="T2556" s="47"/>
    </row>
    <row r="2557" s="27" customFormat="1" ht="18" customHeight="1" spans="1:21">
      <c r="A2557" s="34"/>
      <c r="B2557" s="48">
        <v>11</v>
      </c>
      <c r="C2557" s="48"/>
      <c r="D2557" s="88" t="s">
        <v>472</v>
      </c>
      <c r="E2557" s="72" t="str">
        <f>+VLOOKUP(D2557,'材料表 '!C:F,2,0)</f>
        <v>套</v>
      </c>
      <c r="F2557" s="77">
        <f t="shared" si="398"/>
        <v>0.822882722754353</v>
      </c>
      <c r="G2557" s="89">
        <f>+VLOOKUP(D2557,'材料表 '!C:F,4,0)</f>
        <v>0</v>
      </c>
      <c r="H2557" s="74">
        <f t="shared" si="400"/>
        <v>0.822882722754353</v>
      </c>
      <c r="I2557" s="74">
        <f>+VLOOKUP(D2557,'材料表 '!C:F,3,0)</f>
        <v>2.47787610619469</v>
      </c>
      <c r="J2557" s="95">
        <f t="shared" si="401"/>
        <v>2.03900143691344</v>
      </c>
      <c r="K2557" s="92">
        <f ca="1">H2557*K2533</f>
        <v>21.1620361410092</v>
      </c>
      <c r="L2557" s="69" t="s">
        <v>404</v>
      </c>
      <c r="M2557" s="70" t="s">
        <v>1041</v>
      </c>
      <c r="N2557" s="34">
        <v>3.727</v>
      </c>
      <c r="O2557" s="34">
        <v>0</v>
      </c>
      <c r="P2557" s="34">
        <v>1</v>
      </c>
      <c r="Q2557" s="44">
        <f t="shared" si="399"/>
        <v>0</v>
      </c>
      <c r="R2557" s="71">
        <f>+Q2557/R2534</f>
        <v>0</v>
      </c>
      <c r="S2557" s="47"/>
      <c r="T2557" s="47"/>
      <c r="U2557" s="76"/>
    </row>
    <row r="2558" s="27" customFormat="1" ht="18" customHeight="1" spans="1:21">
      <c r="A2558" s="34"/>
      <c r="B2558" s="48">
        <v>12</v>
      </c>
      <c r="C2558" s="48"/>
      <c r="D2558" s="88" t="s">
        <v>511</v>
      </c>
      <c r="E2558" s="72" t="str">
        <f>+VLOOKUP(D2558,'材料表 '!C:F,2,0)</f>
        <v>m2</v>
      </c>
      <c r="F2558" s="77">
        <v>1</v>
      </c>
      <c r="G2558" s="89">
        <f>+VLOOKUP(D2558,'材料表 '!C:F,4,0)</f>
        <v>0.02</v>
      </c>
      <c r="H2558" s="74">
        <f t="shared" si="400"/>
        <v>1.02</v>
      </c>
      <c r="I2558" s="74">
        <f>+VLOOKUP(D2558,'材料表 '!C:F,3,0)</f>
        <v>261.946902654867</v>
      </c>
      <c r="J2558" s="95">
        <f t="shared" si="401"/>
        <v>267.185840707964</v>
      </c>
      <c r="K2558" s="92">
        <f ca="1">H2558*K2533</f>
        <v>26.231291856</v>
      </c>
      <c r="L2558" s="69" t="s">
        <v>429</v>
      </c>
      <c r="M2558" s="81" t="s">
        <v>1027</v>
      </c>
      <c r="N2558" s="82">
        <v>0.735</v>
      </c>
      <c r="O2558" s="34">
        <v>0</v>
      </c>
      <c r="P2558" s="34">
        <v>1</v>
      </c>
      <c r="Q2558" s="44">
        <f t="shared" si="399"/>
        <v>0</v>
      </c>
      <c r="R2558" s="71">
        <f>+Q2558/R2534</f>
        <v>0</v>
      </c>
      <c r="S2558" s="47"/>
      <c r="T2558" s="47"/>
    </row>
    <row r="2559" s="27" customFormat="1" ht="18" customHeight="1" spans="1:21">
      <c r="A2559" s="34"/>
      <c r="B2559" s="48">
        <v>13</v>
      </c>
      <c r="C2559" s="48"/>
      <c r="D2559" s="124" t="s">
        <v>500</v>
      </c>
      <c r="E2559" s="72" t="str">
        <f>+VLOOKUP(D2559,'材料表 '!C:F,2,0)</f>
        <v>kg</v>
      </c>
      <c r="F2559" s="77">
        <f>R2545</f>
        <v>0.822882722754353</v>
      </c>
      <c r="G2559" s="89">
        <f>+VLOOKUP(D2559,'材料表 '!C:F,4,0)</f>
        <v>0.03</v>
      </c>
      <c r="H2559" s="74">
        <f t="shared" si="400"/>
        <v>0.847569204436984</v>
      </c>
      <c r="I2559" s="74">
        <f>+VLOOKUP(D2559,'材料表 '!C:F,3,0)</f>
        <v>14.1592920353982</v>
      </c>
      <c r="J2559" s="95">
        <f t="shared" si="401"/>
        <v>12.0009798858334</v>
      </c>
      <c r="K2559" s="92">
        <f ca="1">H2559*K2533</f>
        <v>21.7968972252395</v>
      </c>
      <c r="L2559" s="69" t="s">
        <v>447</v>
      </c>
      <c r="M2559" s="70" t="s">
        <v>1038</v>
      </c>
      <c r="N2559" s="83">
        <v>0.977</v>
      </c>
      <c r="O2559" s="34">
        <v>0</v>
      </c>
      <c r="P2559" s="34">
        <v>1</v>
      </c>
      <c r="Q2559" s="44">
        <f t="shared" si="399"/>
        <v>0</v>
      </c>
      <c r="R2559" s="84">
        <f>+Q2559/R2534</f>
        <v>0</v>
      </c>
      <c r="S2559" s="47">
        <v>0.185</v>
      </c>
      <c r="T2559" s="47">
        <f>O2559*P2559*S2559</f>
        <v>0</v>
      </c>
      <c r="U2559" s="27">
        <f>T2559/R2534</f>
        <v>0</v>
      </c>
    </row>
    <row r="2560" s="27" customFormat="1" ht="20" customHeight="1" spans="1:21">
      <c r="A2560" s="34"/>
      <c r="B2560" s="48">
        <v>14</v>
      </c>
      <c r="C2560" s="48"/>
      <c r="D2560" s="88" t="s">
        <v>479</v>
      </c>
      <c r="E2560" s="72" t="str">
        <f>+VLOOKUP(D2560,'材料表 '!C:F,2,0)</f>
        <v>kg</v>
      </c>
      <c r="F2560" s="77">
        <f>R2538</f>
        <v>3.53658536585366</v>
      </c>
      <c r="G2560" s="89">
        <f>+VLOOKUP(D2560,'材料表 '!C:F,4,0)</f>
        <v>0.03</v>
      </c>
      <c r="H2560" s="74">
        <f t="shared" si="400"/>
        <v>3.64268292682927</v>
      </c>
      <c r="I2560" s="74">
        <f>+VLOOKUP(D2560,'材料表 '!C:F,3,0)</f>
        <v>14.1592920353982</v>
      </c>
      <c r="J2560" s="95">
        <f t="shared" si="401"/>
        <v>51.5778113533347</v>
      </c>
      <c r="K2560" s="92">
        <f ca="1">H2560*K2533</f>
        <v>93.6787048946342</v>
      </c>
      <c r="L2560" s="69" t="s">
        <v>429</v>
      </c>
      <c r="M2560" s="81" t="s">
        <v>1042</v>
      </c>
      <c r="N2560" s="82">
        <v>0.687</v>
      </c>
      <c r="O2560" s="44">
        <v>0</v>
      </c>
      <c r="P2560" s="34">
        <v>0</v>
      </c>
      <c r="Q2560" s="44">
        <f t="shared" si="399"/>
        <v>0</v>
      </c>
      <c r="R2560" s="84">
        <f>+Q2560/R2534</f>
        <v>0</v>
      </c>
      <c r="S2560" s="47"/>
      <c r="T2560" s="47"/>
    </row>
    <row r="2561" s="27" customFormat="1" ht="18" customHeight="1" spans="1:20">
      <c r="A2561" s="34"/>
      <c r="B2561" s="48">
        <v>15</v>
      </c>
      <c r="C2561" s="48"/>
      <c r="D2561" s="88"/>
      <c r="E2561" s="72"/>
      <c r="F2561" s="77"/>
      <c r="G2561" s="89"/>
      <c r="H2561" s="74"/>
      <c r="I2561" s="74"/>
      <c r="J2561" s="95"/>
      <c r="K2561" s="92"/>
      <c r="L2561" s="92"/>
      <c r="M2561" s="44"/>
      <c r="N2561" s="44"/>
      <c r="O2561" s="44"/>
      <c r="P2561" s="44"/>
      <c r="Q2561" s="44"/>
      <c r="R2561" s="84"/>
      <c r="S2561" s="47"/>
      <c r="T2561" s="47"/>
    </row>
    <row r="2562" s="27" customFormat="1" ht="18" customHeight="1" spans="1:20">
      <c r="A2562" s="34"/>
      <c r="B2562" s="48">
        <v>16</v>
      </c>
      <c r="C2562" s="48"/>
      <c r="D2562" s="88"/>
      <c r="E2562" s="72"/>
      <c r="F2562" s="77"/>
      <c r="G2562" s="89"/>
      <c r="H2562" s="74"/>
      <c r="I2562" s="74"/>
      <c r="J2562" s="95"/>
      <c r="K2562" s="92"/>
      <c r="L2562" s="92"/>
      <c r="M2562" s="44"/>
      <c r="N2562" s="44"/>
      <c r="O2562" s="44"/>
      <c r="P2562" s="44"/>
      <c r="Q2562" s="44"/>
      <c r="R2562" s="84"/>
      <c r="S2562" s="47"/>
      <c r="T2562" s="47"/>
    </row>
    <row r="2563" s="27" customFormat="1" ht="18" customHeight="1" spans="1:20">
      <c r="A2563" s="34"/>
      <c r="B2563" s="48">
        <v>17</v>
      </c>
      <c r="C2563" s="48"/>
      <c r="D2563" s="121"/>
      <c r="E2563" s="72"/>
      <c r="F2563" s="77"/>
      <c r="G2563" s="89"/>
      <c r="H2563" s="74"/>
      <c r="I2563" s="74"/>
      <c r="J2563" s="95"/>
      <c r="K2563" s="92"/>
      <c r="L2563" s="92"/>
      <c r="M2563" s="44"/>
      <c r="N2563" s="44"/>
      <c r="O2563" s="44"/>
      <c r="P2563" s="44"/>
      <c r="Q2563" s="101"/>
      <c r="R2563" s="84"/>
      <c r="S2563" s="47"/>
      <c r="T2563" s="47"/>
    </row>
    <row r="2564" s="27" customFormat="1" ht="18" customHeight="1" spans="1:20">
      <c r="A2564" s="34"/>
      <c r="B2564" s="48">
        <v>18</v>
      </c>
      <c r="C2564" s="48"/>
      <c r="D2564" s="88"/>
      <c r="E2564" s="72"/>
      <c r="F2564" s="77"/>
      <c r="G2564" s="89"/>
      <c r="H2564" s="74"/>
      <c r="I2564" s="74"/>
      <c r="J2564" s="95"/>
      <c r="K2564" s="92"/>
      <c r="L2564" s="92"/>
      <c r="M2564" s="44"/>
      <c r="N2564" s="44"/>
      <c r="O2564" s="44"/>
      <c r="P2564" s="44"/>
      <c r="Q2564" s="44"/>
      <c r="R2564" s="84"/>
      <c r="S2564" s="47"/>
      <c r="T2564" s="47"/>
    </row>
    <row r="2565" s="27" customFormat="1" ht="18" customHeight="1" spans="1:20">
      <c r="A2565" s="34"/>
      <c r="B2565" s="48">
        <v>19</v>
      </c>
      <c r="C2565" s="48"/>
      <c r="D2565" s="27"/>
      <c r="E2565" s="72"/>
      <c r="F2565" s="77"/>
      <c r="G2565" s="89"/>
      <c r="H2565" s="74"/>
      <c r="I2565" s="74"/>
      <c r="J2565" s="95"/>
      <c r="K2565" s="92"/>
      <c r="L2565" s="92"/>
      <c r="M2565" s="44"/>
      <c r="N2565" s="44"/>
      <c r="O2565" s="44"/>
      <c r="P2565" s="44"/>
      <c r="Q2565" s="44"/>
      <c r="R2565" s="84"/>
      <c r="S2565" s="47"/>
      <c r="T2565" s="47"/>
    </row>
    <row r="2566" s="27" customFormat="1" ht="18" customHeight="1" spans="1:20">
      <c r="A2566" s="34"/>
      <c r="B2566" s="48">
        <v>20</v>
      </c>
      <c r="C2566" s="48"/>
      <c r="D2566" s="88"/>
      <c r="E2566" s="72"/>
      <c r="F2566" s="77"/>
      <c r="G2566" s="89"/>
      <c r="H2566" s="74"/>
      <c r="I2566" s="74"/>
      <c r="J2566" s="95"/>
      <c r="K2566" s="92"/>
      <c r="L2566" s="92"/>
      <c r="M2566" s="44"/>
      <c r="N2566" s="44"/>
      <c r="O2566" s="44"/>
      <c r="P2566" s="44"/>
      <c r="Q2566" s="44"/>
      <c r="R2566" s="84"/>
      <c r="S2566" s="47"/>
      <c r="T2566" s="47"/>
    </row>
    <row r="2567" s="27" customFormat="1" ht="18" customHeight="1" spans="1:20">
      <c r="A2567" s="34"/>
      <c r="B2567" s="48">
        <v>21</v>
      </c>
      <c r="C2567" s="48"/>
      <c r="D2567" s="88"/>
      <c r="E2567" s="72"/>
      <c r="F2567" s="77"/>
      <c r="G2567" s="89"/>
      <c r="H2567" s="74"/>
      <c r="I2567" s="74"/>
      <c r="J2567" s="95"/>
      <c r="K2567" s="92"/>
      <c r="L2567" s="92"/>
      <c r="M2567" s="44"/>
      <c r="N2567" s="44"/>
      <c r="O2567" s="44"/>
      <c r="P2567" s="44"/>
      <c r="Q2567" s="44"/>
      <c r="R2567" s="84"/>
      <c r="S2567" s="47"/>
      <c r="T2567" s="47"/>
    </row>
    <row r="2568" s="27" customFormat="1" ht="18" customHeight="1" spans="1:20">
      <c r="A2568" s="34"/>
      <c r="B2568" s="48">
        <v>22</v>
      </c>
      <c r="C2568" s="48"/>
      <c r="D2568" s="27"/>
      <c r="E2568" s="72"/>
      <c r="F2568" s="77"/>
      <c r="G2568" s="72"/>
      <c r="H2568" s="74"/>
      <c r="I2568" s="74"/>
      <c r="J2568" s="95"/>
      <c r="K2568" s="92"/>
      <c r="L2568" s="92"/>
      <c r="M2568" s="44"/>
      <c r="N2568" s="44"/>
      <c r="O2568" s="44"/>
      <c r="P2568" s="44"/>
      <c r="Q2568" s="44"/>
      <c r="R2568" s="62"/>
      <c r="S2568" s="47"/>
      <c r="T2568" s="47"/>
    </row>
    <row r="2569" s="27" customFormat="1" ht="18" customHeight="1" spans="1:20">
      <c r="A2569" s="34"/>
      <c r="B2569" s="48">
        <v>23</v>
      </c>
      <c r="C2569" s="48"/>
      <c r="D2569" s="88"/>
      <c r="E2569" s="72"/>
      <c r="F2569" s="77"/>
      <c r="G2569" s="89"/>
      <c r="H2569" s="74"/>
      <c r="I2569" s="74"/>
      <c r="J2569" s="95"/>
      <c r="K2569" s="92"/>
      <c r="L2569" s="92"/>
      <c r="M2569" s="44"/>
      <c r="N2569" s="44"/>
      <c r="O2569" s="44"/>
      <c r="P2569" s="44"/>
      <c r="Q2569" s="44"/>
      <c r="R2569" s="62"/>
      <c r="S2569" s="47"/>
      <c r="T2569" s="47"/>
    </row>
    <row r="2570" s="27" customFormat="1" ht="18" customHeight="1" spans="1:20">
      <c r="A2570" s="34"/>
      <c r="B2570" s="48">
        <v>24</v>
      </c>
      <c r="C2570" s="48"/>
      <c r="D2570" s="88" t="s">
        <v>478</v>
      </c>
      <c r="E2570" s="72" t="s">
        <v>43</v>
      </c>
      <c r="F2570" s="77"/>
      <c r="G2570" s="72">
        <v>1</v>
      </c>
      <c r="H2570" s="74">
        <v>1</v>
      </c>
      <c r="I2570" s="74">
        <f>+辅材及安装费!$E$3</f>
        <v>5</v>
      </c>
      <c r="J2570" s="95">
        <f>H2570*I2570</f>
        <v>5</v>
      </c>
      <c r="K2570" s="92"/>
      <c r="L2570" s="92"/>
      <c r="M2570" s="44"/>
      <c r="N2570" s="44"/>
      <c r="O2570" s="44"/>
      <c r="P2570" s="44"/>
      <c r="Q2570" s="44"/>
      <c r="R2570" s="62"/>
      <c r="S2570" s="47"/>
      <c r="T2570" s="47"/>
    </row>
    <row r="2571" s="27" customFormat="1" ht="18" customHeight="1" spans="1:20">
      <c r="A2571" s="34"/>
      <c r="B2571" s="48">
        <v>25</v>
      </c>
      <c r="C2571" s="48"/>
      <c r="D2571" s="93" t="s">
        <v>442</v>
      </c>
      <c r="E2571" s="72"/>
      <c r="F2571" s="77"/>
      <c r="G2571" s="72"/>
      <c r="H2571" s="74"/>
      <c r="I2571" s="74"/>
      <c r="J2571" s="95">
        <f>SUM(J2547:J2570)</f>
        <v>549.533851651899</v>
      </c>
      <c r="K2571" s="92"/>
      <c r="L2571" s="94"/>
      <c r="M2571" s="27"/>
      <c r="N2571" s="83"/>
      <c r="O2571" s="83"/>
      <c r="P2571" s="83"/>
      <c r="Q2571" s="83"/>
      <c r="R2571" s="87"/>
      <c r="S2571" s="47"/>
      <c r="T2571" s="47"/>
    </row>
    <row r="2572" s="27" customFormat="1" ht="18" customHeight="1" spans="1:20">
      <c r="A2572" s="34"/>
      <c r="B2572" s="48">
        <v>1</v>
      </c>
      <c r="C2572" s="48" t="s">
        <v>443</v>
      </c>
      <c r="D2572" s="48" t="s">
        <v>444</v>
      </c>
      <c r="E2572" s="72" t="s">
        <v>43</v>
      </c>
      <c r="F2572" s="50"/>
      <c r="G2572" s="48"/>
      <c r="H2572" s="51">
        <v>1</v>
      </c>
      <c r="I2572" s="74">
        <f>+辅材及安装费!$F$3</f>
        <v>5</v>
      </c>
      <c r="J2572" s="95">
        <f>H2572*I2572</f>
        <v>5</v>
      </c>
      <c r="K2572" s="118"/>
      <c r="L2572" s="96"/>
      <c r="M2572" s="97"/>
      <c r="N2572" s="98"/>
      <c r="O2572" s="98"/>
      <c r="P2572" s="98"/>
      <c r="Q2572" s="98"/>
      <c r="R2572" s="99"/>
      <c r="S2572" s="47"/>
      <c r="T2572" s="47"/>
    </row>
    <row r="2573" s="26" customFormat="1" ht="30" customHeight="1" spans="1:20">
      <c r="A2573" s="28"/>
      <c r="B2573" s="29" t="s">
        <v>386</v>
      </c>
      <c r="C2573" s="29"/>
      <c r="D2573" s="29"/>
      <c r="E2573" s="29"/>
      <c r="F2573" s="29"/>
      <c r="G2573" s="29"/>
      <c r="H2573" s="29"/>
      <c r="I2573" s="29"/>
      <c r="J2573" s="29"/>
      <c r="K2573" s="29"/>
      <c r="L2573" s="30"/>
      <c r="M2573" s="31"/>
      <c r="N2573" s="31"/>
      <c r="O2573" s="31"/>
      <c r="P2573" s="31"/>
      <c r="Q2573" s="31"/>
      <c r="R2573" s="32"/>
      <c r="S2573" s="33"/>
      <c r="T2573" s="33"/>
    </row>
    <row r="2574" s="27" customFormat="1" ht="33.75" customHeight="1" spans="1:20">
      <c r="A2574" s="34">
        <v>10</v>
      </c>
      <c r="B2574" s="35" t="s">
        <v>1</v>
      </c>
      <c r="C2574" s="35" t="s">
        <v>387</v>
      </c>
      <c r="D2574" s="36" t="str">
        <f>+A2582</f>
        <v>浅灰色铝板</v>
      </c>
      <c r="E2574" s="37"/>
      <c r="F2574" s="38" t="s">
        <v>119</v>
      </c>
      <c r="G2574" s="39"/>
      <c r="H2574" s="35" t="s">
        <v>388</v>
      </c>
      <c r="I2574" s="40" t="s">
        <v>389</v>
      </c>
      <c r="J2574" s="41" t="s">
        <v>37</v>
      </c>
      <c r="K2574" s="122">
        <f ca="1">VLOOKUP(A2574,'商业工程量清单 '!$A$59:$D$81,4,FALSE)</f>
        <v>118.668</v>
      </c>
      <c r="L2574" s="43"/>
      <c r="M2574" s="44"/>
      <c r="N2574" s="44"/>
      <c r="O2574" s="44"/>
      <c r="P2574" s="45"/>
      <c r="Q2574" s="44"/>
      <c r="R2574" s="46"/>
      <c r="S2574" s="47"/>
      <c r="T2574" s="47"/>
    </row>
    <row r="2575" s="27" customFormat="1" ht="25" customHeight="1" spans="1:20">
      <c r="A2575" s="34"/>
      <c r="B2575" s="48">
        <v>1</v>
      </c>
      <c r="C2575" s="49" t="s">
        <v>390</v>
      </c>
      <c r="D2575" s="48" t="s">
        <v>391</v>
      </c>
      <c r="E2575" s="48"/>
      <c r="F2575" s="50"/>
      <c r="G2575" s="48"/>
      <c r="H2575" s="51"/>
      <c r="I2575" s="52">
        <f>J2587</f>
        <v>165</v>
      </c>
      <c r="J2575" s="53" t="s">
        <v>392</v>
      </c>
      <c r="K2575" s="54"/>
      <c r="L2575" s="55" t="s">
        <v>1067</v>
      </c>
      <c r="M2575" s="56" t="s">
        <v>1068</v>
      </c>
      <c r="N2575" s="57"/>
      <c r="O2575" s="57">
        <v>14.384</v>
      </c>
      <c r="P2575" s="57">
        <v>7.825</v>
      </c>
      <c r="Q2575" s="57">
        <v>1</v>
      </c>
      <c r="R2575" s="58">
        <f>+Q2575*P2575*O2575</f>
        <v>112.5548</v>
      </c>
      <c r="S2575" s="47"/>
      <c r="T2575" s="47"/>
    </row>
    <row r="2576" s="27" customFormat="1" ht="18" customHeight="1" spans="1:20">
      <c r="A2576" s="34"/>
      <c r="B2576" s="48">
        <v>2</v>
      </c>
      <c r="C2576" s="59"/>
      <c r="D2576" s="48" t="s">
        <v>394</v>
      </c>
      <c r="E2576" s="48"/>
      <c r="F2576" s="50"/>
      <c r="G2576" s="48"/>
      <c r="H2576" s="51"/>
      <c r="I2576" s="52">
        <f>J2612</f>
        <v>354.036825075212</v>
      </c>
      <c r="J2576" s="53" t="s">
        <v>392</v>
      </c>
      <c r="K2576" s="60"/>
      <c r="L2576" s="61" t="s">
        <v>119</v>
      </c>
      <c r="M2576" s="44"/>
      <c r="N2576" s="44"/>
      <c r="O2576" s="44"/>
      <c r="P2576" s="44"/>
      <c r="Q2576" s="44"/>
      <c r="R2576" s="62"/>
      <c r="S2576" s="47"/>
      <c r="T2576" s="47"/>
    </row>
    <row r="2577" s="27" customFormat="1" ht="18" customHeight="1" spans="1:20">
      <c r="A2577" s="34"/>
      <c r="B2577" s="48">
        <v>3</v>
      </c>
      <c r="C2577" s="63"/>
      <c r="D2577" s="48" t="s">
        <v>395</v>
      </c>
      <c r="E2577" s="48"/>
      <c r="F2577" s="50"/>
      <c r="G2577" s="48"/>
      <c r="H2577" s="51"/>
      <c r="I2577" s="52">
        <f>J2613</f>
        <v>5</v>
      </c>
      <c r="J2577" s="53" t="s">
        <v>392</v>
      </c>
      <c r="K2577" s="60"/>
      <c r="L2577" s="60"/>
      <c r="M2577" s="65" t="s">
        <v>396</v>
      </c>
      <c r="N2577" s="65" t="s">
        <v>397</v>
      </c>
      <c r="O2577" s="65" t="s">
        <v>398</v>
      </c>
      <c r="P2577" s="65" t="s">
        <v>399</v>
      </c>
      <c r="Q2577" s="65" t="s">
        <v>400</v>
      </c>
      <c r="R2577" s="66" t="s">
        <v>401</v>
      </c>
      <c r="S2577" s="47"/>
      <c r="T2577" s="47"/>
    </row>
    <row r="2578" s="27" customFormat="1" ht="18" customHeight="1" spans="1:20">
      <c r="A2578" s="34"/>
      <c r="B2578" s="48">
        <v>4</v>
      </c>
      <c r="C2578" s="48" t="s">
        <v>402</v>
      </c>
      <c r="D2578" s="67" t="s">
        <v>403</v>
      </c>
      <c r="E2578" s="67"/>
      <c r="F2578" s="50"/>
      <c r="G2578" s="67"/>
      <c r="H2578" s="68"/>
      <c r="I2578" s="52">
        <f>SUM(I2575:I2577)</f>
        <v>524.036825075212</v>
      </c>
      <c r="J2578" s="53" t="s">
        <v>392</v>
      </c>
      <c r="K2578" s="60"/>
      <c r="L2578" s="69" t="s">
        <v>431</v>
      </c>
      <c r="M2578" s="34" t="s">
        <v>551</v>
      </c>
      <c r="N2578" s="34">
        <v>10.8</v>
      </c>
      <c r="O2578" s="34">
        <f>7.165</f>
        <v>7.165</v>
      </c>
      <c r="P2578" s="34">
        <v>11</v>
      </c>
      <c r="Q2578" s="44">
        <f t="shared" ref="Q2578:Q2585" si="402">+P2578*O2578*N2578</f>
        <v>851.202</v>
      </c>
      <c r="R2578" s="71">
        <f>+Q2578/R2575</f>
        <v>7.56255619484909</v>
      </c>
      <c r="S2578" s="47"/>
      <c r="T2578" s="47"/>
    </row>
    <row r="2579" s="27" customFormat="1" ht="28" customHeight="1" spans="1:20">
      <c r="A2579" s="34"/>
      <c r="B2579" s="48">
        <v>5</v>
      </c>
      <c r="C2579" s="72" t="s">
        <v>406</v>
      </c>
      <c r="D2579" s="48" t="s">
        <v>407</v>
      </c>
      <c r="E2579" s="48"/>
      <c r="F2579" s="50"/>
      <c r="G2579" s="48"/>
      <c r="H2579" s="73">
        <f>+'材料表 '!$E$178</f>
        <v>0</v>
      </c>
      <c r="I2579" s="52">
        <f>H2579*I2578</f>
        <v>0</v>
      </c>
      <c r="J2579" s="53" t="s">
        <v>392</v>
      </c>
      <c r="K2579" s="60"/>
      <c r="L2579" s="69" t="s">
        <v>461</v>
      </c>
      <c r="M2579" s="34" t="s">
        <v>462</v>
      </c>
      <c r="N2579" s="34">
        <v>3.77</v>
      </c>
      <c r="O2579" s="34">
        <f>+O2575</f>
        <v>14.384</v>
      </c>
      <c r="P2579" s="34">
        <v>4</v>
      </c>
      <c r="Q2579" s="44">
        <f t="shared" si="402"/>
        <v>216.91072</v>
      </c>
      <c r="R2579" s="71">
        <f>+Q2579/R2575</f>
        <v>1.92715654952077</v>
      </c>
      <c r="S2579" s="47"/>
      <c r="T2579" s="47"/>
    </row>
    <row r="2580" s="27" customFormat="1" ht="18" customHeight="1" spans="1:20">
      <c r="A2580" s="34"/>
      <c r="B2580" s="48">
        <v>6</v>
      </c>
      <c r="C2580" s="48" t="s">
        <v>409</v>
      </c>
      <c r="D2580" s="48" t="s">
        <v>410</v>
      </c>
      <c r="E2580" s="48"/>
      <c r="F2580" s="50"/>
      <c r="G2580" s="48"/>
      <c r="H2580" s="73">
        <f>+'材料表 '!$E$179</f>
        <v>0</v>
      </c>
      <c r="I2580" s="52">
        <f>H2580*I2578</f>
        <v>0</v>
      </c>
      <c r="J2580" s="53" t="s">
        <v>392</v>
      </c>
      <c r="K2580" s="60"/>
      <c r="L2580" s="69" t="s">
        <v>431</v>
      </c>
      <c r="M2580" s="34" t="s">
        <v>1065</v>
      </c>
      <c r="N2580" s="34">
        <v>8.65</v>
      </c>
      <c r="O2580" s="34">
        <f>(1.075*7)+(1.58*5)</f>
        <v>15.425</v>
      </c>
      <c r="P2580" s="34">
        <v>1</v>
      </c>
      <c r="Q2580" s="44">
        <f t="shared" si="402"/>
        <v>133.42625</v>
      </c>
      <c r="R2580" s="71">
        <f>+Q2580/R2575</f>
        <v>1.18543367319741</v>
      </c>
      <c r="S2580" s="47"/>
      <c r="T2580" s="47"/>
    </row>
    <row r="2581" s="27" customFormat="1" ht="18" customHeight="1" spans="1:20">
      <c r="A2581" s="34"/>
      <c r="B2581" s="48">
        <v>7</v>
      </c>
      <c r="C2581" s="48" t="s">
        <v>412</v>
      </c>
      <c r="D2581" s="72" t="s">
        <v>413</v>
      </c>
      <c r="E2581" s="72"/>
      <c r="F2581" s="77"/>
      <c r="G2581" s="72"/>
      <c r="H2581" s="73">
        <f>+'材料表 '!$E$180</f>
        <v>0.09</v>
      </c>
      <c r="I2581" s="52">
        <f>(I2578+I2579+I2580)*H2581</f>
        <v>47.1633142567691</v>
      </c>
      <c r="J2581" s="53" t="s">
        <v>392</v>
      </c>
      <c r="K2581" s="60"/>
      <c r="L2581" s="69" t="s">
        <v>463</v>
      </c>
      <c r="M2581" s="34" t="s">
        <v>490</v>
      </c>
      <c r="N2581" s="34">
        <f>0.3*0.2*7.85*10</f>
        <v>4.71</v>
      </c>
      <c r="O2581" s="34">
        <v>1</v>
      </c>
      <c r="P2581" s="34">
        <f>P2578</f>
        <v>11</v>
      </c>
      <c r="Q2581" s="44">
        <f t="shared" si="402"/>
        <v>51.81</v>
      </c>
      <c r="R2581" s="71">
        <f>+Q2581/R2575</f>
        <v>0.460309111650503</v>
      </c>
      <c r="S2581" s="47"/>
      <c r="T2581" s="47"/>
    </row>
    <row r="2582" s="27" customFormat="1" ht="18" customHeight="1" spans="1:20">
      <c r="A2582" s="34" t="s">
        <v>320</v>
      </c>
      <c r="B2582" s="48">
        <v>8</v>
      </c>
      <c r="C2582" s="48" t="s">
        <v>363</v>
      </c>
      <c r="D2582" s="106" t="s">
        <v>415</v>
      </c>
      <c r="E2582" s="107"/>
      <c r="F2582" s="108"/>
      <c r="G2582" s="107"/>
      <c r="H2582" s="51"/>
      <c r="I2582" s="74">
        <f>SUM(I2578:I2581)</f>
        <v>571.200139331981</v>
      </c>
      <c r="J2582" s="53" t="s">
        <v>416</v>
      </c>
      <c r="K2582" s="60"/>
      <c r="L2582" s="69" t="s">
        <v>465</v>
      </c>
      <c r="M2582" s="34" t="s">
        <v>1066</v>
      </c>
      <c r="N2582" s="100">
        <f>0.36*5*7.85</f>
        <v>14.13</v>
      </c>
      <c r="O2582" s="34">
        <f>110/1000</f>
        <v>0.11</v>
      </c>
      <c r="P2582" s="44">
        <f>+P2581*O2581*2</f>
        <v>22</v>
      </c>
      <c r="Q2582" s="44">
        <f t="shared" si="402"/>
        <v>34.1946</v>
      </c>
      <c r="R2582" s="84">
        <f>+Q2582/R2575</f>
        <v>0.303804013689332</v>
      </c>
      <c r="S2582" s="79"/>
      <c r="T2582" s="47"/>
    </row>
    <row r="2583" s="27" customFormat="1" ht="18" customHeight="1" spans="1:20">
      <c r="A2583" s="34"/>
      <c r="B2583" s="109" t="s">
        <v>418</v>
      </c>
      <c r="C2583" s="110"/>
      <c r="D2583" s="110"/>
      <c r="E2583" s="110"/>
      <c r="F2583" s="110"/>
      <c r="G2583" s="110"/>
      <c r="H2583" s="110"/>
      <c r="I2583" s="110"/>
      <c r="J2583" s="110"/>
      <c r="K2583" s="80"/>
      <c r="L2583" s="69" t="s">
        <v>433</v>
      </c>
      <c r="M2583" s="44"/>
      <c r="N2583" s="82">
        <f>0.056*3*2.71+0.0675*3*2.71</f>
        <v>1.004055</v>
      </c>
      <c r="O2583" s="44">
        <f>O2575</f>
        <v>14.384</v>
      </c>
      <c r="P2583" s="44">
        <v>5</v>
      </c>
      <c r="Q2583" s="44">
        <f t="shared" si="402"/>
        <v>72.2116356</v>
      </c>
      <c r="R2583" s="84">
        <f>+Q2583/R2575</f>
        <v>0.641568690095847</v>
      </c>
      <c r="S2583" s="47">
        <f>0.16*P2583*O2583/R2575</f>
        <v>0.10223642172524</v>
      </c>
      <c r="T2583" s="47"/>
    </row>
    <row r="2584" s="27" customFormat="1" ht="18" customHeight="1" spans="1:20">
      <c r="A2584" s="34"/>
      <c r="B2584" s="48">
        <v>1</v>
      </c>
      <c r="C2584" s="48" t="s">
        <v>391</v>
      </c>
      <c r="D2584" s="48" t="s">
        <v>396</v>
      </c>
      <c r="E2584" s="48" t="s">
        <v>37</v>
      </c>
      <c r="F2584" s="50"/>
      <c r="G2584" s="48"/>
      <c r="H2584" s="51" t="s">
        <v>399</v>
      </c>
      <c r="I2584" s="51" t="s">
        <v>420</v>
      </c>
      <c r="J2584" s="95" t="s">
        <v>421</v>
      </c>
      <c r="K2584" s="92"/>
      <c r="L2584" s="69" t="s">
        <v>433</v>
      </c>
      <c r="M2584" s="44"/>
      <c r="N2584" s="82">
        <f>0.056*3*2.71+0.0675*3*2.71</f>
        <v>1.004055</v>
      </c>
      <c r="O2584" s="44">
        <f>P2575</f>
        <v>7.825</v>
      </c>
      <c r="P2584" s="44">
        <v>11</v>
      </c>
      <c r="Q2584" s="44">
        <f t="shared" si="402"/>
        <v>86.424034125</v>
      </c>
      <c r="R2584" s="84">
        <f>+Q2584/R2575</f>
        <v>0.7678396134594</v>
      </c>
      <c r="S2584" s="47"/>
      <c r="T2584" s="47"/>
    </row>
    <row r="2585" s="27" customFormat="1" ht="18" customHeight="1" spans="1:20">
      <c r="A2585" s="34"/>
      <c r="B2585" s="48">
        <v>2</v>
      </c>
      <c r="C2585" s="48"/>
      <c r="D2585" s="111" t="s">
        <v>491</v>
      </c>
      <c r="E2585" s="49" t="s">
        <v>423</v>
      </c>
      <c r="F2585" s="112"/>
      <c r="G2585" s="111"/>
      <c r="H2585" s="113">
        <v>1</v>
      </c>
      <c r="I2585" s="113">
        <f>+辅材及安装费!$G$3</f>
        <v>165</v>
      </c>
      <c r="J2585" s="114">
        <f t="shared" ref="J2585:J2593" si="403">H2585*I2585</f>
        <v>165</v>
      </c>
      <c r="K2585" s="92"/>
      <c r="L2585" s="69" t="s">
        <v>461</v>
      </c>
      <c r="M2585" s="34" t="s">
        <v>462</v>
      </c>
      <c r="N2585" s="34">
        <v>3.77</v>
      </c>
      <c r="O2585" s="34">
        <v>0.65</v>
      </c>
      <c r="P2585" s="34">
        <v>0</v>
      </c>
      <c r="Q2585" s="44">
        <f t="shared" si="402"/>
        <v>0</v>
      </c>
      <c r="R2585" s="84">
        <f>+Q2585/R2575</f>
        <v>0</v>
      </c>
      <c r="S2585" s="47"/>
      <c r="T2585" s="47"/>
    </row>
    <row r="2586" s="27" customFormat="1" ht="18" customHeight="1" spans="1:20">
      <c r="A2586" s="34"/>
      <c r="B2586" s="48">
        <v>3</v>
      </c>
      <c r="C2586" s="48"/>
      <c r="D2586" s="115"/>
      <c r="E2586" s="63"/>
      <c r="F2586" s="116"/>
      <c r="G2586" s="115"/>
      <c r="H2586" s="117"/>
      <c r="I2586" s="117"/>
      <c r="J2586" s="118"/>
      <c r="K2586" s="92"/>
      <c r="L2586" s="90" t="s">
        <v>472</v>
      </c>
      <c r="M2586" s="44"/>
      <c r="N2586" s="82"/>
      <c r="O2586" s="44"/>
      <c r="P2586" s="44">
        <f>+P2582</f>
        <v>22</v>
      </c>
      <c r="Q2586" s="44">
        <f>+P2586</f>
        <v>22</v>
      </c>
      <c r="R2586" s="84">
        <f>+Q2586/R2575</f>
        <v>0.195460344649895</v>
      </c>
      <c r="S2586" s="47"/>
      <c r="T2586" s="47"/>
    </row>
    <row r="2587" s="27" customFormat="1" ht="18" customHeight="1" spans="1:20">
      <c r="A2587" s="34"/>
      <c r="B2587" s="48">
        <v>4</v>
      </c>
      <c r="C2587" s="48"/>
      <c r="D2587" s="85" t="s">
        <v>426</v>
      </c>
      <c r="E2587" s="48" t="s">
        <v>392</v>
      </c>
      <c r="F2587" s="50"/>
      <c r="G2587" s="48"/>
      <c r="H2587" s="86"/>
      <c r="I2587" s="86"/>
      <c r="J2587" s="95">
        <f>SUM(J2585:J2585)</f>
        <v>165</v>
      </c>
      <c r="K2587" s="92"/>
      <c r="L2587" s="90" t="s">
        <v>473</v>
      </c>
      <c r="M2587" s="44"/>
      <c r="N2587" s="82"/>
      <c r="O2587" s="44"/>
      <c r="P2587" s="44"/>
      <c r="Q2587" s="44">
        <f>+(Q2584)*2</f>
        <v>172.84806825</v>
      </c>
      <c r="R2587" s="84">
        <f>+Q2587/R2575</f>
        <v>1.5356792269188</v>
      </c>
      <c r="S2587" s="47"/>
      <c r="T2587" s="47"/>
    </row>
    <row r="2588" s="27" customFormat="1" ht="24" customHeight="1" spans="1:20">
      <c r="A2588" s="34"/>
      <c r="B2588" s="48">
        <v>1</v>
      </c>
      <c r="C2588" s="48" t="s">
        <v>394</v>
      </c>
      <c r="D2588" s="88" t="s">
        <v>431</v>
      </c>
      <c r="E2588" s="72" t="str">
        <f>+VLOOKUP(D2588,'材料表 '!C:F,2,0)</f>
        <v>kg</v>
      </c>
      <c r="F2588" s="77">
        <f>+SUMIF($L$2575:$L$2613,D2588,$R$2575:$R$2613)</f>
        <v>8.7479898680465</v>
      </c>
      <c r="G2588" s="89">
        <f>+VLOOKUP(D2588,'材料表 '!C:F,4,0)</f>
        <v>0.03</v>
      </c>
      <c r="H2588" s="74">
        <f t="shared" ref="H2588:H2593" si="404">F2588*(G2588+1)</f>
        <v>9.01042956408789</v>
      </c>
      <c r="I2588" s="74">
        <f>+VLOOKUP(D2588,'材料表 '!C:F,3,0)</f>
        <v>3.80530973451327</v>
      </c>
      <c r="J2588" s="95">
        <f t="shared" si="403"/>
        <v>34.2874753323698</v>
      </c>
      <c r="K2588" s="92">
        <f ca="1">H2588*K2574</f>
        <v>1069.24965551118</v>
      </c>
      <c r="L2588" s="90"/>
      <c r="M2588" s="44"/>
      <c r="N2588" s="82"/>
      <c r="O2588" s="44"/>
      <c r="P2588" s="44"/>
      <c r="Q2588" s="44"/>
      <c r="R2588" s="84"/>
      <c r="S2588" s="47"/>
      <c r="T2588" s="47"/>
    </row>
    <row r="2589" s="27" customFormat="1" ht="18" customHeight="1" spans="1:20">
      <c r="A2589" s="34"/>
      <c r="B2589" s="48">
        <v>2</v>
      </c>
      <c r="C2589" s="48"/>
      <c r="D2589" s="88" t="s">
        <v>461</v>
      </c>
      <c r="E2589" s="72" t="str">
        <f>+VLOOKUP(D2589,'材料表 '!C:F,2,0)</f>
        <v>kg</v>
      </c>
      <c r="F2589" s="77">
        <f t="shared" ref="F2589:F2598" si="405">+SUMIF($L$2575:$L$2613,D2589,$R$2575:$R$2613)</f>
        <v>1.92715654952077</v>
      </c>
      <c r="G2589" s="89">
        <f>+VLOOKUP(D2589,'材料表 '!C:F,4,0)</f>
        <v>0.03</v>
      </c>
      <c r="H2589" s="74">
        <f t="shared" si="404"/>
        <v>1.98497124600639</v>
      </c>
      <c r="I2589" s="74">
        <f>+VLOOKUP(D2589,'材料表 '!C:F,3,0)</f>
        <v>3.53982300884956</v>
      </c>
      <c r="J2589" s="95">
        <f t="shared" si="403"/>
        <v>7.02644688851821</v>
      </c>
      <c r="K2589" s="92">
        <f ca="1">H2589*K2574</f>
        <v>235.552567821086</v>
      </c>
      <c r="L2589" s="90"/>
      <c r="M2589" s="44"/>
      <c r="N2589" s="82"/>
      <c r="O2589" s="44"/>
      <c r="P2589" s="44"/>
      <c r="Q2589" s="44"/>
      <c r="R2589" s="84"/>
      <c r="S2589" s="47"/>
      <c r="T2589" s="47"/>
    </row>
    <row r="2590" s="27" customFormat="1" ht="18" customHeight="1" spans="1:20">
      <c r="A2590" s="34"/>
      <c r="B2590" s="48">
        <v>3</v>
      </c>
      <c r="C2590" s="48"/>
      <c r="D2590" s="88" t="s">
        <v>465</v>
      </c>
      <c r="E2590" s="72" t="str">
        <f>+VLOOKUP(D2590,'材料表 '!C:F,2,0)</f>
        <v>kg</v>
      </c>
      <c r="F2590" s="77">
        <f t="shared" si="405"/>
        <v>0.303804013689332</v>
      </c>
      <c r="G2590" s="89">
        <f>+VLOOKUP(D2590,'材料表 '!C:F,4,0)</f>
        <v>0.03</v>
      </c>
      <c r="H2590" s="74">
        <f t="shared" si="404"/>
        <v>0.312918134100012</v>
      </c>
      <c r="I2590" s="74">
        <f>+VLOOKUP(D2590,'材料表 '!C:F,3,0)</f>
        <v>6.01769911504425</v>
      </c>
      <c r="J2590" s="95">
        <f t="shared" si="403"/>
        <v>1.88304717865494</v>
      </c>
      <c r="K2590" s="92">
        <f ca="1">H2590*K2574</f>
        <v>37.1333691373802</v>
      </c>
      <c r="L2590" s="90"/>
      <c r="M2590" s="44"/>
      <c r="N2590" s="82"/>
      <c r="O2590" s="44"/>
      <c r="P2590" s="44"/>
      <c r="Q2590" s="44"/>
      <c r="R2590" s="84"/>
      <c r="S2590" s="47"/>
      <c r="T2590" s="47"/>
    </row>
    <row r="2591" s="27" customFormat="1" ht="18" customHeight="1" spans="1:20">
      <c r="A2591" s="34"/>
      <c r="B2591" s="48">
        <v>4</v>
      </c>
      <c r="C2591" s="48"/>
      <c r="D2591" s="88" t="s">
        <v>463</v>
      </c>
      <c r="E2591" s="72" t="str">
        <f>+VLOOKUP(D2591,'材料表 '!C:F,2,0)</f>
        <v>kg</v>
      </c>
      <c r="F2591" s="77">
        <f t="shared" si="405"/>
        <v>0.460309111650503</v>
      </c>
      <c r="G2591" s="89">
        <f>+VLOOKUP(D2591,'材料表 '!C:F,4,0)</f>
        <v>0.03</v>
      </c>
      <c r="H2591" s="74">
        <f t="shared" si="404"/>
        <v>0.474118385000018</v>
      </c>
      <c r="I2591" s="74">
        <f>+VLOOKUP(D2591,'材料表 '!C:F,3,0)</f>
        <v>6.01769911504425</v>
      </c>
      <c r="J2591" s="95">
        <f t="shared" si="403"/>
        <v>2.85310178584082</v>
      </c>
      <c r="K2591" s="92">
        <f ca="1">H2591*K2574</f>
        <v>56.2626805111821</v>
      </c>
      <c r="L2591" s="90" t="s">
        <v>474</v>
      </c>
      <c r="M2591" s="44"/>
      <c r="N2591" s="82"/>
      <c r="O2591" s="44"/>
      <c r="P2591" s="44"/>
      <c r="Q2591" s="44">
        <f>+O2581*P2581*4</f>
        <v>44</v>
      </c>
      <c r="R2591" s="84">
        <f>+Q2591/R2575</f>
        <v>0.39092068929979</v>
      </c>
      <c r="S2591" s="47"/>
      <c r="T2591" s="47"/>
    </row>
    <row r="2592" s="27" customFormat="1" ht="18" customHeight="1" spans="1:20">
      <c r="A2592" s="34"/>
      <c r="B2592" s="48">
        <v>5</v>
      </c>
      <c r="C2592" s="48"/>
      <c r="D2592" s="88" t="s">
        <v>433</v>
      </c>
      <c r="E2592" s="72" t="str">
        <f>+VLOOKUP(D2592,'材料表 '!C:F,2,0)</f>
        <v>kg</v>
      </c>
      <c r="F2592" s="77">
        <f t="shared" si="405"/>
        <v>1.40940830355525</v>
      </c>
      <c r="G2592" s="89">
        <f>+VLOOKUP(D2592,'材料表 '!C:F,4,0)</f>
        <v>0.03</v>
      </c>
      <c r="H2592" s="74">
        <f t="shared" si="404"/>
        <v>1.45169055266191</v>
      </c>
      <c r="I2592" s="74">
        <f>+VLOOKUP(D2592,'材料表 '!C:F,3,0)</f>
        <v>26.1150442477876</v>
      </c>
      <c r="J2592" s="95">
        <f t="shared" si="403"/>
        <v>37.910963016861</v>
      </c>
      <c r="K2592" s="92">
        <f ca="1">H2592*K2574</f>
        <v>172.269214503284</v>
      </c>
      <c r="L2592" s="92" t="s">
        <v>476</v>
      </c>
      <c r="M2592" s="44"/>
      <c r="N2592" s="82"/>
      <c r="O2592" s="44"/>
      <c r="P2592" s="44"/>
      <c r="Q2592" s="44">
        <f>15*8*(O2575*11+P2575*5)/500</f>
        <v>47.36376</v>
      </c>
      <c r="R2592" s="84">
        <f>+Q2592/R2575</f>
        <v>0.420806220614314</v>
      </c>
      <c r="S2592" s="47"/>
      <c r="T2592" s="47"/>
    </row>
    <row r="2593" s="27" customFormat="1" ht="18" customHeight="1" spans="1:21">
      <c r="A2593" s="34"/>
      <c r="B2593" s="48">
        <v>6</v>
      </c>
      <c r="C2593" s="48"/>
      <c r="D2593" s="88" t="s">
        <v>427</v>
      </c>
      <c r="E2593" s="72" t="str">
        <f>+VLOOKUP(D2593,'材料表 '!C:F,2,0)</f>
        <v>kg</v>
      </c>
      <c r="F2593" s="77">
        <f t="shared" si="405"/>
        <v>0</v>
      </c>
      <c r="G2593" s="89">
        <f>+VLOOKUP(D2593,'材料表 '!C:F,4,0)</f>
        <v>0.03</v>
      </c>
      <c r="H2593" s="74">
        <f t="shared" si="404"/>
        <v>0</v>
      </c>
      <c r="I2593" s="74">
        <f>+VLOOKUP(D2593,'材料表 '!C:F,3,0)</f>
        <v>25.8495575221239</v>
      </c>
      <c r="J2593" s="95">
        <f t="shared" si="403"/>
        <v>0</v>
      </c>
      <c r="K2593" s="92">
        <f ca="1">H2593*K2574</f>
        <v>0</v>
      </c>
      <c r="L2593" s="69" t="s">
        <v>427</v>
      </c>
      <c r="M2593" s="70" t="s">
        <v>1007</v>
      </c>
      <c r="N2593" s="34">
        <v>3.111</v>
      </c>
      <c r="O2593" s="34">
        <f>P2575</f>
        <v>7.825</v>
      </c>
      <c r="P2593" s="34">
        <v>0</v>
      </c>
      <c r="Q2593" s="44">
        <f t="shared" ref="Q2593:Q2601" si="406">+P2593*O2593*N2593</f>
        <v>0</v>
      </c>
      <c r="R2593" s="71">
        <f>+Q2593/R2575</f>
        <v>0</v>
      </c>
      <c r="S2593" s="47"/>
      <c r="T2593" s="47"/>
    </row>
    <row r="2594" s="27" customFormat="1" ht="18" customHeight="1" spans="1:21">
      <c r="A2594" s="34"/>
      <c r="B2594" s="48">
        <v>7</v>
      </c>
      <c r="C2594" s="48"/>
      <c r="D2594" s="88"/>
      <c r="E2594" s="72"/>
      <c r="F2594" s="77">
        <f t="shared" si="405"/>
        <v>0</v>
      </c>
      <c r="G2594" s="89"/>
      <c r="H2594" s="74"/>
      <c r="I2594" s="74"/>
      <c r="J2594" s="95"/>
      <c r="K2594" s="92">
        <f ca="1">H2594*K2574</f>
        <v>0</v>
      </c>
      <c r="L2594" s="69" t="s">
        <v>429</v>
      </c>
      <c r="M2594" s="70" t="s">
        <v>1037</v>
      </c>
      <c r="N2594" s="34">
        <v>3.063</v>
      </c>
      <c r="O2594" s="100">
        <f>O2593/0.3*0.1</f>
        <v>2.60833333333333</v>
      </c>
      <c r="P2594" s="34">
        <v>0</v>
      </c>
      <c r="Q2594" s="44">
        <f t="shared" si="406"/>
        <v>0</v>
      </c>
      <c r="R2594" s="71">
        <f>+Q2594/R2575</f>
        <v>0</v>
      </c>
      <c r="S2594" s="47"/>
      <c r="T2594" s="47"/>
    </row>
    <row r="2595" s="27" customFormat="1" ht="18" customHeight="1" spans="1:21">
      <c r="A2595" s="34"/>
      <c r="B2595" s="48">
        <v>8</v>
      </c>
      <c r="C2595" s="48"/>
      <c r="D2595" s="88"/>
      <c r="E2595" s="72"/>
      <c r="F2595" s="77">
        <f t="shared" si="405"/>
        <v>0</v>
      </c>
      <c r="G2595" s="89"/>
      <c r="H2595" s="74"/>
      <c r="I2595" s="74"/>
      <c r="J2595" s="95"/>
      <c r="K2595" s="92">
        <f ca="1">H2595*K2574</f>
        <v>0</v>
      </c>
      <c r="L2595" s="69" t="s">
        <v>447</v>
      </c>
      <c r="M2595" s="70" t="s">
        <v>1038</v>
      </c>
      <c r="N2595" s="34">
        <f>1.041+0.104</f>
        <v>1.145</v>
      </c>
      <c r="O2595" s="34">
        <f>O2593</f>
        <v>7.825</v>
      </c>
      <c r="P2595" s="34">
        <v>0</v>
      </c>
      <c r="Q2595" s="44">
        <f t="shared" si="406"/>
        <v>0</v>
      </c>
      <c r="R2595" s="71">
        <f>+Q2595/R2575</f>
        <v>0</v>
      </c>
      <c r="S2595" s="47">
        <v>0.172</v>
      </c>
      <c r="T2595" s="47">
        <f>O2595*P2595*S2595</f>
        <v>0</v>
      </c>
      <c r="U2595" s="76">
        <f>T2595/R2575</f>
        <v>0</v>
      </c>
    </row>
    <row r="2596" s="27" customFormat="1" ht="18" customHeight="1" spans="1:21">
      <c r="A2596" s="34"/>
      <c r="B2596" s="48">
        <v>9</v>
      </c>
      <c r="C2596" s="48"/>
      <c r="D2596" s="88" t="s">
        <v>476</v>
      </c>
      <c r="E2596" s="72" t="str">
        <f>+VLOOKUP(D2596,'材料表 '!C:F,2,0)</f>
        <v>支</v>
      </c>
      <c r="F2596" s="77">
        <f t="shared" si="405"/>
        <v>0.420806220614314</v>
      </c>
      <c r="G2596" s="89">
        <f>+VLOOKUP(D2596,'材料表 '!C:F,4,0)</f>
        <v>0.15</v>
      </c>
      <c r="H2596" s="74">
        <f t="shared" ref="H2596:H2599" si="407">F2596*(G2596+1)</f>
        <v>0.483927153706461</v>
      </c>
      <c r="I2596" s="74">
        <f>+VLOOKUP(D2596,'材料表 '!C:F,3,0)</f>
        <v>11.5044247787611</v>
      </c>
      <c r="J2596" s="95">
        <f t="shared" ref="J2596:J2599" si="408">H2596*I2596</f>
        <v>5.56730353821594</v>
      </c>
      <c r="K2596" s="92">
        <f ca="1">H2596*K2574</f>
        <v>57.4266674760383</v>
      </c>
      <c r="L2596" s="69" t="s">
        <v>429</v>
      </c>
      <c r="M2596" s="70" t="s">
        <v>1010</v>
      </c>
      <c r="N2596" s="102">
        <f>2.9</f>
        <v>2.9</v>
      </c>
      <c r="O2596" s="34">
        <v>0.2</v>
      </c>
      <c r="P2596" s="34">
        <v>0</v>
      </c>
      <c r="Q2596" s="44">
        <f t="shared" si="406"/>
        <v>0</v>
      </c>
      <c r="R2596" s="71">
        <f>+Q2596/R2575</f>
        <v>0</v>
      </c>
      <c r="S2596" s="47"/>
      <c r="T2596" s="47"/>
    </row>
    <row r="2597" s="27" customFormat="1" ht="18" customHeight="1" spans="1:21">
      <c r="A2597" s="34"/>
      <c r="B2597" s="48">
        <v>10</v>
      </c>
      <c r="C2597" s="48"/>
      <c r="D2597" s="88" t="s">
        <v>474</v>
      </c>
      <c r="E2597" s="72" t="str">
        <f>+VLOOKUP(D2597,'材料表 '!C:F,2,0)</f>
        <v>套</v>
      </c>
      <c r="F2597" s="77">
        <f t="shared" si="405"/>
        <v>0.39092068929979</v>
      </c>
      <c r="G2597" s="89">
        <f>+VLOOKUP(D2597,'材料表 '!C:F,4,0)</f>
        <v>0</v>
      </c>
      <c r="H2597" s="74">
        <f t="shared" si="407"/>
        <v>0.39092068929979</v>
      </c>
      <c r="I2597" s="74">
        <f>+VLOOKUP(D2597,'材料表 '!C:F,3,0)</f>
        <v>2.21238938053097</v>
      </c>
      <c r="J2597" s="95">
        <f t="shared" si="408"/>
        <v>0.864868781636702</v>
      </c>
      <c r="K2597" s="92">
        <f ca="1">H2597*K2574</f>
        <v>46.3897763578275</v>
      </c>
      <c r="L2597" s="69" t="s">
        <v>429</v>
      </c>
      <c r="M2597" s="70" t="s">
        <v>1040</v>
      </c>
      <c r="N2597" s="34">
        <v>0.733</v>
      </c>
      <c r="O2597" s="100">
        <f>O2594*2</f>
        <v>5.21666666666667</v>
      </c>
      <c r="P2597" s="34">
        <v>0</v>
      </c>
      <c r="Q2597" s="44">
        <f t="shared" si="406"/>
        <v>0</v>
      </c>
      <c r="R2597" s="71">
        <f>+Q2597/R2575</f>
        <v>0</v>
      </c>
      <c r="S2597" s="79"/>
      <c r="T2597" s="47"/>
    </row>
    <row r="2598" s="27" customFormat="1" ht="18" customHeight="1" spans="1:21">
      <c r="A2598" s="34"/>
      <c r="B2598" s="48">
        <v>11</v>
      </c>
      <c r="C2598" s="48"/>
      <c r="D2598" s="88" t="s">
        <v>472</v>
      </c>
      <c r="E2598" s="72" t="str">
        <f>+VLOOKUP(D2598,'材料表 '!C:F,2,0)</f>
        <v>套</v>
      </c>
      <c r="F2598" s="77">
        <f t="shared" si="405"/>
        <v>0.195460344649895</v>
      </c>
      <c r="G2598" s="89">
        <f>+VLOOKUP(D2598,'材料表 '!C:F,4,0)</f>
        <v>0</v>
      </c>
      <c r="H2598" s="74">
        <f t="shared" si="407"/>
        <v>0.195460344649895</v>
      </c>
      <c r="I2598" s="74">
        <f>+VLOOKUP(D2598,'材料表 '!C:F,3,0)</f>
        <v>2.47787610619469</v>
      </c>
      <c r="J2598" s="95">
        <f t="shared" si="408"/>
        <v>0.484326517716554</v>
      </c>
      <c r="K2598" s="92">
        <f ca="1">H2598*K2574</f>
        <v>23.1948881789137</v>
      </c>
      <c r="L2598" s="69" t="s">
        <v>404</v>
      </c>
      <c r="M2598" s="70" t="s">
        <v>1041</v>
      </c>
      <c r="N2598" s="34">
        <v>3.727</v>
      </c>
      <c r="O2598" s="34">
        <v>0</v>
      </c>
      <c r="P2598" s="34">
        <v>1</v>
      </c>
      <c r="Q2598" s="44">
        <f t="shared" si="406"/>
        <v>0</v>
      </c>
      <c r="R2598" s="71">
        <f>+Q2598/R2575</f>
        <v>0</v>
      </c>
      <c r="S2598" s="47"/>
      <c r="T2598" s="47"/>
      <c r="U2598" s="76"/>
    </row>
    <row r="2599" s="27" customFormat="1" ht="18" customHeight="1" spans="1:21">
      <c r="A2599" s="34"/>
      <c r="B2599" s="48">
        <v>12</v>
      </c>
      <c r="C2599" s="48"/>
      <c r="D2599" s="88" t="s">
        <v>506</v>
      </c>
      <c r="E2599" s="72" t="str">
        <f>+VLOOKUP(D2599,'材料表 '!C:F,2,0)</f>
        <v>m2</v>
      </c>
      <c r="F2599" s="77">
        <v>1</v>
      </c>
      <c r="G2599" s="89">
        <f>+VLOOKUP(D2599,'材料表 '!C:F,4,0)</f>
        <v>0.02</v>
      </c>
      <c r="H2599" s="74">
        <f t="shared" si="407"/>
        <v>1.02</v>
      </c>
      <c r="I2599" s="74">
        <f>+VLOOKUP(D2599,'材料表 '!C:F,3,0)</f>
        <v>253.097345132743</v>
      </c>
      <c r="J2599" s="95">
        <f t="shared" si="408"/>
        <v>258.159292035398</v>
      </c>
      <c r="K2599" s="92">
        <f ca="1">H2599*K2574</f>
        <v>121.04136</v>
      </c>
      <c r="L2599" s="69" t="s">
        <v>429</v>
      </c>
      <c r="M2599" s="81" t="s">
        <v>1027</v>
      </c>
      <c r="N2599" s="82">
        <v>0.735</v>
      </c>
      <c r="O2599" s="34">
        <v>0</v>
      </c>
      <c r="P2599" s="34">
        <v>1</v>
      </c>
      <c r="Q2599" s="44">
        <f t="shared" si="406"/>
        <v>0</v>
      </c>
      <c r="R2599" s="71">
        <f>+Q2599/R2575</f>
        <v>0</v>
      </c>
      <c r="S2599" s="47"/>
      <c r="T2599" s="47"/>
    </row>
    <row r="2600" s="27" customFormat="1" ht="18" customHeight="1" spans="1:21">
      <c r="A2600" s="34"/>
      <c r="B2600" s="48">
        <v>13</v>
      </c>
      <c r="C2600" s="48"/>
      <c r="D2600" s="88"/>
      <c r="E2600" s="72"/>
      <c r="F2600" s="77"/>
      <c r="G2600" s="89"/>
      <c r="H2600" s="74"/>
      <c r="I2600" s="74"/>
      <c r="J2600" s="95"/>
      <c r="K2600" s="92">
        <f ca="1">H2600*K2574</f>
        <v>0</v>
      </c>
      <c r="L2600" s="69" t="s">
        <v>447</v>
      </c>
      <c r="M2600" s="70" t="s">
        <v>1038</v>
      </c>
      <c r="N2600" s="83">
        <v>0.977</v>
      </c>
      <c r="O2600" s="34">
        <v>0</v>
      </c>
      <c r="P2600" s="34">
        <v>1</v>
      </c>
      <c r="Q2600" s="44">
        <f t="shared" si="406"/>
        <v>0</v>
      </c>
      <c r="R2600" s="84">
        <f>+Q2600/R2575</f>
        <v>0</v>
      </c>
      <c r="S2600" s="47">
        <v>0.185</v>
      </c>
      <c r="T2600" s="47">
        <f>O2600*P2600*S2600</f>
        <v>0</v>
      </c>
      <c r="U2600" s="27">
        <f>T2600/R2575</f>
        <v>0</v>
      </c>
    </row>
    <row r="2601" s="27" customFormat="1" ht="24" customHeight="1" spans="1:21">
      <c r="A2601" s="34"/>
      <c r="B2601" s="48">
        <v>14</v>
      </c>
      <c r="C2601" s="48"/>
      <c r="D2601" s="88"/>
      <c r="E2601" s="72"/>
      <c r="F2601" s="77"/>
      <c r="G2601" s="89"/>
      <c r="H2601" s="74"/>
      <c r="I2601" s="74"/>
      <c r="J2601" s="95"/>
      <c r="K2601" s="92">
        <f ca="1">H2601*K2574</f>
        <v>0</v>
      </c>
      <c r="L2601" s="69" t="s">
        <v>429</v>
      </c>
      <c r="M2601" s="81" t="s">
        <v>1042</v>
      </c>
      <c r="N2601" s="82">
        <v>0.687</v>
      </c>
      <c r="O2601" s="44">
        <v>0</v>
      </c>
      <c r="P2601" s="34">
        <v>0</v>
      </c>
      <c r="Q2601" s="44">
        <f t="shared" si="406"/>
        <v>0</v>
      </c>
      <c r="R2601" s="84">
        <f>+Q2601/R2575</f>
        <v>0</v>
      </c>
      <c r="S2601" s="47"/>
      <c r="T2601" s="47"/>
    </row>
    <row r="2602" s="27" customFormat="1" ht="18" customHeight="1" spans="1:21">
      <c r="A2602" s="34"/>
      <c r="B2602" s="48">
        <v>15</v>
      </c>
      <c r="C2602" s="48"/>
      <c r="D2602" s="88"/>
      <c r="E2602" s="72"/>
      <c r="F2602" s="77"/>
      <c r="G2602" s="89"/>
      <c r="H2602" s="74"/>
      <c r="I2602" s="74"/>
      <c r="J2602" s="95"/>
      <c r="K2602" s="92"/>
      <c r="L2602" s="92"/>
      <c r="M2602" s="44"/>
      <c r="N2602" s="44"/>
      <c r="O2602" s="44"/>
      <c r="P2602" s="44"/>
      <c r="Q2602" s="44"/>
      <c r="R2602" s="84"/>
      <c r="S2602" s="47"/>
      <c r="T2602" s="47"/>
    </row>
    <row r="2603" s="27" customFormat="1" ht="18" customHeight="1" spans="1:21">
      <c r="A2603" s="34"/>
      <c r="B2603" s="48">
        <v>16</v>
      </c>
      <c r="C2603" s="48"/>
      <c r="D2603" s="88"/>
      <c r="E2603" s="72"/>
      <c r="F2603" s="77"/>
      <c r="G2603" s="89"/>
      <c r="H2603" s="74"/>
      <c r="I2603" s="74"/>
      <c r="J2603" s="95"/>
      <c r="K2603" s="92"/>
      <c r="L2603" s="92"/>
      <c r="M2603" s="44"/>
      <c r="N2603" s="44"/>
      <c r="O2603" s="44"/>
      <c r="P2603" s="44"/>
      <c r="Q2603" s="44"/>
      <c r="R2603" s="84"/>
      <c r="S2603" s="47"/>
      <c r="T2603" s="47"/>
    </row>
    <row r="2604" s="27" customFormat="1" ht="18" customHeight="1" spans="1:21">
      <c r="A2604" s="34"/>
      <c r="B2604" s="48">
        <v>17</v>
      </c>
      <c r="C2604" s="48"/>
      <c r="D2604" s="121"/>
      <c r="E2604" s="72"/>
      <c r="F2604" s="77"/>
      <c r="G2604" s="89"/>
      <c r="H2604" s="74"/>
      <c r="I2604" s="74"/>
      <c r="J2604" s="95"/>
      <c r="K2604" s="92"/>
      <c r="L2604" s="92"/>
      <c r="M2604" s="44"/>
      <c r="N2604" s="44"/>
      <c r="O2604" s="44"/>
      <c r="P2604" s="44"/>
      <c r="Q2604" s="101"/>
      <c r="R2604" s="84"/>
      <c r="S2604" s="47"/>
      <c r="T2604" s="47"/>
    </row>
    <row r="2605" s="27" customFormat="1" ht="18" customHeight="1" spans="1:21">
      <c r="A2605" s="34"/>
      <c r="B2605" s="48">
        <v>18</v>
      </c>
      <c r="C2605" s="48"/>
      <c r="D2605" s="88"/>
      <c r="E2605" s="72"/>
      <c r="F2605" s="77"/>
      <c r="G2605" s="89"/>
      <c r="H2605" s="74"/>
      <c r="I2605" s="74"/>
      <c r="J2605" s="95"/>
      <c r="K2605" s="92"/>
      <c r="L2605" s="92"/>
      <c r="M2605" s="44"/>
      <c r="N2605" s="44"/>
      <c r="O2605" s="44"/>
      <c r="P2605" s="44"/>
      <c r="Q2605" s="44"/>
      <c r="R2605" s="84"/>
      <c r="S2605" s="47"/>
      <c r="T2605" s="47"/>
    </row>
    <row r="2606" s="27" customFormat="1" ht="18" customHeight="1" spans="1:21">
      <c r="A2606" s="34"/>
      <c r="B2606" s="48">
        <v>19</v>
      </c>
      <c r="C2606" s="48"/>
      <c r="D2606" s="27"/>
      <c r="E2606" s="72"/>
      <c r="F2606" s="77"/>
      <c r="G2606" s="89"/>
      <c r="H2606" s="74"/>
      <c r="I2606" s="74"/>
      <c r="J2606" s="95"/>
      <c r="K2606" s="92"/>
      <c r="L2606" s="92"/>
      <c r="M2606" s="44"/>
      <c r="N2606" s="44"/>
      <c r="O2606" s="44"/>
      <c r="P2606" s="44"/>
      <c r="Q2606" s="44"/>
      <c r="R2606" s="84"/>
      <c r="S2606" s="47"/>
      <c r="T2606" s="47"/>
    </row>
    <row r="2607" s="27" customFormat="1" ht="18" customHeight="1" spans="1:21">
      <c r="A2607" s="34"/>
      <c r="B2607" s="48">
        <v>20</v>
      </c>
      <c r="C2607" s="48"/>
      <c r="D2607" s="88"/>
      <c r="E2607" s="72"/>
      <c r="F2607" s="77"/>
      <c r="G2607" s="89"/>
      <c r="H2607" s="74"/>
      <c r="I2607" s="74"/>
      <c r="J2607" s="95"/>
      <c r="K2607" s="92"/>
      <c r="L2607" s="92"/>
      <c r="M2607" s="44"/>
      <c r="N2607" s="44"/>
      <c r="O2607" s="44"/>
      <c r="P2607" s="44"/>
      <c r="Q2607" s="44"/>
      <c r="R2607" s="84"/>
      <c r="S2607" s="47"/>
      <c r="T2607" s="47"/>
    </row>
    <row r="2608" s="27" customFormat="1" ht="18" customHeight="1" spans="1:21">
      <c r="A2608" s="34"/>
      <c r="B2608" s="48">
        <v>21</v>
      </c>
      <c r="C2608" s="48"/>
      <c r="D2608" s="88"/>
      <c r="E2608" s="72"/>
      <c r="F2608" s="77"/>
      <c r="G2608" s="89"/>
      <c r="H2608" s="74"/>
      <c r="I2608" s="74"/>
      <c r="J2608" s="95"/>
      <c r="K2608" s="92"/>
      <c r="L2608" s="92"/>
      <c r="M2608" s="44"/>
      <c r="N2608" s="44"/>
      <c r="O2608" s="44"/>
      <c r="P2608" s="44"/>
      <c r="Q2608" s="44"/>
      <c r="R2608" s="84"/>
      <c r="S2608" s="47"/>
      <c r="T2608" s="47"/>
    </row>
    <row r="2609" s="27" customFormat="1" ht="18" customHeight="1" spans="1:20">
      <c r="A2609" s="34"/>
      <c r="B2609" s="48">
        <v>22</v>
      </c>
      <c r="C2609" s="48"/>
      <c r="D2609" s="27"/>
      <c r="E2609" s="72"/>
      <c r="F2609" s="77"/>
      <c r="G2609" s="72"/>
      <c r="H2609" s="74"/>
      <c r="I2609" s="74"/>
      <c r="J2609" s="95"/>
      <c r="K2609" s="92"/>
      <c r="L2609" s="92"/>
      <c r="M2609" s="44"/>
      <c r="N2609" s="44"/>
      <c r="O2609" s="44"/>
      <c r="P2609" s="44"/>
      <c r="Q2609" s="44"/>
      <c r="R2609" s="62"/>
      <c r="S2609" s="47"/>
      <c r="T2609" s="47"/>
    </row>
    <row r="2610" s="27" customFormat="1" ht="18" customHeight="1" spans="1:20">
      <c r="A2610" s="34"/>
      <c r="B2610" s="48">
        <v>23</v>
      </c>
      <c r="C2610" s="48"/>
      <c r="D2610" s="88"/>
      <c r="E2610" s="72"/>
      <c r="F2610" s="77"/>
      <c r="G2610" s="89"/>
      <c r="H2610" s="74"/>
      <c r="I2610" s="74"/>
      <c r="J2610" s="95"/>
      <c r="K2610" s="92"/>
      <c r="L2610" s="92"/>
      <c r="M2610" s="44"/>
      <c r="N2610" s="44"/>
      <c r="O2610" s="44"/>
      <c r="P2610" s="44"/>
      <c r="Q2610" s="44"/>
      <c r="R2610" s="62"/>
      <c r="S2610" s="47"/>
      <c r="T2610" s="47"/>
    </row>
    <row r="2611" s="27" customFormat="1" ht="18" customHeight="1" spans="1:20">
      <c r="A2611" s="34"/>
      <c r="B2611" s="48">
        <v>24</v>
      </c>
      <c r="C2611" s="48"/>
      <c r="D2611" s="88" t="s">
        <v>478</v>
      </c>
      <c r="E2611" s="72" t="s">
        <v>43</v>
      </c>
      <c r="F2611" s="77"/>
      <c r="G2611" s="72">
        <v>1</v>
      </c>
      <c r="H2611" s="74">
        <v>1</v>
      </c>
      <c r="I2611" s="74">
        <f>+辅材及安装费!$E$3</f>
        <v>5</v>
      </c>
      <c r="J2611" s="95">
        <f>H2611*I2611</f>
        <v>5</v>
      </c>
      <c r="K2611" s="92"/>
      <c r="L2611" s="92"/>
      <c r="M2611" s="44"/>
      <c r="N2611" s="44"/>
      <c r="O2611" s="44"/>
      <c r="P2611" s="44"/>
      <c r="Q2611" s="44"/>
      <c r="R2611" s="62"/>
      <c r="S2611" s="47"/>
      <c r="T2611" s="47"/>
    </row>
    <row r="2612" s="27" customFormat="1" ht="18" customHeight="1" spans="1:20">
      <c r="A2612" s="34"/>
      <c r="B2612" s="48">
        <v>25</v>
      </c>
      <c r="C2612" s="48"/>
      <c r="D2612" s="93" t="s">
        <v>442</v>
      </c>
      <c r="E2612" s="72"/>
      <c r="F2612" s="77"/>
      <c r="G2612" s="72"/>
      <c r="H2612" s="74"/>
      <c r="I2612" s="74"/>
      <c r="J2612" s="95">
        <f>SUM(J2588:J2611)</f>
        <v>354.036825075212</v>
      </c>
      <c r="K2612" s="92"/>
      <c r="L2612" s="94"/>
      <c r="M2612" s="27"/>
      <c r="N2612" s="83"/>
      <c r="O2612" s="83"/>
      <c r="P2612" s="83"/>
      <c r="Q2612" s="83"/>
      <c r="R2612" s="87"/>
      <c r="S2612" s="47"/>
      <c r="T2612" s="47"/>
    </row>
    <row r="2613" s="27" customFormat="1" ht="18" customHeight="1" spans="1:20">
      <c r="A2613" s="34"/>
      <c r="B2613" s="48">
        <v>1</v>
      </c>
      <c r="C2613" s="48" t="s">
        <v>443</v>
      </c>
      <c r="D2613" s="48" t="s">
        <v>444</v>
      </c>
      <c r="E2613" s="72" t="s">
        <v>43</v>
      </c>
      <c r="F2613" s="50"/>
      <c r="G2613" s="48"/>
      <c r="H2613" s="51">
        <v>1</v>
      </c>
      <c r="I2613" s="74">
        <f>+辅材及安装费!$F$3</f>
        <v>5</v>
      </c>
      <c r="J2613" s="95">
        <f>H2613*I2613</f>
        <v>5</v>
      </c>
      <c r="K2613" s="118"/>
      <c r="L2613" s="96"/>
      <c r="M2613" s="97"/>
      <c r="N2613" s="98"/>
      <c r="O2613" s="98"/>
      <c r="P2613" s="98"/>
      <c r="Q2613" s="98"/>
      <c r="R2613" s="99"/>
      <c r="S2613" s="47"/>
      <c r="T2613" s="47"/>
    </row>
    <row r="2614" s="26" customFormat="1" ht="30" customHeight="1" spans="1:20">
      <c r="A2614" s="28"/>
      <c r="B2614" s="29" t="s">
        <v>386</v>
      </c>
      <c r="C2614" s="29"/>
      <c r="D2614" s="29"/>
      <c r="E2614" s="29"/>
      <c r="F2614" s="29"/>
      <c r="G2614" s="29"/>
      <c r="H2614" s="29"/>
      <c r="I2614" s="29"/>
      <c r="J2614" s="29"/>
      <c r="K2614" s="29"/>
      <c r="L2614" s="30"/>
      <c r="M2614" s="31"/>
      <c r="N2614" s="31"/>
      <c r="O2614" s="31"/>
      <c r="P2614" s="31"/>
      <c r="Q2614" s="31"/>
      <c r="R2614" s="32"/>
      <c r="S2614" s="33"/>
      <c r="T2614" s="33"/>
    </row>
    <row r="2615" s="27" customFormat="1" ht="33.75" customHeight="1" spans="1:20">
      <c r="A2615" s="34">
        <v>11</v>
      </c>
      <c r="B2615" s="35" t="s">
        <v>1</v>
      </c>
      <c r="C2615" s="35" t="s">
        <v>387</v>
      </c>
      <c r="D2615" s="36" t="str">
        <f>+A2623</f>
        <v>银灰色铝单板</v>
      </c>
      <c r="E2615" s="37"/>
      <c r="F2615" s="38" t="s">
        <v>119</v>
      </c>
      <c r="G2615" s="39"/>
      <c r="H2615" s="35" t="s">
        <v>388</v>
      </c>
      <c r="I2615" s="40" t="s">
        <v>389</v>
      </c>
      <c r="J2615" s="41" t="s">
        <v>37</v>
      </c>
      <c r="K2615" s="122">
        <f ca="1">VLOOKUP(A2615,'商业工程量清单 '!$A$59:$D$81,4,FALSE)</f>
        <v>110.79687</v>
      </c>
      <c r="L2615" s="43"/>
      <c r="M2615" s="44"/>
      <c r="N2615" s="44"/>
      <c r="O2615" s="44"/>
      <c r="P2615" s="45"/>
      <c r="Q2615" s="44"/>
      <c r="R2615" s="46"/>
      <c r="S2615" s="47"/>
      <c r="T2615" s="47"/>
    </row>
    <row r="2616" s="27" customFormat="1" ht="25" customHeight="1" spans="1:20">
      <c r="A2616" s="34"/>
      <c r="B2616" s="48">
        <v>1</v>
      </c>
      <c r="C2616" s="49" t="s">
        <v>390</v>
      </c>
      <c r="D2616" s="48" t="s">
        <v>391</v>
      </c>
      <c r="E2616" s="48"/>
      <c r="F2616" s="50"/>
      <c r="G2616" s="48"/>
      <c r="H2616" s="51"/>
      <c r="I2616" s="52">
        <f>J2628</f>
        <v>165</v>
      </c>
      <c r="J2616" s="53" t="s">
        <v>392</v>
      </c>
      <c r="K2616" s="54"/>
      <c r="L2616" s="55"/>
      <c r="M2616" s="56" t="s">
        <v>352</v>
      </c>
      <c r="N2616" s="57"/>
      <c r="O2616" s="57">
        <v>3.766</v>
      </c>
      <c r="P2616" s="57">
        <v>6.85</v>
      </c>
      <c r="Q2616" s="57">
        <v>1</v>
      </c>
      <c r="R2616" s="58">
        <f>+Q2616*P2616*O2616</f>
        <v>25.7971</v>
      </c>
      <c r="S2616" s="47"/>
      <c r="T2616" s="47"/>
    </row>
    <row r="2617" s="27" customFormat="1" ht="18" customHeight="1" spans="1:20">
      <c r="A2617" s="34"/>
      <c r="B2617" s="48">
        <v>2</v>
      </c>
      <c r="C2617" s="59"/>
      <c r="D2617" s="48" t="s">
        <v>394</v>
      </c>
      <c r="E2617" s="48"/>
      <c r="F2617" s="50"/>
      <c r="G2617" s="48"/>
      <c r="H2617" s="51"/>
      <c r="I2617" s="52">
        <f>J2653</f>
        <v>382.021173080707</v>
      </c>
      <c r="J2617" s="53" t="s">
        <v>392</v>
      </c>
      <c r="K2617" s="60"/>
      <c r="L2617" s="61" t="s">
        <v>119</v>
      </c>
      <c r="M2617" s="44"/>
      <c r="N2617" s="44"/>
      <c r="O2617" s="44"/>
      <c r="P2617" s="44"/>
      <c r="Q2617" s="44"/>
      <c r="R2617" s="62"/>
      <c r="S2617" s="47"/>
      <c r="T2617" s="47"/>
    </row>
    <row r="2618" s="27" customFormat="1" ht="18" customHeight="1" spans="1:20">
      <c r="A2618" s="34"/>
      <c r="B2618" s="48">
        <v>3</v>
      </c>
      <c r="C2618" s="63"/>
      <c r="D2618" s="48" t="s">
        <v>395</v>
      </c>
      <c r="E2618" s="48"/>
      <c r="F2618" s="50"/>
      <c r="G2618" s="48"/>
      <c r="H2618" s="51"/>
      <c r="I2618" s="52">
        <f>J2654</f>
        <v>5</v>
      </c>
      <c r="J2618" s="53" t="s">
        <v>392</v>
      </c>
      <c r="K2618" s="60"/>
      <c r="L2618" s="60"/>
      <c r="M2618" s="65" t="s">
        <v>396</v>
      </c>
      <c r="N2618" s="65" t="s">
        <v>397</v>
      </c>
      <c r="O2618" s="65" t="s">
        <v>398</v>
      </c>
      <c r="P2618" s="65" t="s">
        <v>399</v>
      </c>
      <c r="Q2618" s="65" t="s">
        <v>400</v>
      </c>
      <c r="R2618" s="66" t="s">
        <v>401</v>
      </c>
      <c r="S2618" s="47"/>
      <c r="T2618" s="47"/>
    </row>
    <row r="2619" s="27" customFormat="1" ht="18" customHeight="1" spans="1:20">
      <c r="A2619" s="34"/>
      <c r="B2619" s="48">
        <v>4</v>
      </c>
      <c r="C2619" s="48" t="s">
        <v>402</v>
      </c>
      <c r="D2619" s="67" t="s">
        <v>403</v>
      </c>
      <c r="E2619" s="67"/>
      <c r="F2619" s="50"/>
      <c r="G2619" s="67"/>
      <c r="H2619" s="68"/>
      <c r="I2619" s="52">
        <f>SUM(I2616:I2618)</f>
        <v>552.021173080707</v>
      </c>
      <c r="J2619" s="53" t="s">
        <v>392</v>
      </c>
      <c r="K2619" s="60"/>
      <c r="L2619" s="69" t="s">
        <v>431</v>
      </c>
      <c r="M2619" s="34" t="s">
        <v>535</v>
      </c>
      <c r="N2619" s="34">
        <v>18.05</v>
      </c>
      <c r="O2619" s="34">
        <f>P2616</f>
        <v>6.85</v>
      </c>
      <c r="P2619" s="34">
        <v>1</v>
      </c>
      <c r="Q2619" s="44">
        <f t="shared" ref="Q2619:Q2624" si="409">+P2619*O2619*N2619</f>
        <v>123.6425</v>
      </c>
      <c r="R2619" s="71">
        <f>+Q2619/R2616</f>
        <v>4.79288369622942</v>
      </c>
      <c r="S2619" s="47"/>
      <c r="T2619" s="47"/>
    </row>
    <row r="2620" s="27" customFormat="1" ht="28" customHeight="1" spans="1:20">
      <c r="A2620" s="34"/>
      <c r="B2620" s="48">
        <v>5</v>
      </c>
      <c r="C2620" s="72" t="s">
        <v>406</v>
      </c>
      <c r="D2620" s="48" t="s">
        <v>407</v>
      </c>
      <c r="E2620" s="48"/>
      <c r="F2620" s="50"/>
      <c r="G2620" s="48"/>
      <c r="H2620" s="73">
        <f>+'材料表 '!$E$178</f>
        <v>0</v>
      </c>
      <c r="I2620" s="52">
        <f>H2620*I2619</f>
        <v>0</v>
      </c>
      <c r="J2620" s="53" t="s">
        <v>392</v>
      </c>
      <c r="K2620" s="60"/>
      <c r="L2620" s="69" t="s">
        <v>461</v>
      </c>
      <c r="M2620" s="34" t="s">
        <v>462</v>
      </c>
      <c r="N2620" s="34">
        <v>3.77</v>
      </c>
      <c r="O2620" s="34">
        <f>P2616</f>
        <v>6.85</v>
      </c>
      <c r="P2620" s="34">
        <v>2</v>
      </c>
      <c r="Q2620" s="44">
        <f t="shared" si="409"/>
        <v>51.649</v>
      </c>
      <c r="R2620" s="71">
        <f>+Q2620/R2616</f>
        <v>2.00212426978226</v>
      </c>
      <c r="S2620" s="47"/>
      <c r="T2620" s="47"/>
    </row>
    <row r="2621" s="27" customFormat="1" ht="18" customHeight="1" spans="1:20">
      <c r="A2621" s="34"/>
      <c r="B2621" s="48">
        <v>6</v>
      </c>
      <c r="C2621" s="48" t="s">
        <v>409</v>
      </c>
      <c r="D2621" s="48" t="s">
        <v>410</v>
      </c>
      <c r="E2621" s="48"/>
      <c r="F2621" s="50"/>
      <c r="G2621" s="48"/>
      <c r="H2621" s="73">
        <f>+'材料表 '!$E$179</f>
        <v>0</v>
      </c>
      <c r="I2621" s="52">
        <f>H2621*I2619</f>
        <v>0</v>
      </c>
      <c r="J2621" s="53" t="s">
        <v>392</v>
      </c>
      <c r="K2621" s="60"/>
      <c r="L2621" s="69" t="s">
        <v>431</v>
      </c>
      <c r="M2621" s="34" t="s">
        <v>1069</v>
      </c>
      <c r="N2621" s="34">
        <v>7.03</v>
      </c>
      <c r="O2621" s="34">
        <f>P2616+(0.551*2+0.131)+(0.351+0.575+0.131)</f>
        <v>9.14</v>
      </c>
      <c r="P2621" s="34">
        <v>4</v>
      </c>
      <c r="Q2621" s="44">
        <f t="shared" si="409"/>
        <v>257.0168</v>
      </c>
      <c r="R2621" s="71">
        <f>+Q2621/R2616</f>
        <v>9.96301134623659</v>
      </c>
      <c r="S2621" s="47"/>
      <c r="T2621" s="47"/>
    </row>
    <row r="2622" s="27" customFormat="1" ht="18" customHeight="1" spans="1:20">
      <c r="A2622" s="34"/>
      <c r="B2622" s="48">
        <v>7</v>
      </c>
      <c r="C2622" s="48" t="s">
        <v>412</v>
      </c>
      <c r="D2622" s="72" t="s">
        <v>413</v>
      </c>
      <c r="E2622" s="72"/>
      <c r="F2622" s="77"/>
      <c r="G2622" s="72"/>
      <c r="H2622" s="73">
        <f>+'材料表 '!$E$180</f>
        <v>0.09</v>
      </c>
      <c r="I2622" s="52">
        <f>(I2619+I2620+I2621)*H2622</f>
        <v>49.6819055772636</v>
      </c>
      <c r="J2622" s="53" t="s">
        <v>392</v>
      </c>
      <c r="K2622" s="60"/>
      <c r="L2622" s="69" t="s">
        <v>463</v>
      </c>
      <c r="M2622" s="34" t="s">
        <v>490</v>
      </c>
      <c r="N2622" s="34">
        <f>0.3*0.2*7.85*10</f>
        <v>4.71</v>
      </c>
      <c r="O2622" s="34">
        <v>1</v>
      </c>
      <c r="P2622" s="34">
        <f>P2619</f>
        <v>1</v>
      </c>
      <c r="Q2622" s="44">
        <f t="shared" si="409"/>
        <v>4.71</v>
      </c>
      <c r="R2622" s="71">
        <f>+Q2622/R2616</f>
        <v>0.182578661942621</v>
      </c>
      <c r="S2622" s="47"/>
      <c r="T2622" s="47"/>
    </row>
    <row r="2623" s="27" customFormat="1" ht="18" customHeight="1" spans="1:20">
      <c r="A2623" s="34" t="s">
        <v>322</v>
      </c>
      <c r="B2623" s="48">
        <v>8</v>
      </c>
      <c r="C2623" s="48" t="s">
        <v>363</v>
      </c>
      <c r="D2623" s="106" t="s">
        <v>415</v>
      </c>
      <c r="E2623" s="107"/>
      <c r="F2623" s="108"/>
      <c r="G2623" s="107"/>
      <c r="H2623" s="51"/>
      <c r="I2623" s="74">
        <f>SUM(I2619:I2622)</f>
        <v>601.70307865797</v>
      </c>
      <c r="J2623" s="53" t="s">
        <v>416</v>
      </c>
      <c r="K2623" s="60"/>
      <c r="L2623" s="69" t="s">
        <v>465</v>
      </c>
      <c r="M2623" s="34" t="s">
        <v>1066</v>
      </c>
      <c r="N2623" s="100">
        <f>0.36*5*7.85</f>
        <v>14.13</v>
      </c>
      <c r="O2623" s="34">
        <f>110/1000</f>
        <v>0.11</v>
      </c>
      <c r="P2623" s="44">
        <f>+P2622*O2622*2</f>
        <v>2</v>
      </c>
      <c r="Q2623" s="44">
        <f t="shared" si="409"/>
        <v>3.1086</v>
      </c>
      <c r="R2623" s="84">
        <f>+Q2623/R2616</f>
        <v>0.12050191688213</v>
      </c>
      <c r="S2623" s="79"/>
      <c r="T2623" s="47"/>
    </row>
    <row r="2624" s="27" customFormat="1" ht="18" customHeight="1" spans="1:20">
      <c r="A2624" s="34"/>
      <c r="B2624" s="109" t="s">
        <v>418</v>
      </c>
      <c r="C2624" s="110"/>
      <c r="D2624" s="110"/>
      <c r="E2624" s="110"/>
      <c r="F2624" s="110"/>
      <c r="G2624" s="110"/>
      <c r="H2624" s="110"/>
      <c r="I2624" s="110"/>
      <c r="J2624" s="110"/>
      <c r="K2624" s="80"/>
      <c r="L2624" s="69" t="s">
        <v>433</v>
      </c>
      <c r="M2624" s="44"/>
      <c r="N2624" s="82">
        <f>0.056*3*2.71+0.0675*3*2.71</f>
        <v>1.004055</v>
      </c>
      <c r="O2624" s="44">
        <f>O2616</f>
        <v>3.766</v>
      </c>
      <c r="P2624" s="44">
        <v>4</v>
      </c>
      <c r="Q2624" s="44">
        <f t="shared" si="409"/>
        <v>15.12508452</v>
      </c>
      <c r="R2624" s="84">
        <f>+Q2624/R2616</f>
        <v>0.586309489051095</v>
      </c>
      <c r="S2624" s="47">
        <f>0.16*P2624*O2624/R2616</f>
        <v>0.0934306569343066</v>
      </c>
      <c r="T2624" s="47"/>
    </row>
    <row r="2625" s="27" customFormat="1" ht="18" customHeight="1" spans="1:21">
      <c r="A2625" s="34"/>
      <c r="B2625" s="48">
        <v>1</v>
      </c>
      <c r="C2625" s="48" t="s">
        <v>391</v>
      </c>
      <c r="D2625" s="48" t="s">
        <v>396</v>
      </c>
      <c r="E2625" s="48" t="s">
        <v>37</v>
      </c>
      <c r="F2625" s="50"/>
      <c r="G2625" s="48"/>
      <c r="H2625" s="51" t="s">
        <v>399</v>
      </c>
      <c r="I2625" s="51" t="s">
        <v>420</v>
      </c>
      <c r="J2625" s="95" t="s">
        <v>421</v>
      </c>
      <c r="K2625" s="92"/>
      <c r="L2625" s="69" t="s">
        <v>433</v>
      </c>
      <c r="M2625" s="44"/>
      <c r="N2625" s="82">
        <f>0.056*3*2.71+0.0675*3*2.71</f>
        <v>1.004055</v>
      </c>
      <c r="O2625" s="44">
        <f>P2616</f>
        <v>6.85</v>
      </c>
      <c r="P2625" s="44">
        <v>4</v>
      </c>
      <c r="Q2625" s="44">
        <f>+P2625*O2625</f>
        <v>27.4</v>
      </c>
      <c r="R2625" s="84">
        <f>+Q2625/R2616</f>
        <v>1.06213489113117</v>
      </c>
      <c r="S2625" s="47"/>
      <c r="T2625" s="47"/>
    </row>
    <row r="2626" s="27" customFormat="1" ht="18" customHeight="1" spans="1:21">
      <c r="A2626" s="34"/>
      <c r="B2626" s="48">
        <v>2</v>
      </c>
      <c r="C2626" s="48"/>
      <c r="D2626" s="111" t="s">
        <v>491</v>
      </c>
      <c r="E2626" s="49" t="s">
        <v>423</v>
      </c>
      <c r="F2626" s="112"/>
      <c r="G2626" s="111"/>
      <c r="H2626" s="113">
        <v>1</v>
      </c>
      <c r="I2626" s="113">
        <f>+辅材及安装费!$G$3</f>
        <v>165</v>
      </c>
      <c r="J2626" s="114">
        <f t="shared" ref="J2626:J2634" si="410">H2626*I2626</f>
        <v>165</v>
      </c>
      <c r="K2626" s="92"/>
      <c r="L2626" s="69" t="s">
        <v>461</v>
      </c>
      <c r="M2626" s="34" t="s">
        <v>462</v>
      </c>
      <c r="N2626" s="34">
        <v>3.77</v>
      </c>
      <c r="O2626" s="34">
        <v>0.65</v>
      </c>
      <c r="P2626" s="34">
        <v>0</v>
      </c>
      <c r="Q2626" s="44">
        <f>+P2626*O2626*N2626</f>
        <v>0</v>
      </c>
      <c r="R2626" s="84">
        <f>+Q2626/R2616</f>
        <v>0</v>
      </c>
      <c r="S2626" s="47"/>
      <c r="T2626" s="47"/>
    </row>
    <row r="2627" s="27" customFormat="1" ht="18" customHeight="1" spans="1:21">
      <c r="A2627" s="34"/>
      <c r="B2627" s="48">
        <v>3</v>
      </c>
      <c r="C2627" s="48"/>
      <c r="D2627" s="115"/>
      <c r="E2627" s="63"/>
      <c r="F2627" s="116"/>
      <c r="G2627" s="115"/>
      <c r="H2627" s="117"/>
      <c r="I2627" s="117"/>
      <c r="J2627" s="118"/>
      <c r="K2627" s="92"/>
      <c r="L2627" s="90" t="s">
        <v>472</v>
      </c>
      <c r="M2627" s="44"/>
      <c r="N2627" s="82"/>
      <c r="O2627" s="44"/>
      <c r="P2627" s="44">
        <f>+P2623</f>
        <v>2</v>
      </c>
      <c r="Q2627" s="44">
        <f>+P2627</f>
        <v>2</v>
      </c>
      <c r="R2627" s="84">
        <f>+Q2627/R2616</f>
        <v>0.0775280942431514</v>
      </c>
      <c r="S2627" s="47"/>
      <c r="T2627" s="47"/>
    </row>
    <row r="2628" s="27" customFormat="1" ht="18" customHeight="1" spans="1:21">
      <c r="A2628" s="34"/>
      <c r="B2628" s="48">
        <v>4</v>
      </c>
      <c r="C2628" s="48"/>
      <c r="D2628" s="85" t="s">
        <v>426</v>
      </c>
      <c r="E2628" s="48" t="s">
        <v>392</v>
      </c>
      <c r="F2628" s="50"/>
      <c r="G2628" s="48"/>
      <c r="H2628" s="86"/>
      <c r="I2628" s="86"/>
      <c r="J2628" s="95">
        <f>SUM(J2626:J2626)</f>
        <v>165</v>
      </c>
      <c r="K2628" s="92"/>
      <c r="L2628" s="90" t="s">
        <v>473</v>
      </c>
      <c r="M2628" s="44"/>
      <c r="N2628" s="82"/>
      <c r="O2628" s="44"/>
      <c r="P2628" s="44"/>
      <c r="Q2628" s="44">
        <f>+(Q2625)*2</f>
        <v>54.8</v>
      </c>
      <c r="R2628" s="84">
        <f>+Q2628/R2616</f>
        <v>2.12426978226235</v>
      </c>
      <c r="S2628" s="47"/>
      <c r="T2628" s="47"/>
    </row>
    <row r="2629" s="27" customFormat="1" ht="24" customHeight="1" spans="1:21">
      <c r="A2629" s="34"/>
      <c r="B2629" s="48">
        <v>1</v>
      </c>
      <c r="C2629" s="48" t="s">
        <v>394</v>
      </c>
      <c r="D2629" s="88" t="s">
        <v>431</v>
      </c>
      <c r="E2629" s="72" t="str">
        <f>+VLOOKUP(D2629,'材料表 '!C:F,2,0)</f>
        <v>kg</v>
      </c>
      <c r="F2629" s="77">
        <f>+SUMIF($L$2616:$L$2654,D2629,$R$2616:$R$2654)</f>
        <v>14.755895042466</v>
      </c>
      <c r="G2629" s="89">
        <f>+VLOOKUP(D2629,'材料表 '!C:F,4,0)</f>
        <v>0.03</v>
      </c>
      <c r="H2629" s="74">
        <f t="shared" ref="H2629:H2634" si="411">F2629*(G2629+1)</f>
        <v>15.19857189374</v>
      </c>
      <c r="I2629" s="74">
        <f>+VLOOKUP(D2629,'材料表 '!C:F,3,0)</f>
        <v>3.80530973451327</v>
      </c>
      <c r="J2629" s="95">
        <f t="shared" si="410"/>
        <v>57.8352735779485</v>
      </c>
      <c r="K2629" s="92">
        <f ca="1">H2629*K2615</f>
        <v>1683.95419429636</v>
      </c>
      <c r="L2629" s="90"/>
      <c r="M2629" s="44"/>
      <c r="N2629" s="82"/>
      <c r="O2629" s="44"/>
      <c r="P2629" s="44"/>
      <c r="Q2629" s="44"/>
      <c r="R2629" s="84"/>
      <c r="S2629" s="47"/>
      <c r="T2629" s="47"/>
    </row>
    <row r="2630" s="27" customFormat="1" ht="18" customHeight="1" spans="1:21">
      <c r="A2630" s="34"/>
      <c r="B2630" s="48">
        <v>2</v>
      </c>
      <c r="C2630" s="48"/>
      <c r="D2630" s="88" t="s">
        <v>461</v>
      </c>
      <c r="E2630" s="72" t="str">
        <f>+VLOOKUP(D2630,'材料表 '!C:F,2,0)</f>
        <v>kg</v>
      </c>
      <c r="F2630" s="77">
        <f t="shared" ref="F2630:F2639" si="412">+SUMIF($L$2616:$L$2654,D2630,$R$2616:$R$2654)</f>
        <v>2.00212426978226</v>
      </c>
      <c r="G2630" s="89">
        <f>+VLOOKUP(D2630,'材料表 '!C:F,4,0)</f>
        <v>0.03</v>
      </c>
      <c r="H2630" s="74">
        <f t="shared" si="411"/>
        <v>2.06218799787573</v>
      </c>
      <c r="I2630" s="74">
        <f>+VLOOKUP(D2630,'材料表 '!C:F,3,0)</f>
        <v>3.53982300884956</v>
      </c>
      <c r="J2630" s="95">
        <f t="shared" si="410"/>
        <v>7.29978052345391</v>
      </c>
      <c r="K2630" s="92">
        <f ca="1">H2630*K2615</f>
        <v>228.483975516198</v>
      </c>
      <c r="L2630" s="90"/>
      <c r="M2630" s="44"/>
      <c r="N2630" s="82"/>
      <c r="O2630" s="44"/>
      <c r="P2630" s="44"/>
      <c r="Q2630" s="44"/>
      <c r="R2630" s="84"/>
      <c r="S2630" s="47"/>
      <c r="T2630" s="47"/>
    </row>
    <row r="2631" s="27" customFormat="1" ht="18" customHeight="1" spans="1:21">
      <c r="A2631" s="34"/>
      <c r="B2631" s="48">
        <v>3</v>
      </c>
      <c r="C2631" s="48"/>
      <c r="D2631" s="88" t="s">
        <v>465</v>
      </c>
      <c r="E2631" s="72" t="str">
        <f>+VLOOKUP(D2631,'材料表 '!C:F,2,0)</f>
        <v>kg</v>
      </c>
      <c r="F2631" s="77">
        <f t="shared" si="412"/>
        <v>0.12050191688213</v>
      </c>
      <c r="G2631" s="89">
        <f>+VLOOKUP(D2631,'材料表 '!C:F,4,0)</f>
        <v>0.03</v>
      </c>
      <c r="H2631" s="74">
        <f t="shared" si="411"/>
        <v>0.124116974388594</v>
      </c>
      <c r="I2631" s="74">
        <f>+VLOOKUP(D2631,'材料表 '!C:F,3,0)</f>
        <v>6.01769911504425</v>
      </c>
      <c r="J2631" s="95">
        <f t="shared" si="410"/>
        <v>0.746898606940211</v>
      </c>
      <c r="K2631" s="92">
        <f ca="1">H2631*K2615</f>
        <v>13.7517722761264</v>
      </c>
      <c r="L2631" s="90"/>
      <c r="M2631" s="44"/>
      <c r="N2631" s="82"/>
      <c r="O2631" s="44"/>
      <c r="P2631" s="44"/>
      <c r="Q2631" s="44"/>
      <c r="R2631" s="84"/>
      <c r="S2631" s="47"/>
      <c r="T2631" s="47"/>
    </row>
    <row r="2632" s="27" customFormat="1" ht="18" customHeight="1" spans="1:21">
      <c r="A2632" s="34"/>
      <c r="B2632" s="48">
        <v>4</v>
      </c>
      <c r="C2632" s="48"/>
      <c r="D2632" s="88" t="s">
        <v>463</v>
      </c>
      <c r="E2632" s="72" t="str">
        <f>+VLOOKUP(D2632,'材料表 '!C:F,2,0)</f>
        <v>kg</v>
      </c>
      <c r="F2632" s="77">
        <f t="shared" si="412"/>
        <v>0.182578661942621</v>
      </c>
      <c r="G2632" s="89">
        <f>+VLOOKUP(D2632,'材料表 '!C:F,4,0)</f>
        <v>0.03</v>
      </c>
      <c r="H2632" s="74">
        <f t="shared" si="411"/>
        <v>0.1880560218009</v>
      </c>
      <c r="I2632" s="74">
        <f>+VLOOKUP(D2632,'材料表 '!C:F,3,0)</f>
        <v>6.01769911504425</v>
      </c>
      <c r="J2632" s="95">
        <f t="shared" si="410"/>
        <v>1.13166455597002</v>
      </c>
      <c r="K2632" s="92">
        <f ca="1">H2632*K2615</f>
        <v>20.8360186001915</v>
      </c>
      <c r="L2632" s="90" t="s">
        <v>474</v>
      </c>
      <c r="M2632" s="44"/>
      <c r="N2632" s="82"/>
      <c r="O2632" s="44"/>
      <c r="P2632" s="44"/>
      <c r="Q2632" s="44">
        <f>+O2622*P2622*4</f>
        <v>4</v>
      </c>
      <c r="R2632" s="84">
        <f>+Q2632/R2616</f>
        <v>0.155056188486303</v>
      </c>
      <c r="S2632" s="47"/>
      <c r="T2632" s="47"/>
    </row>
    <row r="2633" s="27" customFormat="1" ht="18" customHeight="1" spans="1:21">
      <c r="A2633" s="34"/>
      <c r="B2633" s="48">
        <v>5</v>
      </c>
      <c r="C2633" s="48"/>
      <c r="D2633" s="88" t="s">
        <v>433</v>
      </c>
      <c r="E2633" s="72" t="str">
        <f>+VLOOKUP(D2633,'材料表 '!C:F,2,0)</f>
        <v>kg</v>
      </c>
      <c r="F2633" s="77">
        <f t="shared" si="412"/>
        <v>1.64844438018227</v>
      </c>
      <c r="G2633" s="89">
        <f>+VLOOKUP(D2633,'材料表 '!C:F,4,0)</f>
        <v>0.03</v>
      </c>
      <c r="H2633" s="74">
        <f t="shared" si="411"/>
        <v>1.69789771158774</v>
      </c>
      <c r="I2633" s="74">
        <f>+VLOOKUP(D2633,'材料表 '!C:F,3,0)</f>
        <v>26.1150442477876</v>
      </c>
      <c r="J2633" s="95">
        <f t="shared" si="410"/>
        <v>44.3406738663311</v>
      </c>
      <c r="K2633" s="92">
        <f ca="1">H2633*K2615</f>
        <v>188.121752024084</v>
      </c>
      <c r="L2633" s="92" t="s">
        <v>476</v>
      </c>
      <c r="M2633" s="44"/>
      <c r="N2633" s="82"/>
      <c r="O2633" s="44"/>
      <c r="P2633" s="44"/>
      <c r="Q2633" s="44">
        <f>15*8*(O2616*4+P2616*5)/500</f>
        <v>11.83536</v>
      </c>
      <c r="R2633" s="84">
        <f>+Q2633/R2616</f>
        <v>0.458786452740812</v>
      </c>
      <c r="S2633" s="47"/>
      <c r="T2633" s="47"/>
    </row>
    <row r="2634" s="27" customFormat="1" ht="18" customHeight="1" spans="1:21">
      <c r="A2634" s="34"/>
      <c r="B2634" s="48">
        <v>6</v>
      </c>
      <c r="C2634" s="48"/>
      <c r="D2634" s="88" t="s">
        <v>427</v>
      </c>
      <c r="E2634" s="72" t="str">
        <f>+VLOOKUP(D2634,'材料表 '!C:F,2,0)</f>
        <v>kg</v>
      </c>
      <c r="F2634" s="77">
        <f t="shared" si="412"/>
        <v>0</v>
      </c>
      <c r="G2634" s="89">
        <f>+VLOOKUP(D2634,'材料表 '!C:F,4,0)</f>
        <v>0.03</v>
      </c>
      <c r="H2634" s="74">
        <f t="shared" si="411"/>
        <v>0</v>
      </c>
      <c r="I2634" s="74">
        <f>+VLOOKUP(D2634,'材料表 '!C:F,3,0)</f>
        <v>25.8495575221239</v>
      </c>
      <c r="J2634" s="95">
        <f t="shared" si="410"/>
        <v>0</v>
      </c>
      <c r="K2634" s="92">
        <f ca="1">H2634*K2615</f>
        <v>0</v>
      </c>
      <c r="L2634" s="69" t="s">
        <v>427</v>
      </c>
      <c r="M2634" s="70" t="s">
        <v>1007</v>
      </c>
      <c r="N2634" s="34">
        <v>3.111</v>
      </c>
      <c r="O2634" s="34">
        <f>P2616</f>
        <v>6.85</v>
      </c>
      <c r="P2634" s="34">
        <v>0</v>
      </c>
      <c r="Q2634" s="44">
        <f t="shared" ref="Q2634:Q2642" si="413">+P2634*O2634*N2634</f>
        <v>0</v>
      </c>
      <c r="R2634" s="71">
        <f>+Q2634/R2616</f>
        <v>0</v>
      </c>
      <c r="S2634" s="47"/>
      <c r="T2634" s="47"/>
    </row>
    <row r="2635" s="27" customFormat="1" ht="18" customHeight="1" spans="1:21">
      <c r="A2635" s="34"/>
      <c r="B2635" s="48">
        <v>7</v>
      </c>
      <c r="C2635" s="48"/>
      <c r="D2635" s="88"/>
      <c r="E2635" s="72"/>
      <c r="F2635" s="77">
        <f t="shared" si="412"/>
        <v>0</v>
      </c>
      <c r="G2635" s="89"/>
      <c r="H2635" s="74"/>
      <c r="I2635" s="74"/>
      <c r="J2635" s="95"/>
      <c r="K2635" s="92">
        <f ca="1">H2635*K2615</f>
        <v>0</v>
      </c>
      <c r="L2635" s="69" t="s">
        <v>429</v>
      </c>
      <c r="M2635" s="70" t="s">
        <v>1037</v>
      </c>
      <c r="N2635" s="34">
        <v>3.063</v>
      </c>
      <c r="O2635" s="100">
        <f>O2634/0.3*0.1</f>
        <v>2.28333333333333</v>
      </c>
      <c r="P2635" s="34">
        <v>0</v>
      </c>
      <c r="Q2635" s="44">
        <f t="shared" si="413"/>
        <v>0</v>
      </c>
      <c r="R2635" s="71">
        <f>+Q2635/R2616</f>
        <v>0</v>
      </c>
      <c r="S2635" s="47"/>
      <c r="T2635" s="47"/>
    </row>
    <row r="2636" s="27" customFormat="1" ht="18" customHeight="1" spans="1:21">
      <c r="A2636" s="34"/>
      <c r="B2636" s="48">
        <v>8</v>
      </c>
      <c r="C2636" s="48"/>
      <c r="D2636" s="88"/>
      <c r="E2636" s="72"/>
      <c r="F2636" s="77">
        <f t="shared" si="412"/>
        <v>0</v>
      </c>
      <c r="G2636" s="89"/>
      <c r="H2636" s="74"/>
      <c r="I2636" s="74"/>
      <c r="J2636" s="95"/>
      <c r="K2636" s="92">
        <f ca="1">H2636*K2615</f>
        <v>0</v>
      </c>
      <c r="L2636" s="69" t="s">
        <v>447</v>
      </c>
      <c r="M2636" s="70" t="s">
        <v>1038</v>
      </c>
      <c r="N2636" s="34">
        <f>1.041+0.104</f>
        <v>1.145</v>
      </c>
      <c r="O2636" s="34">
        <f>O2634</f>
        <v>6.85</v>
      </c>
      <c r="P2636" s="34">
        <v>0</v>
      </c>
      <c r="Q2636" s="44">
        <f t="shared" si="413"/>
        <v>0</v>
      </c>
      <c r="R2636" s="71">
        <f>+Q2636/R2616</f>
        <v>0</v>
      </c>
      <c r="S2636" s="47">
        <v>0.172</v>
      </c>
      <c r="T2636" s="47">
        <f>O2636*P2636*S2636</f>
        <v>0</v>
      </c>
      <c r="U2636" s="76">
        <f>T2636/R2616</f>
        <v>0</v>
      </c>
    </row>
    <row r="2637" s="27" customFormat="1" ht="18" customHeight="1" spans="1:21">
      <c r="A2637" s="34"/>
      <c r="B2637" s="48">
        <v>9</v>
      </c>
      <c r="C2637" s="48"/>
      <c r="D2637" s="88" t="s">
        <v>476</v>
      </c>
      <c r="E2637" s="72" t="str">
        <f>+VLOOKUP(D2637,'材料表 '!C:F,2,0)</f>
        <v>支</v>
      </c>
      <c r="F2637" s="77">
        <f t="shared" si="412"/>
        <v>0.458786452740812</v>
      </c>
      <c r="G2637" s="89">
        <f>+VLOOKUP(D2637,'材料表 '!C:F,4,0)</f>
        <v>0.15</v>
      </c>
      <c r="H2637" s="74">
        <f t="shared" ref="H2637:H2641" si="414">F2637*(G2637+1)</f>
        <v>0.527604420651934</v>
      </c>
      <c r="I2637" s="74">
        <f>+VLOOKUP(D2637,'材料表 '!C:F,3,0)</f>
        <v>11.5044247787611</v>
      </c>
      <c r="J2637" s="95">
        <f t="shared" ref="J2637:J2641" si="415">H2637*I2637</f>
        <v>6.069785370332</v>
      </c>
      <c r="K2637" s="92">
        <f ca="1">H2637*K2615</f>
        <v>58.4569184063976</v>
      </c>
      <c r="L2637" s="69" t="s">
        <v>429</v>
      </c>
      <c r="M2637" s="70" t="s">
        <v>1010</v>
      </c>
      <c r="N2637" s="102">
        <f>2.9</f>
        <v>2.9</v>
      </c>
      <c r="O2637" s="34">
        <v>0.2</v>
      </c>
      <c r="P2637" s="34">
        <v>0</v>
      </c>
      <c r="Q2637" s="44">
        <f t="shared" si="413"/>
        <v>0</v>
      </c>
      <c r="R2637" s="71">
        <f>+Q2637/R2616</f>
        <v>0</v>
      </c>
      <c r="S2637" s="47"/>
      <c r="T2637" s="47"/>
    </row>
    <row r="2638" s="27" customFormat="1" ht="18" customHeight="1" spans="1:21">
      <c r="A2638" s="34"/>
      <c r="B2638" s="48">
        <v>10</v>
      </c>
      <c r="C2638" s="48"/>
      <c r="D2638" s="88" t="s">
        <v>474</v>
      </c>
      <c r="E2638" s="72" t="str">
        <f>+VLOOKUP(D2638,'材料表 '!C:F,2,0)</f>
        <v>套</v>
      </c>
      <c r="F2638" s="77">
        <f t="shared" si="412"/>
        <v>0.155056188486303</v>
      </c>
      <c r="G2638" s="89">
        <f>+VLOOKUP(D2638,'材料表 '!C:F,4,0)</f>
        <v>0</v>
      </c>
      <c r="H2638" s="74">
        <f t="shared" si="414"/>
        <v>0.155056188486303</v>
      </c>
      <c r="I2638" s="74">
        <f>+VLOOKUP(D2638,'材料表 '!C:F,3,0)</f>
        <v>2.21238938053097</v>
      </c>
      <c r="J2638" s="95">
        <f t="shared" si="415"/>
        <v>0.343044664792705</v>
      </c>
      <c r="K2638" s="92">
        <f ca="1">H2638*K2615</f>
        <v>17.1797403584124</v>
      </c>
      <c r="L2638" s="69" t="s">
        <v>429</v>
      </c>
      <c r="M2638" s="70" t="s">
        <v>1040</v>
      </c>
      <c r="N2638" s="34">
        <v>0.733</v>
      </c>
      <c r="O2638" s="100">
        <f>O2635*2</f>
        <v>4.56666666666667</v>
      </c>
      <c r="P2638" s="34">
        <v>0</v>
      </c>
      <c r="Q2638" s="44">
        <f t="shared" si="413"/>
        <v>0</v>
      </c>
      <c r="R2638" s="71">
        <f>+Q2638/R2616</f>
        <v>0</v>
      </c>
      <c r="S2638" s="79"/>
      <c r="T2638" s="47"/>
    </row>
    <row r="2639" s="27" customFormat="1" ht="18" customHeight="1" spans="1:21">
      <c r="A2639" s="34"/>
      <c r="B2639" s="48">
        <v>11</v>
      </c>
      <c r="C2639" s="48"/>
      <c r="D2639" s="88" t="s">
        <v>472</v>
      </c>
      <c r="E2639" s="72" t="str">
        <f>+VLOOKUP(D2639,'材料表 '!C:F,2,0)</f>
        <v>套</v>
      </c>
      <c r="F2639" s="77">
        <f t="shared" si="412"/>
        <v>0.0775280942431514</v>
      </c>
      <c r="G2639" s="89">
        <f>+VLOOKUP(D2639,'材料表 '!C:F,4,0)</f>
        <v>0</v>
      </c>
      <c r="H2639" s="74">
        <f t="shared" si="414"/>
        <v>0.0775280942431514</v>
      </c>
      <c r="I2639" s="74">
        <f>+VLOOKUP(D2639,'材料表 '!C:F,3,0)</f>
        <v>2.47787610619469</v>
      </c>
      <c r="J2639" s="95">
        <f t="shared" si="415"/>
        <v>0.192105012283915</v>
      </c>
      <c r="K2639" s="92">
        <f ca="1">H2639*K2615</f>
        <v>8.58987017920619</v>
      </c>
      <c r="L2639" s="69" t="s">
        <v>404</v>
      </c>
      <c r="M2639" s="70" t="s">
        <v>1041</v>
      </c>
      <c r="N2639" s="34">
        <v>3.727</v>
      </c>
      <c r="O2639" s="34">
        <v>0</v>
      </c>
      <c r="P2639" s="34">
        <v>1</v>
      </c>
      <c r="Q2639" s="44">
        <f t="shared" si="413"/>
        <v>0</v>
      </c>
      <c r="R2639" s="71">
        <f>+Q2639/R2616</f>
        <v>0</v>
      </c>
      <c r="S2639" s="47"/>
      <c r="T2639" s="47"/>
      <c r="U2639" s="76"/>
    </row>
    <row r="2640" s="27" customFormat="1" ht="18" customHeight="1" spans="1:21">
      <c r="A2640" s="34"/>
      <c r="B2640" s="48">
        <v>12</v>
      </c>
      <c r="C2640" s="48"/>
      <c r="D2640" s="88" t="s">
        <v>510</v>
      </c>
      <c r="E2640" s="72" t="str">
        <f>+VLOOKUP(D2640,'材料表 '!C:F,2,0)</f>
        <v>m2</v>
      </c>
      <c r="F2640" s="77">
        <v>0.9</v>
      </c>
      <c r="G2640" s="89">
        <f>+VLOOKUP(D2640,'材料表 '!C:F,4,0)</f>
        <v>0.02</v>
      </c>
      <c r="H2640" s="74">
        <f t="shared" si="414"/>
        <v>0.918</v>
      </c>
      <c r="I2640" s="74">
        <f>+VLOOKUP(D2640,'材料表 '!C:F,3,0)</f>
        <v>253.097345132743</v>
      </c>
      <c r="J2640" s="95">
        <f t="shared" si="415"/>
        <v>232.343362831858</v>
      </c>
      <c r="K2640" s="92">
        <f ca="1">H2640*K2615</f>
        <v>101.71152666</v>
      </c>
      <c r="L2640" s="69" t="s">
        <v>429</v>
      </c>
      <c r="M2640" s="81" t="s">
        <v>1027</v>
      </c>
      <c r="N2640" s="82">
        <v>0.735</v>
      </c>
      <c r="O2640" s="34">
        <v>0</v>
      </c>
      <c r="P2640" s="34">
        <v>1</v>
      </c>
      <c r="Q2640" s="44">
        <f t="shared" si="413"/>
        <v>0</v>
      </c>
      <c r="R2640" s="71">
        <f>+Q2640/R2616</f>
        <v>0</v>
      </c>
      <c r="S2640" s="47"/>
      <c r="T2640" s="47"/>
    </row>
    <row r="2641" s="27" customFormat="1" ht="18" customHeight="1" spans="1:21">
      <c r="A2641" s="34"/>
      <c r="B2641" s="48">
        <v>13</v>
      </c>
      <c r="C2641" s="48"/>
      <c r="D2641" s="88" t="s">
        <v>511</v>
      </c>
      <c r="E2641" s="72" t="str">
        <f>+VLOOKUP(D2641,'材料表 '!C:F,2,0)</f>
        <v>m2</v>
      </c>
      <c r="F2641" s="77">
        <v>0.1</v>
      </c>
      <c r="G2641" s="89">
        <f>+VLOOKUP(D2641,'材料表 '!C:F,4,0)</f>
        <v>0.02</v>
      </c>
      <c r="H2641" s="74">
        <f t="shared" si="414"/>
        <v>0.102</v>
      </c>
      <c r="I2641" s="74">
        <f>+VLOOKUP(D2641,'材料表 '!C:F,3,0)</f>
        <v>261.946902654867</v>
      </c>
      <c r="J2641" s="95">
        <f t="shared" si="415"/>
        <v>26.7185840707964</v>
      </c>
      <c r="K2641" s="92">
        <f ca="1">H2641*K2615</f>
        <v>11.30128074</v>
      </c>
      <c r="L2641" s="69" t="s">
        <v>447</v>
      </c>
      <c r="M2641" s="70" t="s">
        <v>1038</v>
      </c>
      <c r="N2641" s="83">
        <v>0.977</v>
      </c>
      <c r="O2641" s="34">
        <v>0</v>
      </c>
      <c r="P2641" s="34">
        <v>1</v>
      </c>
      <c r="Q2641" s="44">
        <f t="shared" si="413"/>
        <v>0</v>
      </c>
      <c r="R2641" s="84">
        <f>+Q2641/R2616</f>
        <v>0</v>
      </c>
      <c r="S2641" s="47">
        <v>0.185</v>
      </c>
      <c r="T2641" s="47">
        <f>O2641*P2641*S2641</f>
        <v>0</v>
      </c>
      <c r="U2641" s="27">
        <f>T2641/R2616</f>
        <v>0</v>
      </c>
    </row>
    <row r="2642" s="27" customFormat="1" ht="24" customHeight="1" spans="1:21">
      <c r="A2642" s="34"/>
      <c r="B2642" s="48">
        <v>14</v>
      </c>
      <c r="C2642" s="48"/>
      <c r="D2642" s="88"/>
      <c r="E2642" s="72"/>
      <c r="F2642" s="77"/>
      <c r="G2642" s="89"/>
      <c r="H2642" s="74"/>
      <c r="I2642" s="74"/>
      <c r="J2642" s="95"/>
      <c r="K2642" s="92">
        <f ca="1">H2642*K2615</f>
        <v>0</v>
      </c>
      <c r="L2642" s="69" t="s">
        <v>429</v>
      </c>
      <c r="M2642" s="81" t="s">
        <v>1042</v>
      </c>
      <c r="N2642" s="82">
        <v>0.687</v>
      </c>
      <c r="O2642" s="44">
        <v>0</v>
      </c>
      <c r="P2642" s="34">
        <v>0</v>
      </c>
      <c r="Q2642" s="44">
        <f t="shared" si="413"/>
        <v>0</v>
      </c>
      <c r="R2642" s="84">
        <f>+Q2642/R2616</f>
        <v>0</v>
      </c>
      <c r="S2642" s="47"/>
      <c r="T2642" s="47"/>
    </row>
    <row r="2643" s="27" customFormat="1" ht="18" customHeight="1" spans="1:21">
      <c r="A2643" s="34"/>
      <c r="B2643" s="48">
        <v>15</v>
      </c>
      <c r="C2643" s="48"/>
      <c r="D2643" s="88"/>
      <c r="E2643" s="72"/>
      <c r="F2643" s="77"/>
      <c r="G2643" s="89"/>
      <c r="H2643" s="74"/>
      <c r="I2643" s="74"/>
      <c r="J2643" s="95"/>
      <c r="K2643" s="92"/>
      <c r="L2643" s="92"/>
      <c r="M2643" s="44"/>
      <c r="N2643" s="44"/>
      <c r="O2643" s="44"/>
      <c r="P2643" s="44"/>
      <c r="Q2643" s="44"/>
      <c r="R2643" s="84"/>
      <c r="S2643" s="47"/>
      <c r="T2643" s="47"/>
    </row>
    <row r="2644" s="27" customFormat="1" ht="18" customHeight="1" spans="1:21">
      <c r="A2644" s="34"/>
      <c r="B2644" s="48">
        <v>16</v>
      </c>
      <c r="C2644" s="48"/>
      <c r="D2644" s="88"/>
      <c r="E2644" s="72"/>
      <c r="F2644" s="77"/>
      <c r="G2644" s="89"/>
      <c r="H2644" s="74"/>
      <c r="I2644" s="74"/>
      <c r="J2644" s="95"/>
      <c r="K2644" s="92"/>
      <c r="L2644" s="92"/>
      <c r="M2644" s="44"/>
      <c r="N2644" s="44"/>
      <c r="O2644" s="44"/>
      <c r="P2644" s="44"/>
      <c r="Q2644" s="44"/>
      <c r="R2644" s="84"/>
      <c r="S2644" s="47"/>
      <c r="T2644" s="47"/>
    </row>
    <row r="2645" s="27" customFormat="1" ht="18" customHeight="1" spans="1:21">
      <c r="A2645" s="34"/>
      <c r="B2645" s="48">
        <v>17</v>
      </c>
      <c r="C2645" s="48"/>
      <c r="D2645" s="121"/>
      <c r="E2645" s="72"/>
      <c r="F2645" s="77"/>
      <c r="G2645" s="89"/>
      <c r="H2645" s="74"/>
      <c r="I2645" s="74"/>
      <c r="J2645" s="95"/>
      <c r="K2645" s="92"/>
      <c r="L2645" s="92"/>
      <c r="M2645" s="44"/>
      <c r="N2645" s="44"/>
      <c r="O2645" s="44"/>
      <c r="P2645" s="44"/>
      <c r="Q2645" s="101"/>
      <c r="R2645" s="84"/>
      <c r="S2645" s="47"/>
      <c r="T2645" s="47"/>
    </row>
    <row r="2646" s="27" customFormat="1" ht="18" customHeight="1" spans="1:21">
      <c r="A2646" s="34"/>
      <c r="B2646" s="48">
        <v>18</v>
      </c>
      <c r="C2646" s="48"/>
      <c r="D2646" s="88"/>
      <c r="E2646" s="72"/>
      <c r="F2646" s="77"/>
      <c r="G2646" s="89"/>
      <c r="H2646" s="74"/>
      <c r="I2646" s="74"/>
      <c r="J2646" s="95"/>
      <c r="K2646" s="92"/>
      <c r="L2646" s="92"/>
      <c r="M2646" s="44"/>
      <c r="N2646" s="44"/>
      <c r="O2646" s="44"/>
      <c r="P2646" s="44"/>
      <c r="Q2646" s="44"/>
      <c r="R2646" s="84"/>
      <c r="S2646" s="47"/>
      <c r="T2646" s="47"/>
    </row>
    <row r="2647" s="27" customFormat="1" ht="18" customHeight="1" spans="1:21">
      <c r="A2647" s="34"/>
      <c r="B2647" s="48">
        <v>19</v>
      </c>
      <c r="C2647" s="48"/>
      <c r="D2647" s="27"/>
      <c r="E2647" s="72"/>
      <c r="F2647" s="77"/>
      <c r="G2647" s="89"/>
      <c r="H2647" s="74"/>
      <c r="I2647" s="74"/>
      <c r="J2647" s="95"/>
      <c r="K2647" s="92"/>
      <c r="L2647" s="92"/>
      <c r="M2647" s="44"/>
      <c r="N2647" s="44"/>
      <c r="O2647" s="44"/>
      <c r="P2647" s="44"/>
      <c r="Q2647" s="44"/>
      <c r="R2647" s="84"/>
      <c r="S2647" s="47"/>
      <c r="T2647" s="47"/>
    </row>
    <row r="2648" s="27" customFormat="1" ht="18" customHeight="1" spans="1:21">
      <c r="A2648" s="34"/>
      <c r="B2648" s="48">
        <v>20</v>
      </c>
      <c r="C2648" s="48"/>
      <c r="D2648" s="88"/>
      <c r="E2648" s="72"/>
      <c r="F2648" s="77"/>
      <c r="G2648" s="89"/>
      <c r="H2648" s="74"/>
      <c r="I2648" s="74"/>
      <c r="J2648" s="95"/>
      <c r="K2648" s="92"/>
      <c r="L2648" s="92"/>
      <c r="M2648" s="44"/>
      <c r="N2648" s="44"/>
      <c r="O2648" s="44"/>
      <c r="P2648" s="44"/>
      <c r="Q2648" s="44"/>
      <c r="R2648" s="84"/>
      <c r="S2648" s="47"/>
      <c r="T2648" s="47"/>
    </row>
    <row r="2649" s="27" customFormat="1" ht="18" customHeight="1" spans="1:21">
      <c r="A2649" s="34"/>
      <c r="B2649" s="48">
        <v>21</v>
      </c>
      <c r="C2649" s="48"/>
      <c r="D2649" s="88"/>
      <c r="E2649" s="72"/>
      <c r="F2649" s="77"/>
      <c r="G2649" s="89"/>
      <c r="H2649" s="74"/>
      <c r="I2649" s="74"/>
      <c r="J2649" s="95"/>
      <c r="K2649" s="92"/>
      <c r="L2649" s="92"/>
      <c r="M2649" s="44"/>
      <c r="N2649" s="44"/>
      <c r="O2649" s="44"/>
      <c r="P2649" s="44"/>
      <c r="Q2649" s="44"/>
      <c r="R2649" s="84"/>
      <c r="S2649" s="47"/>
      <c r="T2649" s="47"/>
    </row>
    <row r="2650" s="27" customFormat="1" ht="18" customHeight="1" spans="1:21">
      <c r="A2650" s="34"/>
      <c r="B2650" s="48">
        <v>22</v>
      </c>
      <c r="C2650" s="48"/>
      <c r="D2650" s="27"/>
      <c r="E2650" s="72"/>
      <c r="F2650" s="77"/>
      <c r="G2650" s="72"/>
      <c r="H2650" s="74"/>
      <c r="I2650" s="74"/>
      <c r="J2650" s="95"/>
      <c r="K2650" s="92"/>
      <c r="L2650" s="92"/>
      <c r="M2650" s="44"/>
      <c r="N2650" s="44"/>
      <c r="O2650" s="44"/>
      <c r="P2650" s="44"/>
      <c r="Q2650" s="44"/>
      <c r="R2650" s="62"/>
      <c r="S2650" s="47"/>
      <c r="T2650" s="47"/>
    </row>
    <row r="2651" s="27" customFormat="1" ht="18" customHeight="1" spans="1:21">
      <c r="A2651" s="34"/>
      <c r="B2651" s="48">
        <v>23</v>
      </c>
      <c r="C2651" s="48"/>
      <c r="D2651" s="88"/>
      <c r="E2651" s="72"/>
      <c r="F2651" s="77"/>
      <c r="G2651" s="89"/>
      <c r="H2651" s="74"/>
      <c r="I2651" s="74"/>
      <c r="J2651" s="95"/>
      <c r="K2651" s="92"/>
      <c r="L2651" s="92"/>
      <c r="M2651" s="44"/>
      <c r="N2651" s="44"/>
      <c r="O2651" s="44"/>
      <c r="P2651" s="44"/>
      <c r="Q2651" s="44"/>
      <c r="R2651" s="62"/>
      <c r="S2651" s="47"/>
      <c r="T2651" s="47"/>
    </row>
    <row r="2652" s="27" customFormat="1" ht="18" customHeight="1" spans="1:21">
      <c r="A2652" s="34"/>
      <c r="B2652" s="48">
        <v>24</v>
      </c>
      <c r="C2652" s="48"/>
      <c r="D2652" s="88" t="s">
        <v>478</v>
      </c>
      <c r="E2652" s="72" t="s">
        <v>43</v>
      </c>
      <c r="F2652" s="77"/>
      <c r="G2652" s="72">
        <v>1</v>
      </c>
      <c r="H2652" s="74">
        <v>1</v>
      </c>
      <c r="I2652" s="74">
        <f>+辅材及安装费!$E$3</f>
        <v>5</v>
      </c>
      <c r="J2652" s="95">
        <f>H2652*I2652</f>
        <v>5</v>
      </c>
      <c r="K2652" s="92"/>
      <c r="L2652" s="92"/>
      <c r="M2652" s="44"/>
      <c r="N2652" s="44"/>
      <c r="O2652" s="44"/>
      <c r="P2652" s="44"/>
      <c r="Q2652" s="44"/>
      <c r="R2652" s="62"/>
      <c r="S2652" s="47"/>
      <c r="T2652" s="47"/>
    </row>
    <row r="2653" s="27" customFormat="1" ht="18" customHeight="1" spans="1:21">
      <c r="A2653" s="34"/>
      <c r="B2653" s="48">
        <v>25</v>
      </c>
      <c r="C2653" s="48"/>
      <c r="D2653" s="93" t="s">
        <v>442</v>
      </c>
      <c r="E2653" s="72"/>
      <c r="F2653" s="77"/>
      <c r="G2653" s="72"/>
      <c r="H2653" s="74"/>
      <c r="I2653" s="74"/>
      <c r="J2653" s="95">
        <f>SUM(J2629:J2652)</f>
        <v>382.021173080707</v>
      </c>
      <c r="K2653" s="92"/>
      <c r="L2653" s="94"/>
      <c r="M2653" s="27"/>
      <c r="N2653" s="83"/>
      <c r="O2653" s="83"/>
      <c r="P2653" s="83"/>
      <c r="Q2653" s="83"/>
      <c r="R2653" s="87"/>
      <c r="S2653" s="47"/>
      <c r="T2653" s="47"/>
    </row>
    <row r="2654" s="27" customFormat="1" ht="18" customHeight="1" spans="1:21">
      <c r="A2654" s="34"/>
      <c r="B2654" s="48">
        <v>1</v>
      </c>
      <c r="C2654" s="48" t="s">
        <v>443</v>
      </c>
      <c r="D2654" s="48" t="s">
        <v>444</v>
      </c>
      <c r="E2654" s="72" t="s">
        <v>43</v>
      </c>
      <c r="F2654" s="50"/>
      <c r="G2654" s="48"/>
      <c r="H2654" s="51">
        <v>1</v>
      </c>
      <c r="I2654" s="74">
        <f>+辅材及安装费!$F$3</f>
        <v>5</v>
      </c>
      <c r="J2654" s="95">
        <f>H2654*I2654</f>
        <v>5</v>
      </c>
      <c r="K2654" s="118"/>
      <c r="L2654" s="96"/>
      <c r="M2654" s="97"/>
      <c r="N2654" s="98"/>
      <c r="O2654" s="98"/>
      <c r="P2654" s="98"/>
      <c r="Q2654" s="98"/>
      <c r="R2654" s="99"/>
      <c r="S2654" s="47"/>
      <c r="T2654" s="47"/>
    </row>
    <row r="2655" s="26" customFormat="1" ht="30" customHeight="1" spans="1:21">
      <c r="A2655" s="28"/>
      <c r="B2655" s="29" t="s">
        <v>386</v>
      </c>
      <c r="C2655" s="29"/>
      <c r="D2655" s="29"/>
      <c r="E2655" s="29"/>
      <c r="F2655" s="29"/>
      <c r="G2655" s="29"/>
      <c r="H2655" s="29"/>
      <c r="I2655" s="29"/>
      <c r="J2655" s="29"/>
      <c r="K2655" s="29"/>
      <c r="L2655" s="30"/>
      <c r="M2655" s="31"/>
      <c r="N2655" s="31"/>
      <c r="O2655" s="31"/>
      <c r="P2655" s="31"/>
      <c r="Q2655" s="31"/>
      <c r="R2655" s="32"/>
      <c r="S2655" s="33"/>
      <c r="T2655" s="33"/>
    </row>
    <row r="2656" s="27" customFormat="1" ht="33.75" customHeight="1" spans="1:21">
      <c r="A2656" s="34">
        <v>12</v>
      </c>
      <c r="B2656" s="35" t="s">
        <v>1</v>
      </c>
      <c r="C2656" s="35" t="s">
        <v>387</v>
      </c>
      <c r="D2656" s="36" t="str">
        <f>+A2664</f>
        <v>香槟色铝板（弧形）</v>
      </c>
      <c r="E2656" s="37"/>
      <c r="F2656" s="38" t="s">
        <v>119</v>
      </c>
      <c r="G2656" s="39"/>
      <c r="H2656" s="35" t="s">
        <v>388</v>
      </c>
      <c r="I2656" s="40" t="s">
        <v>389</v>
      </c>
      <c r="J2656" s="41" t="s">
        <v>37</v>
      </c>
      <c r="K2656" s="122">
        <f ca="1">VLOOKUP(A2656,'商业工程量清单 '!$A$59:$D$81,4,FALSE)</f>
        <v>6.233175</v>
      </c>
      <c r="L2656" s="43"/>
      <c r="M2656" s="44"/>
      <c r="N2656" s="44"/>
      <c r="O2656" s="44"/>
      <c r="P2656" s="45"/>
      <c r="Q2656" s="44"/>
      <c r="R2656" s="46"/>
      <c r="S2656" s="47"/>
      <c r="T2656" s="47"/>
    </row>
    <row r="2657" s="27" customFormat="1" ht="25" customHeight="1" spans="1:20">
      <c r="A2657" s="34"/>
      <c r="B2657" s="48">
        <v>1</v>
      </c>
      <c r="C2657" s="49" t="s">
        <v>390</v>
      </c>
      <c r="D2657" s="48" t="s">
        <v>391</v>
      </c>
      <c r="E2657" s="48"/>
      <c r="F2657" s="50"/>
      <c r="G2657" s="48"/>
      <c r="H2657" s="51"/>
      <c r="I2657" s="52">
        <f>J2669</f>
        <v>165</v>
      </c>
      <c r="J2657" s="53" t="s">
        <v>392</v>
      </c>
      <c r="K2657" s="54"/>
      <c r="L2657" s="55"/>
      <c r="M2657" s="56" t="s">
        <v>1070</v>
      </c>
      <c r="N2657" s="57"/>
      <c r="O2657" s="57">
        <v>1.8</v>
      </c>
      <c r="P2657" s="57">
        <v>0.785</v>
      </c>
      <c r="Q2657" s="57">
        <v>1</v>
      </c>
      <c r="R2657" s="58">
        <f>+Q2657*P2657*O2657</f>
        <v>1.413</v>
      </c>
      <c r="S2657" s="47"/>
      <c r="T2657" s="47"/>
    </row>
    <row r="2658" s="27" customFormat="1" ht="18" customHeight="1" spans="1:20">
      <c r="A2658" s="34"/>
      <c r="B2658" s="48">
        <v>2</v>
      </c>
      <c r="C2658" s="59"/>
      <c r="D2658" s="48" t="s">
        <v>394</v>
      </c>
      <c r="E2658" s="48"/>
      <c r="F2658" s="50"/>
      <c r="G2658" s="48"/>
      <c r="H2658" s="51"/>
      <c r="I2658" s="52">
        <f>J2694</f>
        <v>549.344324147941</v>
      </c>
      <c r="J2658" s="53" t="s">
        <v>392</v>
      </c>
      <c r="K2658" s="60"/>
      <c r="L2658" s="61" t="s">
        <v>119</v>
      </c>
      <c r="M2658" s="44"/>
      <c r="N2658" s="44"/>
      <c r="O2658" s="44"/>
      <c r="P2658" s="44"/>
      <c r="Q2658" s="44"/>
      <c r="R2658" s="62"/>
      <c r="S2658" s="47"/>
      <c r="T2658" s="47"/>
    </row>
    <row r="2659" s="27" customFormat="1" ht="18" customHeight="1" spans="1:20">
      <c r="A2659" s="34"/>
      <c r="B2659" s="48">
        <v>3</v>
      </c>
      <c r="C2659" s="63"/>
      <c r="D2659" s="48" t="s">
        <v>395</v>
      </c>
      <c r="E2659" s="48"/>
      <c r="F2659" s="50"/>
      <c r="G2659" s="48"/>
      <c r="H2659" s="51"/>
      <c r="I2659" s="52">
        <f>J2695</f>
        <v>5</v>
      </c>
      <c r="J2659" s="53" t="s">
        <v>392</v>
      </c>
      <c r="K2659" s="60"/>
      <c r="L2659" s="60"/>
      <c r="M2659" s="65" t="s">
        <v>396</v>
      </c>
      <c r="N2659" s="65" t="s">
        <v>397</v>
      </c>
      <c r="O2659" s="65" t="s">
        <v>398</v>
      </c>
      <c r="P2659" s="65" t="s">
        <v>399</v>
      </c>
      <c r="Q2659" s="65" t="s">
        <v>400</v>
      </c>
      <c r="R2659" s="66" t="s">
        <v>401</v>
      </c>
      <c r="S2659" s="47"/>
      <c r="T2659" s="47"/>
    </row>
    <row r="2660" s="27" customFormat="1" ht="18" customHeight="1" spans="1:20">
      <c r="A2660" s="34"/>
      <c r="B2660" s="48">
        <v>4</v>
      </c>
      <c r="C2660" s="48" t="s">
        <v>402</v>
      </c>
      <c r="D2660" s="67" t="s">
        <v>403</v>
      </c>
      <c r="E2660" s="67"/>
      <c r="F2660" s="50"/>
      <c r="G2660" s="67"/>
      <c r="H2660" s="68"/>
      <c r="I2660" s="52">
        <f>SUM(I2657:I2659)</f>
        <v>719.344324147941</v>
      </c>
      <c r="J2660" s="53" t="s">
        <v>392</v>
      </c>
      <c r="K2660" s="60"/>
      <c r="L2660" s="69" t="s">
        <v>431</v>
      </c>
      <c r="M2660" s="34" t="s">
        <v>1071</v>
      </c>
      <c r="N2660" s="34">
        <v>14.57</v>
      </c>
      <c r="O2660" s="34">
        <f>P2657</f>
        <v>0.785</v>
      </c>
      <c r="P2660" s="34">
        <v>1</v>
      </c>
      <c r="Q2660" s="44">
        <f t="shared" ref="Q2660:Q2667" si="416">+P2660*O2660*N2660</f>
        <v>11.43745</v>
      </c>
      <c r="R2660" s="71">
        <f>+Q2660/R2657</f>
        <v>8.09444444444444</v>
      </c>
      <c r="S2660" s="47"/>
      <c r="T2660" s="47"/>
    </row>
    <row r="2661" s="27" customFormat="1" ht="28" customHeight="1" spans="1:20">
      <c r="A2661" s="34"/>
      <c r="B2661" s="48">
        <v>5</v>
      </c>
      <c r="C2661" s="72" t="s">
        <v>406</v>
      </c>
      <c r="D2661" s="48" t="s">
        <v>407</v>
      </c>
      <c r="E2661" s="48"/>
      <c r="F2661" s="50"/>
      <c r="G2661" s="48"/>
      <c r="H2661" s="73">
        <f>+'材料表 '!$E$178</f>
        <v>0</v>
      </c>
      <c r="I2661" s="52">
        <f>H2661*I2660</f>
        <v>0</v>
      </c>
      <c r="J2661" s="53" t="s">
        <v>392</v>
      </c>
      <c r="K2661" s="60"/>
      <c r="L2661" s="69" t="s">
        <v>461</v>
      </c>
      <c r="M2661" s="34" t="s">
        <v>462</v>
      </c>
      <c r="N2661" s="34">
        <v>3.77</v>
      </c>
      <c r="O2661" s="34">
        <f>+O2657</f>
        <v>1.8</v>
      </c>
      <c r="P2661" s="34">
        <v>0</v>
      </c>
      <c r="Q2661" s="44">
        <f t="shared" si="416"/>
        <v>0</v>
      </c>
      <c r="R2661" s="71">
        <f>+Q2661/R2657</f>
        <v>0</v>
      </c>
      <c r="S2661" s="47"/>
      <c r="T2661" s="47"/>
    </row>
    <row r="2662" s="27" customFormat="1" ht="18" customHeight="1" spans="1:20">
      <c r="A2662" s="34"/>
      <c r="B2662" s="48">
        <v>6</v>
      </c>
      <c r="C2662" s="48" t="s">
        <v>409</v>
      </c>
      <c r="D2662" s="48" t="s">
        <v>410</v>
      </c>
      <c r="E2662" s="48"/>
      <c r="F2662" s="50"/>
      <c r="G2662" s="48"/>
      <c r="H2662" s="73">
        <f>+'材料表 '!$E$179</f>
        <v>0</v>
      </c>
      <c r="I2662" s="52">
        <f>H2662*I2660</f>
        <v>0</v>
      </c>
      <c r="J2662" s="53" t="s">
        <v>392</v>
      </c>
      <c r="K2662" s="60"/>
      <c r="L2662" s="69" t="s">
        <v>431</v>
      </c>
      <c r="M2662" s="34" t="s">
        <v>1065</v>
      </c>
      <c r="N2662" s="34">
        <v>8.65</v>
      </c>
      <c r="O2662" s="34">
        <f>O2657</f>
        <v>1.8</v>
      </c>
      <c r="P2662" s="34">
        <v>1</v>
      </c>
      <c r="Q2662" s="44">
        <f t="shared" si="416"/>
        <v>15.57</v>
      </c>
      <c r="R2662" s="71">
        <f>+Q2662/R2657</f>
        <v>11.0191082802548</v>
      </c>
      <c r="S2662" s="47"/>
      <c r="T2662" s="47"/>
    </row>
    <row r="2663" s="27" customFormat="1" ht="18" customHeight="1" spans="1:20">
      <c r="A2663" s="34"/>
      <c r="B2663" s="48">
        <v>7</v>
      </c>
      <c r="C2663" s="48" t="s">
        <v>412</v>
      </c>
      <c r="D2663" s="72" t="s">
        <v>413</v>
      </c>
      <c r="E2663" s="72"/>
      <c r="F2663" s="77"/>
      <c r="G2663" s="72"/>
      <c r="H2663" s="73">
        <f>+'材料表 '!$E$180</f>
        <v>0.09</v>
      </c>
      <c r="I2663" s="52">
        <f>(I2660+I2661+I2662)*H2663</f>
        <v>64.7409891733147</v>
      </c>
      <c r="J2663" s="53" t="s">
        <v>392</v>
      </c>
      <c r="K2663" s="60"/>
      <c r="L2663" s="69" t="s">
        <v>463</v>
      </c>
      <c r="M2663" s="34" t="s">
        <v>490</v>
      </c>
      <c r="N2663" s="34">
        <f>0.3*0.2*7.85*10</f>
        <v>4.71</v>
      </c>
      <c r="O2663" s="34">
        <v>4</v>
      </c>
      <c r="P2663" s="34">
        <v>0</v>
      </c>
      <c r="Q2663" s="44">
        <f t="shared" si="416"/>
        <v>0</v>
      </c>
      <c r="R2663" s="71">
        <f>+Q2663/R2657</f>
        <v>0</v>
      </c>
      <c r="S2663" s="47"/>
      <c r="T2663" s="47"/>
    </row>
    <row r="2664" s="27" customFormat="1" ht="18" customHeight="1" spans="1:20">
      <c r="A2664" s="34" t="s">
        <v>324</v>
      </c>
      <c r="B2664" s="48">
        <v>8</v>
      </c>
      <c r="C2664" s="48" t="s">
        <v>363</v>
      </c>
      <c r="D2664" s="106" t="s">
        <v>415</v>
      </c>
      <c r="E2664" s="107"/>
      <c r="F2664" s="108"/>
      <c r="G2664" s="107"/>
      <c r="H2664" s="51"/>
      <c r="I2664" s="74">
        <f>SUM(I2660:I2663)</f>
        <v>784.085313321256</v>
      </c>
      <c r="J2664" s="53" t="s">
        <v>416</v>
      </c>
      <c r="K2664" s="60"/>
      <c r="L2664" s="69" t="s">
        <v>465</v>
      </c>
      <c r="M2664" s="34" t="s">
        <v>1066</v>
      </c>
      <c r="N2664" s="100">
        <f>0.36*5*7.85</f>
        <v>14.13</v>
      </c>
      <c r="O2664" s="34">
        <f>110/1000</f>
        <v>0.11</v>
      </c>
      <c r="P2664" s="44">
        <f>+P2663*O2663*2</f>
        <v>0</v>
      </c>
      <c r="Q2664" s="44">
        <f t="shared" si="416"/>
        <v>0</v>
      </c>
      <c r="R2664" s="84">
        <f>+Q2664/R2657</f>
        <v>0</v>
      </c>
      <c r="S2664" s="79"/>
      <c r="T2664" s="47"/>
    </row>
    <row r="2665" s="27" customFormat="1" ht="18" customHeight="1" spans="1:20">
      <c r="A2665" s="34"/>
      <c r="B2665" s="109" t="s">
        <v>418</v>
      </c>
      <c r="C2665" s="110"/>
      <c r="D2665" s="110"/>
      <c r="E2665" s="110"/>
      <c r="F2665" s="110"/>
      <c r="G2665" s="110"/>
      <c r="H2665" s="110"/>
      <c r="I2665" s="110"/>
      <c r="J2665" s="110"/>
      <c r="K2665" s="80"/>
      <c r="L2665" s="69" t="s">
        <v>433</v>
      </c>
      <c r="M2665" s="44"/>
      <c r="N2665" s="82">
        <f>0.056*3*2.71+0.0675*3*2.71</f>
        <v>1.004055</v>
      </c>
      <c r="O2665" s="44">
        <f>O2657</f>
        <v>1.8</v>
      </c>
      <c r="P2665" s="44">
        <v>1</v>
      </c>
      <c r="Q2665" s="44">
        <f t="shared" si="416"/>
        <v>1.807299</v>
      </c>
      <c r="R2665" s="84">
        <f>+Q2665/R2657</f>
        <v>1.27905095541401</v>
      </c>
      <c r="S2665" s="47">
        <f>0.16*P2665*O2665/R2657</f>
        <v>0.203821656050955</v>
      </c>
      <c r="T2665" s="47"/>
    </row>
    <row r="2666" s="27" customFormat="1" ht="18" customHeight="1" spans="1:20">
      <c r="A2666" s="34"/>
      <c r="B2666" s="48">
        <v>1</v>
      </c>
      <c r="C2666" s="48" t="s">
        <v>391</v>
      </c>
      <c r="D2666" s="48" t="s">
        <v>396</v>
      </c>
      <c r="E2666" s="48" t="s">
        <v>37</v>
      </c>
      <c r="F2666" s="50"/>
      <c r="G2666" s="48"/>
      <c r="H2666" s="51" t="s">
        <v>399</v>
      </c>
      <c r="I2666" s="51" t="s">
        <v>420</v>
      </c>
      <c r="J2666" s="95" t="s">
        <v>421</v>
      </c>
      <c r="K2666" s="92"/>
      <c r="L2666" s="69" t="s">
        <v>433</v>
      </c>
      <c r="M2666" s="44"/>
      <c r="N2666" s="82">
        <f>0.056*3*2.71+0.0675*3*2.71</f>
        <v>1.004055</v>
      </c>
      <c r="O2666" s="44">
        <f>P2657</f>
        <v>0.785</v>
      </c>
      <c r="P2666" s="44">
        <v>1</v>
      </c>
      <c r="Q2666" s="44">
        <f t="shared" si="416"/>
        <v>0.788183175</v>
      </c>
      <c r="R2666" s="84">
        <f>+Q2666/R2657</f>
        <v>0.557808333333333</v>
      </c>
      <c r="S2666" s="47"/>
      <c r="T2666" s="47"/>
    </row>
    <row r="2667" s="27" customFormat="1" ht="18" customHeight="1" spans="1:20">
      <c r="A2667" s="34"/>
      <c r="B2667" s="48">
        <v>2</v>
      </c>
      <c r="C2667" s="48"/>
      <c r="D2667" s="111" t="s">
        <v>491</v>
      </c>
      <c r="E2667" s="49" t="s">
        <v>423</v>
      </c>
      <c r="F2667" s="112"/>
      <c r="G2667" s="111"/>
      <c r="H2667" s="113">
        <v>1</v>
      </c>
      <c r="I2667" s="113">
        <f>+辅材及安装费!$G$3</f>
        <v>165</v>
      </c>
      <c r="J2667" s="114">
        <f t="shared" ref="J2667:J2675" si="417">H2667*I2667</f>
        <v>165</v>
      </c>
      <c r="K2667" s="92"/>
      <c r="L2667" s="69" t="s">
        <v>461</v>
      </c>
      <c r="M2667" s="34" t="s">
        <v>462</v>
      </c>
      <c r="N2667" s="34">
        <v>3.77</v>
      </c>
      <c r="O2667" s="34">
        <v>0.65</v>
      </c>
      <c r="P2667" s="34">
        <v>0</v>
      </c>
      <c r="Q2667" s="44">
        <f t="shared" si="416"/>
        <v>0</v>
      </c>
      <c r="R2667" s="84">
        <f>+Q2667/R2657</f>
        <v>0</v>
      </c>
      <c r="S2667" s="47"/>
      <c r="T2667" s="47"/>
    </row>
    <row r="2668" s="27" customFormat="1" ht="18" customHeight="1" spans="1:20">
      <c r="A2668" s="34"/>
      <c r="B2668" s="48">
        <v>3</v>
      </c>
      <c r="C2668" s="48"/>
      <c r="D2668" s="115"/>
      <c r="E2668" s="63"/>
      <c r="F2668" s="116"/>
      <c r="G2668" s="115"/>
      <c r="H2668" s="117"/>
      <c r="I2668" s="117"/>
      <c r="J2668" s="118"/>
      <c r="K2668" s="92"/>
      <c r="L2668" s="90" t="s">
        <v>472</v>
      </c>
      <c r="M2668" s="44"/>
      <c r="N2668" s="82"/>
      <c r="O2668" s="44"/>
      <c r="P2668" s="44">
        <f>+P2664</f>
        <v>0</v>
      </c>
      <c r="Q2668" s="44">
        <f>+P2668</f>
        <v>0</v>
      </c>
      <c r="R2668" s="84">
        <f>+Q2668/R2657</f>
        <v>0</v>
      </c>
      <c r="S2668" s="47"/>
      <c r="T2668" s="47"/>
    </row>
    <row r="2669" s="27" customFormat="1" ht="18" customHeight="1" spans="1:20">
      <c r="A2669" s="34"/>
      <c r="B2669" s="48">
        <v>4</v>
      </c>
      <c r="C2669" s="48"/>
      <c r="D2669" s="85" t="s">
        <v>426</v>
      </c>
      <c r="E2669" s="48" t="s">
        <v>392</v>
      </c>
      <c r="F2669" s="50"/>
      <c r="G2669" s="48"/>
      <c r="H2669" s="86"/>
      <c r="I2669" s="86"/>
      <c r="J2669" s="95">
        <f>SUM(J2667:J2667)</f>
        <v>165</v>
      </c>
      <c r="K2669" s="92"/>
      <c r="L2669" s="90" t="s">
        <v>473</v>
      </c>
      <c r="M2669" s="44"/>
      <c r="N2669" s="82"/>
      <c r="O2669" s="44"/>
      <c r="P2669" s="44"/>
      <c r="Q2669" s="44">
        <f>+(Q2666)*2</f>
        <v>1.57636635</v>
      </c>
      <c r="R2669" s="84">
        <f>+Q2669/R2657</f>
        <v>1.11561666666667</v>
      </c>
      <c r="S2669" s="47"/>
      <c r="T2669" s="47"/>
    </row>
    <row r="2670" s="27" customFormat="1" ht="24" customHeight="1" spans="1:20">
      <c r="A2670" s="34"/>
      <c r="B2670" s="48">
        <v>1</v>
      </c>
      <c r="C2670" s="48" t="s">
        <v>394</v>
      </c>
      <c r="D2670" s="88" t="s">
        <v>431</v>
      </c>
      <c r="E2670" s="72" t="str">
        <f>+VLOOKUP(D2670,'材料表 '!C:F,2,0)</f>
        <v>kg</v>
      </c>
      <c r="F2670" s="77">
        <f>+SUMIF($L$2657:$L$2695,D2670,$R$2657:$R$2695)</f>
        <v>19.1135527246992</v>
      </c>
      <c r="G2670" s="89">
        <f>+VLOOKUP(D2670,'材料表 '!C:F,4,0)</f>
        <v>0.03</v>
      </c>
      <c r="H2670" s="74">
        <f t="shared" ref="H2670:H2675" si="418">F2670*(G2670+1)</f>
        <v>19.6869593064402</v>
      </c>
      <c r="I2670" s="74">
        <f>+VLOOKUP(D2670,'材料表 '!C:F,3,0)</f>
        <v>3.80530973451327</v>
      </c>
      <c r="J2670" s="95">
        <f t="shared" si="417"/>
        <v>74.9149778917634</v>
      </c>
      <c r="K2670" s="92">
        <f ca="1">H2670*K2656</f>
        <v>122.71226257492</v>
      </c>
      <c r="L2670" s="90"/>
      <c r="M2670" s="44"/>
      <c r="N2670" s="82"/>
      <c r="O2670" s="44"/>
      <c r="P2670" s="44"/>
      <c r="Q2670" s="44"/>
      <c r="R2670" s="84"/>
      <c r="S2670" s="47"/>
      <c r="T2670" s="47"/>
    </row>
    <row r="2671" s="27" customFormat="1" ht="18" customHeight="1" spans="1:20">
      <c r="A2671" s="34"/>
      <c r="B2671" s="48">
        <v>2</v>
      </c>
      <c r="C2671" s="48"/>
      <c r="D2671" s="88" t="s">
        <v>461</v>
      </c>
      <c r="E2671" s="72" t="str">
        <f>+VLOOKUP(D2671,'材料表 '!C:F,2,0)</f>
        <v>kg</v>
      </c>
      <c r="F2671" s="77">
        <f t="shared" ref="F2671:F2680" si="419">+SUMIF($L$2657:$L$2695,D2671,$R$2657:$R$2695)</f>
        <v>0</v>
      </c>
      <c r="G2671" s="89">
        <f>+VLOOKUP(D2671,'材料表 '!C:F,4,0)</f>
        <v>0.03</v>
      </c>
      <c r="H2671" s="74">
        <f t="shared" si="418"/>
        <v>0</v>
      </c>
      <c r="I2671" s="74">
        <f>+VLOOKUP(D2671,'材料表 '!C:F,3,0)</f>
        <v>3.53982300884956</v>
      </c>
      <c r="J2671" s="95">
        <f t="shared" si="417"/>
        <v>0</v>
      </c>
      <c r="K2671" s="92">
        <f ca="1">H2671*K2656</f>
        <v>0</v>
      </c>
      <c r="L2671" s="90"/>
      <c r="M2671" s="44"/>
      <c r="N2671" s="82"/>
      <c r="O2671" s="44"/>
      <c r="P2671" s="44"/>
      <c r="Q2671" s="44"/>
      <c r="R2671" s="84"/>
      <c r="S2671" s="47"/>
      <c r="T2671" s="47"/>
    </row>
    <row r="2672" s="27" customFormat="1" ht="18" customHeight="1" spans="1:20">
      <c r="A2672" s="34"/>
      <c r="B2672" s="48">
        <v>3</v>
      </c>
      <c r="C2672" s="48"/>
      <c r="D2672" s="88" t="s">
        <v>465</v>
      </c>
      <c r="E2672" s="72" t="str">
        <f>+VLOOKUP(D2672,'材料表 '!C:F,2,0)</f>
        <v>kg</v>
      </c>
      <c r="F2672" s="77">
        <f t="shared" si="419"/>
        <v>0</v>
      </c>
      <c r="G2672" s="89">
        <f>+VLOOKUP(D2672,'材料表 '!C:F,4,0)</f>
        <v>0.03</v>
      </c>
      <c r="H2672" s="74">
        <f t="shared" si="418"/>
        <v>0</v>
      </c>
      <c r="I2672" s="74">
        <f>+VLOOKUP(D2672,'材料表 '!C:F,3,0)</f>
        <v>6.01769911504425</v>
      </c>
      <c r="J2672" s="95">
        <f t="shared" si="417"/>
        <v>0</v>
      </c>
      <c r="K2672" s="92">
        <f ca="1">H2672*K2656</f>
        <v>0</v>
      </c>
      <c r="L2672" s="90"/>
      <c r="M2672" s="44"/>
      <c r="N2672" s="82"/>
      <c r="O2672" s="44"/>
      <c r="P2672" s="44"/>
      <c r="Q2672" s="44"/>
      <c r="R2672" s="84"/>
      <c r="S2672" s="47"/>
      <c r="T2672" s="47"/>
    </row>
    <row r="2673" s="27" customFormat="1" ht="18" customHeight="1" spans="1:21">
      <c r="A2673" s="34"/>
      <c r="B2673" s="48">
        <v>4</v>
      </c>
      <c r="C2673" s="48"/>
      <c r="D2673" s="88" t="s">
        <v>463</v>
      </c>
      <c r="E2673" s="72" t="str">
        <f>+VLOOKUP(D2673,'材料表 '!C:F,2,0)</f>
        <v>kg</v>
      </c>
      <c r="F2673" s="77">
        <f t="shared" si="419"/>
        <v>0</v>
      </c>
      <c r="G2673" s="89">
        <f>+VLOOKUP(D2673,'材料表 '!C:F,4,0)</f>
        <v>0.03</v>
      </c>
      <c r="H2673" s="74">
        <f t="shared" si="418"/>
        <v>0</v>
      </c>
      <c r="I2673" s="74">
        <f>+VLOOKUP(D2673,'材料表 '!C:F,3,0)</f>
        <v>6.01769911504425</v>
      </c>
      <c r="J2673" s="95">
        <f t="shared" si="417"/>
        <v>0</v>
      </c>
      <c r="K2673" s="92">
        <f ca="1">H2673*K2656</f>
        <v>0</v>
      </c>
      <c r="L2673" s="90" t="s">
        <v>474</v>
      </c>
      <c r="M2673" s="44"/>
      <c r="N2673" s="82"/>
      <c r="O2673" s="44"/>
      <c r="P2673" s="44"/>
      <c r="Q2673" s="44">
        <f>+O2663*P2663*4</f>
        <v>0</v>
      </c>
      <c r="R2673" s="84">
        <f>+Q2673/R2657</f>
        <v>0</v>
      </c>
      <c r="S2673" s="47"/>
      <c r="T2673" s="47"/>
    </row>
    <row r="2674" s="27" customFormat="1" ht="18" customHeight="1" spans="1:21">
      <c r="A2674" s="34"/>
      <c r="B2674" s="48">
        <v>5</v>
      </c>
      <c r="C2674" s="48"/>
      <c r="D2674" s="88" t="s">
        <v>433</v>
      </c>
      <c r="E2674" s="72" t="str">
        <f>+VLOOKUP(D2674,'材料表 '!C:F,2,0)</f>
        <v>kg</v>
      </c>
      <c r="F2674" s="77">
        <f t="shared" si="419"/>
        <v>1.83685928874735</v>
      </c>
      <c r="G2674" s="89">
        <f>+VLOOKUP(D2674,'材料表 '!C:F,4,0)</f>
        <v>0.03</v>
      </c>
      <c r="H2674" s="74">
        <f t="shared" si="418"/>
        <v>1.89196506740977</v>
      </c>
      <c r="I2674" s="74">
        <f>+VLOOKUP(D2674,'材料表 '!C:F,3,0)</f>
        <v>26.1150442477876</v>
      </c>
      <c r="J2674" s="95">
        <f t="shared" si="417"/>
        <v>49.4087514506746</v>
      </c>
      <c r="K2674" s="92">
        <f ca="1">H2674*K2656</f>
        <v>11.7929493590519</v>
      </c>
      <c r="L2674" s="92" t="s">
        <v>476</v>
      </c>
      <c r="M2674" s="44"/>
      <c r="N2674" s="82"/>
      <c r="O2674" s="44"/>
      <c r="P2674" s="44"/>
      <c r="Q2674" s="44">
        <f>15*8*(O2657*2+P2657*2)/500</f>
        <v>1.2408</v>
      </c>
      <c r="R2674" s="84">
        <f>+Q2674/R2657</f>
        <v>0.878131634819533</v>
      </c>
      <c r="S2674" s="47"/>
      <c r="T2674" s="47"/>
    </row>
    <row r="2675" s="27" customFormat="1" ht="18" customHeight="1" spans="1:21">
      <c r="A2675" s="34"/>
      <c r="B2675" s="48">
        <v>6</v>
      </c>
      <c r="C2675" s="48"/>
      <c r="D2675" s="88" t="s">
        <v>427</v>
      </c>
      <c r="E2675" s="72" t="str">
        <f>+VLOOKUP(D2675,'材料表 '!C:F,2,0)</f>
        <v>kg</v>
      </c>
      <c r="F2675" s="77">
        <f t="shared" si="419"/>
        <v>0</v>
      </c>
      <c r="G2675" s="89">
        <f>+VLOOKUP(D2675,'材料表 '!C:F,4,0)</f>
        <v>0.03</v>
      </c>
      <c r="H2675" s="74">
        <f t="shared" si="418"/>
        <v>0</v>
      </c>
      <c r="I2675" s="74">
        <f>+VLOOKUP(D2675,'材料表 '!C:F,3,0)</f>
        <v>25.8495575221239</v>
      </c>
      <c r="J2675" s="95">
        <f t="shared" si="417"/>
        <v>0</v>
      </c>
      <c r="K2675" s="92">
        <f ca="1">H2675*K2656</f>
        <v>0</v>
      </c>
      <c r="L2675" s="69" t="s">
        <v>427</v>
      </c>
      <c r="M2675" s="70" t="s">
        <v>1007</v>
      </c>
      <c r="N2675" s="34">
        <v>3.111</v>
      </c>
      <c r="O2675" s="34">
        <f>P2657</f>
        <v>0.785</v>
      </c>
      <c r="P2675" s="34">
        <v>0</v>
      </c>
      <c r="Q2675" s="44">
        <f t="shared" ref="Q2675:Q2683" si="420">+P2675*O2675*N2675</f>
        <v>0</v>
      </c>
      <c r="R2675" s="71">
        <f>+Q2675/R2657</f>
        <v>0</v>
      </c>
      <c r="S2675" s="47"/>
      <c r="T2675" s="47"/>
    </row>
    <row r="2676" s="27" customFormat="1" ht="18" customHeight="1" spans="1:21">
      <c r="A2676" s="34"/>
      <c r="B2676" s="48">
        <v>7</v>
      </c>
      <c r="C2676" s="48"/>
      <c r="D2676" s="88"/>
      <c r="E2676" s="72"/>
      <c r="F2676" s="77">
        <f t="shared" si="419"/>
        <v>0</v>
      </c>
      <c r="G2676" s="89"/>
      <c r="H2676" s="74"/>
      <c r="I2676" s="74"/>
      <c r="J2676" s="95"/>
      <c r="K2676" s="92">
        <f ca="1">H2676*K2656</f>
        <v>0</v>
      </c>
      <c r="L2676" s="69" t="s">
        <v>429</v>
      </c>
      <c r="M2676" s="70" t="s">
        <v>1037</v>
      </c>
      <c r="N2676" s="34">
        <v>3.063</v>
      </c>
      <c r="O2676" s="100">
        <f>O2675/0.3*0.1</f>
        <v>0.261666666666667</v>
      </c>
      <c r="P2676" s="34">
        <v>0</v>
      </c>
      <c r="Q2676" s="44">
        <f t="shared" si="420"/>
        <v>0</v>
      </c>
      <c r="R2676" s="71">
        <f>+Q2676/R2657</f>
        <v>0</v>
      </c>
      <c r="S2676" s="47"/>
      <c r="T2676" s="47"/>
    </row>
    <row r="2677" s="27" customFormat="1" ht="18" customHeight="1" spans="1:21">
      <c r="A2677" s="34"/>
      <c r="B2677" s="48">
        <v>8</v>
      </c>
      <c r="C2677" s="48"/>
      <c r="D2677" s="88"/>
      <c r="E2677" s="72"/>
      <c r="F2677" s="77">
        <f t="shared" si="419"/>
        <v>0</v>
      </c>
      <c r="G2677" s="89"/>
      <c r="H2677" s="74"/>
      <c r="I2677" s="74"/>
      <c r="J2677" s="95"/>
      <c r="K2677" s="92">
        <f ca="1">H2677*K2656</f>
        <v>0</v>
      </c>
      <c r="L2677" s="69" t="s">
        <v>447</v>
      </c>
      <c r="M2677" s="70" t="s">
        <v>1038</v>
      </c>
      <c r="N2677" s="34">
        <f>1.041+0.104</f>
        <v>1.145</v>
      </c>
      <c r="O2677" s="34">
        <f>O2675</f>
        <v>0.785</v>
      </c>
      <c r="P2677" s="34">
        <v>0</v>
      </c>
      <c r="Q2677" s="44">
        <f t="shared" si="420"/>
        <v>0</v>
      </c>
      <c r="R2677" s="71">
        <f>+Q2677/R2657</f>
        <v>0</v>
      </c>
      <c r="S2677" s="47">
        <v>0.172</v>
      </c>
      <c r="T2677" s="47">
        <f>O2677*P2677*S2677</f>
        <v>0</v>
      </c>
      <c r="U2677" s="76">
        <f>T2677/R2657</f>
        <v>0</v>
      </c>
    </row>
    <row r="2678" s="27" customFormat="1" ht="18" customHeight="1" spans="1:21">
      <c r="A2678" s="34"/>
      <c r="B2678" s="48">
        <v>9</v>
      </c>
      <c r="C2678" s="48"/>
      <c r="D2678" s="88" t="s">
        <v>476</v>
      </c>
      <c r="E2678" s="72" t="str">
        <f>+VLOOKUP(D2678,'材料表 '!C:F,2,0)</f>
        <v>支</v>
      </c>
      <c r="F2678" s="77">
        <f t="shared" si="419"/>
        <v>0.878131634819533</v>
      </c>
      <c r="G2678" s="89">
        <f>+VLOOKUP(D2678,'材料表 '!C:F,4,0)</f>
        <v>0.15</v>
      </c>
      <c r="H2678" s="74">
        <f t="shared" ref="H2678:H2683" si="421">F2678*(G2678+1)</f>
        <v>1.00985138004246</v>
      </c>
      <c r="I2678" s="74">
        <f>+VLOOKUP(D2678,'材料表 '!C:F,3,0)</f>
        <v>11.5044247787611</v>
      </c>
      <c r="J2678" s="95">
        <f t="shared" ref="J2678:J2683" si="422">H2678*I2678</f>
        <v>11.6177592394266</v>
      </c>
      <c r="K2678" s="92">
        <f ca="1">H2678*K2656</f>
        <v>6.29458037579616</v>
      </c>
      <c r="L2678" s="69" t="s">
        <v>429</v>
      </c>
      <c r="M2678" s="70" t="s">
        <v>1010</v>
      </c>
      <c r="N2678" s="102">
        <f>2.9</f>
        <v>2.9</v>
      </c>
      <c r="O2678" s="34">
        <v>0.2</v>
      </c>
      <c r="P2678" s="34">
        <v>0</v>
      </c>
      <c r="Q2678" s="44">
        <f t="shared" si="420"/>
        <v>0</v>
      </c>
      <c r="R2678" s="71">
        <f>+Q2678/R2657</f>
        <v>0</v>
      </c>
      <c r="S2678" s="47"/>
      <c r="T2678" s="47"/>
    </row>
    <row r="2679" s="27" customFormat="1" ht="18" customHeight="1" spans="1:21">
      <c r="A2679" s="34"/>
      <c r="B2679" s="48">
        <v>10</v>
      </c>
      <c r="C2679" s="48"/>
      <c r="D2679" s="88" t="s">
        <v>474</v>
      </c>
      <c r="E2679" s="72" t="str">
        <f>+VLOOKUP(D2679,'材料表 '!C:F,2,0)</f>
        <v>套</v>
      </c>
      <c r="F2679" s="77">
        <f t="shared" si="419"/>
        <v>0</v>
      </c>
      <c r="G2679" s="89">
        <f>+VLOOKUP(D2679,'材料表 '!C:F,4,0)</f>
        <v>0</v>
      </c>
      <c r="H2679" s="74">
        <f t="shared" si="421"/>
        <v>0</v>
      </c>
      <c r="I2679" s="74">
        <f>+VLOOKUP(D2679,'材料表 '!C:F,3,0)</f>
        <v>2.21238938053097</v>
      </c>
      <c r="J2679" s="95">
        <f t="shared" si="422"/>
        <v>0</v>
      </c>
      <c r="K2679" s="92">
        <f ca="1">H2679*K2656</f>
        <v>0</v>
      </c>
      <c r="L2679" s="69" t="s">
        <v>429</v>
      </c>
      <c r="M2679" s="70" t="s">
        <v>1040</v>
      </c>
      <c r="N2679" s="34">
        <v>0.733</v>
      </c>
      <c r="O2679" s="100">
        <f>O2676*2</f>
        <v>0.523333333333333</v>
      </c>
      <c r="P2679" s="34">
        <v>0</v>
      </c>
      <c r="Q2679" s="44">
        <f t="shared" si="420"/>
        <v>0</v>
      </c>
      <c r="R2679" s="71">
        <f>+Q2679/R2657</f>
        <v>0</v>
      </c>
      <c r="S2679" s="79"/>
      <c r="T2679" s="47"/>
    </row>
    <row r="2680" s="27" customFormat="1" ht="18" customHeight="1" spans="1:21">
      <c r="A2680" s="34"/>
      <c r="B2680" s="48">
        <v>11</v>
      </c>
      <c r="C2680" s="48"/>
      <c r="D2680" s="88" t="s">
        <v>472</v>
      </c>
      <c r="E2680" s="72" t="str">
        <f>+VLOOKUP(D2680,'材料表 '!C:F,2,0)</f>
        <v>套</v>
      </c>
      <c r="F2680" s="77">
        <f t="shared" si="419"/>
        <v>0</v>
      </c>
      <c r="G2680" s="89">
        <f>+VLOOKUP(D2680,'材料表 '!C:F,4,0)</f>
        <v>0</v>
      </c>
      <c r="H2680" s="74">
        <f t="shared" si="421"/>
        <v>0</v>
      </c>
      <c r="I2680" s="74">
        <f>+VLOOKUP(D2680,'材料表 '!C:F,3,0)</f>
        <v>2.47787610619469</v>
      </c>
      <c r="J2680" s="95">
        <f t="shared" si="422"/>
        <v>0</v>
      </c>
      <c r="K2680" s="92">
        <f ca="1">H2680*K2656</f>
        <v>0</v>
      </c>
      <c r="L2680" s="69" t="s">
        <v>404</v>
      </c>
      <c r="M2680" s="70" t="s">
        <v>1041</v>
      </c>
      <c r="N2680" s="34">
        <v>3.727</v>
      </c>
      <c r="O2680" s="34">
        <v>0</v>
      </c>
      <c r="P2680" s="34">
        <v>1</v>
      </c>
      <c r="Q2680" s="44">
        <f t="shared" si="420"/>
        <v>0</v>
      </c>
      <c r="R2680" s="71">
        <f>+Q2680/R2657</f>
        <v>0</v>
      </c>
      <c r="S2680" s="47"/>
      <c r="T2680" s="47"/>
      <c r="U2680" s="76"/>
    </row>
    <row r="2681" s="27" customFormat="1" ht="18" customHeight="1" spans="1:21">
      <c r="A2681" s="34"/>
      <c r="B2681" s="48">
        <v>12</v>
      </c>
      <c r="C2681" s="48"/>
      <c r="D2681" s="88" t="s">
        <v>514</v>
      </c>
      <c r="E2681" s="72" t="str">
        <f>+VLOOKUP(D2681,'材料表 '!C:F,2,0)</f>
        <v>m2</v>
      </c>
      <c r="F2681" s="77">
        <v>1</v>
      </c>
      <c r="G2681" s="89">
        <f>+VLOOKUP(D2681,'材料表 '!C:F,4,0)</f>
        <v>0.02</v>
      </c>
      <c r="H2681" s="74">
        <f t="shared" si="421"/>
        <v>1.02</v>
      </c>
      <c r="I2681" s="74">
        <f>+VLOOKUP(D2681,'材料表 '!C:F,3,0)</f>
        <v>266.371681415929</v>
      </c>
      <c r="J2681" s="95">
        <f t="shared" si="422"/>
        <v>271.699115044248</v>
      </c>
      <c r="K2681" s="92">
        <f ca="1">H2681*K2656</f>
        <v>6.3578385</v>
      </c>
      <c r="L2681" s="69" t="s">
        <v>429</v>
      </c>
      <c r="M2681" s="81" t="s">
        <v>1027</v>
      </c>
      <c r="N2681" s="82">
        <v>0.735</v>
      </c>
      <c r="O2681" s="34">
        <v>0</v>
      </c>
      <c r="P2681" s="34">
        <v>1</v>
      </c>
      <c r="Q2681" s="44">
        <f t="shared" si="420"/>
        <v>0</v>
      </c>
      <c r="R2681" s="71">
        <f>+Q2681/R2657</f>
        <v>0</v>
      </c>
      <c r="S2681" s="47"/>
      <c r="T2681" s="47"/>
    </row>
    <row r="2682" s="27" customFormat="1" ht="18" customHeight="1" spans="1:21">
      <c r="A2682" s="34"/>
      <c r="B2682" s="48">
        <v>13</v>
      </c>
      <c r="C2682" s="48"/>
      <c r="D2682" s="124" t="s">
        <v>500</v>
      </c>
      <c r="E2682" s="72" t="str">
        <f>+VLOOKUP(D2682,'材料表 '!C:F,2,0)</f>
        <v>kg</v>
      </c>
      <c r="F2682" s="77">
        <f>R2665</f>
        <v>1.27905095541401</v>
      </c>
      <c r="G2682" s="89">
        <f>+VLOOKUP(D2682,'材料表 '!C:F,4,0)</f>
        <v>0.03</v>
      </c>
      <c r="H2682" s="74">
        <f t="shared" si="421"/>
        <v>1.31742248407643</v>
      </c>
      <c r="I2682" s="74">
        <f>+VLOOKUP(D2682,'材料表 '!C:F,3,0)</f>
        <v>14.1592920353982</v>
      </c>
      <c r="J2682" s="95">
        <f t="shared" si="422"/>
        <v>18.6537696860379</v>
      </c>
      <c r="K2682" s="92">
        <f ca="1">H2682*K2656</f>
        <v>8.2117248921831</v>
      </c>
      <c r="L2682" s="69" t="s">
        <v>447</v>
      </c>
      <c r="M2682" s="70" t="s">
        <v>1038</v>
      </c>
      <c r="N2682" s="83">
        <v>0.977</v>
      </c>
      <c r="O2682" s="34">
        <v>0</v>
      </c>
      <c r="P2682" s="34">
        <v>1</v>
      </c>
      <c r="Q2682" s="44">
        <f t="shared" si="420"/>
        <v>0</v>
      </c>
      <c r="R2682" s="84">
        <f>+Q2682/R2657</f>
        <v>0</v>
      </c>
      <c r="S2682" s="47">
        <v>0.185</v>
      </c>
      <c r="T2682" s="47">
        <f>O2682*P2682*S2682</f>
        <v>0</v>
      </c>
      <c r="U2682" s="27">
        <f>T2682/R2657</f>
        <v>0</v>
      </c>
    </row>
    <row r="2683" s="27" customFormat="1" ht="20" customHeight="1" spans="1:21">
      <c r="A2683" s="34"/>
      <c r="B2683" s="48">
        <v>14</v>
      </c>
      <c r="C2683" s="48"/>
      <c r="D2683" s="88" t="s">
        <v>479</v>
      </c>
      <c r="E2683" s="72" t="str">
        <f>+VLOOKUP(D2683,'材料表 '!C:F,2,0)</f>
        <v>kg</v>
      </c>
      <c r="F2683" s="77">
        <f>R2660</f>
        <v>8.09444444444444</v>
      </c>
      <c r="G2683" s="89">
        <f>+VLOOKUP(D2683,'材料表 '!C:F,4,0)</f>
        <v>0.03</v>
      </c>
      <c r="H2683" s="74">
        <f t="shared" si="421"/>
        <v>8.33727777777777</v>
      </c>
      <c r="I2683" s="74">
        <f>+VLOOKUP(D2683,'材料表 '!C:F,3,0)</f>
        <v>14.1592920353982</v>
      </c>
      <c r="J2683" s="95">
        <f t="shared" si="422"/>
        <v>118.049950835791</v>
      </c>
      <c r="K2683" s="92">
        <f ca="1">H2683*K2656</f>
        <v>51.9677114125</v>
      </c>
      <c r="L2683" s="69" t="s">
        <v>429</v>
      </c>
      <c r="M2683" s="81" t="s">
        <v>1042</v>
      </c>
      <c r="N2683" s="82">
        <v>0.687</v>
      </c>
      <c r="O2683" s="44">
        <v>0</v>
      </c>
      <c r="P2683" s="34">
        <v>0</v>
      </c>
      <c r="Q2683" s="44">
        <f t="shared" si="420"/>
        <v>0</v>
      </c>
      <c r="R2683" s="84">
        <f>+Q2683/R2657</f>
        <v>0</v>
      </c>
      <c r="S2683" s="47"/>
      <c r="T2683" s="47"/>
    </row>
    <row r="2684" s="27" customFormat="1" ht="18" customHeight="1" spans="1:21">
      <c r="A2684" s="34"/>
      <c r="B2684" s="48">
        <v>15</v>
      </c>
      <c r="C2684" s="48"/>
      <c r="D2684" s="88"/>
      <c r="E2684" s="72"/>
      <c r="F2684" s="77"/>
      <c r="G2684" s="89"/>
      <c r="H2684" s="74"/>
      <c r="I2684" s="74"/>
      <c r="J2684" s="95"/>
      <c r="K2684" s="92"/>
      <c r="L2684" s="92"/>
      <c r="M2684" s="44"/>
      <c r="N2684" s="44"/>
      <c r="O2684" s="44"/>
      <c r="P2684" s="44"/>
      <c r="Q2684" s="44"/>
      <c r="R2684" s="84"/>
      <c r="S2684" s="47"/>
      <c r="T2684" s="47"/>
    </row>
    <row r="2685" s="27" customFormat="1" ht="18" customHeight="1" spans="1:21">
      <c r="A2685" s="34"/>
      <c r="B2685" s="48">
        <v>16</v>
      </c>
      <c r="C2685" s="48"/>
      <c r="D2685" s="88"/>
      <c r="E2685" s="72"/>
      <c r="F2685" s="77"/>
      <c r="G2685" s="89"/>
      <c r="H2685" s="74"/>
      <c r="I2685" s="74"/>
      <c r="J2685" s="95"/>
      <c r="K2685" s="92"/>
      <c r="L2685" s="92"/>
      <c r="M2685" s="44"/>
      <c r="N2685" s="44"/>
      <c r="O2685" s="44"/>
      <c r="P2685" s="44"/>
      <c r="Q2685" s="44"/>
      <c r="R2685" s="84"/>
      <c r="S2685" s="47"/>
      <c r="T2685" s="47"/>
    </row>
    <row r="2686" s="27" customFormat="1" ht="18" customHeight="1" spans="1:21">
      <c r="A2686" s="34"/>
      <c r="B2686" s="48">
        <v>17</v>
      </c>
      <c r="C2686" s="48"/>
      <c r="D2686" s="121"/>
      <c r="E2686" s="72"/>
      <c r="F2686" s="77"/>
      <c r="G2686" s="89"/>
      <c r="H2686" s="74"/>
      <c r="I2686" s="74"/>
      <c r="J2686" s="95"/>
      <c r="K2686" s="92"/>
      <c r="L2686" s="92"/>
      <c r="M2686" s="44"/>
      <c r="N2686" s="44"/>
      <c r="O2686" s="44"/>
      <c r="P2686" s="44"/>
      <c r="Q2686" s="101"/>
      <c r="R2686" s="84"/>
      <c r="S2686" s="47"/>
      <c r="T2686" s="47"/>
    </row>
    <row r="2687" s="27" customFormat="1" ht="18" customHeight="1" spans="1:21">
      <c r="A2687" s="34"/>
      <c r="B2687" s="48">
        <v>18</v>
      </c>
      <c r="C2687" s="48"/>
      <c r="D2687" s="88"/>
      <c r="E2687" s="72"/>
      <c r="F2687" s="77"/>
      <c r="G2687" s="89"/>
      <c r="H2687" s="74"/>
      <c r="I2687" s="74"/>
      <c r="J2687" s="95"/>
      <c r="K2687" s="92"/>
      <c r="L2687" s="92"/>
      <c r="M2687" s="44"/>
      <c r="N2687" s="44"/>
      <c r="O2687" s="44"/>
      <c r="P2687" s="44"/>
      <c r="Q2687" s="44"/>
      <c r="R2687" s="84"/>
      <c r="S2687" s="47"/>
      <c r="T2687" s="47"/>
    </row>
    <row r="2688" s="27" customFormat="1" ht="18" customHeight="1" spans="1:21">
      <c r="A2688" s="34"/>
      <c r="B2688" s="48">
        <v>19</v>
      </c>
      <c r="C2688" s="48"/>
      <c r="D2688" s="27"/>
      <c r="E2688" s="72"/>
      <c r="F2688" s="77"/>
      <c r="G2688" s="89"/>
      <c r="H2688" s="74"/>
      <c r="I2688" s="74"/>
      <c r="J2688" s="95"/>
      <c r="K2688" s="92"/>
      <c r="L2688" s="92"/>
      <c r="M2688" s="44"/>
      <c r="N2688" s="44"/>
      <c r="O2688" s="44"/>
      <c r="P2688" s="44"/>
      <c r="Q2688" s="44"/>
      <c r="R2688" s="84"/>
      <c r="S2688" s="47"/>
      <c r="T2688" s="47"/>
    </row>
    <row r="2689" s="27" customFormat="1" ht="18" customHeight="1" spans="1:20">
      <c r="A2689" s="34"/>
      <c r="B2689" s="48">
        <v>20</v>
      </c>
      <c r="C2689" s="48"/>
      <c r="D2689" s="88"/>
      <c r="E2689" s="72"/>
      <c r="F2689" s="77"/>
      <c r="G2689" s="89"/>
      <c r="H2689" s="74"/>
      <c r="I2689" s="74"/>
      <c r="J2689" s="95"/>
      <c r="K2689" s="92"/>
      <c r="L2689" s="92"/>
      <c r="M2689" s="44"/>
      <c r="N2689" s="44"/>
      <c r="O2689" s="44"/>
      <c r="P2689" s="44"/>
      <c r="Q2689" s="44"/>
      <c r="R2689" s="84"/>
      <c r="S2689" s="47"/>
      <c r="T2689" s="47"/>
    </row>
    <row r="2690" s="27" customFormat="1" ht="18" customHeight="1" spans="1:20">
      <c r="A2690" s="34"/>
      <c r="B2690" s="48">
        <v>21</v>
      </c>
      <c r="C2690" s="48"/>
      <c r="D2690" s="88"/>
      <c r="E2690" s="72"/>
      <c r="F2690" s="77"/>
      <c r="G2690" s="89"/>
      <c r="H2690" s="74"/>
      <c r="I2690" s="74"/>
      <c r="J2690" s="95"/>
      <c r="K2690" s="92"/>
      <c r="L2690" s="92"/>
      <c r="M2690" s="44"/>
      <c r="N2690" s="44"/>
      <c r="O2690" s="44"/>
      <c r="P2690" s="44"/>
      <c r="Q2690" s="44"/>
      <c r="R2690" s="84"/>
      <c r="S2690" s="47"/>
      <c r="T2690" s="47"/>
    </row>
    <row r="2691" s="27" customFormat="1" ht="18" customHeight="1" spans="1:20">
      <c r="A2691" s="34"/>
      <c r="B2691" s="48">
        <v>22</v>
      </c>
      <c r="C2691" s="48"/>
      <c r="D2691" s="27"/>
      <c r="E2691" s="72"/>
      <c r="F2691" s="77"/>
      <c r="G2691" s="72"/>
      <c r="H2691" s="74"/>
      <c r="I2691" s="74"/>
      <c r="J2691" s="95"/>
      <c r="K2691" s="92"/>
      <c r="L2691" s="92"/>
      <c r="M2691" s="44"/>
      <c r="N2691" s="44"/>
      <c r="O2691" s="44"/>
      <c r="P2691" s="44"/>
      <c r="Q2691" s="44"/>
      <c r="R2691" s="62"/>
      <c r="S2691" s="47"/>
      <c r="T2691" s="47"/>
    </row>
    <row r="2692" s="27" customFormat="1" ht="18" customHeight="1" spans="1:20">
      <c r="A2692" s="34"/>
      <c r="B2692" s="48">
        <v>23</v>
      </c>
      <c r="C2692" s="48"/>
      <c r="D2692" s="88"/>
      <c r="E2692" s="72"/>
      <c r="F2692" s="77"/>
      <c r="G2692" s="89"/>
      <c r="H2692" s="74"/>
      <c r="I2692" s="74"/>
      <c r="J2692" s="95"/>
      <c r="K2692" s="92"/>
      <c r="L2692" s="92"/>
      <c r="M2692" s="44"/>
      <c r="N2692" s="44"/>
      <c r="O2692" s="44"/>
      <c r="P2692" s="44"/>
      <c r="Q2692" s="44"/>
      <c r="R2692" s="62"/>
      <c r="S2692" s="47"/>
      <c r="T2692" s="47"/>
    </row>
    <row r="2693" s="27" customFormat="1" ht="18" customHeight="1" spans="1:20">
      <c r="A2693" s="34"/>
      <c r="B2693" s="48">
        <v>24</v>
      </c>
      <c r="C2693" s="48"/>
      <c r="D2693" s="88" t="s">
        <v>478</v>
      </c>
      <c r="E2693" s="72" t="s">
        <v>43</v>
      </c>
      <c r="F2693" s="77"/>
      <c r="G2693" s="72">
        <v>1</v>
      </c>
      <c r="H2693" s="74">
        <v>1</v>
      </c>
      <c r="I2693" s="74">
        <f>+辅材及安装费!$E$3</f>
        <v>5</v>
      </c>
      <c r="J2693" s="95">
        <f>H2693*I2693</f>
        <v>5</v>
      </c>
      <c r="K2693" s="92"/>
      <c r="L2693" s="92"/>
      <c r="M2693" s="44"/>
      <c r="N2693" s="44"/>
      <c r="O2693" s="44"/>
      <c r="P2693" s="44"/>
      <c r="Q2693" s="44"/>
      <c r="R2693" s="62"/>
      <c r="S2693" s="47"/>
      <c r="T2693" s="47"/>
    </row>
    <row r="2694" s="27" customFormat="1" ht="18" customHeight="1" spans="1:20">
      <c r="A2694" s="34"/>
      <c r="B2694" s="48">
        <v>25</v>
      </c>
      <c r="C2694" s="48"/>
      <c r="D2694" s="93" t="s">
        <v>442</v>
      </c>
      <c r="E2694" s="72"/>
      <c r="F2694" s="77"/>
      <c r="G2694" s="72"/>
      <c r="H2694" s="74"/>
      <c r="I2694" s="74"/>
      <c r="J2694" s="95">
        <f>SUM(J2670:J2693)</f>
        <v>549.344324147941</v>
      </c>
      <c r="K2694" s="92"/>
      <c r="L2694" s="94"/>
      <c r="M2694" s="27"/>
      <c r="N2694" s="83"/>
      <c r="O2694" s="83"/>
      <c r="P2694" s="83"/>
      <c r="Q2694" s="83"/>
      <c r="R2694" s="87"/>
      <c r="S2694" s="47"/>
      <c r="T2694" s="47"/>
    </row>
    <row r="2695" s="27" customFormat="1" ht="18" customHeight="1" spans="1:20">
      <c r="A2695" s="34"/>
      <c r="B2695" s="48">
        <v>1</v>
      </c>
      <c r="C2695" s="48" t="s">
        <v>443</v>
      </c>
      <c r="D2695" s="48" t="s">
        <v>444</v>
      </c>
      <c r="E2695" s="72" t="s">
        <v>43</v>
      </c>
      <c r="F2695" s="50"/>
      <c r="G2695" s="48"/>
      <c r="H2695" s="51">
        <v>1</v>
      </c>
      <c r="I2695" s="74">
        <f>+辅材及安装费!$F$3</f>
        <v>5</v>
      </c>
      <c r="J2695" s="95">
        <f>H2695*I2695</f>
        <v>5</v>
      </c>
      <c r="K2695" s="118"/>
      <c r="L2695" s="96"/>
      <c r="M2695" s="97"/>
      <c r="N2695" s="98"/>
      <c r="O2695" s="98"/>
      <c r="P2695" s="98"/>
      <c r="Q2695" s="98"/>
      <c r="R2695" s="99"/>
      <c r="S2695" s="47"/>
      <c r="T2695" s="47"/>
    </row>
    <row r="2696" s="26" customFormat="1" ht="30" customHeight="1" spans="1:20">
      <c r="A2696" s="28"/>
      <c r="B2696" s="29" t="s">
        <v>386</v>
      </c>
      <c r="C2696" s="29"/>
      <c r="D2696" s="29"/>
      <c r="E2696" s="29"/>
      <c r="F2696" s="29"/>
      <c r="G2696" s="29"/>
      <c r="H2696" s="29"/>
      <c r="I2696" s="29"/>
      <c r="J2696" s="29"/>
      <c r="K2696" s="29"/>
      <c r="L2696" s="30"/>
      <c r="M2696" s="31"/>
      <c r="N2696" s="31"/>
      <c r="O2696" s="31"/>
      <c r="P2696" s="31"/>
      <c r="Q2696" s="31"/>
      <c r="R2696" s="32"/>
      <c r="S2696" s="33"/>
      <c r="T2696" s="33"/>
    </row>
    <row r="2697" s="27" customFormat="1" ht="33.75" customHeight="1" spans="1:20">
      <c r="A2697" s="34">
        <v>13</v>
      </c>
      <c r="B2697" s="35" t="s">
        <v>1</v>
      </c>
      <c r="C2697" s="35" t="s">
        <v>387</v>
      </c>
      <c r="D2697" s="36" t="str">
        <f>+A2705</f>
        <v>香槟色铝板</v>
      </c>
      <c r="E2697" s="37"/>
      <c r="F2697" s="38" t="s">
        <v>119</v>
      </c>
      <c r="G2697" s="39"/>
      <c r="H2697" s="35" t="s">
        <v>388</v>
      </c>
      <c r="I2697" s="40" t="s">
        <v>389</v>
      </c>
      <c r="J2697" s="41" t="s">
        <v>37</v>
      </c>
      <c r="K2697" s="122">
        <f ca="1">VLOOKUP(A2697,'商业工程量清单 '!$A$59:$D$81,4,FALSE)</f>
        <v>31.165875</v>
      </c>
      <c r="L2697" s="43"/>
      <c r="M2697" s="44"/>
      <c r="N2697" s="44"/>
      <c r="O2697" s="44"/>
      <c r="P2697" s="45"/>
      <c r="Q2697" s="44"/>
      <c r="R2697" s="46"/>
      <c r="S2697" s="47"/>
      <c r="T2697" s="47"/>
    </row>
    <row r="2698" s="27" customFormat="1" ht="25" customHeight="1" spans="1:20">
      <c r="A2698" s="34"/>
      <c r="B2698" s="48">
        <v>1</v>
      </c>
      <c r="C2698" s="49" t="s">
        <v>390</v>
      </c>
      <c r="D2698" s="48" t="s">
        <v>391</v>
      </c>
      <c r="E2698" s="48"/>
      <c r="F2698" s="50"/>
      <c r="G2698" s="48"/>
      <c r="H2698" s="51"/>
      <c r="I2698" s="52">
        <f>J2710</f>
        <v>165</v>
      </c>
      <c r="J2698" s="53" t="s">
        <v>392</v>
      </c>
      <c r="K2698" s="54"/>
      <c r="L2698" s="55"/>
      <c r="M2698" s="56" t="s">
        <v>1070</v>
      </c>
      <c r="N2698" s="57"/>
      <c r="O2698" s="57">
        <v>1.8</v>
      </c>
      <c r="P2698" s="57">
        <v>0.785</v>
      </c>
      <c r="Q2698" s="57">
        <v>1</v>
      </c>
      <c r="R2698" s="58">
        <f>+Q2698*P2698*O2698</f>
        <v>1.413</v>
      </c>
      <c r="S2698" s="47"/>
      <c r="T2698" s="47"/>
    </row>
    <row r="2699" s="27" customFormat="1" ht="18" customHeight="1" spans="1:20">
      <c r="A2699" s="34"/>
      <c r="B2699" s="48">
        <v>2</v>
      </c>
      <c r="C2699" s="59"/>
      <c r="D2699" s="48" t="s">
        <v>394</v>
      </c>
      <c r="E2699" s="48"/>
      <c r="F2699" s="50"/>
      <c r="G2699" s="48"/>
      <c r="H2699" s="51"/>
      <c r="I2699" s="52">
        <f>J2735</f>
        <v>440.684508391596</v>
      </c>
      <c r="J2699" s="53" t="s">
        <v>392</v>
      </c>
      <c r="K2699" s="60"/>
      <c r="L2699" s="61" t="s">
        <v>119</v>
      </c>
      <c r="M2699" s="44"/>
      <c r="N2699" s="44"/>
      <c r="O2699" s="44"/>
      <c r="P2699" s="44"/>
      <c r="Q2699" s="44"/>
      <c r="R2699" s="62"/>
      <c r="S2699" s="47"/>
      <c r="T2699" s="47"/>
    </row>
    <row r="2700" s="27" customFormat="1" ht="18" customHeight="1" spans="1:20">
      <c r="A2700" s="34"/>
      <c r="B2700" s="48">
        <v>3</v>
      </c>
      <c r="C2700" s="63"/>
      <c r="D2700" s="48" t="s">
        <v>395</v>
      </c>
      <c r="E2700" s="48"/>
      <c r="F2700" s="50"/>
      <c r="G2700" s="48"/>
      <c r="H2700" s="51"/>
      <c r="I2700" s="52">
        <f>J2736</f>
        <v>5</v>
      </c>
      <c r="J2700" s="53" t="s">
        <v>392</v>
      </c>
      <c r="K2700" s="60"/>
      <c r="L2700" s="60"/>
      <c r="M2700" s="65" t="s">
        <v>396</v>
      </c>
      <c r="N2700" s="65" t="s">
        <v>397</v>
      </c>
      <c r="O2700" s="65" t="s">
        <v>398</v>
      </c>
      <c r="P2700" s="65" t="s">
        <v>399</v>
      </c>
      <c r="Q2700" s="65" t="s">
        <v>400</v>
      </c>
      <c r="R2700" s="66" t="s">
        <v>401</v>
      </c>
      <c r="S2700" s="47"/>
      <c r="T2700" s="47"/>
    </row>
    <row r="2701" s="27" customFormat="1" ht="18" customHeight="1" spans="1:20">
      <c r="A2701" s="34"/>
      <c r="B2701" s="48">
        <v>4</v>
      </c>
      <c r="C2701" s="48" t="s">
        <v>402</v>
      </c>
      <c r="D2701" s="67" t="s">
        <v>403</v>
      </c>
      <c r="E2701" s="67"/>
      <c r="F2701" s="50"/>
      <c r="G2701" s="67"/>
      <c r="H2701" s="68"/>
      <c r="I2701" s="52">
        <f>SUM(I2698:I2700)</f>
        <v>610.684508391596</v>
      </c>
      <c r="J2701" s="53" t="s">
        <v>392</v>
      </c>
      <c r="K2701" s="60"/>
      <c r="L2701" s="69" t="s">
        <v>431</v>
      </c>
      <c r="M2701" s="34" t="s">
        <v>1069</v>
      </c>
      <c r="N2701" s="34">
        <v>7.03</v>
      </c>
      <c r="O2701" s="34">
        <f>P2698</f>
        <v>0.785</v>
      </c>
      <c r="P2701" s="34">
        <v>1</v>
      </c>
      <c r="Q2701" s="44">
        <f t="shared" ref="Q2701:Q2708" si="423">+P2701*O2701*N2701</f>
        <v>5.51855</v>
      </c>
      <c r="R2701" s="71">
        <f>+Q2701/R2698</f>
        <v>3.90555555555556</v>
      </c>
      <c r="S2701" s="47"/>
      <c r="T2701" s="47"/>
    </row>
    <row r="2702" s="27" customFormat="1" ht="28" customHeight="1" spans="1:20">
      <c r="A2702" s="34"/>
      <c r="B2702" s="48">
        <v>5</v>
      </c>
      <c r="C2702" s="72" t="s">
        <v>406</v>
      </c>
      <c r="D2702" s="48" t="s">
        <v>407</v>
      </c>
      <c r="E2702" s="48"/>
      <c r="F2702" s="50"/>
      <c r="G2702" s="48"/>
      <c r="H2702" s="73">
        <f>+'材料表 '!$E$178</f>
        <v>0</v>
      </c>
      <c r="I2702" s="52">
        <f>H2702*I2701</f>
        <v>0</v>
      </c>
      <c r="J2702" s="53" t="s">
        <v>392</v>
      </c>
      <c r="K2702" s="60"/>
      <c r="L2702" s="69" t="s">
        <v>461</v>
      </c>
      <c r="M2702" s="34" t="s">
        <v>462</v>
      </c>
      <c r="N2702" s="34">
        <v>3.77</v>
      </c>
      <c r="O2702" s="34">
        <f>+O2698</f>
        <v>1.8</v>
      </c>
      <c r="P2702" s="34">
        <v>1</v>
      </c>
      <c r="Q2702" s="44">
        <f t="shared" si="423"/>
        <v>6.786</v>
      </c>
      <c r="R2702" s="71">
        <f>+Q2702/R2698</f>
        <v>4.80254777070064</v>
      </c>
      <c r="S2702" s="47"/>
      <c r="T2702" s="47"/>
    </row>
    <row r="2703" s="27" customFormat="1" ht="18" customHeight="1" spans="1:20">
      <c r="A2703" s="34"/>
      <c r="B2703" s="48">
        <v>6</v>
      </c>
      <c r="C2703" s="48" t="s">
        <v>409</v>
      </c>
      <c r="D2703" s="48" t="s">
        <v>410</v>
      </c>
      <c r="E2703" s="48"/>
      <c r="F2703" s="50"/>
      <c r="G2703" s="48"/>
      <c r="H2703" s="73">
        <f>+'材料表 '!$E$179</f>
        <v>0</v>
      </c>
      <c r="I2703" s="52">
        <f>H2703*I2701</f>
        <v>0</v>
      </c>
      <c r="J2703" s="53" t="s">
        <v>392</v>
      </c>
      <c r="K2703" s="60"/>
      <c r="L2703" s="69" t="s">
        <v>431</v>
      </c>
      <c r="M2703" s="34" t="s">
        <v>1069</v>
      </c>
      <c r="N2703" s="34">
        <v>7.03</v>
      </c>
      <c r="O2703" s="34">
        <f>O2698</f>
        <v>1.8</v>
      </c>
      <c r="P2703" s="34">
        <v>1</v>
      </c>
      <c r="Q2703" s="44">
        <f t="shared" si="423"/>
        <v>12.654</v>
      </c>
      <c r="R2703" s="71">
        <f>+Q2703/R2698</f>
        <v>8.95541401273885</v>
      </c>
      <c r="S2703" s="47"/>
      <c r="T2703" s="47"/>
    </row>
    <row r="2704" s="27" customFormat="1" ht="18" customHeight="1" spans="1:20">
      <c r="A2704" s="34"/>
      <c r="B2704" s="48">
        <v>7</v>
      </c>
      <c r="C2704" s="48" t="s">
        <v>412</v>
      </c>
      <c r="D2704" s="72" t="s">
        <v>413</v>
      </c>
      <c r="E2704" s="72"/>
      <c r="F2704" s="77"/>
      <c r="G2704" s="72"/>
      <c r="H2704" s="73">
        <f>+'材料表 '!$E$180</f>
        <v>0.09</v>
      </c>
      <c r="I2704" s="52">
        <f>(I2701+I2702+I2703)*H2704</f>
        <v>54.9616057552436</v>
      </c>
      <c r="J2704" s="53" t="s">
        <v>392</v>
      </c>
      <c r="K2704" s="60"/>
      <c r="L2704" s="69" t="s">
        <v>463</v>
      </c>
      <c r="M2704" s="34" t="s">
        <v>490</v>
      </c>
      <c r="N2704" s="34">
        <f>0.3*0.2*7.85*10</f>
        <v>4.71</v>
      </c>
      <c r="O2704" s="34">
        <v>1</v>
      </c>
      <c r="P2704" s="34">
        <v>1</v>
      </c>
      <c r="Q2704" s="44">
        <f t="shared" si="423"/>
        <v>4.71</v>
      </c>
      <c r="R2704" s="71">
        <f>+Q2704/R2698</f>
        <v>3.33333333333333</v>
      </c>
      <c r="S2704" s="47"/>
      <c r="T2704" s="47"/>
    </row>
    <row r="2705" s="27" customFormat="1" ht="18" customHeight="1" spans="1:21">
      <c r="A2705" s="34" t="s">
        <v>326</v>
      </c>
      <c r="B2705" s="48">
        <v>8</v>
      </c>
      <c r="C2705" s="48" t="s">
        <v>363</v>
      </c>
      <c r="D2705" s="106" t="s">
        <v>415</v>
      </c>
      <c r="E2705" s="107"/>
      <c r="F2705" s="108"/>
      <c r="G2705" s="107"/>
      <c r="H2705" s="51"/>
      <c r="I2705" s="74">
        <f>SUM(I2701:I2704)</f>
        <v>665.646114146839</v>
      </c>
      <c r="J2705" s="53" t="s">
        <v>416</v>
      </c>
      <c r="K2705" s="60"/>
      <c r="L2705" s="69" t="s">
        <v>465</v>
      </c>
      <c r="M2705" s="34" t="s">
        <v>1066</v>
      </c>
      <c r="N2705" s="100">
        <f>0.36*5*7.85</f>
        <v>14.13</v>
      </c>
      <c r="O2705" s="34">
        <f>110/1000</f>
        <v>0.11</v>
      </c>
      <c r="P2705" s="44">
        <f>+P2704*O2704*2</f>
        <v>2</v>
      </c>
      <c r="Q2705" s="44">
        <f t="shared" si="423"/>
        <v>3.1086</v>
      </c>
      <c r="R2705" s="84">
        <f>+Q2705/R2698</f>
        <v>2.2</v>
      </c>
      <c r="S2705" s="79"/>
      <c r="T2705" s="47"/>
    </row>
    <row r="2706" s="27" customFormat="1" ht="18" customHeight="1" spans="1:21">
      <c r="A2706" s="34"/>
      <c r="B2706" s="109" t="s">
        <v>418</v>
      </c>
      <c r="C2706" s="110"/>
      <c r="D2706" s="110"/>
      <c r="E2706" s="110"/>
      <c r="F2706" s="110"/>
      <c r="G2706" s="110"/>
      <c r="H2706" s="110"/>
      <c r="I2706" s="110"/>
      <c r="J2706" s="110"/>
      <c r="K2706" s="80"/>
      <c r="L2706" s="69" t="s">
        <v>433</v>
      </c>
      <c r="M2706" s="44"/>
      <c r="N2706" s="82">
        <f>0.056*3*2.71+0.0675*3*2.71</f>
        <v>1.004055</v>
      </c>
      <c r="O2706" s="44">
        <f>O2698</f>
        <v>1.8</v>
      </c>
      <c r="P2706" s="44">
        <v>1</v>
      </c>
      <c r="Q2706" s="44">
        <f t="shared" si="423"/>
        <v>1.807299</v>
      </c>
      <c r="R2706" s="84">
        <f>+Q2706/R2698</f>
        <v>1.27905095541401</v>
      </c>
      <c r="S2706" s="47">
        <f>0.16*P2706*O2706/R2698</f>
        <v>0.203821656050955</v>
      </c>
      <c r="T2706" s="47"/>
    </row>
    <row r="2707" s="27" customFormat="1" ht="18" customHeight="1" spans="1:21">
      <c r="A2707" s="34"/>
      <c r="B2707" s="48">
        <v>1</v>
      </c>
      <c r="C2707" s="48" t="s">
        <v>391</v>
      </c>
      <c r="D2707" s="48" t="s">
        <v>396</v>
      </c>
      <c r="E2707" s="48" t="s">
        <v>37</v>
      </c>
      <c r="F2707" s="50"/>
      <c r="G2707" s="48"/>
      <c r="H2707" s="51" t="s">
        <v>399</v>
      </c>
      <c r="I2707" s="51" t="s">
        <v>420</v>
      </c>
      <c r="J2707" s="95" t="s">
        <v>421</v>
      </c>
      <c r="K2707" s="92"/>
      <c r="L2707" s="69" t="s">
        <v>433</v>
      </c>
      <c r="M2707" s="44"/>
      <c r="N2707" s="82">
        <f>0.056*3*2.71+0.0675*3*2.71</f>
        <v>1.004055</v>
      </c>
      <c r="O2707" s="44">
        <f>P2698</f>
        <v>0.785</v>
      </c>
      <c r="P2707" s="44">
        <v>1</v>
      </c>
      <c r="Q2707" s="44">
        <f t="shared" si="423"/>
        <v>0.788183175</v>
      </c>
      <c r="R2707" s="84">
        <f>+Q2707/R2698</f>
        <v>0.557808333333333</v>
      </c>
      <c r="S2707" s="47"/>
      <c r="T2707" s="47"/>
    </row>
    <row r="2708" s="27" customFormat="1" ht="18" customHeight="1" spans="1:21">
      <c r="A2708" s="34"/>
      <c r="B2708" s="48">
        <v>2</v>
      </c>
      <c r="C2708" s="48"/>
      <c r="D2708" s="111" t="s">
        <v>491</v>
      </c>
      <c r="E2708" s="49" t="s">
        <v>423</v>
      </c>
      <c r="F2708" s="112"/>
      <c r="G2708" s="111"/>
      <c r="H2708" s="113">
        <v>1</v>
      </c>
      <c r="I2708" s="113">
        <f>+辅材及安装费!$G$3</f>
        <v>165</v>
      </c>
      <c r="J2708" s="114">
        <f t="shared" ref="J2708:J2716" si="424">H2708*I2708</f>
        <v>165</v>
      </c>
      <c r="K2708" s="92"/>
      <c r="L2708" s="69" t="s">
        <v>461</v>
      </c>
      <c r="M2708" s="34" t="s">
        <v>462</v>
      </c>
      <c r="N2708" s="34">
        <v>3.77</v>
      </c>
      <c r="O2708" s="34">
        <v>0.65</v>
      </c>
      <c r="P2708" s="34">
        <v>0</v>
      </c>
      <c r="Q2708" s="44">
        <f t="shared" si="423"/>
        <v>0</v>
      </c>
      <c r="R2708" s="84">
        <f>+Q2708/R2698</f>
        <v>0</v>
      </c>
      <c r="S2708" s="47"/>
      <c r="T2708" s="47"/>
    </row>
    <row r="2709" s="27" customFormat="1" ht="18" customHeight="1" spans="1:21">
      <c r="A2709" s="34"/>
      <c r="B2709" s="48">
        <v>3</v>
      </c>
      <c r="C2709" s="48"/>
      <c r="D2709" s="115"/>
      <c r="E2709" s="63"/>
      <c r="F2709" s="116"/>
      <c r="G2709" s="115"/>
      <c r="H2709" s="117"/>
      <c r="I2709" s="117"/>
      <c r="J2709" s="118"/>
      <c r="K2709" s="92"/>
      <c r="L2709" s="90" t="s">
        <v>472</v>
      </c>
      <c r="M2709" s="44"/>
      <c r="N2709" s="82"/>
      <c r="O2709" s="44"/>
      <c r="P2709" s="44">
        <f>+P2705</f>
        <v>2</v>
      </c>
      <c r="Q2709" s="44">
        <f>+P2709</f>
        <v>2</v>
      </c>
      <c r="R2709" s="84">
        <f>+Q2709/R2698</f>
        <v>1.41542816702052</v>
      </c>
      <c r="S2709" s="47"/>
      <c r="T2709" s="47"/>
    </row>
    <row r="2710" s="27" customFormat="1" ht="18" customHeight="1" spans="1:21">
      <c r="A2710" s="34"/>
      <c r="B2710" s="48">
        <v>4</v>
      </c>
      <c r="C2710" s="48"/>
      <c r="D2710" s="85" t="s">
        <v>426</v>
      </c>
      <c r="E2710" s="48" t="s">
        <v>392</v>
      </c>
      <c r="F2710" s="50"/>
      <c r="G2710" s="48"/>
      <c r="H2710" s="86"/>
      <c r="I2710" s="86"/>
      <c r="J2710" s="95">
        <f>SUM(J2708:J2708)</f>
        <v>165</v>
      </c>
      <c r="K2710" s="92"/>
      <c r="L2710" s="90" t="s">
        <v>473</v>
      </c>
      <c r="M2710" s="44"/>
      <c r="N2710" s="82"/>
      <c r="O2710" s="44"/>
      <c r="P2710" s="44"/>
      <c r="Q2710" s="44">
        <f>+(Q2707)*2</f>
        <v>1.57636635</v>
      </c>
      <c r="R2710" s="84">
        <f>+Q2710/R2698</f>
        <v>1.11561666666667</v>
      </c>
      <c r="S2710" s="47"/>
      <c r="T2710" s="47"/>
    </row>
    <row r="2711" s="27" customFormat="1" ht="24" customHeight="1" spans="1:21">
      <c r="A2711" s="34"/>
      <c r="B2711" s="48">
        <v>1</v>
      </c>
      <c r="C2711" s="48" t="s">
        <v>394</v>
      </c>
      <c r="D2711" s="88" t="s">
        <v>431</v>
      </c>
      <c r="E2711" s="72" t="str">
        <f>+VLOOKUP(D2711,'材料表 '!C:F,2,0)</f>
        <v>kg</v>
      </c>
      <c r="F2711" s="77">
        <f>+SUMIF($L$2698:$L$2737,D2711,$R$2698:$R$2737)</f>
        <v>12.8609695682944</v>
      </c>
      <c r="G2711" s="89">
        <f>+VLOOKUP(D2711,'材料表 '!C:F,4,0)</f>
        <v>0.03</v>
      </c>
      <c r="H2711" s="74">
        <f t="shared" ref="H2711:H2716" si="425">F2711*(G2711+1)</f>
        <v>13.2467986553432</v>
      </c>
      <c r="I2711" s="74">
        <f>+VLOOKUP(D2711,'材料表 '!C:F,3,0)</f>
        <v>3.80530973451327</v>
      </c>
      <c r="J2711" s="95">
        <f t="shared" si="424"/>
        <v>50.4081718743149</v>
      </c>
      <c r="K2711" s="92">
        <f ca="1">H2711*K2697</f>
        <v>412.848071042594</v>
      </c>
      <c r="L2711" s="90"/>
      <c r="M2711" s="44"/>
      <c r="N2711" s="82"/>
      <c r="O2711" s="44"/>
      <c r="P2711" s="44"/>
      <c r="Q2711" s="44"/>
      <c r="R2711" s="84"/>
      <c r="S2711" s="47"/>
      <c r="T2711" s="47"/>
    </row>
    <row r="2712" s="27" customFormat="1" ht="18" customHeight="1" spans="1:21">
      <c r="A2712" s="34"/>
      <c r="B2712" s="48">
        <v>2</v>
      </c>
      <c r="C2712" s="48"/>
      <c r="D2712" s="88" t="s">
        <v>461</v>
      </c>
      <c r="E2712" s="72" t="str">
        <f>+VLOOKUP(D2712,'材料表 '!C:F,2,0)</f>
        <v>kg</v>
      </c>
      <c r="F2712" s="77">
        <f t="shared" ref="F2712:F2721" si="426">+SUMIF($L$2698:$L$2737,D2712,$R$2698:$R$2737)</f>
        <v>4.80254777070064</v>
      </c>
      <c r="G2712" s="89">
        <f>+VLOOKUP(D2712,'材料表 '!C:F,4,0)</f>
        <v>0.03</v>
      </c>
      <c r="H2712" s="74">
        <f t="shared" si="425"/>
        <v>4.94662420382166</v>
      </c>
      <c r="I2712" s="74">
        <f>+VLOOKUP(D2712,'材料表 '!C:F,3,0)</f>
        <v>3.53982300884956</v>
      </c>
      <c r="J2712" s="95">
        <f t="shared" si="424"/>
        <v>17.51017417282</v>
      </c>
      <c r="K2712" s="92">
        <f ca="1">H2712*K2697</f>
        <v>154.16587160828</v>
      </c>
      <c r="L2712" s="90"/>
      <c r="M2712" s="44"/>
      <c r="N2712" s="82"/>
      <c r="O2712" s="44"/>
      <c r="P2712" s="44"/>
      <c r="Q2712" s="44"/>
      <c r="R2712" s="84"/>
      <c r="S2712" s="47"/>
      <c r="T2712" s="47"/>
    </row>
    <row r="2713" s="27" customFormat="1" ht="18" customHeight="1" spans="1:21">
      <c r="A2713" s="34"/>
      <c r="B2713" s="48">
        <v>3</v>
      </c>
      <c r="C2713" s="48"/>
      <c r="D2713" s="88" t="s">
        <v>465</v>
      </c>
      <c r="E2713" s="72" t="str">
        <f>+VLOOKUP(D2713,'材料表 '!C:F,2,0)</f>
        <v>kg</v>
      </c>
      <c r="F2713" s="77">
        <f t="shared" si="426"/>
        <v>2.2</v>
      </c>
      <c r="G2713" s="89">
        <f>+VLOOKUP(D2713,'材料表 '!C:F,4,0)</f>
        <v>0.03</v>
      </c>
      <c r="H2713" s="74">
        <f t="shared" si="425"/>
        <v>2.266</v>
      </c>
      <c r="I2713" s="74">
        <f>+VLOOKUP(D2713,'材料表 '!C:F,3,0)</f>
        <v>6.01769911504425</v>
      </c>
      <c r="J2713" s="95">
        <f t="shared" si="424"/>
        <v>13.6361061946903</v>
      </c>
      <c r="K2713" s="92">
        <f ca="1">H2713*K2697</f>
        <v>70.62187275</v>
      </c>
      <c r="L2713" s="90"/>
      <c r="M2713" s="44"/>
      <c r="N2713" s="82"/>
      <c r="O2713" s="44"/>
      <c r="P2713" s="44"/>
      <c r="Q2713" s="44"/>
      <c r="R2713" s="84"/>
      <c r="S2713" s="47"/>
      <c r="T2713" s="47"/>
    </row>
    <row r="2714" s="27" customFormat="1" ht="18" customHeight="1" spans="1:21">
      <c r="A2714" s="34"/>
      <c r="B2714" s="48">
        <v>4</v>
      </c>
      <c r="C2714" s="48"/>
      <c r="D2714" s="88" t="s">
        <v>463</v>
      </c>
      <c r="E2714" s="72" t="str">
        <f>+VLOOKUP(D2714,'材料表 '!C:F,2,0)</f>
        <v>kg</v>
      </c>
      <c r="F2714" s="77">
        <f t="shared" si="426"/>
        <v>3.33333333333333</v>
      </c>
      <c r="G2714" s="89">
        <f>+VLOOKUP(D2714,'材料表 '!C:F,4,0)</f>
        <v>0.03</v>
      </c>
      <c r="H2714" s="74">
        <f t="shared" si="425"/>
        <v>3.43333333333333</v>
      </c>
      <c r="I2714" s="74">
        <f>+VLOOKUP(D2714,'材料表 '!C:F,3,0)</f>
        <v>6.01769911504425</v>
      </c>
      <c r="J2714" s="95">
        <f t="shared" si="424"/>
        <v>20.6607669616519</v>
      </c>
      <c r="K2714" s="92">
        <f ca="1">H2714*K2697</f>
        <v>107.0028375</v>
      </c>
      <c r="L2714" s="90" t="s">
        <v>474</v>
      </c>
      <c r="M2714" s="44"/>
      <c r="N2714" s="82"/>
      <c r="O2714" s="44"/>
      <c r="P2714" s="44"/>
      <c r="Q2714" s="44">
        <f>+O2704*P2704*4</f>
        <v>4</v>
      </c>
      <c r="R2714" s="84">
        <f>+Q2714/R2698</f>
        <v>2.83085633404105</v>
      </c>
      <c r="S2714" s="47"/>
      <c r="T2714" s="47"/>
    </row>
    <row r="2715" s="27" customFormat="1" ht="18" customHeight="1" spans="1:21">
      <c r="A2715" s="34"/>
      <c r="B2715" s="48">
        <v>5</v>
      </c>
      <c r="C2715" s="48"/>
      <c r="D2715" s="88" t="s">
        <v>433</v>
      </c>
      <c r="E2715" s="72" t="str">
        <f>+VLOOKUP(D2715,'材料表 '!C:F,2,0)</f>
        <v>kg</v>
      </c>
      <c r="F2715" s="77">
        <f t="shared" si="426"/>
        <v>1.83685928874735</v>
      </c>
      <c r="G2715" s="89">
        <f>+VLOOKUP(D2715,'材料表 '!C:F,4,0)</f>
        <v>0.03</v>
      </c>
      <c r="H2715" s="74">
        <f t="shared" si="425"/>
        <v>1.89196506740977</v>
      </c>
      <c r="I2715" s="74">
        <f>+VLOOKUP(D2715,'材料表 '!C:F,3,0)</f>
        <v>26.1150442477876</v>
      </c>
      <c r="J2715" s="95">
        <f t="shared" si="424"/>
        <v>49.4087514506746</v>
      </c>
      <c r="K2715" s="92">
        <f ca="1">H2715*K2697</f>
        <v>58.9647467952595</v>
      </c>
      <c r="L2715" s="92" t="s">
        <v>476</v>
      </c>
      <c r="M2715" s="44"/>
      <c r="N2715" s="82"/>
      <c r="O2715" s="44"/>
      <c r="P2715" s="44"/>
      <c r="Q2715" s="44">
        <f>15*8*(O2698*2+P2698*2)/500</f>
        <v>1.2408</v>
      </c>
      <c r="R2715" s="84">
        <f>+Q2715/R2698</f>
        <v>0.878131634819533</v>
      </c>
      <c r="S2715" s="47"/>
      <c r="T2715" s="47"/>
    </row>
    <row r="2716" s="27" customFormat="1" ht="18" customHeight="1" spans="1:21">
      <c r="A2716" s="34"/>
      <c r="B2716" s="48">
        <v>6</v>
      </c>
      <c r="C2716" s="48"/>
      <c r="D2716" s="88" t="s">
        <v>427</v>
      </c>
      <c r="E2716" s="72" t="str">
        <f>+VLOOKUP(D2716,'材料表 '!C:F,2,0)</f>
        <v>kg</v>
      </c>
      <c r="F2716" s="77">
        <f t="shared" si="426"/>
        <v>0</v>
      </c>
      <c r="G2716" s="89">
        <f>+VLOOKUP(D2716,'材料表 '!C:F,4,0)</f>
        <v>0.03</v>
      </c>
      <c r="H2716" s="74">
        <f t="shared" si="425"/>
        <v>0</v>
      </c>
      <c r="I2716" s="74">
        <f>+VLOOKUP(D2716,'材料表 '!C:F,3,0)</f>
        <v>25.8495575221239</v>
      </c>
      <c r="J2716" s="95">
        <f t="shared" si="424"/>
        <v>0</v>
      </c>
      <c r="K2716" s="92">
        <f ca="1">H2716*K2697</f>
        <v>0</v>
      </c>
      <c r="L2716" s="69" t="s">
        <v>427</v>
      </c>
      <c r="M2716" s="70" t="s">
        <v>1007</v>
      </c>
      <c r="N2716" s="34">
        <v>3.111</v>
      </c>
      <c r="O2716" s="34">
        <f>P2698</f>
        <v>0.785</v>
      </c>
      <c r="P2716" s="34">
        <v>0</v>
      </c>
      <c r="Q2716" s="44">
        <f t="shared" ref="Q2716:Q2724" si="427">+P2716*O2716*N2716</f>
        <v>0</v>
      </c>
      <c r="R2716" s="71">
        <f>+Q2716/R2698</f>
        <v>0</v>
      </c>
      <c r="S2716" s="47"/>
      <c r="T2716" s="47"/>
    </row>
    <row r="2717" s="27" customFormat="1" ht="18" customHeight="1" spans="1:21">
      <c r="A2717" s="34"/>
      <c r="B2717" s="48">
        <v>7</v>
      </c>
      <c r="C2717" s="48"/>
      <c r="D2717" s="88"/>
      <c r="E2717" s="72"/>
      <c r="F2717" s="77">
        <f t="shared" si="426"/>
        <v>0</v>
      </c>
      <c r="G2717" s="89"/>
      <c r="H2717" s="74"/>
      <c r="I2717" s="74"/>
      <c r="J2717" s="95"/>
      <c r="K2717" s="92">
        <f ca="1">H2717*K2697</f>
        <v>0</v>
      </c>
      <c r="L2717" s="69" t="s">
        <v>429</v>
      </c>
      <c r="M2717" s="70" t="s">
        <v>1037</v>
      </c>
      <c r="N2717" s="34">
        <v>3.063</v>
      </c>
      <c r="O2717" s="100">
        <f>O2716/0.3*0.1</f>
        <v>0.261666666666667</v>
      </c>
      <c r="P2717" s="34">
        <v>0</v>
      </c>
      <c r="Q2717" s="44">
        <f t="shared" si="427"/>
        <v>0</v>
      </c>
      <c r="R2717" s="71">
        <f>+Q2717/R2698</f>
        <v>0</v>
      </c>
      <c r="S2717" s="47"/>
      <c r="T2717" s="47"/>
    </row>
    <row r="2718" s="27" customFormat="1" ht="18" customHeight="1" spans="1:21">
      <c r="A2718" s="34"/>
      <c r="B2718" s="48">
        <v>8</v>
      </c>
      <c r="C2718" s="48"/>
      <c r="D2718" s="88"/>
      <c r="E2718" s="72"/>
      <c r="F2718" s="77">
        <f t="shared" si="426"/>
        <v>0</v>
      </c>
      <c r="G2718" s="89"/>
      <c r="H2718" s="74"/>
      <c r="I2718" s="74"/>
      <c r="J2718" s="95"/>
      <c r="K2718" s="92">
        <f ca="1">H2718*K2697</f>
        <v>0</v>
      </c>
      <c r="L2718" s="69" t="s">
        <v>447</v>
      </c>
      <c r="M2718" s="70" t="s">
        <v>1038</v>
      </c>
      <c r="N2718" s="34">
        <f>1.041+0.104</f>
        <v>1.145</v>
      </c>
      <c r="O2718" s="34">
        <f>O2716</f>
        <v>0.785</v>
      </c>
      <c r="P2718" s="34">
        <v>0</v>
      </c>
      <c r="Q2718" s="44">
        <f t="shared" si="427"/>
        <v>0</v>
      </c>
      <c r="R2718" s="71">
        <f>+Q2718/R2698</f>
        <v>0</v>
      </c>
      <c r="S2718" s="47">
        <v>0.172</v>
      </c>
      <c r="T2718" s="47">
        <f>O2718*P2718*S2718</f>
        <v>0</v>
      </c>
      <c r="U2718" s="76">
        <f>T2718/R2698</f>
        <v>0</v>
      </c>
    </row>
    <row r="2719" s="27" customFormat="1" ht="18" customHeight="1" spans="1:21">
      <c r="A2719" s="34"/>
      <c r="B2719" s="48">
        <v>9</v>
      </c>
      <c r="C2719" s="48"/>
      <c r="D2719" s="88" t="s">
        <v>476</v>
      </c>
      <c r="E2719" s="72" t="str">
        <f>+VLOOKUP(D2719,'材料表 '!C:F,2,0)</f>
        <v>支</v>
      </c>
      <c r="F2719" s="77">
        <f t="shared" si="426"/>
        <v>0.878131634819533</v>
      </c>
      <c r="G2719" s="89">
        <f>+VLOOKUP(D2719,'材料表 '!C:F,4,0)</f>
        <v>0.15</v>
      </c>
      <c r="H2719" s="74">
        <f t="shared" ref="H2719:H2724" si="428">F2719*(G2719+1)</f>
        <v>1.00985138004246</v>
      </c>
      <c r="I2719" s="74">
        <f>+VLOOKUP(D2719,'材料表 '!C:F,3,0)</f>
        <v>11.5044247787611</v>
      </c>
      <c r="J2719" s="95">
        <f t="shared" ref="J2719:J2724" si="429">H2719*I2719</f>
        <v>11.6177592394266</v>
      </c>
      <c r="K2719" s="92">
        <f ca="1">H2719*K2697</f>
        <v>31.4729018789808</v>
      </c>
      <c r="L2719" s="69" t="s">
        <v>429</v>
      </c>
      <c r="M2719" s="70" t="s">
        <v>1010</v>
      </c>
      <c r="N2719" s="102">
        <f>2.9</f>
        <v>2.9</v>
      </c>
      <c r="O2719" s="34">
        <v>0.2</v>
      </c>
      <c r="P2719" s="34">
        <v>0</v>
      </c>
      <c r="Q2719" s="44">
        <f t="shared" si="427"/>
        <v>0</v>
      </c>
      <c r="R2719" s="71">
        <f>+Q2719/R2698</f>
        <v>0</v>
      </c>
      <c r="S2719" s="47"/>
      <c r="T2719" s="47"/>
    </row>
    <row r="2720" s="27" customFormat="1" ht="18" customHeight="1" spans="1:21">
      <c r="A2720" s="34"/>
      <c r="B2720" s="48">
        <v>10</v>
      </c>
      <c r="C2720" s="48"/>
      <c r="D2720" s="88" t="s">
        <v>474</v>
      </c>
      <c r="E2720" s="72" t="str">
        <f>+VLOOKUP(D2720,'材料表 '!C:F,2,0)</f>
        <v>套</v>
      </c>
      <c r="F2720" s="77">
        <f t="shared" si="426"/>
        <v>2.83085633404105</v>
      </c>
      <c r="G2720" s="89">
        <f>+VLOOKUP(D2720,'材料表 '!C:F,4,0)</f>
        <v>0</v>
      </c>
      <c r="H2720" s="74">
        <f t="shared" si="428"/>
        <v>2.83085633404105</v>
      </c>
      <c r="I2720" s="74">
        <f>+VLOOKUP(D2720,'材料表 '!C:F,3,0)</f>
        <v>2.21238938053097</v>
      </c>
      <c r="J2720" s="95">
        <f t="shared" si="429"/>
        <v>6.26295649124125</v>
      </c>
      <c r="K2720" s="92">
        <f ca="1">H2720*K2697</f>
        <v>88.2261146496816</v>
      </c>
      <c r="L2720" s="69" t="s">
        <v>429</v>
      </c>
      <c r="M2720" s="70" t="s">
        <v>1040</v>
      </c>
      <c r="N2720" s="34">
        <v>0.733</v>
      </c>
      <c r="O2720" s="100">
        <f>O2717*2</f>
        <v>0.523333333333333</v>
      </c>
      <c r="P2720" s="34">
        <v>0</v>
      </c>
      <c r="Q2720" s="44">
        <f t="shared" si="427"/>
        <v>0</v>
      </c>
      <c r="R2720" s="71">
        <f>+Q2720/R2698</f>
        <v>0</v>
      </c>
      <c r="S2720" s="79"/>
      <c r="T2720" s="47"/>
    </row>
    <row r="2721" s="27" customFormat="1" ht="18" customHeight="1" spans="1:21">
      <c r="A2721" s="34"/>
      <c r="B2721" s="48">
        <v>11</v>
      </c>
      <c r="C2721" s="48"/>
      <c r="D2721" s="88" t="s">
        <v>472</v>
      </c>
      <c r="E2721" s="72" t="str">
        <f>+VLOOKUP(D2721,'材料表 '!C:F,2,0)</f>
        <v>套</v>
      </c>
      <c r="F2721" s="77">
        <f t="shared" si="426"/>
        <v>1.41542816702052</v>
      </c>
      <c r="G2721" s="89">
        <f>+VLOOKUP(D2721,'材料表 '!C:F,4,0)</f>
        <v>0</v>
      </c>
      <c r="H2721" s="74">
        <f t="shared" si="428"/>
        <v>1.41542816702052</v>
      </c>
      <c r="I2721" s="74">
        <f>+VLOOKUP(D2721,'材料表 '!C:F,3,0)</f>
        <v>2.47787610619469</v>
      </c>
      <c r="J2721" s="95">
        <f t="shared" si="429"/>
        <v>3.50725563509509</v>
      </c>
      <c r="K2721" s="92">
        <f ca="1">H2721*K2697</f>
        <v>44.1130573248406</v>
      </c>
      <c r="L2721" s="69" t="s">
        <v>404</v>
      </c>
      <c r="M2721" s="70" t="s">
        <v>1041</v>
      </c>
      <c r="N2721" s="34">
        <v>3.727</v>
      </c>
      <c r="O2721" s="34">
        <v>0</v>
      </c>
      <c r="P2721" s="34">
        <v>1</v>
      </c>
      <c r="Q2721" s="44">
        <f t="shared" si="427"/>
        <v>0</v>
      </c>
      <c r="R2721" s="71">
        <f>+Q2721/R2698</f>
        <v>0</v>
      </c>
      <c r="S2721" s="47"/>
      <c r="T2721" s="47"/>
      <c r="U2721" s="76"/>
    </row>
    <row r="2722" s="27" customFormat="1" ht="18" customHeight="1" spans="1:21">
      <c r="A2722" s="34"/>
      <c r="B2722" s="48">
        <v>12</v>
      </c>
      <c r="C2722" s="48"/>
      <c r="D2722" s="88" t="s">
        <v>513</v>
      </c>
      <c r="E2722" s="72" t="str">
        <f>+VLOOKUP(D2722,'材料表 '!C:F,2,0)</f>
        <v>m2</v>
      </c>
      <c r="F2722" s="77">
        <v>1</v>
      </c>
      <c r="G2722" s="89">
        <f>+VLOOKUP(D2722,'材料表 '!C:F,4,0)</f>
        <v>0.02</v>
      </c>
      <c r="H2722" s="74">
        <f t="shared" si="428"/>
        <v>1.02</v>
      </c>
      <c r="I2722" s="74">
        <f>+VLOOKUP(D2722,'材料表 '!C:F,3,0)</f>
        <v>257.522123893805</v>
      </c>
      <c r="J2722" s="95">
        <f t="shared" si="429"/>
        <v>262.672566371681</v>
      </c>
      <c r="K2722" s="92">
        <f ca="1">H2722*K2697</f>
        <v>31.7891925</v>
      </c>
      <c r="L2722" s="69" t="s">
        <v>429</v>
      </c>
      <c r="M2722" s="81" t="s">
        <v>1027</v>
      </c>
      <c r="N2722" s="82">
        <v>0.735</v>
      </c>
      <c r="O2722" s="34">
        <v>0</v>
      </c>
      <c r="P2722" s="34">
        <v>1</v>
      </c>
      <c r="Q2722" s="44">
        <f t="shared" si="427"/>
        <v>0</v>
      </c>
      <c r="R2722" s="71">
        <f>+Q2722/R2698</f>
        <v>0</v>
      </c>
      <c r="S2722" s="47"/>
      <c r="T2722" s="47"/>
    </row>
    <row r="2723" s="27" customFormat="1" ht="18" customHeight="1" spans="1:21">
      <c r="A2723" s="34"/>
      <c r="B2723" s="48">
        <v>13</v>
      </c>
      <c r="C2723" s="48"/>
      <c r="D2723" s="124" t="s">
        <v>500</v>
      </c>
      <c r="E2723" s="72" t="str">
        <f>+VLOOKUP(D2723,'材料表 '!C:F,2,0)</f>
        <v>kg</v>
      </c>
      <c r="F2723" s="77">
        <v>0</v>
      </c>
      <c r="G2723" s="89">
        <f>+VLOOKUP(D2723,'材料表 '!C:F,4,0)</f>
        <v>0.03</v>
      </c>
      <c r="H2723" s="74">
        <f t="shared" si="428"/>
        <v>0</v>
      </c>
      <c r="I2723" s="74">
        <f>+VLOOKUP(D2723,'材料表 '!C:F,3,0)</f>
        <v>14.1592920353982</v>
      </c>
      <c r="J2723" s="95">
        <f t="shared" si="429"/>
        <v>0</v>
      </c>
      <c r="K2723" s="92">
        <f ca="1">H2723*K2697</f>
        <v>0</v>
      </c>
      <c r="L2723" s="69" t="s">
        <v>447</v>
      </c>
      <c r="M2723" s="70" t="s">
        <v>1038</v>
      </c>
      <c r="N2723" s="83">
        <v>0.977</v>
      </c>
      <c r="O2723" s="34">
        <v>0</v>
      </c>
      <c r="P2723" s="34">
        <v>1</v>
      </c>
      <c r="Q2723" s="44">
        <f t="shared" si="427"/>
        <v>0</v>
      </c>
      <c r="R2723" s="84">
        <f>+Q2723/R2698</f>
        <v>0</v>
      </c>
      <c r="S2723" s="47">
        <v>0.185</v>
      </c>
      <c r="T2723" s="47">
        <f>O2723*P2723*S2723</f>
        <v>0</v>
      </c>
      <c r="U2723" s="27">
        <f>T2723/R2698</f>
        <v>0</v>
      </c>
    </row>
    <row r="2724" s="27" customFormat="1" ht="20" customHeight="1" spans="1:21">
      <c r="A2724" s="34"/>
      <c r="B2724" s="48">
        <v>14</v>
      </c>
      <c r="C2724" s="48"/>
      <c r="D2724" s="88" t="s">
        <v>479</v>
      </c>
      <c r="E2724" s="72" t="str">
        <f>+VLOOKUP(D2724,'材料表 '!C:F,2,0)</f>
        <v>kg</v>
      </c>
      <c r="F2724" s="77">
        <v>0</v>
      </c>
      <c r="G2724" s="89">
        <f>+VLOOKUP(D2724,'材料表 '!C:F,4,0)</f>
        <v>0.03</v>
      </c>
      <c r="H2724" s="74">
        <f t="shared" si="428"/>
        <v>0</v>
      </c>
      <c r="I2724" s="74">
        <f>+VLOOKUP(D2724,'材料表 '!C:F,3,0)</f>
        <v>14.1592920353982</v>
      </c>
      <c r="J2724" s="95">
        <f t="shared" si="429"/>
        <v>0</v>
      </c>
      <c r="K2724" s="92">
        <f ca="1">H2724*K2697</f>
        <v>0</v>
      </c>
      <c r="L2724" s="69" t="s">
        <v>429</v>
      </c>
      <c r="M2724" s="81" t="s">
        <v>1042</v>
      </c>
      <c r="N2724" s="82">
        <v>0.687</v>
      </c>
      <c r="O2724" s="44">
        <v>0</v>
      </c>
      <c r="P2724" s="34">
        <v>0</v>
      </c>
      <c r="Q2724" s="44">
        <f t="shared" si="427"/>
        <v>0</v>
      </c>
      <c r="R2724" s="84">
        <f>+Q2724/R2698</f>
        <v>0</v>
      </c>
      <c r="S2724" s="47"/>
      <c r="T2724" s="47"/>
    </row>
    <row r="2725" s="27" customFormat="1" ht="18" customHeight="1" spans="1:21">
      <c r="A2725" s="34"/>
      <c r="B2725" s="48">
        <v>15</v>
      </c>
      <c r="C2725" s="48"/>
      <c r="D2725" s="88"/>
      <c r="E2725" s="72"/>
      <c r="F2725" s="77"/>
      <c r="G2725" s="89"/>
      <c r="H2725" s="74"/>
      <c r="I2725" s="74"/>
      <c r="J2725" s="95"/>
      <c r="K2725" s="92"/>
      <c r="L2725" s="92"/>
      <c r="M2725" s="44"/>
      <c r="N2725" s="44"/>
      <c r="O2725" s="44"/>
      <c r="P2725" s="44"/>
      <c r="Q2725" s="44"/>
      <c r="R2725" s="84"/>
      <c r="S2725" s="47"/>
      <c r="T2725" s="47"/>
    </row>
    <row r="2726" s="27" customFormat="1" ht="18" customHeight="1" spans="1:21">
      <c r="A2726" s="34"/>
      <c r="B2726" s="48">
        <v>16</v>
      </c>
      <c r="C2726" s="48"/>
      <c r="D2726" s="88"/>
      <c r="E2726" s="72"/>
      <c r="F2726" s="77"/>
      <c r="G2726" s="89"/>
      <c r="H2726" s="74"/>
      <c r="I2726" s="74"/>
      <c r="J2726" s="95"/>
      <c r="K2726" s="92"/>
      <c r="L2726" s="92"/>
      <c r="M2726" s="44"/>
      <c r="N2726" s="44"/>
      <c r="O2726" s="44"/>
      <c r="P2726" s="44"/>
      <c r="Q2726" s="44"/>
      <c r="R2726" s="84"/>
      <c r="S2726" s="47"/>
      <c r="T2726" s="47"/>
    </row>
    <row r="2727" s="27" customFormat="1" ht="18" customHeight="1" spans="1:21">
      <c r="A2727" s="34"/>
      <c r="B2727" s="48">
        <v>17</v>
      </c>
      <c r="C2727" s="48"/>
      <c r="D2727" s="121"/>
      <c r="E2727" s="72"/>
      <c r="F2727" s="77"/>
      <c r="G2727" s="89"/>
      <c r="H2727" s="74"/>
      <c r="I2727" s="74"/>
      <c r="J2727" s="95"/>
      <c r="K2727" s="92"/>
      <c r="L2727" s="92"/>
      <c r="M2727" s="44"/>
      <c r="N2727" s="44"/>
      <c r="O2727" s="44"/>
      <c r="P2727" s="44"/>
      <c r="Q2727" s="101"/>
      <c r="R2727" s="84"/>
      <c r="S2727" s="47"/>
      <c r="T2727" s="47"/>
    </row>
    <row r="2728" s="27" customFormat="1" ht="18" customHeight="1" spans="1:21">
      <c r="A2728" s="34"/>
      <c r="B2728" s="48">
        <v>18</v>
      </c>
      <c r="C2728" s="48"/>
      <c r="D2728" s="88"/>
      <c r="E2728" s="72"/>
      <c r="F2728" s="77"/>
      <c r="G2728" s="89"/>
      <c r="H2728" s="74"/>
      <c r="I2728" s="74"/>
      <c r="J2728" s="95"/>
      <c r="K2728" s="92"/>
      <c r="L2728" s="92"/>
      <c r="M2728" s="44"/>
      <c r="N2728" s="44"/>
      <c r="O2728" s="44"/>
      <c r="P2728" s="44"/>
      <c r="Q2728" s="44"/>
      <c r="R2728" s="84"/>
      <c r="S2728" s="47"/>
      <c r="T2728" s="47"/>
    </row>
    <row r="2729" s="27" customFormat="1" ht="18" customHeight="1" spans="1:21">
      <c r="A2729" s="34"/>
      <c r="B2729" s="48">
        <v>19</v>
      </c>
      <c r="C2729" s="48"/>
      <c r="D2729" s="27"/>
      <c r="E2729" s="72"/>
      <c r="F2729" s="77"/>
      <c r="G2729" s="89"/>
      <c r="H2729" s="74"/>
      <c r="I2729" s="74"/>
      <c r="J2729" s="95"/>
      <c r="K2729" s="92"/>
      <c r="L2729" s="92"/>
      <c r="M2729" s="44"/>
      <c r="N2729" s="44"/>
      <c r="O2729" s="44"/>
      <c r="P2729" s="44"/>
      <c r="Q2729" s="44"/>
      <c r="R2729" s="84"/>
      <c r="S2729" s="47"/>
      <c r="T2729" s="47"/>
    </row>
    <row r="2730" s="27" customFormat="1" ht="18" customHeight="1" spans="1:21">
      <c r="A2730" s="34"/>
      <c r="B2730" s="48">
        <v>20</v>
      </c>
      <c r="C2730" s="48"/>
      <c r="D2730" s="88"/>
      <c r="E2730" s="72"/>
      <c r="F2730" s="77"/>
      <c r="G2730" s="89"/>
      <c r="H2730" s="74"/>
      <c r="I2730" s="74"/>
      <c r="J2730" s="95"/>
      <c r="K2730" s="92"/>
      <c r="L2730" s="92"/>
      <c r="M2730" s="44"/>
      <c r="N2730" s="44"/>
      <c r="O2730" s="44"/>
      <c r="P2730" s="44"/>
      <c r="Q2730" s="44"/>
      <c r="R2730" s="84"/>
      <c r="S2730" s="47"/>
      <c r="T2730" s="47"/>
    </row>
    <row r="2731" s="27" customFormat="1" ht="18" customHeight="1" spans="1:21">
      <c r="A2731" s="34"/>
      <c r="B2731" s="48">
        <v>21</v>
      </c>
      <c r="C2731" s="48"/>
      <c r="D2731" s="88"/>
      <c r="E2731" s="72"/>
      <c r="F2731" s="77"/>
      <c r="G2731" s="89"/>
      <c r="H2731" s="74"/>
      <c r="I2731" s="74"/>
      <c r="J2731" s="95"/>
      <c r="K2731" s="92"/>
      <c r="L2731" s="92"/>
      <c r="M2731" s="44"/>
      <c r="N2731" s="44"/>
      <c r="O2731" s="44"/>
      <c r="P2731" s="44"/>
      <c r="Q2731" s="44"/>
      <c r="R2731" s="84"/>
      <c r="S2731" s="47"/>
      <c r="T2731" s="47"/>
    </row>
    <row r="2732" s="27" customFormat="1" ht="18" customHeight="1" spans="1:21">
      <c r="A2732" s="34"/>
      <c r="B2732" s="48">
        <v>22</v>
      </c>
      <c r="C2732" s="48"/>
      <c r="D2732" s="27"/>
      <c r="E2732" s="72"/>
      <c r="F2732" s="77"/>
      <c r="G2732" s="72"/>
      <c r="H2732" s="74"/>
      <c r="I2732" s="74"/>
      <c r="J2732" s="95"/>
      <c r="K2732" s="92"/>
      <c r="L2732" s="92"/>
      <c r="M2732" s="44"/>
      <c r="N2732" s="44"/>
      <c r="O2732" s="44"/>
      <c r="P2732" s="44"/>
      <c r="Q2732" s="44"/>
      <c r="R2732" s="62"/>
      <c r="S2732" s="47"/>
      <c r="T2732" s="47"/>
    </row>
    <row r="2733" s="27" customFormat="1" ht="18" customHeight="1" spans="1:21">
      <c r="A2733" s="34"/>
      <c r="B2733" s="48">
        <v>23</v>
      </c>
      <c r="C2733" s="48"/>
      <c r="D2733" s="88"/>
      <c r="E2733" s="72"/>
      <c r="F2733" s="77"/>
      <c r="G2733" s="89"/>
      <c r="H2733" s="74"/>
      <c r="I2733" s="74"/>
      <c r="J2733" s="95"/>
      <c r="K2733" s="92"/>
      <c r="L2733" s="92"/>
      <c r="M2733" s="44"/>
      <c r="N2733" s="44"/>
      <c r="O2733" s="44"/>
      <c r="P2733" s="44"/>
      <c r="Q2733" s="44"/>
      <c r="R2733" s="62"/>
      <c r="S2733" s="47"/>
      <c r="T2733" s="47"/>
    </row>
    <row r="2734" s="27" customFormat="1" ht="18" customHeight="1" spans="1:21">
      <c r="A2734" s="34"/>
      <c r="B2734" s="48">
        <v>24</v>
      </c>
      <c r="C2734" s="48"/>
      <c r="D2734" s="88" t="s">
        <v>478</v>
      </c>
      <c r="E2734" s="72" t="s">
        <v>43</v>
      </c>
      <c r="F2734" s="77"/>
      <c r="G2734" s="72">
        <v>1</v>
      </c>
      <c r="H2734" s="74">
        <v>1</v>
      </c>
      <c r="I2734" s="74">
        <f>+辅材及安装费!$E$3</f>
        <v>5</v>
      </c>
      <c r="J2734" s="95">
        <f>H2734*I2734</f>
        <v>5</v>
      </c>
      <c r="K2734" s="92"/>
      <c r="L2734" s="92"/>
      <c r="M2734" s="44"/>
      <c r="N2734" s="44"/>
      <c r="O2734" s="44"/>
      <c r="P2734" s="44"/>
      <c r="Q2734" s="44"/>
      <c r="R2734" s="62"/>
      <c r="S2734" s="47"/>
      <c r="T2734" s="47"/>
    </row>
    <row r="2735" s="27" customFormat="1" ht="18" customHeight="1" spans="1:21">
      <c r="A2735" s="34"/>
      <c r="B2735" s="48">
        <v>25</v>
      </c>
      <c r="C2735" s="48"/>
      <c r="D2735" s="93" t="s">
        <v>442</v>
      </c>
      <c r="E2735" s="72"/>
      <c r="F2735" s="77"/>
      <c r="G2735" s="72"/>
      <c r="H2735" s="74"/>
      <c r="I2735" s="74"/>
      <c r="J2735" s="95">
        <f>SUM(J2711:J2734)</f>
        <v>440.684508391596</v>
      </c>
      <c r="K2735" s="92"/>
      <c r="L2735" s="94"/>
      <c r="M2735" s="27"/>
      <c r="N2735" s="83"/>
      <c r="O2735" s="83"/>
      <c r="P2735" s="83"/>
      <c r="Q2735" s="83"/>
      <c r="R2735" s="87"/>
      <c r="S2735" s="47"/>
      <c r="T2735" s="47"/>
    </row>
    <row r="2736" s="27" customFormat="1" ht="18" customHeight="1" spans="1:21">
      <c r="A2736" s="34"/>
      <c r="B2736" s="48">
        <v>1</v>
      </c>
      <c r="C2736" s="48" t="s">
        <v>443</v>
      </c>
      <c r="D2736" s="48" t="s">
        <v>444</v>
      </c>
      <c r="E2736" s="72" t="s">
        <v>43</v>
      </c>
      <c r="F2736" s="50"/>
      <c r="G2736" s="48"/>
      <c r="H2736" s="51">
        <v>1</v>
      </c>
      <c r="I2736" s="74">
        <f>+辅材及安装费!$F$3</f>
        <v>5</v>
      </c>
      <c r="J2736" s="95">
        <f>H2736*I2736</f>
        <v>5</v>
      </c>
      <c r="K2736" s="118"/>
      <c r="L2736" s="96"/>
      <c r="M2736" s="97"/>
      <c r="N2736" s="98"/>
      <c r="O2736" s="98"/>
      <c r="P2736" s="98"/>
      <c r="Q2736" s="98"/>
      <c r="R2736" s="99"/>
      <c r="S2736" s="47"/>
      <c r="T2736" s="47"/>
    </row>
    <row r="2737" s="26" customFormat="1" ht="30" customHeight="1" spans="1:20">
      <c r="A2737" s="28"/>
      <c r="B2737" s="29" t="s">
        <v>386</v>
      </c>
      <c r="C2737" s="29"/>
      <c r="D2737" s="29"/>
      <c r="E2737" s="29"/>
      <c r="F2737" s="29"/>
      <c r="G2737" s="29"/>
      <c r="H2737" s="29"/>
      <c r="I2737" s="29"/>
      <c r="J2737" s="29"/>
      <c r="K2737" s="29"/>
      <c r="L2737" s="30"/>
      <c r="M2737" s="31"/>
      <c r="N2737" s="31"/>
      <c r="O2737" s="31"/>
      <c r="P2737" s="31"/>
      <c r="Q2737" s="31"/>
      <c r="R2737" s="32"/>
      <c r="S2737" s="33"/>
      <c r="T2737" s="33"/>
    </row>
    <row r="2738" s="27" customFormat="1" ht="33.75" customHeight="1" spans="1:20">
      <c r="A2738" s="34">
        <v>14</v>
      </c>
      <c r="B2738" s="35" t="s">
        <v>1</v>
      </c>
      <c r="C2738" s="35" t="s">
        <v>387</v>
      </c>
      <c r="D2738" s="36" t="str">
        <f>+A2746</f>
        <v>墙面：25㎜香槟色蜂窝铝板</v>
      </c>
      <c r="E2738" s="37"/>
      <c r="F2738" s="38" t="s">
        <v>119</v>
      </c>
      <c r="G2738" s="39"/>
      <c r="H2738" s="35" t="s">
        <v>388</v>
      </c>
      <c r="I2738" s="40" t="s">
        <v>389</v>
      </c>
      <c r="J2738" s="41" t="s">
        <v>37</v>
      </c>
      <c r="K2738" s="122">
        <f ca="1">VLOOKUP(A2738,'商业工程量清单 '!$A$59:$D$81,4,FALSE)</f>
        <v>166.38622</v>
      </c>
      <c r="L2738" s="43"/>
      <c r="M2738" s="44"/>
      <c r="N2738" s="44"/>
      <c r="O2738" s="44"/>
      <c r="P2738" s="45"/>
      <c r="Q2738" s="44"/>
      <c r="R2738" s="46"/>
      <c r="S2738" s="47"/>
      <c r="T2738" s="47"/>
    </row>
    <row r="2739" s="27" customFormat="1" ht="25" customHeight="1" spans="1:20">
      <c r="A2739" s="34"/>
      <c r="B2739" s="48">
        <v>1</v>
      </c>
      <c r="C2739" s="49" t="s">
        <v>390</v>
      </c>
      <c r="D2739" s="48" t="s">
        <v>391</v>
      </c>
      <c r="E2739" s="48"/>
      <c r="F2739" s="50"/>
      <c r="G2739" s="48"/>
      <c r="H2739" s="51"/>
      <c r="I2739" s="52">
        <f>J2751</f>
        <v>165</v>
      </c>
      <c r="J2739" s="53" t="s">
        <v>392</v>
      </c>
      <c r="K2739" s="54"/>
      <c r="L2739" s="55"/>
      <c r="M2739" s="56" t="s">
        <v>1070</v>
      </c>
      <c r="N2739" s="57"/>
      <c r="O2739" s="57">
        <v>3.558</v>
      </c>
      <c r="P2739" s="57">
        <v>6.85</v>
      </c>
      <c r="Q2739" s="57">
        <v>1</v>
      </c>
      <c r="R2739" s="58">
        <f>+Q2739*P2739*O2739</f>
        <v>24.3723</v>
      </c>
      <c r="S2739" s="47"/>
      <c r="T2739" s="47"/>
    </row>
    <row r="2740" s="27" customFormat="1" ht="18" customHeight="1" spans="1:20">
      <c r="A2740" s="34"/>
      <c r="B2740" s="48">
        <v>2</v>
      </c>
      <c r="C2740" s="59"/>
      <c r="D2740" s="48" t="s">
        <v>394</v>
      </c>
      <c r="E2740" s="48"/>
      <c r="F2740" s="50"/>
      <c r="G2740" s="48"/>
      <c r="H2740" s="51"/>
      <c r="I2740" s="52">
        <f>J2776</f>
        <v>431.135449435142</v>
      </c>
      <c r="J2740" s="53" t="s">
        <v>392</v>
      </c>
      <c r="K2740" s="60"/>
      <c r="L2740" s="61" t="s">
        <v>119</v>
      </c>
      <c r="M2740" s="44"/>
      <c r="N2740" s="44"/>
      <c r="O2740" s="44"/>
      <c r="P2740" s="44"/>
      <c r="Q2740" s="44"/>
      <c r="R2740" s="62"/>
      <c r="S2740" s="47"/>
      <c r="T2740" s="47"/>
    </row>
    <row r="2741" s="27" customFormat="1" ht="18" customHeight="1" spans="1:20">
      <c r="A2741" s="34"/>
      <c r="B2741" s="48">
        <v>3</v>
      </c>
      <c r="C2741" s="63"/>
      <c r="D2741" s="48" t="s">
        <v>395</v>
      </c>
      <c r="E2741" s="48"/>
      <c r="F2741" s="50"/>
      <c r="G2741" s="48"/>
      <c r="H2741" s="51"/>
      <c r="I2741" s="52">
        <f>J2777</f>
        <v>5</v>
      </c>
      <c r="J2741" s="53" t="s">
        <v>392</v>
      </c>
      <c r="K2741" s="60"/>
      <c r="L2741" s="60"/>
      <c r="M2741" s="65" t="s">
        <v>396</v>
      </c>
      <c r="N2741" s="65" t="s">
        <v>397</v>
      </c>
      <c r="O2741" s="65" t="s">
        <v>398</v>
      </c>
      <c r="P2741" s="65" t="s">
        <v>399</v>
      </c>
      <c r="Q2741" s="65" t="s">
        <v>400</v>
      </c>
      <c r="R2741" s="66" t="s">
        <v>401</v>
      </c>
      <c r="S2741" s="47"/>
      <c r="T2741" s="47"/>
    </row>
    <row r="2742" s="27" customFormat="1" ht="18" customHeight="1" spans="1:20">
      <c r="A2742" s="34"/>
      <c r="B2742" s="48">
        <v>4</v>
      </c>
      <c r="C2742" s="48" t="s">
        <v>402</v>
      </c>
      <c r="D2742" s="67" t="s">
        <v>403</v>
      </c>
      <c r="E2742" s="67"/>
      <c r="F2742" s="50"/>
      <c r="G2742" s="67"/>
      <c r="H2742" s="68"/>
      <c r="I2742" s="52">
        <f>SUM(I2739:I2741)</f>
        <v>601.135449435142</v>
      </c>
      <c r="J2742" s="53" t="s">
        <v>392</v>
      </c>
      <c r="K2742" s="60"/>
      <c r="L2742" s="69" t="s">
        <v>431</v>
      </c>
      <c r="M2742" s="34" t="s">
        <v>1071</v>
      </c>
      <c r="N2742" s="34">
        <v>14.57</v>
      </c>
      <c r="O2742" s="34">
        <f>P2739</f>
        <v>6.85</v>
      </c>
      <c r="P2742" s="34">
        <v>3</v>
      </c>
      <c r="Q2742" s="44">
        <f t="shared" ref="Q2742:Q2749" si="430">+P2742*O2742*N2742</f>
        <v>299.4135</v>
      </c>
      <c r="R2742" s="71">
        <f>+Q2742/R2739</f>
        <v>12.2849915682968</v>
      </c>
      <c r="S2742" s="47"/>
      <c r="T2742" s="47"/>
    </row>
    <row r="2743" s="27" customFormat="1" ht="28" customHeight="1" spans="1:20">
      <c r="A2743" s="34"/>
      <c r="B2743" s="48">
        <v>5</v>
      </c>
      <c r="C2743" s="72" t="s">
        <v>406</v>
      </c>
      <c r="D2743" s="48" t="s">
        <v>407</v>
      </c>
      <c r="E2743" s="48"/>
      <c r="F2743" s="50"/>
      <c r="G2743" s="48"/>
      <c r="H2743" s="73">
        <f>+'材料表 '!$E$178</f>
        <v>0</v>
      </c>
      <c r="I2743" s="52">
        <f>H2743*I2742</f>
        <v>0</v>
      </c>
      <c r="J2743" s="53" t="s">
        <v>392</v>
      </c>
      <c r="K2743" s="60"/>
      <c r="L2743" s="69" t="s">
        <v>461</v>
      </c>
      <c r="M2743" s="34" t="s">
        <v>462</v>
      </c>
      <c r="N2743" s="34">
        <v>3.77</v>
      </c>
      <c r="O2743" s="34">
        <f>+O2739</f>
        <v>3.558</v>
      </c>
      <c r="P2743" s="34">
        <v>0</v>
      </c>
      <c r="Q2743" s="44">
        <f t="shared" si="430"/>
        <v>0</v>
      </c>
      <c r="R2743" s="71">
        <f>+Q2743/R2739</f>
        <v>0</v>
      </c>
      <c r="S2743" s="47"/>
      <c r="T2743" s="47"/>
    </row>
    <row r="2744" s="27" customFormat="1" ht="18" customHeight="1" spans="1:20">
      <c r="A2744" s="34"/>
      <c r="B2744" s="48">
        <v>6</v>
      </c>
      <c r="C2744" s="48" t="s">
        <v>409</v>
      </c>
      <c r="D2744" s="48" t="s">
        <v>410</v>
      </c>
      <c r="E2744" s="48"/>
      <c r="F2744" s="50"/>
      <c r="G2744" s="48"/>
      <c r="H2744" s="73">
        <f>+'材料表 '!$E$179</f>
        <v>0</v>
      </c>
      <c r="I2744" s="52">
        <f>H2744*I2742</f>
        <v>0</v>
      </c>
      <c r="J2744" s="53" t="s">
        <v>392</v>
      </c>
      <c r="K2744" s="60"/>
      <c r="L2744" s="69" t="s">
        <v>431</v>
      </c>
      <c r="M2744" s="34" t="s">
        <v>1069</v>
      </c>
      <c r="N2744" s="34">
        <v>7.03</v>
      </c>
      <c r="O2744" s="34">
        <f>O2739+(0.989+0.655+0.984)</f>
        <v>6.186</v>
      </c>
      <c r="P2744" s="34">
        <v>3</v>
      </c>
      <c r="Q2744" s="44">
        <f t="shared" si="430"/>
        <v>130.46274</v>
      </c>
      <c r="R2744" s="71">
        <f>+Q2744/R2739</f>
        <v>5.35291047623737</v>
      </c>
      <c r="S2744" s="47"/>
      <c r="T2744" s="47"/>
    </row>
    <row r="2745" s="27" customFormat="1" ht="18" customHeight="1" spans="1:20">
      <c r="A2745" s="34"/>
      <c r="B2745" s="48">
        <v>7</v>
      </c>
      <c r="C2745" s="48" t="s">
        <v>412</v>
      </c>
      <c r="D2745" s="72" t="s">
        <v>413</v>
      </c>
      <c r="E2745" s="72"/>
      <c r="F2745" s="77"/>
      <c r="G2745" s="72"/>
      <c r="H2745" s="73">
        <f>+'材料表 '!$E$180</f>
        <v>0.09</v>
      </c>
      <c r="I2745" s="52">
        <f>(I2742+I2743+I2744)*H2745</f>
        <v>54.1021904491628</v>
      </c>
      <c r="J2745" s="53" t="s">
        <v>392</v>
      </c>
      <c r="K2745" s="60"/>
      <c r="L2745" s="69" t="s">
        <v>463</v>
      </c>
      <c r="M2745" s="34" t="s">
        <v>490</v>
      </c>
      <c r="N2745" s="34">
        <f>0.3*0.2*7.85*10</f>
        <v>4.71</v>
      </c>
      <c r="O2745" s="34">
        <v>1</v>
      </c>
      <c r="P2745" s="34">
        <v>3</v>
      </c>
      <c r="Q2745" s="44">
        <f t="shared" si="430"/>
        <v>14.13</v>
      </c>
      <c r="R2745" s="71">
        <f>+Q2745/R2739</f>
        <v>0.579756526876823</v>
      </c>
      <c r="S2745" s="47"/>
      <c r="T2745" s="47"/>
    </row>
    <row r="2746" s="27" customFormat="1" ht="18" customHeight="1" spans="1:20">
      <c r="A2746" s="34" t="s">
        <v>327</v>
      </c>
      <c r="B2746" s="48">
        <v>8</v>
      </c>
      <c r="C2746" s="48" t="s">
        <v>363</v>
      </c>
      <c r="D2746" s="106" t="s">
        <v>415</v>
      </c>
      <c r="E2746" s="107"/>
      <c r="F2746" s="108"/>
      <c r="G2746" s="107"/>
      <c r="H2746" s="51"/>
      <c r="I2746" s="74">
        <f>SUM(I2742:I2745)</f>
        <v>655.237639884305</v>
      </c>
      <c r="J2746" s="53" t="s">
        <v>416</v>
      </c>
      <c r="K2746" s="60"/>
      <c r="L2746" s="69" t="s">
        <v>465</v>
      </c>
      <c r="M2746" s="34" t="s">
        <v>1066</v>
      </c>
      <c r="N2746" s="100">
        <f>0.36*5*7.85</f>
        <v>14.13</v>
      </c>
      <c r="O2746" s="34">
        <f>110/1000</f>
        <v>0.11</v>
      </c>
      <c r="P2746" s="44">
        <f>+P2745*O2745*2</f>
        <v>6</v>
      </c>
      <c r="Q2746" s="44">
        <f t="shared" si="430"/>
        <v>9.3258</v>
      </c>
      <c r="R2746" s="84">
        <f>+Q2746/R2739</f>
        <v>0.382639307738703</v>
      </c>
      <c r="S2746" s="79"/>
      <c r="T2746" s="47"/>
    </row>
    <row r="2747" s="27" customFormat="1" ht="18" customHeight="1" spans="1:20">
      <c r="A2747" s="34"/>
      <c r="B2747" s="109" t="s">
        <v>418</v>
      </c>
      <c r="C2747" s="110"/>
      <c r="D2747" s="110"/>
      <c r="E2747" s="110"/>
      <c r="F2747" s="110"/>
      <c r="G2747" s="110"/>
      <c r="H2747" s="110"/>
      <c r="I2747" s="110"/>
      <c r="J2747" s="110"/>
      <c r="K2747" s="80"/>
      <c r="L2747" s="69" t="s">
        <v>433</v>
      </c>
      <c r="M2747" s="44"/>
      <c r="N2747" s="82">
        <f>0.056*3*2.71+0.0675*3*2.71</f>
        <v>1.004055</v>
      </c>
      <c r="O2747" s="44">
        <f>O2739</f>
        <v>3.558</v>
      </c>
      <c r="P2747" s="44">
        <v>1</v>
      </c>
      <c r="Q2747" s="44">
        <f t="shared" si="430"/>
        <v>3.57242769</v>
      </c>
      <c r="R2747" s="84">
        <f>+Q2747/R2739</f>
        <v>0.146577372262774</v>
      </c>
      <c r="S2747" s="47">
        <f>0.16*P2747*O2747/R2739</f>
        <v>0.0233576642335766</v>
      </c>
      <c r="T2747" s="47"/>
    </row>
    <row r="2748" s="27" customFormat="1" ht="18" customHeight="1" spans="1:20">
      <c r="A2748" s="34"/>
      <c r="B2748" s="48">
        <v>1</v>
      </c>
      <c r="C2748" s="48" t="s">
        <v>391</v>
      </c>
      <c r="D2748" s="48" t="s">
        <v>396</v>
      </c>
      <c r="E2748" s="48" t="s">
        <v>37</v>
      </c>
      <c r="F2748" s="50"/>
      <c r="G2748" s="48"/>
      <c r="H2748" s="51" t="s">
        <v>399</v>
      </c>
      <c r="I2748" s="51" t="s">
        <v>420</v>
      </c>
      <c r="J2748" s="95" t="s">
        <v>421</v>
      </c>
      <c r="K2748" s="92"/>
      <c r="L2748" s="69" t="s">
        <v>433</v>
      </c>
      <c r="M2748" s="44"/>
      <c r="N2748" s="82">
        <f>0.056*3*2.71+0.0675*3*2.71</f>
        <v>1.004055</v>
      </c>
      <c r="O2748" s="44">
        <f>P2739</f>
        <v>6.85</v>
      </c>
      <c r="P2748" s="44">
        <v>4</v>
      </c>
      <c r="Q2748" s="44">
        <f t="shared" si="430"/>
        <v>27.511107</v>
      </c>
      <c r="R2748" s="84">
        <f>+Q2748/R2739</f>
        <v>1.12878583473862</v>
      </c>
      <c r="S2748" s="47"/>
      <c r="T2748" s="47"/>
    </row>
    <row r="2749" s="27" customFormat="1" ht="18" customHeight="1" spans="1:20">
      <c r="A2749" s="34"/>
      <c r="B2749" s="48">
        <v>2</v>
      </c>
      <c r="C2749" s="48"/>
      <c r="D2749" s="111" t="s">
        <v>491</v>
      </c>
      <c r="E2749" s="49" t="s">
        <v>423</v>
      </c>
      <c r="F2749" s="112"/>
      <c r="G2749" s="111"/>
      <c r="H2749" s="113">
        <v>1</v>
      </c>
      <c r="I2749" s="113">
        <f>+辅材及安装费!$G$3</f>
        <v>165</v>
      </c>
      <c r="J2749" s="114">
        <f t="shared" ref="J2749:J2757" si="431">H2749*I2749</f>
        <v>165</v>
      </c>
      <c r="K2749" s="92"/>
      <c r="L2749" s="69" t="s">
        <v>461</v>
      </c>
      <c r="M2749" s="34" t="s">
        <v>462</v>
      </c>
      <c r="N2749" s="34">
        <v>3.77</v>
      </c>
      <c r="O2749" s="34">
        <v>0.65</v>
      </c>
      <c r="P2749" s="34">
        <v>0</v>
      </c>
      <c r="Q2749" s="44">
        <f t="shared" si="430"/>
        <v>0</v>
      </c>
      <c r="R2749" s="84">
        <f>+Q2749/R2739</f>
        <v>0</v>
      </c>
      <c r="S2749" s="47"/>
      <c r="T2749" s="47"/>
    </row>
    <row r="2750" s="27" customFormat="1" ht="18" customHeight="1" spans="1:20">
      <c r="A2750" s="34"/>
      <c r="B2750" s="48">
        <v>3</v>
      </c>
      <c r="C2750" s="48"/>
      <c r="D2750" s="115"/>
      <c r="E2750" s="63"/>
      <c r="F2750" s="116"/>
      <c r="G2750" s="115"/>
      <c r="H2750" s="117"/>
      <c r="I2750" s="117"/>
      <c r="J2750" s="118"/>
      <c r="K2750" s="92"/>
      <c r="L2750" s="90" t="s">
        <v>472</v>
      </c>
      <c r="M2750" s="44"/>
      <c r="N2750" s="82"/>
      <c r="O2750" s="44"/>
      <c r="P2750" s="44">
        <f>+P2746</f>
        <v>6</v>
      </c>
      <c r="Q2750" s="44">
        <f>+P2750</f>
        <v>6</v>
      </c>
      <c r="R2750" s="84">
        <f>+Q2750/R2739</f>
        <v>0.246181115446634</v>
      </c>
      <c r="S2750" s="47"/>
      <c r="T2750" s="47"/>
    </row>
    <row r="2751" s="27" customFormat="1" ht="18" customHeight="1" spans="1:20">
      <c r="A2751" s="34"/>
      <c r="B2751" s="48">
        <v>4</v>
      </c>
      <c r="C2751" s="48"/>
      <c r="D2751" s="85" t="s">
        <v>426</v>
      </c>
      <c r="E2751" s="48" t="s">
        <v>392</v>
      </c>
      <c r="F2751" s="50"/>
      <c r="G2751" s="48"/>
      <c r="H2751" s="86"/>
      <c r="I2751" s="86"/>
      <c r="J2751" s="95">
        <f>SUM(J2749:J2749)</f>
        <v>165</v>
      </c>
      <c r="K2751" s="92"/>
      <c r="L2751" s="90" t="s">
        <v>473</v>
      </c>
      <c r="M2751" s="44"/>
      <c r="N2751" s="82"/>
      <c r="O2751" s="44"/>
      <c r="P2751" s="44"/>
      <c r="Q2751" s="44">
        <f>+(Q2748)*2</f>
        <v>55.022214</v>
      </c>
      <c r="R2751" s="84">
        <f>+Q2751/R2739</f>
        <v>2.25757166947723</v>
      </c>
      <c r="S2751" s="47"/>
      <c r="T2751" s="47"/>
    </row>
    <row r="2752" s="27" customFormat="1" ht="24" customHeight="1" spans="1:20">
      <c r="A2752" s="34"/>
      <c r="B2752" s="48">
        <v>1</v>
      </c>
      <c r="C2752" s="48" t="s">
        <v>394</v>
      </c>
      <c r="D2752" s="88" t="s">
        <v>431</v>
      </c>
      <c r="E2752" s="72" t="str">
        <f>+VLOOKUP(D2752,'材料表 '!C:F,2,0)</f>
        <v>kg</v>
      </c>
      <c r="F2752" s="77">
        <f>+SUMIF($L$2739:$L$2777,D2752,$R$2739:$R$2777)</f>
        <v>17.6379020445342</v>
      </c>
      <c r="G2752" s="89">
        <f>+VLOOKUP(D2752,'材料表 '!C:F,4,0)</f>
        <v>0.03</v>
      </c>
      <c r="H2752" s="74">
        <f t="shared" ref="H2752:H2757" si="432">F2752*(G2752+1)</f>
        <v>18.1670391058702</v>
      </c>
      <c r="I2752" s="74">
        <f>+VLOOKUP(D2752,'材料表 '!C:F,3,0)</f>
        <v>3.80530973451327</v>
      </c>
      <c r="J2752" s="95">
        <f t="shared" si="431"/>
        <v>69.1312107568512</v>
      </c>
      <c r="K2752" s="92">
        <f ca="1">H2752*K2738</f>
        <v>3022.74496541792</v>
      </c>
      <c r="L2752" s="90"/>
      <c r="M2752" s="44"/>
      <c r="N2752" s="82"/>
      <c r="O2752" s="44"/>
      <c r="P2752" s="44"/>
      <c r="Q2752" s="44"/>
      <c r="R2752" s="84"/>
      <c r="S2752" s="47"/>
      <c r="T2752" s="47"/>
    </row>
    <row r="2753" s="27" customFormat="1" ht="18" customHeight="1" spans="1:21">
      <c r="A2753" s="34"/>
      <c r="B2753" s="48">
        <v>2</v>
      </c>
      <c r="C2753" s="48"/>
      <c r="D2753" s="88" t="s">
        <v>461</v>
      </c>
      <c r="E2753" s="72" t="str">
        <f>+VLOOKUP(D2753,'材料表 '!C:F,2,0)</f>
        <v>kg</v>
      </c>
      <c r="F2753" s="77">
        <f t="shared" ref="F2753:F2762" si="433">+SUMIF($L$2739:$L$2777,D2753,$R$2739:$R$2777)</f>
        <v>0</v>
      </c>
      <c r="G2753" s="89">
        <f>+VLOOKUP(D2753,'材料表 '!C:F,4,0)</f>
        <v>0.03</v>
      </c>
      <c r="H2753" s="74">
        <f t="shared" si="432"/>
        <v>0</v>
      </c>
      <c r="I2753" s="74">
        <f>+VLOOKUP(D2753,'材料表 '!C:F,3,0)</f>
        <v>3.53982300884956</v>
      </c>
      <c r="J2753" s="95">
        <f t="shared" si="431"/>
        <v>0</v>
      </c>
      <c r="K2753" s="92">
        <f ca="1">H2753*K2738</f>
        <v>0</v>
      </c>
      <c r="L2753" s="90"/>
      <c r="M2753" s="44"/>
      <c r="N2753" s="82"/>
      <c r="O2753" s="44"/>
      <c r="P2753" s="44"/>
      <c r="Q2753" s="44"/>
      <c r="R2753" s="84"/>
      <c r="S2753" s="47"/>
      <c r="T2753" s="47"/>
    </row>
    <row r="2754" s="27" customFormat="1" ht="18" customHeight="1" spans="1:21">
      <c r="A2754" s="34"/>
      <c r="B2754" s="48">
        <v>3</v>
      </c>
      <c r="C2754" s="48"/>
      <c r="D2754" s="88" t="s">
        <v>465</v>
      </c>
      <c r="E2754" s="72" t="str">
        <f>+VLOOKUP(D2754,'材料表 '!C:F,2,0)</f>
        <v>kg</v>
      </c>
      <c r="F2754" s="77">
        <f t="shared" si="433"/>
        <v>0.382639307738703</v>
      </c>
      <c r="G2754" s="89">
        <f>+VLOOKUP(D2754,'材料表 '!C:F,4,0)</f>
        <v>0.03</v>
      </c>
      <c r="H2754" s="74">
        <f t="shared" si="432"/>
        <v>0.394118486970864</v>
      </c>
      <c r="I2754" s="74">
        <f>+VLOOKUP(D2754,'材料表 '!C:F,3,0)</f>
        <v>6.01769911504425</v>
      </c>
      <c r="J2754" s="95">
        <f t="shared" si="431"/>
        <v>2.37168647026715</v>
      </c>
      <c r="K2754" s="92">
        <f ca="1">H2754*K2738</f>
        <v>65.5758852792013</v>
      </c>
      <c r="L2754" s="90"/>
      <c r="M2754" s="44"/>
      <c r="N2754" s="82"/>
      <c r="O2754" s="44"/>
      <c r="P2754" s="44"/>
      <c r="Q2754" s="44"/>
      <c r="R2754" s="84"/>
      <c r="S2754" s="47"/>
      <c r="T2754" s="47"/>
    </row>
    <row r="2755" s="27" customFormat="1" ht="18" customHeight="1" spans="1:21">
      <c r="A2755" s="34"/>
      <c r="B2755" s="48">
        <v>4</v>
      </c>
      <c r="C2755" s="48"/>
      <c r="D2755" s="88" t="s">
        <v>463</v>
      </c>
      <c r="E2755" s="72" t="str">
        <f>+VLOOKUP(D2755,'材料表 '!C:F,2,0)</f>
        <v>kg</v>
      </c>
      <c r="F2755" s="77">
        <f t="shared" si="433"/>
        <v>0.579756526876823</v>
      </c>
      <c r="G2755" s="89">
        <f>+VLOOKUP(D2755,'材料表 '!C:F,4,0)</f>
        <v>0.03</v>
      </c>
      <c r="H2755" s="74">
        <f t="shared" si="432"/>
        <v>0.597149222683128</v>
      </c>
      <c r="I2755" s="74">
        <f>+VLOOKUP(D2755,'材料表 '!C:F,3,0)</f>
        <v>6.01769911504425</v>
      </c>
      <c r="J2755" s="95">
        <f t="shared" si="431"/>
        <v>3.59346434888962</v>
      </c>
      <c r="K2755" s="92">
        <f ca="1">H2755*K2738</f>
        <v>99.3574019381839</v>
      </c>
      <c r="L2755" s="90" t="s">
        <v>474</v>
      </c>
      <c r="M2755" s="44"/>
      <c r="N2755" s="82"/>
      <c r="O2755" s="44"/>
      <c r="P2755" s="44"/>
      <c r="Q2755" s="44">
        <f>+O2745*P2745*4</f>
        <v>12</v>
      </c>
      <c r="R2755" s="84">
        <f>+Q2755/R2739</f>
        <v>0.492362230893268</v>
      </c>
      <c r="S2755" s="47"/>
      <c r="T2755" s="47"/>
    </row>
    <row r="2756" s="27" customFormat="1" ht="18" customHeight="1" spans="1:21">
      <c r="A2756" s="34"/>
      <c r="B2756" s="48">
        <v>5</v>
      </c>
      <c r="C2756" s="48"/>
      <c r="D2756" s="88" t="s">
        <v>433</v>
      </c>
      <c r="E2756" s="72" t="str">
        <f>+VLOOKUP(D2756,'材料表 '!C:F,2,0)</f>
        <v>kg</v>
      </c>
      <c r="F2756" s="77">
        <f t="shared" si="433"/>
        <v>1.27536320700139</v>
      </c>
      <c r="G2756" s="89">
        <f>+VLOOKUP(D2756,'材料表 '!C:F,4,0)</f>
        <v>0.03</v>
      </c>
      <c r="H2756" s="74">
        <f t="shared" si="432"/>
        <v>1.31362410321143</v>
      </c>
      <c r="I2756" s="74">
        <f>+VLOOKUP(D2756,'材料表 '!C:F,3,0)</f>
        <v>26.1150442477876</v>
      </c>
      <c r="J2756" s="95">
        <f t="shared" si="431"/>
        <v>34.3053515803268</v>
      </c>
      <c r="K2756" s="92">
        <f ca="1">H2756*K2738</f>
        <v>218.56894903424</v>
      </c>
      <c r="L2756" s="92" t="s">
        <v>476</v>
      </c>
      <c r="M2756" s="44"/>
      <c r="N2756" s="82"/>
      <c r="O2756" s="44"/>
      <c r="P2756" s="44"/>
      <c r="Q2756" s="44">
        <f>15*8*(O2739*4+P2739*4)/500</f>
        <v>9.99168</v>
      </c>
      <c r="R2756" s="84">
        <f>+Q2756/R2739</f>
        <v>0.409960487930971</v>
      </c>
      <c r="S2756" s="47"/>
      <c r="T2756" s="47"/>
    </row>
    <row r="2757" s="27" customFormat="1" ht="18" customHeight="1" spans="1:21">
      <c r="A2757" s="34"/>
      <c r="B2757" s="48">
        <v>6</v>
      </c>
      <c r="C2757" s="48"/>
      <c r="D2757" s="88" t="s">
        <v>427</v>
      </c>
      <c r="E2757" s="72" t="str">
        <f>+VLOOKUP(D2757,'材料表 '!C:F,2,0)</f>
        <v>kg</v>
      </c>
      <c r="F2757" s="77">
        <f t="shared" si="433"/>
        <v>0</v>
      </c>
      <c r="G2757" s="89">
        <f>+VLOOKUP(D2757,'材料表 '!C:F,4,0)</f>
        <v>0.03</v>
      </c>
      <c r="H2757" s="74">
        <f t="shared" si="432"/>
        <v>0</v>
      </c>
      <c r="I2757" s="74">
        <f>+VLOOKUP(D2757,'材料表 '!C:F,3,0)</f>
        <v>25.8495575221239</v>
      </c>
      <c r="J2757" s="95">
        <f t="shared" si="431"/>
        <v>0</v>
      </c>
      <c r="K2757" s="92">
        <f ca="1">H2757*K2738</f>
        <v>0</v>
      </c>
      <c r="L2757" s="69" t="s">
        <v>427</v>
      </c>
      <c r="M2757" s="70" t="s">
        <v>1007</v>
      </c>
      <c r="N2757" s="34">
        <v>3.111</v>
      </c>
      <c r="O2757" s="34">
        <f>P2739</f>
        <v>6.85</v>
      </c>
      <c r="P2757" s="34">
        <v>0</v>
      </c>
      <c r="Q2757" s="44">
        <f t="shared" ref="Q2757:Q2765" si="434">+P2757*O2757*N2757</f>
        <v>0</v>
      </c>
      <c r="R2757" s="71">
        <f>+Q2757/R2739</f>
        <v>0</v>
      </c>
      <c r="S2757" s="47"/>
      <c r="T2757" s="47"/>
    </row>
    <row r="2758" s="27" customFormat="1" ht="18" customHeight="1" spans="1:21">
      <c r="A2758" s="34"/>
      <c r="B2758" s="48">
        <v>7</v>
      </c>
      <c r="C2758" s="48"/>
      <c r="D2758" s="88"/>
      <c r="E2758" s="72"/>
      <c r="F2758" s="77">
        <f t="shared" si="433"/>
        <v>0</v>
      </c>
      <c r="G2758" s="89"/>
      <c r="H2758" s="74"/>
      <c r="I2758" s="74"/>
      <c r="J2758" s="95"/>
      <c r="K2758" s="92">
        <f ca="1">H2758*K2738</f>
        <v>0</v>
      </c>
      <c r="L2758" s="69" t="s">
        <v>429</v>
      </c>
      <c r="M2758" s="70" t="s">
        <v>1037</v>
      </c>
      <c r="N2758" s="34">
        <v>3.063</v>
      </c>
      <c r="O2758" s="100">
        <f>O2757/0.3*0.1</f>
        <v>2.28333333333333</v>
      </c>
      <c r="P2758" s="34">
        <v>0</v>
      </c>
      <c r="Q2758" s="44">
        <f t="shared" si="434"/>
        <v>0</v>
      </c>
      <c r="R2758" s="71">
        <f>+Q2758/R2739</f>
        <v>0</v>
      </c>
      <c r="S2758" s="47"/>
      <c r="T2758" s="47"/>
    </row>
    <row r="2759" s="27" customFormat="1" ht="18" customHeight="1" spans="1:21">
      <c r="A2759" s="34"/>
      <c r="B2759" s="48">
        <v>8</v>
      </c>
      <c r="C2759" s="48"/>
      <c r="D2759" s="88"/>
      <c r="E2759" s="72"/>
      <c r="F2759" s="77">
        <f t="shared" si="433"/>
        <v>0</v>
      </c>
      <c r="G2759" s="89"/>
      <c r="H2759" s="74"/>
      <c r="I2759" s="74"/>
      <c r="J2759" s="95"/>
      <c r="K2759" s="92">
        <f ca="1">H2759*K2738</f>
        <v>0</v>
      </c>
      <c r="L2759" s="69" t="s">
        <v>447</v>
      </c>
      <c r="M2759" s="70" t="s">
        <v>1038</v>
      </c>
      <c r="N2759" s="34">
        <f>1.041+0.104</f>
        <v>1.145</v>
      </c>
      <c r="O2759" s="34">
        <f>O2757</f>
        <v>6.85</v>
      </c>
      <c r="P2759" s="34">
        <v>0</v>
      </c>
      <c r="Q2759" s="44">
        <f t="shared" si="434"/>
        <v>0</v>
      </c>
      <c r="R2759" s="71">
        <f>+Q2759/R2739</f>
        <v>0</v>
      </c>
      <c r="S2759" s="47">
        <v>0.172</v>
      </c>
      <c r="T2759" s="47">
        <f>O2759*P2759*S2759</f>
        <v>0</v>
      </c>
      <c r="U2759" s="76">
        <f>T2759/R2739</f>
        <v>0</v>
      </c>
    </row>
    <row r="2760" s="27" customFormat="1" ht="18" customHeight="1" spans="1:21">
      <c r="A2760" s="34"/>
      <c r="B2760" s="48">
        <v>9</v>
      </c>
      <c r="C2760" s="48"/>
      <c r="D2760" s="88" t="s">
        <v>476</v>
      </c>
      <c r="E2760" s="72" t="str">
        <f>+VLOOKUP(D2760,'材料表 '!C:F,2,0)</f>
        <v>支</v>
      </c>
      <c r="F2760" s="77">
        <f t="shared" si="433"/>
        <v>0.409960487930971</v>
      </c>
      <c r="G2760" s="89">
        <f>+VLOOKUP(D2760,'材料表 '!C:F,4,0)</f>
        <v>0.15</v>
      </c>
      <c r="H2760" s="74">
        <f t="shared" ref="H2760:H2765" si="435">F2760*(G2760+1)</f>
        <v>0.471454561120617</v>
      </c>
      <c r="I2760" s="74">
        <f>+VLOOKUP(D2760,'材料表 '!C:F,3,0)</f>
        <v>11.5044247787611</v>
      </c>
      <c r="J2760" s="95">
        <f t="shared" ref="J2760:J2765" si="436">H2760*I2760</f>
        <v>5.42381353501596</v>
      </c>
      <c r="K2760" s="92">
        <f ca="1">H2760*K2738</f>
        <v>78.4435423266184</v>
      </c>
      <c r="L2760" s="69" t="s">
        <v>429</v>
      </c>
      <c r="M2760" s="70" t="s">
        <v>1010</v>
      </c>
      <c r="N2760" s="102">
        <f>2.9</f>
        <v>2.9</v>
      </c>
      <c r="O2760" s="34">
        <v>0.2</v>
      </c>
      <c r="P2760" s="34">
        <v>0</v>
      </c>
      <c r="Q2760" s="44">
        <f t="shared" si="434"/>
        <v>0</v>
      </c>
      <c r="R2760" s="71">
        <f>+Q2760/R2739</f>
        <v>0</v>
      </c>
      <c r="S2760" s="47"/>
      <c r="T2760" s="47"/>
    </row>
    <row r="2761" s="27" customFormat="1" ht="18" customHeight="1" spans="1:21">
      <c r="A2761" s="34"/>
      <c r="B2761" s="48">
        <v>10</v>
      </c>
      <c r="C2761" s="48"/>
      <c r="D2761" s="88" t="s">
        <v>474</v>
      </c>
      <c r="E2761" s="72" t="str">
        <f>+VLOOKUP(D2761,'材料表 '!C:F,2,0)</f>
        <v>套</v>
      </c>
      <c r="F2761" s="77">
        <f t="shared" si="433"/>
        <v>0.492362230893268</v>
      </c>
      <c r="G2761" s="89">
        <f>+VLOOKUP(D2761,'材料表 '!C:F,4,0)</f>
        <v>0</v>
      </c>
      <c r="H2761" s="74">
        <f t="shared" si="435"/>
        <v>0.492362230893268</v>
      </c>
      <c r="I2761" s="74">
        <f>+VLOOKUP(D2761,'材料表 '!C:F,3,0)</f>
        <v>2.21238938053097</v>
      </c>
      <c r="J2761" s="95">
        <f t="shared" si="436"/>
        <v>1.0892969710028</v>
      </c>
      <c r="K2761" s="92">
        <f ca="1">H2761*K2738</f>
        <v>81.9222904690981</v>
      </c>
      <c r="L2761" s="69" t="s">
        <v>429</v>
      </c>
      <c r="M2761" s="70" t="s">
        <v>1040</v>
      </c>
      <c r="N2761" s="34">
        <v>0.733</v>
      </c>
      <c r="O2761" s="100">
        <f>O2758*2</f>
        <v>4.56666666666667</v>
      </c>
      <c r="P2761" s="34">
        <v>0</v>
      </c>
      <c r="Q2761" s="44">
        <f t="shared" si="434"/>
        <v>0</v>
      </c>
      <c r="R2761" s="71">
        <f>+Q2761/R2739</f>
        <v>0</v>
      </c>
      <c r="S2761" s="79"/>
      <c r="T2761" s="47"/>
    </row>
    <row r="2762" s="27" customFormat="1" ht="18" customHeight="1" spans="1:21">
      <c r="A2762" s="34"/>
      <c r="B2762" s="48">
        <v>11</v>
      </c>
      <c r="C2762" s="48"/>
      <c r="D2762" s="88" t="s">
        <v>472</v>
      </c>
      <c r="E2762" s="72" t="str">
        <f>+VLOOKUP(D2762,'材料表 '!C:F,2,0)</f>
        <v>套</v>
      </c>
      <c r="F2762" s="77">
        <f t="shared" si="433"/>
        <v>0.246181115446634</v>
      </c>
      <c r="G2762" s="89">
        <f>+VLOOKUP(D2762,'材料表 '!C:F,4,0)</f>
        <v>0</v>
      </c>
      <c r="H2762" s="74">
        <f t="shared" si="435"/>
        <v>0.246181115446634</v>
      </c>
      <c r="I2762" s="74">
        <f>+VLOOKUP(D2762,'材料表 '!C:F,3,0)</f>
        <v>2.47787610619469</v>
      </c>
      <c r="J2762" s="95">
        <f t="shared" si="436"/>
        <v>0.610006303761571</v>
      </c>
      <c r="K2762" s="92">
        <f ca="1">H2762*K2738</f>
        <v>40.961145234549</v>
      </c>
      <c r="L2762" s="69" t="s">
        <v>404</v>
      </c>
      <c r="M2762" s="70" t="s">
        <v>1041</v>
      </c>
      <c r="N2762" s="34">
        <v>3.727</v>
      </c>
      <c r="O2762" s="34">
        <v>0</v>
      </c>
      <c r="P2762" s="34">
        <v>1</v>
      </c>
      <c r="Q2762" s="44">
        <f t="shared" si="434"/>
        <v>0</v>
      </c>
      <c r="R2762" s="71">
        <f>+Q2762/R2739</f>
        <v>0</v>
      </c>
      <c r="S2762" s="47"/>
      <c r="T2762" s="47"/>
      <c r="U2762" s="76"/>
    </row>
    <row r="2763" s="27" customFormat="1" ht="18" customHeight="1" spans="1:21">
      <c r="A2763" s="34"/>
      <c r="B2763" s="48">
        <v>12</v>
      </c>
      <c r="C2763" s="48"/>
      <c r="D2763" s="88" t="s">
        <v>634</v>
      </c>
      <c r="E2763" s="72" t="str">
        <f>+VLOOKUP(D2763,'材料表 '!C:F,2,0)</f>
        <v>m2</v>
      </c>
      <c r="F2763" s="77">
        <v>1</v>
      </c>
      <c r="G2763" s="89">
        <f>+VLOOKUP(D2763,'材料表 '!C:F,4,0)</f>
        <v>0.02</v>
      </c>
      <c r="H2763" s="74">
        <f t="shared" si="435"/>
        <v>1.02</v>
      </c>
      <c r="I2763" s="74">
        <f>+VLOOKUP(D2763,'材料表 '!C:F,3,0)</f>
        <v>303.53982300885</v>
      </c>
      <c r="J2763" s="95">
        <f t="shared" si="436"/>
        <v>309.610619469027</v>
      </c>
      <c r="K2763" s="92">
        <f ca="1">H2763*K2738</f>
        <v>169.7139444</v>
      </c>
      <c r="L2763" s="69" t="s">
        <v>429</v>
      </c>
      <c r="M2763" s="81" t="s">
        <v>1027</v>
      </c>
      <c r="N2763" s="82">
        <v>0.735</v>
      </c>
      <c r="O2763" s="34">
        <v>0</v>
      </c>
      <c r="P2763" s="34">
        <v>1</v>
      </c>
      <c r="Q2763" s="44">
        <f t="shared" si="434"/>
        <v>0</v>
      </c>
      <c r="R2763" s="71">
        <f>+Q2763/R2739</f>
        <v>0</v>
      </c>
      <c r="S2763" s="47"/>
      <c r="T2763" s="47"/>
    </row>
    <row r="2764" s="27" customFormat="1" ht="18" customHeight="1" spans="1:21">
      <c r="A2764" s="34"/>
      <c r="B2764" s="48">
        <v>13</v>
      </c>
      <c r="C2764" s="48"/>
      <c r="D2764" s="124" t="s">
        <v>500</v>
      </c>
      <c r="E2764" s="72" t="str">
        <f>+VLOOKUP(D2764,'材料表 '!C:F,2,0)</f>
        <v>kg</v>
      </c>
      <c r="F2764" s="77">
        <v>0</v>
      </c>
      <c r="G2764" s="89">
        <f>+VLOOKUP(D2764,'材料表 '!C:F,4,0)</f>
        <v>0.03</v>
      </c>
      <c r="H2764" s="74">
        <f t="shared" si="435"/>
        <v>0</v>
      </c>
      <c r="I2764" s="74">
        <f>+VLOOKUP(D2764,'材料表 '!C:F,3,0)</f>
        <v>14.1592920353982</v>
      </c>
      <c r="J2764" s="95">
        <f t="shared" si="436"/>
        <v>0</v>
      </c>
      <c r="K2764" s="92">
        <f ca="1">H2764*K2738</f>
        <v>0</v>
      </c>
      <c r="L2764" s="69" t="s">
        <v>447</v>
      </c>
      <c r="M2764" s="70" t="s">
        <v>1038</v>
      </c>
      <c r="N2764" s="83">
        <v>0.977</v>
      </c>
      <c r="O2764" s="34">
        <v>0</v>
      </c>
      <c r="P2764" s="34">
        <v>1</v>
      </c>
      <c r="Q2764" s="44">
        <f t="shared" si="434"/>
        <v>0</v>
      </c>
      <c r="R2764" s="84">
        <f>+Q2764/R2739</f>
        <v>0</v>
      </c>
      <c r="S2764" s="47">
        <v>0.185</v>
      </c>
      <c r="T2764" s="47">
        <f>O2764*P2764*S2764</f>
        <v>0</v>
      </c>
      <c r="U2764" s="27">
        <f>T2764/R2739</f>
        <v>0</v>
      </c>
    </row>
    <row r="2765" s="27" customFormat="1" ht="20" customHeight="1" spans="1:21">
      <c r="A2765" s="34"/>
      <c r="B2765" s="48">
        <v>14</v>
      </c>
      <c r="C2765" s="48"/>
      <c r="D2765" s="88" t="s">
        <v>479</v>
      </c>
      <c r="E2765" s="72" t="str">
        <f>+VLOOKUP(D2765,'材料表 '!C:F,2,0)</f>
        <v>kg</v>
      </c>
      <c r="F2765" s="77">
        <v>0</v>
      </c>
      <c r="G2765" s="89">
        <f>+VLOOKUP(D2765,'材料表 '!C:F,4,0)</f>
        <v>0.03</v>
      </c>
      <c r="H2765" s="74">
        <f t="shared" si="435"/>
        <v>0</v>
      </c>
      <c r="I2765" s="74">
        <f>+VLOOKUP(D2765,'材料表 '!C:F,3,0)</f>
        <v>14.1592920353982</v>
      </c>
      <c r="J2765" s="95">
        <f t="shared" si="436"/>
        <v>0</v>
      </c>
      <c r="K2765" s="92">
        <f ca="1">H2765*K2738</f>
        <v>0</v>
      </c>
      <c r="L2765" s="69" t="s">
        <v>429</v>
      </c>
      <c r="M2765" s="81" t="s">
        <v>1042</v>
      </c>
      <c r="N2765" s="82">
        <v>0.687</v>
      </c>
      <c r="O2765" s="44">
        <v>0</v>
      </c>
      <c r="P2765" s="34">
        <v>0</v>
      </c>
      <c r="Q2765" s="44">
        <f t="shared" si="434"/>
        <v>0</v>
      </c>
      <c r="R2765" s="84">
        <f>+Q2765/R2739</f>
        <v>0</v>
      </c>
      <c r="S2765" s="47"/>
      <c r="T2765" s="47"/>
    </row>
    <row r="2766" s="27" customFormat="1" ht="18" customHeight="1" spans="1:21">
      <c r="A2766" s="34"/>
      <c r="B2766" s="48">
        <v>15</v>
      </c>
      <c r="C2766" s="48"/>
      <c r="D2766" s="88"/>
      <c r="E2766" s="72"/>
      <c r="F2766" s="77"/>
      <c r="G2766" s="89"/>
      <c r="H2766" s="74"/>
      <c r="I2766" s="74"/>
      <c r="J2766" s="95"/>
      <c r="K2766" s="92"/>
      <c r="L2766" s="92"/>
      <c r="M2766" s="44"/>
      <c r="N2766" s="44"/>
      <c r="O2766" s="44"/>
      <c r="P2766" s="44"/>
      <c r="Q2766" s="44"/>
      <c r="R2766" s="84"/>
      <c r="S2766" s="47"/>
      <c r="T2766" s="47"/>
    </row>
    <row r="2767" s="27" customFormat="1" ht="18" customHeight="1" spans="1:21">
      <c r="A2767" s="34"/>
      <c r="B2767" s="48">
        <v>16</v>
      </c>
      <c r="C2767" s="48"/>
      <c r="D2767" s="88"/>
      <c r="E2767" s="72"/>
      <c r="F2767" s="77"/>
      <c r="G2767" s="89"/>
      <c r="H2767" s="74"/>
      <c r="I2767" s="74"/>
      <c r="J2767" s="95"/>
      <c r="K2767" s="92"/>
      <c r="L2767" s="92"/>
      <c r="M2767" s="44"/>
      <c r="N2767" s="44"/>
      <c r="O2767" s="44"/>
      <c r="P2767" s="44"/>
      <c r="Q2767" s="44"/>
      <c r="R2767" s="84"/>
      <c r="S2767" s="47"/>
      <c r="T2767" s="47"/>
    </row>
    <row r="2768" s="27" customFormat="1" ht="18" customHeight="1" spans="1:21">
      <c r="A2768" s="34"/>
      <c r="B2768" s="48">
        <v>17</v>
      </c>
      <c r="C2768" s="48"/>
      <c r="D2768" s="121"/>
      <c r="E2768" s="72"/>
      <c r="F2768" s="77"/>
      <c r="G2768" s="89"/>
      <c r="H2768" s="74"/>
      <c r="I2768" s="74"/>
      <c r="J2768" s="95"/>
      <c r="K2768" s="92"/>
      <c r="L2768" s="92"/>
      <c r="M2768" s="44"/>
      <c r="N2768" s="44"/>
      <c r="O2768" s="44"/>
      <c r="P2768" s="44"/>
      <c r="Q2768" s="101"/>
      <c r="R2768" s="84"/>
      <c r="S2768" s="47"/>
      <c r="T2768" s="47"/>
    </row>
    <row r="2769" s="27" customFormat="1" ht="18" customHeight="1" spans="1:20">
      <c r="A2769" s="34"/>
      <c r="B2769" s="48">
        <v>18</v>
      </c>
      <c r="C2769" s="48"/>
      <c r="D2769" s="88"/>
      <c r="E2769" s="72"/>
      <c r="F2769" s="77"/>
      <c r="G2769" s="89"/>
      <c r="H2769" s="74"/>
      <c r="I2769" s="74"/>
      <c r="J2769" s="95"/>
      <c r="K2769" s="92"/>
      <c r="L2769" s="92"/>
      <c r="M2769" s="44"/>
      <c r="N2769" s="44"/>
      <c r="O2769" s="44"/>
      <c r="P2769" s="44"/>
      <c r="Q2769" s="44"/>
      <c r="R2769" s="84"/>
      <c r="S2769" s="47"/>
      <c r="T2769" s="47"/>
    </row>
    <row r="2770" s="27" customFormat="1" ht="18" customHeight="1" spans="1:20">
      <c r="A2770" s="34"/>
      <c r="B2770" s="48">
        <v>19</v>
      </c>
      <c r="C2770" s="48"/>
      <c r="D2770" s="27"/>
      <c r="E2770" s="72"/>
      <c r="F2770" s="77"/>
      <c r="G2770" s="89"/>
      <c r="H2770" s="74"/>
      <c r="I2770" s="74"/>
      <c r="J2770" s="95"/>
      <c r="K2770" s="92"/>
      <c r="L2770" s="92"/>
      <c r="M2770" s="44"/>
      <c r="N2770" s="44"/>
      <c r="O2770" s="44"/>
      <c r="P2770" s="44"/>
      <c r="Q2770" s="44"/>
      <c r="R2770" s="84"/>
      <c r="S2770" s="47"/>
      <c r="T2770" s="47"/>
    </row>
    <row r="2771" s="27" customFormat="1" ht="18" customHeight="1" spans="1:20">
      <c r="A2771" s="34"/>
      <c r="B2771" s="48">
        <v>20</v>
      </c>
      <c r="C2771" s="48"/>
      <c r="D2771" s="88"/>
      <c r="E2771" s="72"/>
      <c r="F2771" s="77"/>
      <c r="G2771" s="89"/>
      <c r="H2771" s="74"/>
      <c r="I2771" s="74"/>
      <c r="J2771" s="95"/>
      <c r="K2771" s="92"/>
      <c r="L2771" s="92"/>
      <c r="M2771" s="44"/>
      <c r="N2771" s="44"/>
      <c r="O2771" s="44"/>
      <c r="P2771" s="44"/>
      <c r="Q2771" s="44"/>
      <c r="R2771" s="84"/>
      <c r="S2771" s="47"/>
      <c r="T2771" s="47"/>
    </row>
    <row r="2772" s="27" customFormat="1" ht="18" customHeight="1" spans="1:20">
      <c r="A2772" s="34"/>
      <c r="B2772" s="48">
        <v>21</v>
      </c>
      <c r="C2772" s="48"/>
      <c r="D2772" s="88"/>
      <c r="E2772" s="72"/>
      <c r="F2772" s="77"/>
      <c r="G2772" s="89"/>
      <c r="H2772" s="74"/>
      <c r="I2772" s="74"/>
      <c r="J2772" s="95"/>
      <c r="K2772" s="92"/>
      <c r="L2772" s="92"/>
      <c r="M2772" s="44"/>
      <c r="N2772" s="44"/>
      <c r="O2772" s="44"/>
      <c r="P2772" s="44"/>
      <c r="Q2772" s="44"/>
      <c r="R2772" s="84"/>
      <c r="S2772" s="47"/>
      <c r="T2772" s="47"/>
    </row>
    <row r="2773" s="27" customFormat="1" ht="18" customHeight="1" spans="1:20">
      <c r="A2773" s="34"/>
      <c r="B2773" s="48">
        <v>22</v>
      </c>
      <c r="C2773" s="48"/>
      <c r="D2773" s="27"/>
      <c r="E2773" s="72"/>
      <c r="F2773" s="77"/>
      <c r="G2773" s="72"/>
      <c r="H2773" s="74"/>
      <c r="I2773" s="74"/>
      <c r="J2773" s="95"/>
      <c r="K2773" s="92"/>
      <c r="L2773" s="92"/>
      <c r="M2773" s="44"/>
      <c r="N2773" s="44"/>
      <c r="O2773" s="44"/>
      <c r="P2773" s="44"/>
      <c r="Q2773" s="44"/>
      <c r="R2773" s="62"/>
      <c r="S2773" s="47"/>
      <c r="T2773" s="47"/>
    </row>
    <row r="2774" s="27" customFormat="1" ht="18" customHeight="1" spans="1:20">
      <c r="A2774" s="34"/>
      <c r="B2774" s="48">
        <v>23</v>
      </c>
      <c r="C2774" s="48"/>
      <c r="D2774" s="88"/>
      <c r="E2774" s="72"/>
      <c r="F2774" s="77"/>
      <c r="G2774" s="89"/>
      <c r="H2774" s="74"/>
      <c r="I2774" s="74"/>
      <c r="J2774" s="95"/>
      <c r="K2774" s="92"/>
      <c r="L2774" s="92"/>
      <c r="M2774" s="44"/>
      <c r="N2774" s="44"/>
      <c r="O2774" s="44"/>
      <c r="P2774" s="44"/>
      <c r="Q2774" s="44"/>
      <c r="R2774" s="62"/>
      <c r="S2774" s="47"/>
      <c r="T2774" s="47"/>
    </row>
    <row r="2775" s="27" customFormat="1" ht="18" customHeight="1" spans="1:20">
      <c r="A2775" s="34"/>
      <c r="B2775" s="48">
        <v>24</v>
      </c>
      <c r="C2775" s="48"/>
      <c r="D2775" s="88" t="s">
        <v>478</v>
      </c>
      <c r="E2775" s="72" t="s">
        <v>43</v>
      </c>
      <c r="F2775" s="77"/>
      <c r="G2775" s="72">
        <v>1</v>
      </c>
      <c r="H2775" s="74">
        <v>1</v>
      </c>
      <c r="I2775" s="74">
        <f>+辅材及安装费!$E$3</f>
        <v>5</v>
      </c>
      <c r="J2775" s="95">
        <f>H2775*I2775</f>
        <v>5</v>
      </c>
      <c r="K2775" s="92"/>
      <c r="L2775" s="92"/>
      <c r="M2775" s="44"/>
      <c r="N2775" s="44"/>
      <c r="O2775" s="44"/>
      <c r="P2775" s="44"/>
      <c r="Q2775" s="44"/>
      <c r="R2775" s="62"/>
      <c r="S2775" s="47"/>
      <c r="T2775" s="47"/>
    </row>
    <row r="2776" s="27" customFormat="1" ht="18" customHeight="1" spans="1:20">
      <c r="A2776" s="34"/>
      <c r="B2776" s="48">
        <v>25</v>
      </c>
      <c r="C2776" s="48"/>
      <c r="D2776" s="93" t="s">
        <v>442</v>
      </c>
      <c r="E2776" s="72"/>
      <c r="F2776" s="77"/>
      <c r="G2776" s="72"/>
      <c r="H2776" s="74"/>
      <c r="I2776" s="74"/>
      <c r="J2776" s="95">
        <f>SUM(J2752:J2775)</f>
        <v>431.135449435142</v>
      </c>
      <c r="K2776" s="92"/>
      <c r="L2776" s="94"/>
      <c r="M2776" s="27"/>
      <c r="N2776" s="83"/>
      <c r="O2776" s="83"/>
      <c r="P2776" s="83"/>
      <c r="Q2776" s="83"/>
      <c r="R2776" s="87"/>
      <c r="S2776" s="47"/>
      <c r="T2776" s="47"/>
    </row>
    <row r="2777" s="27" customFormat="1" ht="18" customHeight="1" spans="1:20">
      <c r="A2777" s="34"/>
      <c r="B2777" s="48">
        <v>1</v>
      </c>
      <c r="C2777" s="48" t="s">
        <v>443</v>
      </c>
      <c r="D2777" s="48" t="s">
        <v>444</v>
      </c>
      <c r="E2777" s="72" t="s">
        <v>43</v>
      </c>
      <c r="F2777" s="50"/>
      <c r="G2777" s="48"/>
      <c r="H2777" s="51">
        <v>1</v>
      </c>
      <c r="I2777" s="74">
        <f>+辅材及安装费!$F$3</f>
        <v>5</v>
      </c>
      <c r="J2777" s="95">
        <f>H2777*I2777</f>
        <v>5</v>
      </c>
      <c r="K2777" s="118"/>
      <c r="L2777" s="96"/>
      <c r="M2777" s="97"/>
      <c r="N2777" s="98"/>
      <c r="O2777" s="98"/>
      <c r="P2777" s="98"/>
      <c r="Q2777" s="98"/>
      <c r="R2777" s="99"/>
      <c r="S2777" s="47"/>
      <c r="T2777" s="47"/>
    </row>
    <row r="2778" s="26" customFormat="1" ht="30" customHeight="1" spans="1:20">
      <c r="A2778" s="28"/>
      <c r="B2778" s="29" t="s">
        <v>386</v>
      </c>
      <c r="C2778" s="29"/>
      <c r="D2778" s="29"/>
      <c r="E2778" s="29"/>
      <c r="F2778" s="29"/>
      <c r="G2778" s="29"/>
      <c r="H2778" s="29"/>
      <c r="I2778" s="29"/>
      <c r="J2778" s="29"/>
      <c r="K2778" s="29"/>
      <c r="L2778" s="30"/>
      <c r="M2778" s="31"/>
      <c r="N2778" s="31"/>
      <c r="O2778" s="31"/>
      <c r="P2778" s="31"/>
      <c r="Q2778" s="31"/>
      <c r="R2778" s="32"/>
      <c r="S2778" s="33"/>
      <c r="T2778" s="33"/>
    </row>
    <row r="2779" s="27" customFormat="1" ht="33.75" customHeight="1" spans="1:20">
      <c r="A2779" s="34">
        <v>15</v>
      </c>
      <c r="B2779" s="35" t="s">
        <v>1</v>
      </c>
      <c r="C2779" s="35" t="s">
        <v>387</v>
      </c>
      <c r="D2779" s="36" t="str">
        <f>+A2787</f>
        <v>墙面：25㎜香槟色蜂窝铝板（弧形）</v>
      </c>
      <c r="E2779" s="37"/>
      <c r="F2779" s="38" t="s">
        <v>119</v>
      </c>
      <c r="G2779" s="39"/>
      <c r="H2779" s="35" t="s">
        <v>388</v>
      </c>
      <c r="I2779" s="40" t="s">
        <v>389</v>
      </c>
      <c r="J2779" s="41" t="s">
        <v>37</v>
      </c>
      <c r="K2779" s="122">
        <f ca="1">VLOOKUP(A2779,'商业工程量清单 '!$A$59:$D$81,4,FALSE)</f>
        <v>16.638622</v>
      </c>
      <c r="L2779" s="43"/>
      <c r="M2779" s="44"/>
      <c r="N2779" s="44"/>
      <c r="O2779" s="44"/>
      <c r="P2779" s="45"/>
      <c r="Q2779" s="44"/>
      <c r="R2779" s="46"/>
      <c r="S2779" s="47"/>
      <c r="T2779" s="47"/>
    </row>
    <row r="2780" s="27" customFormat="1" ht="25" customHeight="1" spans="1:20">
      <c r="A2780" s="34"/>
      <c r="B2780" s="48">
        <v>1</v>
      </c>
      <c r="C2780" s="49" t="s">
        <v>390</v>
      </c>
      <c r="D2780" s="48" t="s">
        <v>391</v>
      </c>
      <c r="E2780" s="48"/>
      <c r="F2780" s="50"/>
      <c r="G2780" s="48"/>
      <c r="H2780" s="51"/>
      <c r="I2780" s="52">
        <f>J2792</f>
        <v>165</v>
      </c>
      <c r="J2780" s="53" t="s">
        <v>392</v>
      </c>
      <c r="K2780" s="54"/>
      <c r="L2780" s="55"/>
      <c r="M2780" s="56" t="s">
        <v>1070</v>
      </c>
      <c r="N2780" s="57"/>
      <c r="O2780" s="57">
        <v>3.558</v>
      </c>
      <c r="P2780" s="57">
        <v>6.85</v>
      </c>
      <c r="Q2780" s="57">
        <v>1</v>
      </c>
      <c r="R2780" s="58">
        <f>+Q2780*P2780*O2780</f>
        <v>24.3723</v>
      </c>
      <c r="S2780" s="47"/>
      <c r="T2780" s="47"/>
    </row>
    <row r="2781" s="27" customFormat="1" ht="18" customHeight="1" spans="1:20">
      <c r="A2781" s="34"/>
      <c r="B2781" s="48">
        <v>2</v>
      </c>
      <c r="C2781" s="59"/>
      <c r="D2781" s="48" t="s">
        <v>394</v>
      </c>
      <c r="E2781" s="48"/>
      <c r="F2781" s="50"/>
      <c r="G2781" s="48"/>
      <c r="H2781" s="51"/>
      <c r="I2781" s="52">
        <f>J2817</f>
        <v>565.464570759485</v>
      </c>
      <c r="J2781" s="53" t="s">
        <v>392</v>
      </c>
      <c r="K2781" s="60"/>
      <c r="L2781" s="61" t="s">
        <v>119</v>
      </c>
      <c r="M2781" s="44"/>
      <c r="N2781" s="44"/>
      <c r="O2781" s="44"/>
      <c r="P2781" s="44"/>
      <c r="Q2781" s="44"/>
      <c r="R2781" s="62"/>
      <c r="S2781" s="47"/>
      <c r="T2781" s="47"/>
    </row>
    <row r="2782" s="27" customFormat="1" ht="18" customHeight="1" spans="1:20">
      <c r="A2782" s="34"/>
      <c r="B2782" s="48">
        <v>3</v>
      </c>
      <c r="C2782" s="63"/>
      <c r="D2782" s="48" t="s">
        <v>395</v>
      </c>
      <c r="E2782" s="48"/>
      <c r="F2782" s="50"/>
      <c r="G2782" s="48"/>
      <c r="H2782" s="51"/>
      <c r="I2782" s="52">
        <f>J2818</f>
        <v>5</v>
      </c>
      <c r="J2782" s="53" t="s">
        <v>392</v>
      </c>
      <c r="K2782" s="60"/>
      <c r="L2782" s="60"/>
      <c r="M2782" s="65" t="s">
        <v>396</v>
      </c>
      <c r="N2782" s="65" t="s">
        <v>397</v>
      </c>
      <c r="O2782" s="65" t="s">
        <v>398</v>
      </c>
      <c r="P2782" s="65" t="s">
        <v>399</v>
      </c>
      <c r="Q2782" s="65" t="s">
        <v>400</v>
      </c>
      <c r="R2782" s="66" t="s">
        <v>401</v>
      </c>
      <c r="S2782" s="47"/>
      <c r="T2782" s="47"/>
    </row>
    <row r="2783" s="27" customFormat="1" ht="18" customHeight="1" spans="1:20">
      <c r="A2783" s="34"/>
      <c r="B2783" s="48">
        <v>4</v>
      </c>
      <c r="C2783" s="48" t="s">
        <v>402</v>
      </c>
      <c r="D2783" s="67" t="s">
        <v>403</v>
      </c>
      <c r="E2783" s="67"/>
      <c r="F2783" s="50"/>
      <c r="G2783" s="67"/>
      <c r="H2783" s="68"/>
      <c r="I2783" s="52">
        <f>SUM(I2780:I2782)</f>
        <v>735.464570759485</v>
      </c>
      <c r="J2783" s="53" t="s">
        <v>392</v>
      </c>
      <c r="K2783" s="60"/>
      <c r="L2783" s="69" t="s">
        <v>431</v>
      </c>
      <c r="M2783" s="34" t="s">
        <v>1071</v>
      </c>
      <c r="N2783" s="34">
        <v>14.57</v>
      </c>
      <c r="O2783" s="34">
        <f>P2780</f>
        <v>6.85</v>
      </c>
      <c r="P2783" s="34">
        <v>3</v>
      </c>
      <c r="Q2783" s="44">
        <f t="shared" ref="Q2783:Q2788" si="437">+P2783*O2783*N2783</f>
        <v>299.4135</v>
      </c>
      <c r="R2783" s="71">
        <f>+Q2783/R2780</f>
        <v>12.2849915682968</v>
      </c>
      <c r="S2783" s="47"/>
      <c r="T2783" s="47"/>
    </row>
    <row r="2784" s="27" customFormat="1" ht="28" customHeight="1" spans="1:20">
      <c r="A2784" s="34"/>
      <c r="B2784" s="48">
        <v>5</v>
      </c>
      <c r="C2784" s="72" t="s">
        <v>406</v>
      </c>
      <c r="D2784" s="48" t="s">
        <v>407</v>
      </c>
      <c r="E2784" s="48"/>
      <c r="F2784" s="50"/>
      <c r="G2784" s="48"/>
      <c r="H2784" s="73">
        <f>+'材料表 '!$E$178</f>
        <v>0</v>
      </c>
      <c r="I2784" s="52">
        <f>H2784*I2783</f>
        <v>0</v>
      </c>
      <c r="J2784" s="53" t="s">
        <v>392</v>
      </c>
      <c r="K2784" s="60"/>
      <c r="L2784" s="69" t="s">
        <v>461</v>
      </c>
      <c r="M2784" s="34" t="s">
        <v>462</v>
      </c>
      <c r="N2784" s="34">
        <v>3.77</v>
      </c>
      <c r="O2784" s="34">
        <f>+O2780</f>
        <v>3.558</v>
      </c>
      <c r="P2784" s="34">
        <v>0</v>
      </c>
      <c r="Q2784" s="44">
        <f t="shared" si="437"/>
        <v>0</v>
      </c>
      <c r="R2784" s="71">
        <f>+Q2784/R2780</f>
        <v>0</v>
      </c>
      <c r="S2784" s="47"/>
      <c r="T2784" s="47"/>
    </row>
    <row r="2785" s="27" customFormat="1" ht="18" customHeight="1" spans="1:21">
      <c r="A2785" s="34"/>
      <c r="B2785" s="48">
        <v>6</v>
      </c>
      <c r="C2785" s="48" t="s">
        <v>409</v>
      </c>
      <c r="D2785" s="48" t="s">
        <v>410</v>
      </c>
      <c r="E2785" s="48"/>
      <c r="F2785" s="50"/>
      <c r="G2785" s="48"/>
      <c r="H2785" s="73">
        <f>+'材料表 '!$E$179</f>
        <v>0</v>
      </c>
      <c r="I2785" s="52">
        <f>H2785*I2783</f>
        <v>0</v>
      </c>
      <c r="J2785" s="53" t="s">
        <v>392</v>
      </c>
      <c r="K2785" s="60"/>
      <c r="L2785" s="69" t="s">
        <v>431</v>
      </c>
      <c r="M2785" s="34" t="s">
        <v>1069</v>
      </c>
      <c r="N2785" s="34">
        <v>7.03</v>
      </c>
      <c r="O2785" s="34">
        <f>O2780+(0.989+0.655+0.984)</f>
        <v>6.186</v>
      </c>
      <c r="P2785" s="34">
        <v>3</v>
      </c>
      <c r="Q2785" s="44">
        <f t="shared" si="437"/>
        <v>130.46274</v>
      </c>
      <c r="R2785" s="71">
        <f>+Q2785/R2780</f>
        <v>5.35291047623737</v>
      </c>
      <c r="S2785" s="47"/>
      <c r="T2785" s="47"/>
    </row>
    <row r="2786" s="27" customFormat="1" ht="18" customHeight="1" spans="1:21">
      <c r="A2786" s="34"/>
      <c r="B2786" s="48">
        <v>7</v>
      </c>
      <c r="C2786" s="48" t="s">
        <v>412</v>
      </c>
      <c r="D2786" s="72" t="s">
        <v>413</v>
      </c>
      <c r="E2786" s="72"/>
      <c r="F2786" s="77"/>
      <c r="G2786" s="72"/>
      <c r="H2786" s="73">
        <f>+'材料表 '!$E$180</f>
        <v>0.09</v>
      </c>
      <c r="I2786" s="52">
        <f>(I2783+I2784+I2785)*H2786</f>
        <v>66.1918113683536</v>
      </c>
      <c r="J2786" s="53" t="s">
        <v>392</v>
      </c>
      <c r="K2786" s="60"/>
      <c r="L2786" s="69" t="s">
        <v>463</v>
      </c>
      <c r="M2786" s="34" t="s">
        <v>490</v>
      </c>
      <c r="N2786" s="34">
        <f>0.3*0.2*7.85*10</f>
        <v>4.71</v>
      </c>
      <c r="O2786" s="34">
        <v>1</v>
      </c>
      <c r="P2786" s="34">
        <v>3</v>
      </c>
      <c r="Q2786" s="44">
        <f t="shared" si="437"/>
        <v>14.13</v>
      </c>
      <c r="R2786" s="71">
        <f>+Q2786/R2780</f>
        <v>0.579756526876823</v>
      </c>
      <c r="S2786" s="47"/>
      <c r="T2786" s="47"/>
    </row>
    <row r="2787" s="27" customFormat="1" ht="18" customHeight="1" spans="1:21">
      <c r="A2787" s="34" t="s">
        <v>329</v>
      </c>
      <c r="B2787" s="48">
        <v>8</v>
      </c>
      <c r="C2787" s="48" t="s">
        <v>363</v>
      </c>
      <c r="D2787" s="106" t="s">
        <v>415</v>
      </c>
      <c r="E2787" s="107"/>
      <c r="F2787" s="108"/>
      <c r="G2787" s="107"/>
      <c r="H2787" s="51"/>
      <c r="I2787" s="74">
        <f>SUM(I2783:I2786)</f>
        <v>801.656382127838</v>
      </c>
      <c r="J2787" s="53" t="s">
        <v>416</v>
      </c>
      <c r="K2787" s="60"/>
      <c r="L2787" s="69" t="s">
        <v>465</v>
      </c>
      <c r="M2787" s="34" t="s">
        <v>1066</v>
      </c>
      <c r="N2787" s="100">
        <f>0.36*5*7.85</f>
        <v>14.13</v>
      </c>
      <c r="O2787" s="34">
        <f>110/1000</f>
        <v>0.11</v>
      </c>
      <c r="P2787" s="44">
        <f>+P2786*O2786*2</f>
        <v>6</v>
      </c>
      <c r="Q2787" s="44">
        <f t="shared" si="437"/>
        <v>9.3258</v>
      </c>
      <c r="R2787" s="84">
        <f>+Q2787/R2780</f>
        <v>0.382639307738703</v>
      </c>
      <c r="S2787" s="79"/>
      <c r="T2787" s="47"/>
    </row>
    <row r="2788" s="27" customFormat="1" ht="18" customHeight="1" spans="1:21">
      <c r="A2788" s="34"/>
      <c r="B2788" s="109" t="s">
        <v>418</v>
      </c>
      <c r="C2788" s="110"/>
      <c r="D2788" s="110"/>
      <c r="E2788" s="110"/>
      <c r="F2788" s="110"/>
      <c r="G2788" s="110"/>
      <c r="H2788" s="110"/>
      <c r="I2788" s="110"/>
      <c r="J2788" s="110"/>
      <c r="K2788" s="80"/>
      <c r="L2788" s="69" t="s">
        <v>433</v>
      </c>
      <c r="M2788" s="44"/>
      <c r="N2788" s="82">
        <f>0.056*3*2.71+0.0675*3*2.71</f>
        <v>1.004055</v>
      </c>
      <c r="O2788" s="44">
        <f>O2780</f>
        <v>3.558</v>
      </c>
      <c r="P2788" s="44">
        <v>3</v>
      </c>
      <c r="Q2788" s="44">
        <f t="shared" si="437"/>
        <v>10.71728307</v>
      </c>
      <c r="R2788" s="84">
        <f>+Q2788/R2780</f>
        <v>0.439732116788321</v>
      </c>
      <c r="S2788" s="47">
        <f>0.16*P2788*O2788/R2780</f>
        <v>0.0700729927007299</v>
      </c>
      <c r="T2788" s="47"/>
    </row>
    <row r="2789" s="27" customFormat="1" ht="18" customHeight="1" spans="1:21">
      <c r="A2789" s="34"/>
      <c r="B2789" s="48">
        <v>1</v>
      </c>
      <c r="C2789" s="48" t="s">
        <v>391</v>
      </c>
      <c r="D2789" s="48" t="s">
        <v>396</v>
      </c>
      <c r="E2789" s="48" t="s">
        <v>37</v>
      </c>
      <c r="F2789" s="50"/>
      <c r="G2789" s="48"/>
      <c r="H2789" s="51" t="s">
        <v>399</v>
      </c>
      <c r="I2789" s="51" t="s">
        <v>420</v>
      </c>
      <c r="J2789" s="95" t="s">
        <v>421</v>
      </c>
      <c r="K2789" s="92"/>
      <c r="L2789" s="69" t="s">
        <v>433</v>
      </c>
      <c r="M2789" s="44"/>
      <c r="N2789" s="82">
        <f>0.056*3*2.71+0.0675*3*2.71</f>
        <v>1.004055</v>
      </c>
      <c r="O2789" s="44">
        <f>P2780</f>
        <v>6.85</v>
      </c>
      <c r="P2789" s="44">
        <v>3</v>
      </c>
      <c r="Q2789" s="44">
        <f>+P2789*O2789</f>
        <v>20.55</v>
      </c>
      <c r="R2789" s="84">
        <f>+Q2789/R2780</f>
        <v>0.843170320404722</v>
      </c>
      <c r="S2789" s="47"/>
      <c r="T2789" s="47"/>
    </row>
    <row r="2790" s="27" customFormat="1" ht="18" customHeight="1" spans="1:21">
      <c r="A2790" s="34"/>
      <c r="B2790" s="48">
        <v>2</v>
      </c>
      <c r="C2790" s="48"/>
      <c r="D2790" s="111" t="s">
        <v>491</v>
      </c>
      <c r="E2790" s="49" t="s">
        <v>423</v>
      </c>
      <c r="F2790" s="112"/>
      <c r="G2790" s="111"/>
      <c r="H2790" s="113">
        <v>1</v>
      </c>
      <c r="I2790" s="113">
        <f>+辅材及安装费!$G$3</f>
        <v>165</v>
      </c>
      <c r="J2790" s="114">
        <f t="shared" ref="J2790:J2798" si="438">H2790*I2790</f>
        <v>165</v>
      </c>
      <c r="K2790" s="92"/>
      <c r="L2790" s="69" t="s">
        <v>461</v>
      </c>
      <c r="M2790" s="34" t="s">
        <v>462</v>
      </c>
      <c r="N2790" s="34">
        <v>3.77</v>
      </c>
      <c r="O2790" s="34">
        <v>0.65</v>
      </c>
      <c r="P2790" s="34">
        <v>0</v>
      </c>
      <c r="Q2790" s="44">
        <f>+P2790*O2790*N2790</f>
        <v>0</v>
      </c>
      <c r="R2790" s="84">
        <f>+Q2790/R2780</f>
        <v>0</v>
      </c>
      <c r="S2790" s="47"/>
      <c r="T2790" s="47"/>
    </row>
    <row r="2791" s="27" customFormat="1" ht="18" customHeight="1" spans="1:21">
      <c r="A2791" s="34"/>
      <c r="B2791" s="48">
        <v>3</v>
      </c>
      <c r="C2791" s="48"/>
      <c r="D2791" s="115"/>
      <c r="E2791" s="63"/>
      <c r="F2791" s="116"/>
      <c r="G2791" s="115"/>
      <c r="H2791" s="117"/>
      <c r="I2791" s="117"/>
      <c r="J2791" s="118"/>
      <c r="K2791" s="92"/>
      <c r="L2791" s="90" t="s">
        <v>472</v>
      </c>
      <c r="M2791" s="44"/>
      <c r="N2791" s="82"/>
      <c r="O2791" s="44"/>
      <c r="P2791" s="44">
        <f>+P2787</f>
        <v>6</v>
      </c>
      <c r="Q2791" s="44">
        <f>+P2791</f>
        <v>6</v>
      </c>
      <c r="R2791" s="84">
        <f>+Q2791/R2780</f>
        <v>0.246181115446634</v>
      </c>
      <c r="S2791" s="47"/>
      <c r="T2791" s="47"/>
    </row>
    <row r="2792" s="27" customFormat="1" ht="18" customHeight="1" spans="1:21">
      <c r="A2792" s="34"/>
      <c r="B2792" s="48">
        <v>4</v>
      </c>
      <c r="C2792" s="48"/>
      <c r="D2792" s="85" t="s">
        <v>426</v>
      </c>
      <c r="E2792" s="48" t="s">
        <v>392</v>
      </c>
      <c r="F2792" s="50"/>
      <c r="G2792" s="48"/>
      <c r="H2792" s="86"/>
      <c r="I2792" s="86"/>
      <c r="J2792" s="95">
        <f>SUM(J2790:J2790)</f>
        <v>165</v>
      </c>
      <c r="K2792" s="92"/>
      <c r="L2792" s="90"/>
      <c r="M2792" s="44"/>
      <c r="N2792" s="82"/>
      <c r="O2792" s="44"/>
      <c r="P2792" s="44"/>
      <c r="Q2792" s="44"/>
      <c r="R2792" s="84"/>
      <c r="S2792" s="47"/>
      <c r="T2792" s="47"/>
    </row>
    <row r="2793" s="27" customFormat="1" ht="24" customHeight="1" spans="1:21">
      <c r="A2793" s="34"/>
      <c r="B2793" s="48">
        <v>1</v>
      </c>
      <c r="C2793" s="48" t="s">
        <v>394</v>
      </c>
      <c r="D2793" s="88" t="s">
        <v>431</v>
      </c>
      <c r="E2793" s="72" t="str">
        <f>+VLOOKUP(D2793,'材料表 '!C:F,2,0)</f>
        <v>kg</v>
      </c>
      <c r="F2793" s="77">
        <f>+SUMIF($L$2780:$L$2818,D2793,$R$2780:$R$2818)</f>
        <v>17.6379020445342</v>
      </c>
      <c r="G2793" s="89">
        <f>+VLOOKUP(D2793,'材料表 '!C:F,4,0)</f>
        <v>0.03</v>
      </c>
      <c r="H2793" s="74">
        <f t="shared" ref="H2793:H2798" si="439">F2793*(G2793+1)</f>
        <v>18.1670391058702</v>
      </c>
      <c r="I2793" s="74">
        <f>+VLOOKUP(D2793,'材料表 '!C:F,3,0)</f>
        <v>3.80530973451327</v>
      </c>
      <c r="J2793" s="95">
        <f t="shared" si="438"/>
        <v>69.1312107568512</v>
      </c>
      <c r="K2793" s="92">
        <f ca="1">H2793*K2779</f>
        <v>302.274496541792</v>
      </c>
      <c r="L2793" s="90"/>
      <c r="M2793" s="44"/>
      <c r="N2793" s="82"/>
      <c r="O2793" s="44"/>
      <c r="P2793" s="44"/>
      <c r="Q2793" s="44"/>
      <c r="R2793" s="84"/>
      <c r="S2793" s="47"/>
      <c r="T2793" s="47"/>
    </row>
    <row r="2794" s="27" customFormat="1" ht="18" customHeight="1" spans="1:21">
      <c r="A2794" s="34"/>
      <c r="B2794" s="48">
        <v>2</v>
      </c>
      <c r="C2794" s="48"/>
      <c r="D2794" s="88" t="s">
        <v>461</v>
      </c>
      <c r="E2794" s="72" t="str">
        <f>+VLOOKUP(D2794,'材料表 '!C:F,2,0)</f>
        <v>kg</v>
      </c>
      <c r="F2794" s="77">
        <f t="shared" ref="F2794:F2803" si="440">+SUMIF($L$2780:$L$2818,D2794,$R$2780:$R$2818)</f>
        <v>0</v>
      </c>
      <c r="G2794" s="89">
        <f>+VLOOKUP(D2794,'材料表 '!C:F,4,0)</f>
        <v>0.03</v>
      </c>
      <c r="H2794" s="74">
        <f t="shared" si="439"/>
        <v>0</v>
      </c>
      <c r="I2794" s="74">
        <f>+VLOOKUP(D2794,'材料表 '!C:F,3,0)</f>
        <v>3.53982300884956</v>
      </c>
      <c r="J2794" s="95">
        <f t="shared" si="438"/>
        <v>0</v>
      </c>
      <c r="K2794" s="92">
        <f ca="1">H2794*K2779</f>
        <v>0</v>
      </c>
      <c r="L2794" s="90"/>
      <c r="M2794" s="44"/>
      <c r="N2794" s="82"/>
      <c r="O2794" s="44"/>
      <c r="P2794" s="44"/>
      <c r="Q2794" s="44"/>
      <c r="R2794" s="84"/>
      <c r="S2794" s="47"/>
      <c r="T2794" s="47"/>
    </row>
    <row r="2795" s="27" customFormat="1" ht="18" customHeight="1" spans="1:21">
      <c r="A2795" s="34"/>
      <c r="B2795" s="48">
        <v>3</v>
      </c>
      <c r="C2795" s="48"/>
      <c r="D2795" s="88" t="s">
        <v>465</v>
      </c>
      <c r="E2795" s="72" t="str">
        <f>+VLOOKUP(D2795,'材料表 '!C:F,2,0)</f>
        <v>kg</v>
      </c>
      <c r="F2795" s="77">
        <f t="shared" si="440"/>
        <v>0.382639307738703</v>
      </c>
      <c r="G2795" s="89">
        <f>+VLOOKUP(D2795,'材料表 '!C:F,4,0)</f>
        <v>0.03</v>
      </c>
      <c r="H2795" s="74">
        <f t="shared" si="439"/>
        <v>0.394118486970864</v>
      </c>
      <c r="I2795" s="74">
        <f>+VLOOKUP(D2795,'材料表 '!C:F,3,0)</f>
        <v>6.01769911504425</v>
      </c>
      <c r="J2795" s="95">
        <f t="shared" si="438"/>
        <v>2.37168647026715</v>
      </c>
      <c r="K2795" s="92">
        <f ca="1">H2795*K2779</f>
        <v>6.55758852792013</v>
      </c>
      <c r="L2795" s="90"/>
      <c r="M2795" s="44"/>
      <c r="N2795" s="82"/>
      <c r="O2795" s="44"/>
      <c r="P2795" s="44"/>
      <c r="Q2795" s="44"/>
      <c r="R2795" s="84"/>
      <c r="S2795" s="47"/>
      <c r="T2795" s="47"/>
    </row>
    <row r="2796" s="27" customFormat="1" ht="18" customHeight="1" spans="1:21">
      <c r="A2796" s="34"/>
      <c r="B2796" s="48">
        <v>4</v>
      </c>
      <c r="C2796" s="48"/>
      <c r="D2796" s="88" t="s">
        <v>463</v>
      </c>
      <c r="E2796" s="72" t="str">
        <f>+VLOOKUP(D2796,'材料表 '!C:F,2,0)</f>
        <v>kg</v>
      </c>
      <c r="F2796" s="77">
        <f t="shared" si="440"/>
        <v>0.579756526876823</v>
      </c>
      <c r="G2796" s="89">
        <f>+VLOOKUP(D2796,'材料表 '!C:F,4,0)</f>
        <v>0.03</v>
      </c>
      <c r="H2796" s="74">
        <f t="shared" si="439"/>
        <v>0.597149222683128</v>
      </c>
      <c r="I2796" s="74">
        <f>+VLOOKUP(D2796,'材料表 '!C:F,3,0)</f>
        <v>6.01769911504425</v>
      </c>
      <c r="J2796" s="95">
        <f t="shared" si="438"/>
        <v>3.59346434888962</v>
      </c>
      <c r="K2796" s="92">
        <f ca="1">H2796*K2779</f>
        <v>9.93574019381839</v>
      </c>
      <c r="L2796" s="90" t="s">
        <v>474</v>
      </c>
      <c r="M2796" s="44"/>
      <c r="N2796" s="82"/>
      <c r="O2796" s="44"/>
      <c r="P2796" s="44"/>
      <c r="Q2796" s="44">
        <f>+O2786*P2786*4</f>
        <v>12</v>
      </c>
      <c r="R2796" s="84">
        <f>+Q2796/R2780</f>
        <v>0.492362230893268</v>
      </c>
      <c r="S2796" s="47"/>
      <c r="T2796" s="47"/>
    </row>
    <row r="2797" s="27" customFormat="1" ht="18" customHeight="1" spans="1:21">
      <c r="A2797" s="34"/>
      <c r="B2797" s="48">
        <v>5</v>
      </c>
      <c r="C2797" s="48"/>
      <c r="D2797" s="88" t="s">
        <v>433</v>
      </c>
      <c r="E2797" s="72" t="str">
        <f>+VLOOKUP(D2797,'材料表 '!C:F,2,0)</f>
        <v>kg</v>
      </c>
      <c r="F2797" s="77">
        <f t="shared" si="440"/>
        <v>1.28290243719304</v>
      </c>
      <c r="G2797" s="89">
        <f>+VLOOKUP(D2797,'材料表 '!C:F,4,0)</f>
        <v>0.03</v>
      </c>
      <c r="H2797" s="74">
        <f t="shared" si="439"/>
        <v>1.32138951030883</v>
      </c>
      <c r="I2797" s="74">
        <f>+VLOOKUP(D2797,'材料表 '!C:F,3,0)</f>
        <v>26.1150442477876</v>
      </c>
      <c r="J2797" s="95">
        <f t="shared" si="438"/>
        <v>34.5081455302775</v>
      </c>
      <c r="K2797" s="92">
        <f ca="1">H2797*K2779</f>
        <v>21.9861005767937</v>
      </c>
      <c r="L2797" s="92" t="s">
        <v>476</v>
      </c>
      <c r="M2797" s="44"/>
      <c r="N2797" s="82"/>
      <c r="O2797" s="44"/>
      <c r="P2797" s="44"/>
      <c r="Q2797" s="44">
        <f>15*8*(O2780*4+P2780*4)/500</f>
        <v>9.99168</v>
      </c>
      <c r="R2797" s="84">
        <f>+Q2797/R2780</f>
        <v>0.409960487930971</v>
      </c>
      <c r="S2797" s="47"/>
      <c r="T2797" s="47"/>
    </row>
    <row r="2798" s="27" customFormat="1" ht="18" customHeight="1" spans="1:21">
      <c r="A2798" s="34"/>
      <c r="B2798" s="48">
        <v>6</v>
      </c>
      <c r="C2798" s="48"/>
      <c r="D2798" s="88" t="s">
        <v>427</v>
      </c>
      <c r="E2798" s="72" t="str">
        <f>+VLOOKUP(D2798,'材料表 '!C:F,2,0)</f>
        <v>kg</v>
      </c>
      <c r="F2798" s="77">
        <f t="shared" si="440"/>
        <v>0</v>
      </c>
      <c r="G2798" s="89">
        <f>+VLOOKUP(D2798,'材料表 '!C:F,4,0)</f>
        <v>0.03</v>
      </c>
      <c r="H2798" s="74">
        <f t="shared" si="439"/>
        <v>0</v>
      </c>
      <c r="I2798" s="74">
        <f>+VLOOKUP(D2798,'材料表 '!C:F,3,0)</f>
        <v>25.8495575221239</v>
      </c>
      <c r="J2798" s="95">
        <f t="shared" si="438"/>
        <v>0</v>
      </c>
      <c r="K2798" s="92">
        <f ca="1">H2798*K2779</f>
        <v>0</v>
      </c>
      <c r="L2798" s="69" t="s">
        <v>427</v>
      </c>
      <c r="M2798" s="70" t="s">
        <v>1007</v>
      </c>
      <c r="N2798" s="34">
        <v>3.111</v>
      </c>
      <c r="O2798" s="34">
        <f>P2780</f>
        <v>6.85</v>
      </c>
      <c r="P2798" s="34">
        <v>0</v>
      </c>
      <c r="Q2798" s="44">
        <f t="shared" ref="Q2798:Q2806" si="441">+P2798*O2798*N2798</f>
        <v>0</v>
      </c>
      <c r="R2798" s="71">
        <f>+Q2798/R2780</f>
        <v>0</v>
      </c>
      <c r="S2798" s="47"/>
      <c r="T2798" s="47"/>
    </row>
    <row r="2799" s="27" customFormat="1" ht="18" customHeight="1" spans="1:21">
      <c r="A2799" s="34"/>
      <c r="B2799" s="48">
        <v>7</v>
      </c>
      <c r="C2799" s="48"/>
      <c r="D2799" s="88"/>
      <c r="E2799" s="72"/>
      <c r="F2799" s="77">
        <f t="shared" si="440"/>
        <v>0</v>
      </c>
      <c r="G2799" s="89"/>
      <c r="H2799" s="74"/>
      <c r="I2799" s="74"/>
      <c r="J2799" s="95"/>
      <c r="K2799" s="92">
        <f ca="1">H2799*K2779</f>
        <v>0</v>
      </c>
      <c r="L2799" s="69" t="s">
        <v>429</v>
      </c>
      <c r="M2799" s="70" t="s">
        <v>1037</v>
      </c>
      <c r="N2799" s="34">
        <v>3.063</v>
      </c>
      <c r="O2799" s="100">
        <f>O2798/0.3*0.1</f>
        <v>2.28333333333333</v>
      </c>
      <c r="P2799" s="34">
        <v>0</v>
      </c>
      <c r="Q2799" s="44">
        <f t="shared" si="441"/>
        <v>0</v>
      </c>
      <c r="R2799" s="71">
        <f>+Q2799/R2780</f>
        <v>0</v>
      </c>
      <c r="S2799" s="47"/>
      <c r="T2799" s="47"/>
    </row>
    <row r="2800" s="27" customFormat="1" ht="18" customHeight="1" spans="1:21">
      <c r="A2800" s="34"/>
      <c r="B2800" s="48">
        <v>8</v>
      </c>
      <c r="C2800" s="48"/>
      <c r="D2800" s="88"/>
      <c r="E2800" s="72"/>
      <c r="F2800" s="77">
        <f t="shared" si="440"/>
        <v>0</v>
      </c>
      <c r="G2800" s="89"/>
      <c r="H2800" s="74"/>
      <c r="I2800" s="74"/>
      <c r="J2800" s="95"/>
      <c r="K2800" s="92">
        <f ca="1">H2800*K2779</f>
        <v>0</v>
      </c>
      <c r="L2800" s="69" t="s">
        <v>447</v>
      </c>
      <c r="M2800" s="70" t="s">
        <v>1038</v>
      </c>
      <c r="N2800" s="34">
        <f>1.041+0.104</f>
        <v>1.145</v>
      </c>
      <c r="O2800" s="34">
        <f>O2798</f>
        <v>6.85</v>
      </c>
      <c r="P2800" s="34">
        <v>0</v>
      </c>
      <c r="Q2800" s="44">
        <f t="shared" si="441"/>
        <v>0</v>
      </c>
      <c r="R2800" s="71">
        <f>+Q2800/R2780</f>
        <v>0</v>
      </c>
      <c r="S2800" s="47">
        <v>0.172</v>
      </c>
      <c r="T2800" s="47">
        <f>O2800*P2800*S2800</f>
        <v>0</v>
      </c>
      <c r="U2800" s="76">
        <f>T2800/R2780</f>
        <v>0</v>
      </c>
    </row>
    <row r="2801" s="27" customFormat="1" ht="18" customHeight="1" spans="1:21">
      <c r="A2801" s="34"/>
      <c r="B2801" s="48">
        <v>9</v>
      </c>
      <c r="C2801" s="48"/>
      <c r="D2801" s="88" t="s">
        <v>476</v>
      </c>
      <c r="E2801" s="72" t="str">
        <f>+VLOOKUP(D2801,'材料表 '!C:F,2,0)</f>
        <v>支</v>
      </c>
      <c r="F2801" s="77">
        <f t="shared" si="440"/>
        <v>0.409960487930971</v>
      </c>
      <c r="G2801" s="89">
        <f>+VLOOKUP(D2801,'材料表 '!C:F,4,0)</f>
        <v>0.15</v>
      </c>
      <c r="H2801" s="74">
        <f t="shared" ref="H2801:H2806" si="442">F2801*(G2801+1)</f>
        <v>0.471454561120617</v>
      </c>
      <c r="I2801" s="74">
        <f>+VLOOKUP(D2801,'材料表 '!C:F,3,0)</f>
        <v>11.5044247787611</v>
      </c>
      <c r="J2801" s="95">
        <f t="shared" ref="J2801:J2806" si="443">H2801*I2801</f>
        <v>5.42381353501596</v>
      </c>
      <c r="K2801" s="92">
        <f ca="1">H2801*K2779</f>
        <v>7.84435423266184</v>
      </c>
      <c r="L2801" s="69" t="s">
        <v>429</v>
      </c>
      <c r="M2801" s="70" t="s">
        <v>1010</v>
      </c>
      <c r="N2801" s="102">
        <f>2.9</f>
        <v>2.9</v>
      </c>
      <c r="O2801" s="34">
        <v>0.2</v>
      </c>
      <c r="P2801" s="34">
        <v>0</v>
      </c>
      <c r="Q2801" s="44">
        <f t="shared" si="441"/>
        <v>0</v>
      </c>
      <c r="R2801" s="71">
        <f>+Q2801/R2780</f>
        <v>0</v>
      </c>
      <c r="S2801" s="47"/>
      <c r="T2801" s="47"/>
    </row>
    <row r="2802" s="27" customFormat="1" ht="18" customHeight="1" spans="1:21">
      <c r="A2802" s="34"/>
      <c r="B2802" s="48">
        <v>10</v>
      </c>
      <c r="C2802" s="48"/>
      <c r="D2802" s="88" t="s">
        <v>474</v>
      </c>
      <c r="E2802" s="72" t="str">
        <f>+VLOOKUP(D2802,'材料表 '!C:F,2,0)</f>
        <v>套</v>
      </c>
      <c r="F2802" s="77">
        <f t="shared" si="440"/>
        <v>0.492362230893268</v>
      </c>
      <c r="G2802" s="89">
        <f>+VLOOKUP(D2802,'材料表 '!C:F,4,0)</f>
        <v>0</v>
      </c>
      <c r="H2802" s="74">
        <f t="shared" si="442"/>
        <v>0.492362230893268</v>
      </c>
      <c r="I2802" s="74">
        <f>+VLOOKUP(D2802,'材料表 '!C:F,3,0)</f>
        <v>2.21238938053097</v>
      </c>
      <c r="J2802" s="95">
        <f t="shared" si="443"/>
        <v>1.0892969710028</v>
      </c>
      <c r="K2802" s="92">
        <f ca="1">H2802*K2779</f>
        <v>8.19222904690981</v>
      </c>
      <c r="L2802" s="69" t="s">
        <v>429</v>
      </c>
      <c r="M2802" s="70" t="s">
        <v>1040</v>
      </c>
      <c r="N2802" s="34">
        <v>0.733</v>
      </c>
      <c r="O2802" s="100">
        <f>O2799*2</f>
        <v>4.56666666666667</v>
      </c>
      <c r="P2802" s="34">
        <v>0</v>
      </c>
      <c r="Q2802" s="44">
        <f t="shared" si="441"/>
        <v>0</v>
      </c>
      <c r="R2802" s="71">
        <f>+Q2802/R2780</f>
        <v>0</v>
      </c>
      <c r="S2802" s="79"/>
      <c r="T2802" s="47"/>
    </row>
    <row r="2803" s="27" customFormat="1" ht="18" customHeight="1" spans="1:21">
      <c r="A2803" s="34"/>
      <c r="B2803" s="48">
        <v>11</v>
      </c>
      <c r="C2803" s="48"/>
      <c r="D2803" s="88" t="s">
        <v>472</v>
      </c>
      <c r="E2803" s="72" t="str">
        <f>+VLOOKUP(D2803,'材料表 '!C:F,2,0)</f>
        <v>套</v>
      </c>
      <c r="F2803" s="77">
        <f t="shared" si="440"/>
        <v>0.246181115446634</v>
      </c>
      <c r="G2803" s="89">
        <f>+VLOOKUP(D2803,'材料表 '!C:F,4,0)</f>
        <v>0</v>
      </c>
      <c r="H2803" s="74">
        <f t="shared" si="442"/>
        <v>0.246181115446634</v>
      </c>
      <c r="I2803" s="74">
        <f>+VLOOKUP(D2803,'材料表 '!C:F,3,0)</f>
        <v>2.47787610619469</v>
      </c>
      <c r="J2803" s="95">
        <f t="shared" si="443"/>
        <v>0.610006303761571</v>
      </c>
      <c r="K2803" s="92">
        <f ca="1">H2803*K2779</f>
        <v>4.0961145234549</v>
      </c>
      <c r="L2803" s="69" t="s">
        <v>404</v>
      </c>
      <c r="M2803" s="70" t="s">
        <v>1041</v>
      </c>
      <c r="N2803" s="34">
        <v>3.727</v>
      </c>
      <c r="O2803" s="34">
        <v>0</v>
      </c>
      <c r="P2803" s="34">
        <v>1</v>
      </c>
      <c r="Q2803" s="44">
        <f t="shared" si="441"/>
        <v>0</v>
      </c>
      <c r="R2803" s="71">
        <f>+Q2803/R2780</f>
        <v>0</v>
      </c>
      <c r="S2803" s="47"/>
      <c r="T2803" s="47"/>
      <c r="U2803" s="76"/>
    </row>
    <row r="2804" s="27" customFormat="1" ht="18" customHeight="1" spans="1:21">
      <c r="A2804" s="34"/>
      <c r="B2804" s="48">
        <v>12</v>
      </c>
      <c r="C2804" s="48"/>
      <c r="D2804" s="88" t="s">
        <v>635</v>
      </c>
      <c r="E2804" s="72" t="str">
        <f>+VLOOKUP(D2804,'材料表 '!C:F,2,0)</f>
        <v>m2</v>
      </c>
      <c r="F2804" s="77">
        <v>1</v>
      </c>
      <c r="G2804" s="89">
        <f>+VLOOKUP(D2804,'材料表 '!C:F,4,0)</f>
        <v>0.02</v>
      </c>
      <c r="H2804" s="74">
        <f t="shared" si="442"/>
        <v>1.02</v>
      </c>
      <c r="I2804" s="74">
        <f>+VLOOKUP(D2804,'材料表 '!C:F,3,0)</f>
        <v>352.212389380531</v>
      </c>
      <c r="J2804" s="95">
        <f t="shared" si="443"/>
        <v>359.256637168142</v>
      </c>
      <c r="K2804" s="92">
        <f ca="1">H2804*K2779</f>
        <v>16.97139444</v>
      </c>
      <c r="L2804" s="69" t="s">
        <v>429</v>
      </c>
      <c r="M2804" s="81" t="s">
        <v>1027</v>
      </c>
      <c r="N2804" s="82">
        <v>0.735</v>
      </c>
      <c r="O2804" s="34">
        <v>0</v>
      </c>
      <c r="P2804" s="34">
        <v>1</v>
      </c>
      <c r="Q2804" s="44">
        <f t="shared" si="441"/>
        <v>0</v>
      </c>
      <c r="R2804" s="71">
        <f>+Q2804/R2780</f>
        <v>0</v>
      </c>
      <c r="S2804" s="47"/>
      <c r="T2804" s="47"/>
    </row>
    <row r="2805" s="27" customFormat="1" ht="18" customHeight="1" spans="1:21">
      <c r="A2805" s="34"/>
      <c r="B2805" s="48">
        <v>13</v>
      </c>
      <c r="C2805" s="48"/>
      <c r="D2805" s="124" t="s">
        <v>500</v>
      </c>
      <c r="E2805" s="72" t="str">
        <f>+VLOOKUP(D2805,'材料表 '!C:F,2,0)</f>
        <v>kg</v>
      </c>
      <c r="F2805" s="77">
        <f>R2788</f>
        <v>0.439732116788321</v>
      </c>
      <c r="G2805" s="89">
        <f>+VLOOKUP(D2805,'材料表 '!C:F,4,0)</f>
        <v>0.03</v>
      </c>
      <c r="H2805" s="74">
        <f t="shared" si="442"/>
        <v>0.452924080291971</v>
      </c>
      <c r="I2805" s="74">
        <f>+VLOOKUP(D2805,'材料表 '!C:F,3,0)</f>
        <v>14.1592920353982</v>
      </c>
      <c r="J2805" s="95">
        <f t="shared" si="443"/>
        <v>6.41308432271816</v>
      </c>
      <c r="K2805" s="92">
        <f ca="1">H2805*K2779</f>
        <v>7.53603256667575</v>
      </c>
      <c r="L2805" s="69" t="s">
        <v>447</v>
      </c>
      <c r="M2805" s="70" t="s">
        <v>1038</v>
      </c>
      <c r="N2805" s="83">
        <v>0.977</v>
      </c>
      <c r="O2805" s="34">
        <v>0</v>
      </c>
      <c r="P2805" s="34">
        <v>1</v>
      </c>
      <c r="Q2805" s="44">
        <f t="shared" si="441"/>
        <v>0</v>
      </c>
      <c r="R2805" s="84">
        <f>+Q2805/R2780</f>
        <v>0</v>
      </c>
      <c r="S2805" s="47">
        <v>0.185</v>
      </c>
      <c r="T2805" s="47">
        <f>O2805*P2805*S2805</f>
        <v>0</v>
      </c>
      <c r="U2805" s="27">
        <f>T2805/R2780</f>
        <v>0</v>
      </c>
    </row>
    <row r="2806" s="27" customFormat="1" ht="20" customHeight="1" spans="1:21">
      <c r="A2806" s="34"/>
      <c r="B2806" s="48">
        <v>14</v>
      </c>
      <c r="C2806" s="48"/>
      <c r="D2806" s="88" t="s">
        <v>479</v>
      </c>
      <c r="E2806" s="72" t="str">
        <f>+VLOOKUP(D2806,'材料表 '!C:F,2,0)</f>
        <v>kg</v>
      </c>
      <c r="F2806" s="77">
        <f>R2785</f>
        <v>5.35291047623737</v>
      </c>
      <c r="G2806" s="89">
        <f>+VLOOKUP(D2806,'材料表 '!C:F,4,0)</f>
        <v>0.03</v>
      </c>
      <c r="H2806" s="74">
        <f t="shared" si="442"/>
        <v>5.51349779052449</v>
      </c>
      <c r="I2806" s="74">
        <f>+VLOOKUP(D2806,'材料表 '!C:F,3,0)</f>
        <v>14.1592920353982</v>
      </c>
      <c r="J2806" s="95">
        <f t="shared" si="443"/>
        <v>78.067225352559</v>
      </c>
      <c r="K2806" s="92">
        <f ca="1">H2806*K2779</f>
        <v>91.7370056343722</v>
      </c>
      <c r="L2806" s="69" t="s">
        <v>429</v>
      </c>
      <c r="M2806" s="81" t="s">
        <v>1042</v>
      </c>
      <c r="N2806" s="82">
        <v>0.687</v>
      </c>
      <c r="O2806" s="44">
        <v>0</v>
      </c>
      <c r="P2806" s="34">
        <v>0</v>
      </c>
      <c r="Q2806" s="44">
        <f t="shared" si="441"/>
        <v>0</v>
      </c>
      <c r="R2806" s="84">
        <f>+Q2806/R2780</f>
        <v>0</v>
      </c>
      <c r="S2806" s="47"/>
      <c r="T2806" s="47"/>
    </row>
    <row r="2807" s="27" customFormat="1" ht="18" customHeight="1" spans="1:21">
      <c r="A2807" s="34"/>
      <c r="B2807" s="48">
        <v>15</v>
      </c>
      <c r="C2807" s="48"/>
      <c r="D2807" s="88"/>
      <c r="E2807" s="72"/>
      <c r="F2807" s="77"/>
      <c r="G2807" s="89"/>
      <c r="H2807" s="74"/>
      <c r="I2807" s="74"/>
      <c r="J2807" s="95"/>
      <c r="K2807" s="92"/>
      <c r="L2807" s="92"/>
      <c r="M2807" s="44"/>
      <c r="N2807" s="44"/>
      <c r="O2807" s="44"/>
      <c r="P2807" s="44"/>
      <c r="Q2807" s="44"/>
      <c r="R2807" s="84"/>
      <c r="S2807" s="47"/>
      <c r="T2807" s="47"/>
    </row>
    <row r="2808" s="27" customFormat="1" ht="18" customHeight="1" spans="1:21">
      <c r="A2808" s="34"/>
      <c r="B2808" s="48">
        <v>16</v>
      </c>
      <c r="C2808" s="48"/>
      <c r="D2808" s="88"/>
      <c r="E2808" s="72"/>
      <c r="F2808" s="77"/>
      <c r="G2808" s="89"/>
      <c r="H2808" s="74"/>
      <c r="I2808" s="74"/>
      <c r="J2808" s="95"/>
      <c r="K2808" s="92"/>
      <c r="L2808" s="92"/>
      <c r="M2808" s="44"/>
      <c r="N2808" s="44"/>
      <c r="O2808" s="44"/>
      <c r="P2808" s="44"/>
      <c r="Q2808" s="44"/>
      <c r="R2808" s="84"/>
      <c r="S2808" s="47"/>
      <c r="T2808" s="47"/>
    </row>
    <row r="2809" s="27" customFormat="1" ht="18" customHeight="1" spans="1:21">
      <c r="A2809" s="34"/>
      <c r="B2809" s="48">
        <v>17</v>
      </c>
      <c r="C2809" s="48"/>
      <c r="D2809" s="121"/>
      <c r="E2809" s="72"/>
      <c r="F2809" s="77"/>
      <c r="G2809" s="89"/>
      <c r="H2809" s="74"/>
      <c r="I2809" s="74"/>
      <c r="J2809" s="95"/>
      <c r="K2809" s="92"/>
      <c r="L2809" s="92"/>
      <c r="M2809" s="44"/>
      <c r="N2809" s="44"/>
      <c r="O2809" s="44"/>
      <c r="P2809" s="44"/>
      <c r="Q2809" s="101"/>
      <c r="R2809" s="84"/>
      <c r="S2809" s="47"/>
      <c r="T2809" s="47"/>
    </row>
    <row r="2810" s="27" customFormat="1" ht="18" customHeight="1" spans="1:21">
      <c r="A2810" s="34"/>
      <c r="B2810" s="48">
        <v>18</v>
      </c>
      <c r="C2810" s="48"/>
      <c r="D2810" s="88"/>
      <c r="E2810" s="72"/>
      <c r="F2810" s="77"/>
      <c r="G2810" s="89"/>
      <c r="H2810" s="74"/>
      <c r="I2810" s="74"/>
      <c r="J2810" s="95"/>
      <c r="K2810" s="92"/>
      <c r="L2810" s="92"/>
      <c r="M2810" s="44"/>
      <c r="N2810" s="44"/>
      <c r="O2810" s="44"/>
      <c r="P2810" s="44"/>
      <c r="Q2810" s="44"/>
      <c r="R2810" s="84"/>
      <c r="S2810" s="47"/>
      <c r="T2810" s="47"/>
    </row>
    <row r="2811" s="27" customFormat="1" ht="18" customHeight="1" spans="1:21">
      <c r="A2811" s="34"/>
      <c r="B2811" s="48">
        <v>19</v>
      </c>
      <c r="C2811" s="48"/>
      <c r="D2811" s="27"/>
      <c r="E2811" s="72"/>
      <c r="F2811" s="77"/>
      <c r="G2811" s="89"/>
      <c r="H2811" s="74"/>
      <c r="I2811" s="74"/>
      <c r="J2811" s="95"/>
      <c r="K2811" s="92"/>
      <c r="L2811" s="92"/>
      <c r="M2811" s="44"/>
      <c r="N2811" s="44"/>
      <c r="O2811" s="44"/>
      <c r="P2811" s="44"/>
      <c r="Q2811" s="44"/>
      <c r="R2811" s="84"/>
      <c r="S2811" s="47"/>
      <c r="T2811" s="47"/>
    </row>
    <row r="2812" s="27" customFormat="1" ht="18" customHeight="1" spans="1:21">
      <c r="A2812" s="34"/>
      <c r="B2812" s="48">
        <v>20</v>
      </c>
      <c r="C2812" s="48"/>
      <c r="D2812" s="88"/>
      <c r="E2812" s="72"/>
      <c r="F2812" s="77"/>
      <c r="G2812" s="89"/>
      <c r="H2812" s="74"/>
      <c r="I2812" s="74"/>
      <c r="J2812" s="95"/>
      <c r="K2812" s="92"/>
      <c r="L2812" s="92"/>
      <c r="M2812" s="44"/>
      <c r="N2812" s="44"/>
      <c r="O2812" s="44"/>
      <c r="P2812" s="44"/>
      <c r="Q2812" s="44"/>
      <c r="R2812" s="84"/>
      <c r="S2812" s="47"/>
      <c r="T2812" s="47"/>
    </row>
    <row r="2813" s="27" customFormat="1" ht="18" customHeight="1" spans="1:21">
      <c r="A2813" s="34"/>
      <c r="B2813" s="48">
        <v>21</v>
      </c>
      <c r="C2813" s="48"/>
      <c r="D2813" s="88"/>
      <c r="E2813" s="72"/>
      <c r="F2813" s="77"/>
      <c r="G2813" s="89"/>
      <c r="H2813" s="74"/>
      <c r="I2813" s="74"/>
      <c r="J2813" s="95"/>
      <c r="K2813" s="92"/>
      <c r="L2813" s="92"/>
      <c r="M2813" s="44"/>
      <c r="N2813" s="44"/>
      <c r="O2813" s="44"/>
      <c r="P2813" s="44"/>
      <c r="Q2813" s="44"/>
      <c r="R2813" s="84"/>
      <c r="S2813" s="47"/>
      <c r="T2813" s="47"/>
    </row>
    <row r="2814" s="27" customFormat="1" ht="18" customHeight="1" spans="1:21">
      <c r="A2814" s="34"/>
      <c r="B2814" s="48">
        <v>22</v>
      </c>
      <c r="C2814" s="48"/>
      <c r="D2814" s="27"/>
      <c r="E2814" s="72"/>
      <c r="F2814" s="77"/>
      <c r="G2814" s="72"/>
      <c r="H2814" s="74"/>
      <c r="I2814" s="74"/>
      <c r="J2814" s="95"/>
      <c r="K2814" s="92"/>
      <c r="L2814" s="92"/>
      <c r="M2814" s="44"/>
      <c r="N2814" s="44"/>
      <c r="O2814" s="44"/>
      <c r="P2814" s="44"/>
      <c r="Q2814" s="44"/>
      <c r="R2814" s="62"/>
      <c r="S2814" s="47"/>
      <c r="T2814" s="47"/>
    </row>
    <row r="2815" s="27" customFormat="1" ht="18" customHeight="1" spans="1:21">
      <c r="A2815" s="34"/>
      <c r="B2815" s="48">
        <v>23</v>
      </c>
      <c r="C2815" s="48"/>
      <c r="D2815" s="88"/>
      <c r="E2815" s="72"/>
      <c r="F2815" s="77"/>
      <c r="G2815" s="89"/>
      <c r="H2815" s="74"/>
      <c r="I2815" s="74"/>
      <c r="J2815" s="95"/>
      <c r="K2815" s="92"/>
      <c r="L2815" s="92"/>
      <c r="M2815" s="44"/>
      <c r="N2815" s="44"/>
      <c r="O2815" s="44"/>
      <c r="P2815" s="44"/>
      <c r="Q2815" s="44"/>
      <c r="R2815" s="62"/>
      <c r="S2815" s="47"/>
      <c r="T2815" s="47"/>
    </row>
    <row r="2816" s="27" customFormat="1" ht="18" customHeight="1" spans="1:21">
      <c r="A2816" s="34"/>
      <c r="B2816" s="48">
        <v>24</v>
      </c>
      <c r="C2816" s="48"/>
      <c r="D2816" s="88" t="s">
        <v>478</v>
      </c>
      <c r="E2816" s="72" t="s">
        <v>43</v>
      </c>
      <c r="F2816" s="77"/>
      <c r="G2816" s="72">
        <v>1</v>
      </c>
      <c r="H2816" s="74">
        <v>1</v>
      </c>
      <c r="I2816" s="74">
        <f>+辅材及安装费!$E$3</f>
        <v>5</v>
      </c>
      <c r="J2816" s="95">
        <f>H2816*I2816</f>
        <v>5</v>
      </c>
      <c r="K2816" s="92"/>
      <c r="L2816" s="92"/>
      <c r="M2816" s="44"/>
      <c r="N2816" s="44"/>
      <c r="O2816" s="44"/>
      <c r="P2816" s="44"/>
      <c r="Q2816" s="44"/>
      <c r="R2816" s="62"/>
      <c r="S2816" s="47"/>
      <c r="T2816" s="47"/>
    </row>
    <row r="2817" s="27" customFormat="1" ht="18" customHeight="1" spans="1:20">
      <c r="A2817" s="34"/>
      <c r="B2817" s="48">
        <v>25</v>
      </c>
      <c r="C2817" s="48"/>
      <c r="D2817" s="93" t="s">
        <v>442</v>
      </c>
      <c r="E2817" s="72"/>
      <c r="F2817" s="77"/>
      <c r="G2817" s="72"/>
      <c r="H2817" s="74"/>
      <c r="I2817" s="74"/>
      <c r="J2817" s="95">
        <f>SUM(J2793:J2816)</f>
        <v>565.464570759485</v>
      </c>
      <c r="K2817" s="92"/>
      <c r="L2817" s="94"/>
      <c r="M2817" s="27"/>
      <c r="N2817" s="83"/>
      <c r="O2817" s="83"/>
      <c r="P2817" s="83"/>
      <c r="Q2817" s="83"/>
      <c r="R2817" s="87"/>
      <c r="S2817" s="47"/>
      <c r="T2817" s="47"/>
    </row>
    <row r="2818" s="27" customFormat="1" ht="18" customHeight="1" spans="1:20">
      <c r="A2818" s="34"/>
      <c r="B2818" s="48">
        <v>1</v>
      </c>
      <c r="C2818" s="48" t="s">
        <v>443</v>
      </c>
      <c r="D2818" s="48" t="s">
        <v>444</v>
      </c>
      <c r="E2818" s="72" t="s">
        <v>43</v>
      </c>
      <c r="F2818" s="50"/>
      <c r="G2818" s="48"/>
      <c r="H2818" s="51">
        <v>1</v>
      </c>
      <c r="I2818" s="74">
        <f>+辅材及安装费!$F$3</f>
        <v>5</v>
      </c>
      <c r="J2818" s="95">
        <f>H2818*I2818</f>
        <v>5</v>
      </c>
      <c r="K2818" s="118"/>
      <c r="L2818" s="96"/>
      <c r="M2818" s="97"/>
      <c r="N2818" s="98"/>
      <c r="O2818" s="98"/>
      <c r="P2818" s="98"/>
      <c r="Q2818" s="98"/>
      <c r="R2818" s="99"/>
      <c r="S2818" s="47"/>
      <c r="T2818" s="47"/>
    </row>
    <row r="2819" s="26" customFormat="1" ht="30" customHeight="1" spans="1:20">
      <c r="A2819" s="28"/>
      <c r="B2819" s="29" t="s">
        <v>386</v>
      </c>
      <c r="C2819" s="29"/>
      <c r="D2819" s="29"/>
      <c r="E2819" s="29"/>
      <c r="F2819" s="29"/>
      <c r="G2819" s="29"/>
      <c r="H2819" s="29"/>
      <c r="I2819" s="29"/>
      <c r="J2819" s="29"/>
      <c r="K2819" s="29"/>
      <c r="L2819" s="30"/>
      <c r="M2819" s="31"/>
      <c r="N2819" s="31"/>
      <c r="O2819" s="31"/>
      <c r="P2819" s="31"/>
      <c r="Q2819" s="31"/>
      <c r="R2819" s="32"/>
      <c r="S2819" s="33"/>
      <c r="T2819" s="33"/>
    </row>
    <row r="2820" s="27" customFormat="1" ht="33.75" customHeight="1" spans="1:20">
      <c r="A2820" s="34">
        <v>16</v>
      </c>
      <c r="B2820" s="35" t="s">
        <v>1</v>
      </c>
      <c r="C2820" s="35" t="s">
        <v>387</v>
      </c>
      <c r="D2820" s="36" t="str">
        <f>+A2828</f>
        <v>吊顶：香槟色铝板</v>
      </c>
      <c r="E2820" s="37"/>
      <c r="F2820" s="38" t="s">
        <v>119</v>
      </c>
      <c r="G2820" s="39"/>
      <c r="H2820" s="35" t="s">
        <v>388</v>
      </c>
      <c r="I2820" s="40" t="s">
        <v>389</v>
      </c>
      <c r="J2820" s="41" t="s">
        <v>37</v>
      </c>
      <c r="K2820" s="122">
        <f ca="1">VLOOKUP(A2820,'商业工程量清单 '!$A$59:$D$81,4,FALSE)</f>
        <v>682.1514</v>
      </c>
      <c r="L2820" s="43"/>
      <c r="M2820" s="44"/>
      <c r="N2820" s="44"/>
      <c r="O2820" s="44"/>
      <c r="P2820" s="45"/>
      <c r="Q2820" s="44"/>
      <c r="R2820" s="46"/>
      <c r="S2820" s="47"/>
      <c r="T2820" s="47"/>
    </row>
    <row r="2821" s="27" customFormat="1" ht="25" customHeight="1" spans="1:20">
      <c r="A2821" s="34"/>
      <c r="B2821" s="48">
        <v>1</v>
      </c>
      <c r="C2821" s="49" t="s">
        <v>390</v>
      </c>
      <c r="D2821" s="48" t="s">
        <v>391</v>
      </c>
      <c r="E2821" s="48"/>
      <c r="F2821" s="50"/>
      <c r="G2821" s="48"/>
      <c r="H2821" s="51"/>
      <c r="I2821" s="52">
        <f>J2833</f>
        <v>165</v>
      </c>
      <c r="J2821" s="53" t="s">
        <v>392</v>
      </c>
      <c r="K2821" s="54"/>
      <c r="L2821" s="55"/>
      <c r="M2821" s="56" t="s">
        <v>1070</v>
      </c>
      <c r="N2821" s="57"/>
      <c r="O2821" s="57">
        <v>1.8</v>
      </c>
      <c r="P2821" s="57">
        <v>3.5</v>
      </c>
      <c r="Q2821" s="57">
        <v>1</v>
      </c>
      <c r="R2821" s="58">
        <f>+Q2821*P2821*O2821</f>
        <v>6.3</v>
      </c>
      <c r="S2821" s="47"/>
      <c r="T2821" s="47"/>
    </row>
    <row r="2822" s="27" customFormat="1" ht="18" customHeight="1" spans="1:20">
      <c r="A2822" s="34"/>
      <c r="B2822" s="48">
        <v>2</v>
      </c>
      <c r="C2822" s="59"/>
      <c r="D2822" s="48" t="s">
        <v>394</v>
      </c>
      <c r="E2822" s="48"/>
      <c r="F2822" s="50"/>
      <c r="G2822" s="48"/>
      <c r="H2822" s="51"/>
      <c r="I2822" s="52">
        <f>J2858</f>
        <v>409.242498959784</v>
      </c>
      <c r="J2822" s="53" t="s">
        <v>392</v>
      </c>
      <c r="K2822" s="60"/>
      <c r="L2822" s="61" t="s">
        <v>119</v>
      </c>
      <c r="M2822" s="44"/>
      <c r="N2822" s="44"/>
      <c r="O2822" s="44"/>
      <c r="P2822" s="44"/>
      <c r="Q2822" s="44"/>
      <c r="R2822" s="62"/>
      <c r="S2822" s="47"/>
      <c r="T2822" s="47"/>
    </row>
    <row r="2823" s="27" customFormat="1" ht="18" customHeight="1" spans="1:20">
      <c r="A2823" s="34"/>
      <c r="B2823" s="48">
        <v>3</v>
      </c>
      <c r="C2823" s="63"/>
      <c r="D2823" s="48" t="s">
        <v>395</v>
      </c>
      <c r="E2823" s="48"/>
      <c r="F2823" s="50"/>
      <c r="G2823" s="48"/>
      <c r="H2823" s="51"/>
      <c r="I2823" s="52">
        <f>J2859</f>
        <v>5</v>
      </c>
      <c r="J2823" s="53" t="s">
        <v>392</v>
      </c>
      <c r="K2823" s="60"/>
      <c r="L2823" s="60"/>
      <c r="M2823" s="65" t="s">
        <v>396</v>
      </c>
      <c r="N2823" s="65" t="s">
        <v>397</v>
      </c>
      <c r="O2823" s="65" t="s">
        <v>398</v>
      </c>
      <c r="P2823" s="65" t="s">
        <v>399</v>
      </c>
      <c r="Q2823" s="65" t="s">
        <v>400</v>
      </c>
      <c r="R2823" s="66" t="s">
        <v>401</v>
      </c>
      <c r="S2823" s="47"/>
      <c r="T2823" s="47"/>
    </row>
    <row r="2824" s="27" customFormat="1" ht="18" customHeight="1" spans="1:20">
      <c r="A2824" s="34"/>
      <c r="B2824" s="48">
        <v>4</v>
      </c>
      <c r="C2824" s="48" t="s">
        <v>402</v>
      </c>
      <c r="D2824" s="67" t="s">
        <v>403</v>
      </c>
      <c r="E2824" s="67"/>
      <c r="F2824" s="50"/>
      <c r="G2824" s="67"/>
      <c r="H2824" s="68"/>
      <c r="I2824" s="52">
        <f>SUM(I2821:I2823)</f>
        <v>579.242498959784</v>
      </c>
      <c r="J2824" s="53" t="s">
        <v>392</v>
      </c>
      <c r="K2824" s="60"/>
      <c r="L2824" s="69" t="s">
        <v>431</v>
      </c>
      <c r="M2824" s="34" t="s">
        <v>1069</v>
      </c>
      <c r="N2824" s="34">
        <v>7.03</v>
      </c>
      <c r="O2824" s="34">
        <f>P2821</f>
        <v>3.5</v>
      </c>
      <c r="P2824" s="34">
        <v>2</v>
      </c>
      <c r="Q2824" s="44">
        <f t="shared" ref="Q2824:Q2829" si="444">+P2824*O2824*N2824</f>
        <v>49.21</v>
      </c>
      <c r="R2824" s="71">
        <f>+Q2824/R2821</f>
        <v>7.81111111111111</v>
      </c>
      <c r="S2824" s="47"/>
      <c r="T2824" s="47"/>
    </row>
    <row r="2825" s="27" customFormat="1" ht="28" customHeight="1" spans="1:20">
      <c r="A2825" s="34"/>
      <c r="B2825" s="48">
        <v>5</v>
      </c>
      <c r="C2825" s="72" t="s">
        <v>406</v>
      </c>
      <c r="D2825" s="48" t="s">
        <v>407</v>
      </c>
      <c r="E2825" s="48"/>
      <c r="F2825" s="50"/>
      <c r="G2825" s="48"/>
      <c r="H2825" s="73">
        <f>+'材料表 '!$E$178</f>
        <v>0</v>
      </c>
      <c r="I2825" s="52">
        <f>H2825*I2824</f>
        <v>0</v>
      </c>
      <c r="J2825" s="53" t="s">
        <v>392</v>
      </c>
      <c r="K2825" s="60"/>
      <c r="L2825" s="69" t="s">
        <v>431</v>
      </c>
      <c r="M2825" s="34" t="s">
        <v>1069</v>
      </c>
      <c r="N2825" s="34">
        <v>3.77</v>
      </c>
      <c r="O2825" s="34">
        <f>+O2821</f>
        <v>1.8</v>
      </c>
      <c r="P2825" s="34">
        <v>2</v>
      </c>
      <c r="Q2825" s="44">
        <f t="shared" si="444"/>
        <v>13.572</v>
      </c>
      <c r="R2825" s="71">
        <f>+Q2825/R2821</f>
        <v>2.15428571428571</v>
      </c>
      <c r="S2825" s="47"/>
      <c r="T2825" s="47"/>
    </row>
    <row r="2826" s="27" customFormat="1" ht="18" customHeight="1" spans="1:20">
      <c r="A2826" s="34"/>
      <c r="B2826" s="48">
        <v>6</v>
      </c>
      <c r="C2826" s="48" t="s">
        <v>409</v>
      </c>
      <c r="D2826" s="48" t="s">
        <v>410</v>
      </c>
      <c r="E2826" s="48"/>
      <c r="F2826" s="50"/>
      <c r="G2826" s="48"/>
      <c r="H2826" s="73">
        <f>+'材料表 '!$E$179</f>
        <v>0</v>
      </c>
      <c r="I2826" s="52">
        <f>H2826*I2824</f>
        <v>0</v>
      </c>
      <c r="J2826" s="53" t="s">
        <v>392</v>
      </c>
      <c r="K2826" s="60"/>
      <c r="L2826" s="69" t="s">
        <v>431</v>
      </c>
      <c r="M2826" s="34" t="s">
        <v>1069</v>
      </c>
      <c r="N2826" s="34">
        <v>7.03</v>
      </c>
      <c r="O2826" s="34">
        <f>O2821</f>
        <v>1.8</v>
      </c>
      <c r="P2826" s="34">
        <f>0.6*5</f>
        <v>3</v>
      </c>
      <c r="Q2826" s="44">
        <f t="shared" si="444"/>
        <v>37.962</v>
      </c>
      <c r="R2826" s="71">
        <f>+Q2826/R2821</f>
        <v>6.02571428571429</v>
      </c>
      <c r="S2826" s="47"/>
      <c r="T2826" s="47"/>
    </row>
    <row r="2827" s="27" customFormat="1" ht="18" customHeight="1" spans="1:20">
      <c r="A2827" s="34"/>
      <c r="B2827" s="48">
        <v>7</v>
      </c>
      <c r="C2827" s="48" t="s">
        <v>412</v>
      </c>
      <c r="D2827" s="72" t="s">
        <v>413</v>
      </c>
      <c r="E2827" s="72"/>
      <c r="F2827" s="77"/>
      <c r="G2827" s="72"/>
      <c r="H2827" s="73">
        <f>+'材料表 '!$E$180</f>
        <v>0.09</v>
      </c>
      <c r="I2827" s="52">
        <f>(I2824+I2825+I2826)*H2827</f>
        <v>52.1318249063805</v>
      </c>
      <c r="J2827" s="53" t="s">
        <v>392</v>
      </c>
      <c r="K2827" s="60"/>
      <c r="L2827" s="69" t="s">
        <v>463</v>
      </c>
      <c r="M2827" s="34" t="s">
        <v>490</v>
      </c>
      <c r="N2827" s="34">
        <f>0.3*0.2*7.85*10</f>
        <v>4.71</v>
      </c>
      <c r="O2827" s="34">
        <v>1</v>
      </c>
      <c r="P2827" s="34">
        <v>2</v>
      </c>
      <c r="Q2827" s="44">
        <f t="shared" si="444"/>
        <v>9.42</v>
      </c>
      <c r="R2827" s="71">
        <f>+Q2827/R2821</f>
        <v>1.4952380952381</v>
      </c>
      <c r="S2827" s="47"/>
      <c r="T2827" s="47"/>
    </row>
    <row r="2828" s="27" customFormat="1" ht="18" customHeight="1" spans="1:20">
      <c r="A2828" s="34" t="s">
        <v>330</v>
      </c>
      <c r="B2828" s="48">
        <v>8</v>
      </c>
      <c r="C2828" s="48" t="s">
        <v>363</v>
      </c>
      <c r="D2828" s="106" t="s">
        <v>415</v>
      </c>
      <c r="E2828" s="107"/>
      <c r="F2828" s="108"/>
      <c r="G2828" s="107"/>
      <c r="H2828" s="51"/>
      <c r="I2828" s="74">
        <f>SUM(I2824:I2827)</f>
        <v>631.374323866164</v>
      </c>
      <c r="J2828" s="53" t="s">
        <v>416</v>
      </c>
      <c r="K2828" s="60"/>
      <c r="L2828" s="69" t="s">
        <v>465</v>
      </c>
      <c r="M2828" s="34" t="s">
        <v>1066</v>
      </c>
      <c r="N2828" s="100">
        <f>0.36*5*7.85</f>
        <v>14.13</v>
      </c>
      <c r="O2828" s="34">
        <f>110/1000</f>
        <v>0.11</v>
      </c>
      <c r="P2828" s="44">
        <f>+P2827*O2827*2</f>
        <v>4</v>
      </c>
      <c r="Q2828" s="44">
        <f t="shared" si="444"/>
        <v>6.2172</v>
      </c>
      <c r="R2828" s="84">
        <f>+Q2828/R2821</f>
        <v>0.986857142857143</v>
      </c>
      <c r="S2828" s="79"/>
      <c r="T2828" s="47"/>
    </row>
    <row r="2829" s="27" customFormat="1" ht="18" customHeight="1" spans="1:20">
      <c r="A2829" s="34"/>
      <c r="B2829" s="109" t="s">
        <v>418</v>
      </c>
      <c r="C2829" s="110"/>
      <c r="D2829" s="110"/>
      <c r="E2829" s="110"/>
      <c r="F2829" s="110"/>
      <c r="G2829" s="110"/>
      <c r="H2829" s="110"/>
      <c r="I2829" s="110"/>
      <c r="J2829" s="110"/>
      <c r="K2829" s="80"/>
      <c r="L2829" s="69" t="s">
        <v>433</v>
      </c>
      <c r="M2829" s="44"/>
      <c r="N2829" s="82">
        <f>0.056*3*2.71+0.0675*3*2.71</f>
        <v>1.004055</v>
      </c>
      <c r="O2829" s="44">
        <f>O2821</f>
        <v>1.8</v>
      </c>
      <c r="P2829" s="44">
        <v>1</v>
      </c>
      <c r="Q2829" s="44">
        <f t="shared" si="444"/>
        <v>1.807299</v>
      </c>
      <c r="R2829" s="84">
        <f>+Q2829/R2821</f>
        <v>0.286872857142857</v>
      </c>
      <c r="S2829" s="47">
        <f>0.16*P2829*O2829/R2821</f>
        <v>0.0457142857142857</v>
      </c>
      <c r="T2829" s="47"/>
    </row>
    <row r="2830" s="27" customFormat="1" ht="18" customHeight="1" spans="1:20">
      <c r="A2830" s="34"/>
      <c r="B2830" s="48">
        <v>1</v>
      </c>
      <c r="C2830" s="48" t="s">
        <v>391</v>
      </c>
      <c r="D2830" s="48" t="s">
        <v>396</v>
      </c>
      <c r="E2830" s="48" t="s">
        <v>37</v>
      </c>
      <c r="F2830" s="50"/>
      <c r="G2830" s="48"/>
      <c r="H2830" s="51" t="s">
        <v>399</v>
      </c>
      <c r="I2830" s="51" t="s">
        <v>420</v>
      </c>
      <c r="J2830" s="95" t="s">
        <v>421</v>
      </c>
      <c r="K2830" s="92"/>
      <c r="L2830" s="69" t="s">
        <v>433</v>
      </c>
      <c r="M2830" s="44"/>
      <c r="N2830" s="82">
        <f>0.056*3*2.71+0.0675*3*2.71</f>
        <v>1.004055</v>
      </c>
      <c r="O2830" s="44">
        <f>P2821</f>
        <v>3.5</v>
      </c>
      <c r="P2830" s="44">
        <v>1</v>
      </c>
      <c r="Q2830" s="44">
        <f>+P2830*O2830</f>
        <v>3.5</v>
      </c>
      <c r="R2830" s="84">
        <f>+Q2830/R2821</f>
        <v>0.555555555555556</v>
      </c>
      <c r="S2830" s="47"/>
      <c r="T2830" s="47"/>
    </row>
    <row r="2831" s="27" customFormat="1" ht="18" customHeight="1" spans="1:20">
      <c r="A2831" s="34"/>
      <c r="B2831" s="48">
        <v>2</v>
      </c>
      <c r="C2831" s="48"/>
      <c r="D2831" s="111" t="s">
        <v>491</v>
      </c>
      <c r="E2831" s="49" t="s">
        <v>423</v>
      </c>
      <c r="F2831" s="112"/>
      <c r="G2831" s="111"/>
      <c r="H2831" s="113">
        <v>1</v>
      </c>
      <c r="I2831" s="113">
        <f>+辅材及安装费!$G$3</f>
        <v>165</v>
      </c>
      <c r="J2831" s="114">
        <f t="shared" ref="J2831:J2839" si="445">H2831*I2831</f>
        <v>165</v>
      </c>
      <c r="K2831" s="92"/>
      <c r="L2831" s="69" t="s">
        <v>461</v>
      </c>
      <c r="M2831" s="34" t="s">
        <v>462</v>
      </c>
      <c r="N2831" s="34">
        <v>3.77</v>
      </c>
      <c r="O2831" s="34">
        <v>0.65</v>
      </c>
      <c r="P2831" s="34">
        <v>0</v>
      </c>
      <c r="Q2831" s="44">
        <f>+P2831*O2831*N2831</f>
        <v>0</v>
      </c>
      <c r="R2831" s="84">
        <f>+Q2831/R2821</f>
        <v>0</v>
      </c>
      <c r="S2831" s="47"/>
      <c r="T2831" s="47"/>
    </row>
    <row r="2832" s="27" customFormat="1" ht="18" customHeight="1" spans="1:20">
      <c r="A2832" s="34"/>
      <c r="B2832" s="48">
        <v>3</v>
      </c>
      <c r="C2832" s="48"/>
      <c r="D2832" s="115"/>
      <c r="E2832" s="63"/>
      <c r="F2832" s="116"/>
      <c r="G2832" s="115"/>
      <c r="H2832" s="117"/>
      <c r="I2832" s="117"/>
      <c r="J2832" s="118"/>
      <c r="K2832" s="92"/>
      <c r="L2832" s="90" t="s">
        <v>472</v>
      </c>
      <c r="M2832" s="44"/>
      <c r="N2832" s="82"/>
      <c r="O2832" s="44"/>
      <c r="P2832" s="44">
        <f>+P2828</f>
        <v>4</v>
      </c>
      <c r="Q2832" s="44">
        <f>+P2832</f>
        <v>4</v>
      </c>
      <c r="R2832" s="84">
        <f>+Q2832/R2821</f>
        <v>0.634920634920635</v>
      </c>
      <c r="S2832" s="47"/>
      <c r="T2832" s="47"/>
    </row>
    <row r="2833" s="27" customFormat="1" ht="18" customHeight="1" spans="1:21">
      <c r="A2833" s="34"/>
      <c r="B2833" s="48">
        <v>4</v>
      </c>
      <c r="C2833" s="48"/>
      <c r="D2833" s="85" t="s">
        <v>426</v>
      </c>
      <c r="E2833" s="48" t="s">
        <v>392</v>
      </c>
      <c r="F2833" s="50"/>
      <c r="G2833" s="48"/>
      <c r="H2833" s="86"/>
      <c r="I2833" s="86"/>
      <c r="J2833" s="95">
        <f>SUM(J2831:J2831)</f>
        <v>165</v>
      </c>
      <c r="K2833" s="92"/>
      <c r="L2833" s="90" t="s">
        <v>473</v>
      </c>
      <c r="M2833" s="44"/>
      <c r="N2833" s="82"/>
      <c r="O2833" s="44"/>
      <c r="P2833" s="44"/>
      <c r="Q2833" s="44">
        <v>0</v>
      </c>
      <c r="R2833" s="84">
        <f>+Q2833/R2821</f>
        <v>0</v>
      </c>
      <c r="S2833" s="47"/>
      <c r="T2833" s="47"/>
    </row>
    <row r="2834" s="27" customFormat="1" ht="24" customHeight="1" spans="1:21">
      <c r="A2834" s="34"/>
      <c r="B2834" s="48">
        <v>1</v>
      </c>
      <c r="C2834" s="48" t="s">
        <v>394</v>
      </c>
      <c r="D2834" s="88" t="s">
        <v>431</v>
      </c>
      <c r="E2834" s="72" t="str">
        <f>+VLOOKUP(D2834,'材料表 '!C:F,2,0)</f>
        <v>kg</v>
      </c>
      <c r="F2834" s="77">
        <f t="shared" ref="F2834:F2839" si="446">+SUMIF($L$2821:$L$2859,D2834,$R$2821:$R$2859)</f>
        <v>15.9911111111111</v>
      </c>
      <c r="G2834" s="89">
        <f>+VLOOKUP(D2834,'材料表 '!C:F,4,0)</f>
        <v>0.03</v>
      </c>
      <c r="H2834" s="74">
        <f t="shared" ref="H2834:H2839" si="447">F2834*(G2834+1)</f>
        <v>16.4708444444444</v>
      </c>
      <c r="I2834" s="74">
        <f>+VLOOKUP(D2834,'材料表 '!C:F,3,0)</f>
        <v>3.80530973451327</v>
      </c>
      <c r="J2834" s="95">
        <f t="shared" si="445"/>
        <v>62.6766647000982</v>
      </c>
      <c r="K2834" s="92">
        <f ca="1">H2834*K2820</f>
        <v>11235.60959696</v>
      </c>
      <c r="L2834" s="90"/>
      <c r="M2834" s="44"/>
      <c r="N2834" s="82"/>
      <c r="O2834" s="44"/>
      <c r="P2834" s="44"/>
      <c r="Q2834" s="44"/>
      <c r="R2834" s="84"/>
      <c r="S2834" s="47"/>
      <c r="T2834" s="47"/>
    </row>
    <row r="2835" s="27" customFormat="1" ht="18" customHeight="1" spans="1:21">
      <c r="A2835" s="34"/>
      <c r="B2835" s="48">
        <v>2</v>
      </c>
      <c r="C2835" s="48"/>
      <c r="D2835" s="88" t="s">
        <v>461</v>
      </c>
      <c r="E2835" s="72" t="str">
        <f>+VLOOKUP(D2835,'材料表 '!C:F,2,0)</f>
        <v>kg</v>
      </c>
      <c r="F2835" s="77">
        <f t="shared" si="446"/>
        <v>0</v>
      </c>
      <c r="G2835" s="89">
        <f>+VLOOKUP(D2835,'材料表 '!C:F,4,0)</f>
        <v>0.03</v>
      </c>
      <c r="H2835" s="74">
        <f t="shared" si="447"/>
        <v>0</v>
      </c>
      <c r="I2835" s="74">
        <f>+VLOOKUP(D2835,'材料表 '!C:F,3,0)</f>
        <v>3.53982300884956</v>
      </c>
      <c r="J2835" s="95">
        <f t="shared" si="445"/>
        <v>0</v>
      </c>
      <c r="K2835" s="92">
        <f ca="1">H2835*K2820</f>
        <v>0</v>
      </c>
      <c r="L2835" s="90"/>
      <c r="M2835" s="44"/>
      <c r="N2835" s="82"/>
      <c r="O2835" s="44"/>
      <c r="P2835" s="44"/>
      <c r="Q2835" s="44"/>
      <c r="R2835" s="84"/>
      <c r="S2835" s="47"/>
      <c r="T2835" s="47"/>
    </row>
    <row r="2836" s="27" customFormat="1" ht="18" customHeight="1" spans="1:21">
      <c r="A2836" s="34"/>
      <c r="B2836" s="48">
        <v>3</v>
      </c>
      <c r="C2836" s="48"/>
      <c r="D2836" s="88" t="s">
        <v>465</v>
      </c>
      <c r="E2836" s="72" t="str">
        <f>+VLOOKUP(D2836,'材料表 '!C:F,2,0)</f>
        <v>kg</v>
      </c>
      <c r="F2836" s="77">
        <f t="shared" si="446"/>
        <v>0.986857142857143</v>
      </c>
      <c r="G2836" s="89">
        <f>+VLOOKUP(D2836,'材料表 '!C:F,4,0)</f>
        <v>0.03</v>
      </c>
      <c r="H2836" s="74">
        <f t="shared" si="447"/>
        <v>1.01646285714286</v>
      </c>
      <c r="I2836" s="74">
        <f>+VLOOKUP(D2836,'材料表 '!C:F,3,0)</f>
        <v>6.01769911504425</v>
      </c>
      <c r="J2836" s="95">
        <f t="shared" si="445"/>
        <v>6.11676763590392</v>
      </c>
      <c r="K2836" s="92">
        <f ca="1">H2836*K2820</f>
        <v>693.381561048002</v>
      </c>
      <c r="L2836" s="90"/>
      <c r="M2836" s="44"/>
      <c r="N2836" s="82"/>
      <c r="O2836" s="44"/>
      <c r="P2836" s="44"/>
      <c r="Q2836" s="44"/>
      <c r="R2836" s="84"/>
      <c r="S2836" s="47"/>
      <c r="T2836" s="47"/>
    </row>
    <row r="2837" s="27" customFormat="1" ht="18" customHeight="1" spans="1:21">
      <c r="A2837" s="34"/>
      <c r="B2837" s="48">
        <v>4</v>
      </c>
      <c r="C2837" s="48"/>
      <c r="D2837" s="88" t="s">
        <v>463</v>
      </c>
      <c r="E2837" s="72" t="str">
        <f>+VLOOKUP(D2837,'材料表 '!C:F,2,0)</f>
        <v>kg</v>
      </c>
      <c r="F2837" s="77">
        <f t="shared" si="446"/>
        <v>1.4952380952381</v>
      </c>
      <c r="G2837" s="89">
        <f>+VLOOKUP(D2837,'材料表 '!C:F,4,0)</f>
        <v>0.03</v>
      </c>
      <c r="H2837" s="74">
        <f t="shared" si="447"/>
        <v>1.54009523809524</v>
      </c>
      <c r="I2837" s="74">
        <f>+VLOOKUP(D2837,'材料表 '!C:F,3,0)</f>
        <v>6.01769911504425</v>
      </c>
      <c r="J2837" s="95">
        <f t="shared" si="445"/>
        <v>9.26782975136961</v>
      </c>
      <c r="K2837" s="92">
        <f ca="1">H2837*K2820</f>
        <v>1050.5781228</v>
      </c>
      <c r="L2837" s="90" t="s">
        <v>474</v>
      </c>
      <c r="M2837" s="44"/>
      <c r="N2837" s="82"/>
      <c r="O2837" s="44"/>
      <c r="P2837" s="44"/>
      <c r="Q2837" s="44">
        <f>+O2827*P2827*4</f>
        <v>8</v>
      </c>
      <c r="R2837" s="84">
        <f>+Q2837/R2821</f>
        <v>1.26984126984127</v>
      </c>
      <c r="S2837" s="47"/>
      <c r="T2837" s="47"/>
    </row>
    <row r="2838" s="27" customFormat="1" ht="18" customHeight="1" spans="1:21">
      <c r="A2838" s="34"/>
      <c r="B2838" s="48">
        <v>5</v>
      </c>
      <c r="C2838" s="48"/>
      <c r="D2838" s="88" t="s">
        <v>433</v>
      </c>
      <c r="E2838" s="72" t="str">
        <f>+VLOOKUP(D2838,'材料表 '!C:F,2,0)</f>
        <v>kg</v>
      </c>
      <c r="F2838" s="77">
        <f t="shared" si="446"/>
        <v>0.842428412698413</v>
      </c>
      <c r="G2838" s="89">
        <f>+VLOOKUP(D2838,'材料表 '!C:F,4,0)</f>
        <v>0.03</v>
      </c>
      <c r="H2838" s="74">
        <f t="shared" si="447"/>
        <v>0.867701265079365</v>
      </c>
      <c r="I2838" s="74">
        <f>+VLOOKUP(D2838,'材料表 '!C:F,3,0)</f>
        <v>26.1150442477876</v>
      </c>
      <c r="J2838" s="95">
        <f t="shared" si="445"/>
        <v>22.6600569314089</v>
      </c>
      <c r="K2838" s="92">
        <f ca="1">H2838*K2820</f>
        <v>591.90363275566</v>
      </c>
      <c r="L2838" s="92" t="s">
        <v>476</v>
      </c>
      <c r="M2838" s="44"/>
      <c r="N2838" s="82"/>
      <c r="O2838" s="44"/>
      <c r="P2838" s="44"/>
      <c r="Q2838" s="44">
        <f>15*8*(O2821*2+P2821*2)/500</f>
        <v>2.544</v>
      </c>
      <c r="R2838" s="84">
        <f>+Q2838/R2821</f>
        <v>0.403809523809524</v>
      </c>
      <c r="S2838" s="47"/>
      <c r="T2838" s="47"/>
    </row>
    <row r="2839" s="27" customFormat="1" ht="18" customHeight="1" spans="1:21">
      <c r="A2839" s="34"/>
      <c r="B2839" s="48">
        <v>6</v>
      </c>
      <c r="C2839" s="48"/>
      <c r="D2839" s="88" t="s">
        <v>427</v>
      </c>
      <c r="E2839" s="72" t="str">
        <f>+VLOOKUP(D2839,'材料表 '!C:F,2,0)</f>
        <v>kg</v>
      </c>
      <c r="F2839" s="77">
        <f t="shared" si="446"/>
        <v>0</v>
      </c>
      <c r="G2839" s="89">
        <f>+VLOOKUP(D2839,'材料表 '!C:F,4,0)</f>
        <v>0.03</v>
      </c>
      <c r="H2839" s="74">
        <f t="shared" si="447"/>
        <v>0</v>
      </c>
      <c r="I2839" s="74">
        <f>+VLOOKUP(D2839,'材料表 '!C:F,3,0)</f>
        <v>25.8495575221239</v>
      </c>
      <c r="J2839" s="95">
        <f t="shared" si="445"/>
        <v>0</v>
      </c>
      <c r="K2839" s="92">
        <f ca="1">H2839*K2820</f>
        <v>0</v>
      </c>
      <c r="L2839" s="69" t="s">
        <v>427</v>
      </c>
      <c r="M2839" s="70" t="s">
        <v>1007</v>
      </c>
      <c r="N2839" s="34">
        <v>3.111</v>
      </c>
      <c r="O2839" s="34">
        <f>P2821</f>
        <v>3.5</v>
      </c>
      <c r="P2839" s="34">
        <v>0</v>
      </c>
      <c r="Q2839" s="44">
        <f t="shared" ref="Q2839:Q2847" si="448">+P2839*O2839*N2839</f>
        <v>0</v>
      </c>
      <c r="R2839" s="71">
        <f>+Q2839/R2821</f>
        <v>0</v>
      </c>
      <c r="S2839" s="47"/>
      <c r="T2839" s="47"/>
    </row>
    <row r="2840" s="27" customFormat="1" ht="18" customHeight="1" spans="1:21">
      <c r="A2840" s="34"/>
      <c r="B2840" s="48">
        <v>7</v>
      </c>
      <c r="C2840" s="48"/>
      <c r="D2840" s="88"/>
      <c r="E2840" s="72"/>
      <c r="F2840" s="77">
        <f t="shared" ref="F2835:F2844" si="449">+SUMIF($L$2821:$L$2859,D2840,$R$2821:$R$2859)</f>
        <v>0</v>
      </c>
      <c r="G2840" s="89"/>
      <c r="H2840" s="74"/>
      <c r="I2840" s="74"/>
      <c r="J2840" s="95"/>
      <c r="K2840" s="92">
        <f ca="1">H2840*K2820</f>
        <v>0</v>
      </c>
      <c r="L2840" s="69" t="s">
        <v>429</v>
      </c>
      <c r="M2840" s="70" t="s">
        <v>1037</v>
      </c>
      <c r="N2840" s="34">
        <v>3.063</v>
      </c>
      <c r="O2840" s="100">
        <f>O2839/0.3*0.1</f>
        <v>1.16666666666667</v>
      </c>
      <c r="P2840" s="34">
        <v>0</v>
      </c>
      <c r="Q2840" s="44">
        <f t="shared" si="448"/>
        <v>0</v>
      </c>
      <c r="R2840" s="71">
        <f>+Q2840/R2821</f>
        <v>0</v>
      </c>
      <c r="S2840" s="47"/>
      <c r="T2840" s="47"/>
    </row>
    <row r="2841" s="27" customFormat="1" ht="18" customHeight="1" spans="1:21">
      <c r="A2841" s="34"/>
      <c r="B2841" s="48">
        <v>8</v>
      </c>
      <c r="C2841" s="48"/>
      <c r="D2841" s="88"/>
      <c r="E2841" s="72"/>
      <c r="F2841" s="77">
        <f t="shared" si="449"/>
        <v>0</v>
      </c>
      <c r="G2841" s="89"/>
      <c r="H2841" s="74"/>
      <c r="I2841" s="74"/>
      <c r="J2841" s="95"/>
      <c r="K2841" s="92">
        <f ca="1">H2841*K2820</f>
        <v>0</v>
      </c>
      <c r="L2841" s="69" t="s">
        <v>447</v>
      </c>
      <c r="M2841" s="70" t="s">
        <v>1038</v>
      </c>
      <c r="N2841" s="34">
        <f>1.041+0.104</f>
        <v>1.145</v>
      </c>
      <c r="O2841" s="34">
        <f>O2839</f>
        <v>3.5</v>
      </c>
      <c r="P2841" s="34">
        <v>0</v>
      </c>
      <c r="Q2841" s="44">
        <f t="shared" si="448"/>
        <v>0</v>
      </c>
      <c r="R2841" s="71">
        <f>+Q2841/R2821</f>
        <v>0</v>
      </c>
      <c r="S2841" s="47">
        <v>0.172</v>
      </c>
      <c r="T2841" s="47">
        <f>O2841*P2841*S2841</f>
        <v>0</v>
      </c>
      <c r="U2841" s="76">
        <f>T2841/R2821</f>
        <v>0</v>
      </c>
    </row>
    <row r="2842" s="27" customFormat="1" ht="18" customHeight="1" spans="1:21">
      <c r="A2842" s="34"/>
      <c r="B2842" s="48">
        <v>9</v>
      </c>
      <c r="C2842" s="48"/>
      <c r="D2842" s="88" t="s">
        <v>476</v>
      </c>
      <c r="E2842" s="72" t="str">
        <f>+VLOOKUP(D2842,'材料表 '!C:F,2,0)</f>
        <v>支</v>
      </c>
      <c r="F2842" s="77">
        <f t="shared" si="449"/>
        <v>0.403809523809524</v>
      </c>
      <c r="G2842" s="89">
        <f>+VLOOKUP(D2842,'材料表 '!C:F,4,0)</f>
        <v>0.15</v>
      </c>
      <c r="H2842" s="74">
        <f t="shared" ref="H2842:H2847" si="450">F2842*(G2842+1)</f>
        <v>0.464380952380953</v>
      </c>
      <c r="I2842" s="74">
        <f>+VLOOKUP(D2842,'材料表 '!C:F,3,0)</f>
        <v>11.5044247787611</v>
      </c>
      <c r="J2842" s="95">
        <f t="shared" ref="J2842:J2847" si="451">H2842*I2842</f>
        <v>5.34243573535611</v>
      </c>
      <c r="K2842" s="92">
        <f ca="1">H2842*K2820</f>
        <v>316.7781168</v>
      </c>
      <c r="L2842" s="69" t="s">
        <v>429</v>
      </c>
      <c r="M2842" s="70" t="s">
        <v>1010</v>
      </c>
      <c r="N2842" s="102">
        <f>2.9</f>
        <v>2.9</v>
      </c>
      <c r="O2842" s="34">
        <v>0.2</v>
      </c>
      <c r="P2842" s="34">
        <v>0</v>
      </c>
      <c r="Q2842" s="44">
        <f t="shared" si="448"/>
        <v>0</v>
      </c>
      <c r="R2842" s="71">
        <f>+Q2842/R2821</f>
        <v>0</v>
      </c>
      <c r="S2842" s="47"/>
      <c r="T2842" s="47"/>
    </row>
    <row r="2843" s="27" customFormat="1" ht="18" customHeight="1" spans="1:21">
      <c r="A2843" s="34"/>
      <c r="B2843" s="48">
        <v>10</v>
      </c>
      <c r="C2843" s="48"/>
      <c r="D2843" s="88" t="s">
        <v>474</v>
      </c>
      <c r="E2843" s="72" t="str">
        <f>+VLOOKUP(D2843,'材料表 '!C:F,2,0)</f>
        <v>套</v>
      </c>
      <c r="F2843" s="77">
        <f t="shared" si="449"/>
        <v>1.26984126984127</v>
      </c>
      <c r="G2843" s="89">
        <f>+VLOOKUP(D2843,'材料表 '!C:F,4,0)</f>
        <v>0</v>
      </c>
      <c r="H2843" s="74">
        <f t="shared" si="450"/>
        <v>1.26984126984127</v>
      </c>
      <c r="I2843" s="74">
        <f>+VLOOKUP(D2843,'材料表 '!C:F,3,0)</f>
        <v>2.21238938053097</v>
      </c>
      <c r="J2843" s="95">
        <f t="shared" si="451"/>
        <v>2.80938334035679</v>
      </c>
      <c r="K2843" s="92">
        <f ca="1">H2843*K2820</f>
        <v>866.224</v>
      </c>
      <c r="L2843" s="69" t="s">
        <v>429</v>
      </c>
      <c r="M2843" s="70" t="s">
        <v>1040</v>
      </c>
      <c r="N2843" s="34">
        <v>0.733</v>
      </c>
      <c r="O2843" s="100">
        <f>O2840*2</f>
        <v>2.33333333333333</v>
      </c>
      <c r="P2843" s="34">
        <v>0</v>
      </c>
      <c r="Q2843" s="44">
        <f t="shared" si="448"/>
        <v>0</v>
      </c>
      <c r="R2843" s="71">
        <f>+Q2843/R2821</f>
        <v>0</v>
      </c>
      <c r="S2843" s="79"/>
      <c r="T2843" s="47"/>
    </row>
    <row r="2844" s="27" customFormat="1" ht="18" customHeight="1" spans="1:21">
      <c r="A2844" s="34"/>
      <c r="B2844" s="48">
        <v>11</v>
      </c>
      <c r="C2844" s="48"/>
      <c r="D2844" s="88" t="s">
        <v>472</v>
      </c>
      <c r="E2844" s="72" t="str">
        <f>+VLOOKUP(D2844,'材料表 '!C:F,2,0)</f>
        <v>套</v>
      </c>
      <c r="F2844" s="77">
        <f t="shared" si="449"/>
        <v>0.634920634920635</v>
      </c>
      <c r="G2844" s="89">
        <f>+VLOOKUP(D2844,'材料表 '!C:F,4,0)</f>
        <v>0</v>
      </c>
      <c r="H2844" s="74">
        <f t="shared" si="450"/>
        <v>0.634920634920635</v>
      </c>
      <c r="I2844" s="74">
        <f>+VLOOKUP(D2844,'材料表 '!C:F,3,0)</f>
        <v>2.47787610619469</v>
      </c>
      <c r="J2844" s="95">
        <f t="shared" si="451"/>
        <v>1.5732546705998</v>
      </c>
      <c r="K2844" s="92">
        <f ca="1">H2844*K2820</f>
        <v>433.112</v>
      </c>
      <c r="L2844" s="69" t="s">
        <v>404</v>
      </c>
      <c r="M2844" s="70" t="s">
        <v>1041</v>
      </c>
      <c r="N2844" s="34">
        <v>3.727</v>
      </c>
      <c r="O2844" s="34">
        <v>0</v>
      </c>
      <c r="P2844" s="34">
        <v>1</v>
      </c>
      <c r="Q2844" s="44">
        <f t="shared" si="448"/>
        <v>0</v>
      </c>
      <c r="R2844" s="71">
        <f>+Q2844/R2821</f>
        <v>0</v>
      </c>
      <c r="S2844" s="47"/>
      <c r="T2844" s="47"/>
      <c r="U2844" s="76"/>
    </row>
    <row r="2845" s="27" customFormat="1" ht="18" customHeight="1" spans="1:21">
      <c r="A2845" s="34"/>
      <c r="B2845" s="48">
        <v>12</v>
      </c>
      <c r="C2845" s="48"/>
      <c r="D2845" s="88" t="s">
        <v>636</v>
      </c>
      <c r="E2845" s="72" t="str">
        <f>+VLOOKUP(D2845,'材料表 '!C:F,2,0)</f>
        <v>m2</v>
      </c>
      <c r="F2845" s="77">
        <v>1.03</v>
      </c>
      <c r="G2845" s="89">
        <f>+VLOOKUP(D2845,'材料表 '!C:F,4,0)</f>
        <v>0.02</v>
      </c>
      <c r="H2845" s="74">
        <f t="shared" si="450"/>
        <v>1.0506</v>
      </c>
      <c r="I2845" s="74">
        <f>+VLOOKUP(D2845,'材料表 '!C:F,3,0)</f>
        <v>279.646017699115</v>
      </c>
      <c r="J2845" s="95">
        <f t="shared" si="451"/>
        <v>293.79610619469</v>
      </c>
      <c r="K2845" s="92">
        <f ca="1">H2845*K2820</f>
        <v>716.66826084</v>
      </c>
      <c r="L2845" s="69" t="s">
        <v>429</v>
      </c>
      <c r="M2845" s="81" t="s">
        <v>1027</v>
      </c>
      <c r="N2845" s="82">
        <v>0.735</v>
      </c>
      <c r="O2845" s="34">
        <v>0</v>
      </c>
      <c r="P2845" s="34">
        <v>1</v>
      </c>
      <c r="Q2845" s="44">
        <f t="shared" si="448"/>
        <v>0</v>
      </c>
      <c r="R2845" s="71">
        <f>+Q2845/R2821</f>
        <v>0</v>
      </c>
      <c r="S2845" s="47"/>
      <c r="T2845" s="47"/>
    </row>
    <row r="2846" s="27" customFormat="1" ht="18" customHeight="1" spans="1:21">
      <c r="A2846" s="34"/>
      <c r="B2846" s="48">
        <v>13</v>
      </c>
      <c r="C2846" s="48"/>
      <c r="D2846" s="124" t="s">
        <v>500</v>
      </c>
      <c r="E2846" s="72" t="str">
        <f>+VLOOKUP(D2846,'材料表 '!C:F,2,0)</f>
        <v>kg</v>
      </c>
      <c r="F2846" s="77">
        <v>0</v>
      </c>
      <c r="G2846" s="89">
        <f>+VLOOKUP(D2846,'材料表 '!C:F,4,0)</f>
        <v>0.03</v>
      </c>
      <c r="H2846" s="74">
        <f t="shared" si="450"/>
        <v>0</v>
      </c>
      <c r="I2846" s="74">
        <f>+VLOOKUP(D2846,'材料表 '!C:F,3,0)</f>
        <v>14.1592920353982</v>
      </c>
      <c r="J2846" s="95">
        <f t="shared" si="451"/>
        <v>0</v>
      </c>
      <c r="K2846" s="92">
        <f ca="1">H2846*K2820</f>
        <v>0</v>
      </c>
      <c r="L2846" s="69" t="s">
        <v>447</v>
      </c>
      <c r="M2846" s="70" t="s">
        <v>1038</v>
      </c>
      <c r="N2846" s="83">
        <v>0.977</v>
      </c>
      <c r="O2846" s="34">
        <v>0</v>
      </c>
      <c r="P2846" s="34">
        <v>1</v>
      </c>
      <c r="Q2846" s="44">
        <f t="shared" si="448"/>
        <v>0</v>
      </c>
      <c r="R2846" s="84">
        <f>+Q2846/R2821</f>
        <v>0</v>
      </c>
      <c r="S2846" s="47">
        <v>0.185</v>
      </c>
      <c r="T2846" s="47">
        <f>O2846*P2846*S2846</f>
        <v>0</v>
      </c>
      <c r="U2846" s="27">
        <f>T2846/R2821</f>
        <v>0</v>
      </c>
    </row>
    <row r="2847" s="27" customFormat="1" ht="20" customHeight="1" spans="1:21">
      <c r="A2847" s="34"/>
      <c r="B2847" s="48">
        <v>14</v>
      </c>
      <c r="C2847" s="48"/>
      <c r="D2847" s="88" t="s">
        <v>479</v>
      </c>
      <c r="E2847" s="72" t="str">
        <f>+VLOOKUP(D2847,'材料表 '!C:F,2,0)</f>
        <v>kg</v>
      </c>
      <c r="F2847" s="77">
        <v>0</v>
      </c>
      <c r="G2847" s="89">
        <f>+VLOOKUP(D2847,'材料表 '!C:F,4,0)</f>
        <v>0.03</v>
      </c>
      <c r="H2847" s="74">
        <f t="shared" si="450"/>
        <v>0</v>
      </c>
      <c r="I2847" s="74">
        <f>+VLOOKUP(D2847,'材料表 '!C:F,3,0)</f>
        <v>14.1592920353982</v>
      </c>
      <c r="J2847" s="95">
        <f t="shared" si="451"/>
        <v>0</v>
      </c>
      <c r="K2847" s="92">
        <f ca="1">H2847*K2820</f>
        <v>0</v>
      </c>
      <c r="L2847" s="69" t="s">
        <v>429</v>
      </c>
      <c r="M2847" s="81" t="s">
        <v>1042</v>
      </c>
      <c r="N2847" s="82">
        <v>0.687</v>
      </c>
      <c r="O2847" s="44">
        <v>0</v>
      </c>
      <c r="P2847" s="34">
        <v>0</v>
      </c>
      <c r="Q2847" s="44">
        <f t="shared" si="448"/>
        <v>0</v>
      </c>
      <c r="R2847" s="84">
        <f>+Q2847/R2821</f>
        <v>0</v>
      </c>
      <c r="S2847" s="47"/>
      <c r="T2847" s="47"/>
    </row>
    <row r="2848" s="27" customFormat="1" ht="18" customHeight="1" spans="1:21">
      <c r="A2848" s="34"/>
      <c r="B2848" s="48">
        <v>15</v>
      </c>
      <c r="C2848" s="48"/>
      <c r="D2848" s="88"/>
      <c r="E2848" s="72"/>
      <c r="F2848" s="77"/>
      <c r="G2848" s="89"/>
      <c r="H2848" s="74"/>
      <c r="I2848" s="74"/>
      <c r="J2848" s="95"/>
      <c r="K2848" s="92"/>
      <c r="L2848" s="92"/>
      <c r="M2848" s="44"/>
      <c r="N2848" s="44"/>
      <c r="O2848" s="44"/>
      <c r="P2848" s="44"/>
      <c r="Q2848" s="44"/>
      <c r="R2848" s="84"/>
      <c r="S2848" s="47"/>
      <c r="T2848" s="47"/>
    </row>
    <row r="2849" s="27" customFormat="1" ht="18" customHeight="1" spans="1:20">
      <c r="A2849" s="34"/>
      <c r="B2849" s="48">
        <v>16</v>
      </c>
      <c r="C2849" s="48"/>
      <c r="D2849" s="88"/>
      <c r="E2849" s="72"/>
      <c r="F2849" s="77"/>
      <c r="G2849" s="89"/>
      <c r="H2849" s="74"/>
      <c r="I2849" s="74"/>
      <c r="J2849" s="95"/>
      <c r="K2849" s="92"/>
      <c r="L2849" s="92"/>
      <c r="M2849" s="44"/>
      <c r="N2849" s="44"/>
      <c r="O2849" s="44"/>
      <c r="P2849" s="44"/>
      <c r="Q2849" s="44"/>
      <c r="R2849" s="84"/>
      <c r="S2849" s="47"/>
      <c r="T2849" s="47"/>
    </row>
    <row r="2850" s="27" customFormat="1" ht="18" customHeight="1" spans="1:20">
      <c r="A2850" s="34"/>
      <c r="B2850" s="48">
        <v>17</v>
      </c>
      <c r="C2850" s="48"/>
      <c r="D2850" s="121"/>
      <c r="E2850" s="72"/>
      <c r="F2850" s="77"/>
      <c r="G2850" s="89"/>
      <c r="H2850" s="74"/>
      <c r="I2850" s="74"/>
      <c r="J2850" s="95"/>
      <c r="K2850" s="92"/>
      <c r="L2850" s="92"/>
      <c r="M2850" s="44"/>
      <c r="N2850" s="44"/>
      <c r="O2850" s="44"/>
      <c r="P2850" s="44"/>
      <c r="Q2850" s="101"/>
      <c r="R2850" s="84"/>
      <c r="S2850" s="47"/>
      <c r="T2850" s="47"/>
    </row>
    <row r="2851" s="27" customFormat="1" ht="18" customHeight="1" spans="1:20">
      <c r="A2851" s="34"/>
      <c r="B2851" s="48">
        <v>18</v>
      </c>
      <c r="C2851" s="48"/>
      <c r="D2851" s="88"/>
      <c r="E2851" s="72"/>
      <c r="F2851" s="77"/>
      <c r="G2851" s="89"/>
      <c r="H2851" s="74"/>
      <c r="I2851" s="74"/>
      <c r="J2851" s="95"/>
      <c r="K2851" s="92"/>
      <c r="L2851" s="92"/>
      <c r="M2851" s="44"/>
      <c r="N2851" s="44"/>
      <c r="O2851" s="44"/>
      <c r="P2851" s="44"/>
      <c r="Q2851" s="44"/>
      <c r="R2851" s="84"/>
      <c r="S2851" s="47"/>
      <c r="T2851" s="47"/>
    </row>
    <row r="2852" s="27" customFormat="1" ht="18" customHeight="1" spans="1:20">
      <c r="A2852" s="34"/>
      <c r="B2852" s="48">
        <v>19</v>
      </c>
      <c r="C2852" s="48"/>
      <c r="D2852" s="27"/>
      <c r="E2852" s="72"/>
      <c r="F2852" s="77"/>
      <c r="G2852" s="89"/>
      <c r="H2852" s="74"/>
      <c r="I2852" s="74"/>
      <c r="J2852" s="95"/>
      <c r="K2852" s="92"/>
      <c r="L2852" s="92"/>
      <c r="M2852" s="44"/>
      <c r="N2852" s="44"/>
      <c r="O2852" s="44"/>
      <c r="P2852" s="44"/>
      <c r="Q2852" s="44"/>
      <c r="R2852" s="84"/>
      <c r="S2852" s="47"/>
      <c r="T2852" s="47"/>
    </row>
    <row r="2853" s="27" customFormat="1" ht="18" customHeight="1" spans="1:20">
      <c r="A2853" s="34"/>
      <c r="B2853" s="48">
        <v>20</v>
      </c>
      <c r="C2853" s="48"/>
      <c r="D2853" s="88"/>
      <c r="E2853" s="72"/>
      <c r="F2853" s="77"/>
      <c r="G2853" s="89"/>
      <c r="H2853" s="74"/>
      <c r="I2853" s="74"/>
      <c r="J2853" s="95"/>
      <c r="K2853" s="92"/>
      <c r="L2853" s="92"/>
      <c r="M2853" s="44"/>
      <c r="N2853" s="44"/>
      <c r="O2853" s="44"/>
      <c r="P2853" s="44"/>
      <c r="Q2853" s="44"/>
      <c r="R2853" s="84"/>
      <c r="S2853" s="47"/>
      <c r="T2853" s="47"/>
    </row>
    <row r="2854" s="27" customFormat="1" ht="18" customHeight="1" spans="1:20">
      <c r="A2854" s="34"/>
      <c r="B2854" s="48">
        <v>21</v>
      </c>
      <c r="C2854" s="48"/>
      <c r="D2854" s="88"/>
      <c r="E2854" s="72"/>
      <c r="F2854" s="77"/>
      <c r="G2854" s="89"/>
      <c r="H2854" s="74"/>
      <c r="I2854" s="74"/>
      <c r="J2854" s="95"/>
      <c r="K2854" s="92"/>
      <c r="L2854" s="92"/>
      <c r="M2854" s="44"/>
      <c r="N2854" s="44"/>
      <c r="O2854" s="44"/>
      <c r="P2854" s="44"/>
      <c r="Q2854" s="44"/>
      <c r="R2854" s="84"/>
      <c r="S2854" s="47"/>
      <c r="T2854" s="47"/>
    </row>
    <row r="2855" s="27" customFormat="1" ht="18" customHeight="1" spans="1:20">
      <c r="A2855" s="34"/>
      <c r="B2855" s="48">
        <v>22</v>
      </c>
      <c r="C2855" s="48"/>
      <c r="D2855" s="27"/>
      <c r="E2855" s="72"/>
      <c r="F2855" s="77"/>
      <c r="G2855" s="72"/>
      <c r="H2855" s="74"/>
      <c r="I2855" s="74"/>
      <c r="J2855" s="95"/>
      <c r="K2855" s="92"/>
      <c r="L2855" s="92"/>
      <c r="M2855" s="44"/>
      <c r="N2855" s="44"/>
      <c r="O2855" s="44"/>
      <c r="P2855" s="44"/>
      <c r="Q2855" s="44"/>
      <c r="R2855" s="62"/>
      <c r="S2855" s="47"/>
      <c r="T2855" s="47"/>
    </row>
    <row r="2856" s="27" customFormat="1" ht="18" customHeight="1" spans="1:20">
      <c r="A2856" s="34"/>
      <c r="B2856" s="48">
        <v>23</v>
      </c>
      <c r="C2856" s="48"/>
      <c r="D2856" s="88"/>
      <c r="E2856" s="72"/>
      <c r="F2856" s="77"/>
      <c r="G2856" s="89"/>
      <c r="H2856" s="74"/>
      <c r="I2856" s="74"/>
      <c r="J2856" s="95"/>
      <c r="K2856" s="92"/>
      <c r="L2856" s="92"/>
      <c r="M2856" s="44"/>
      <c r="N2856" s="44"/>
      <c r="O2856" s="44"/>
      <c r="P2856" s="44"/>
      <c r="Q2856" s="44"/>
      <c r="R2856" s="62"/>
      <c r="S2856" s="47"/>
      <c r="T2856" s="47"/>
    </row>
    <row r="2857" s="27" customFormat="1" ht="18" customHeight="1" spans="1:20">
      <c r="A2857" s="34"/>
      <c r="B2857" s="48">
        <v>24</v>
      </c>
      <c r="C2857" s="48"/>
      <c r="D2857" s="88" t="s">
        <v>478</v>
      </c>
      <c r="E2857" s="72" t="s">
        <v>43</v>
      </c>
      <c r="F2857" s="77"/>
      <c r="G2857" s="72">
        <v>1</v>
      </c>
      <c r="H2857" s="74">
        <v>1</v>
      </c>
      <c r="I2857" s="74">
        <f>+辅材及安装费!$E$3</f>
        <v>5</v>
      </c>
      <c r="J2857" s="95">
        <f>H2857*I2857</f>
        <v>5</v>
      </c>
      <c r="K2857" s="92"/>
      <c r="L2857" s="92"/>
      <c r="M2857" s="44"/>
      <c r="N2857" s="44"/>
      <c r="O2857" s="44"/>
      <c r="P2857" s="44"/>
      <c r="Q2857" s="44"/>
      <c r="R2857" s="62"/>
      <c r="S2857" s="47"/>
      <c r="T2857" s="47"/>
    </row>
    <row r="2858" s="27" customFormat="1" ht="18" customHeight="1" spans="1:20">
      <c r="A2858" s="34"/>
      <c r="B2858" s="48">
        <v>25</v>
      </c>
      <c r="C2858" s="48"/>
      <c r="D2858" s="93" t="s">
        <v>442</v>
      </c>
      <c r="E2858" s="72"/>
      <c r="F2858" s="77"/>
      <c r="G2858" s="72"/>
      <c r="H2858" s="74"/>
      <c r="I2858" s="74"/>
      <c r="J2858" s="95">
        <f>SUM(J2834:J2857)</f>
        <v>409.242498959784</v>
      </c>
      <c r="K2858" s="92"/>
      <c r="L2858" s="94"/>
      <c r="M2858" s="27"/>
      <c r="N2858" s="83"/>
      <c r="O2858" s="83"/>
      <c r="P2858" s="83"/>
      <c r="Q2858" s="83"/>
      <c r="R2858" s="87"/>
      <c r="S2858" s="47"/>
      <c r="T2858" s="47"/>
    </row>
    <row r="2859" s="27" customFormat="1" ht="18" customHeight="1" spans="1:20">
      <c r="A2859" s="34"/>
      <c r="B2859" s="48">
        <v>1</v>
      </c>
      <c r="C2859" s="48" t="s">
        <v>443</v>
      </c>
      <c r="D2859" s="48" t="s">
        <v>444</v>
      </c>
      <c r="E2859" s="72" t="s">
        <v>43</v>
      </c>
      <c r="F2859" s="50"/>
      <c r="G2859" s="48"/>
      <c r="H2859" s="51">
        <v>1</v>
      </c>
      <c r="I2859" s="74">
        <f>+辅材及安装费!$F$3</f>
        <v>5</v>
      </c>
      <c r="J2859" s="95">
        <f>H2859*I2859</f>
        <v>5</v>
      </c>
      <c r="K2859" s="118"/>
      <c r="L2859" s="96"/>
      <c r="M2859" s="97"/>
      <c r="N2859" s="98"/>
      <c r="O2859" s="98"/>
      <c r="P2859" s="98"/>
      <c r="Q2859" s="98"/>
      <c r="R2859" s="99"/>
      <c r="S2859" s="47"/>
      <c r="T2859" s="47"/>
    </row>
    <row r="2860" s="26" customFormat="1" ht="30" customHeight="1" spans="1:20">
      <c r="A2860" s="28"/>
      <c r="B2860" s="29" t="s">
        <v>386</v>
      </c>
      <c r="C2860" s="29"/>
      <c r="D2860" s="29"/>
      <c r="E2860" s="29"/>
      <c r="F2860" s="29"/>
      <c r="G2860" s="29"/>
      <c r="H2860" s="29"/>
      <c r="I2860" s="29"/>
      <c r="J2860" s="29"/>
      <c r="K2860" s="29"/>
      <c r="L2860" s="30"/>
      <c r="M2860" s="31"/>
      <c r="N2860" s="31"/>
      <c r="O2860" s="31"/>
      <c r="P2860" s="31"/>
      <c r="Q2860" s="31"/>
      <c r="R2860" s="32"/>
      <c r="S2860" s="33"/>
      <c r="T2860" s="33"/>
    </row>
    <row r="2861" s="27" customFormat="1" ht="33.75" customHeight="1" spans="1:20">
      <c r="A2861" s="34">
        <v>17</v>
      </c>
      <c r="B2861" s="35" t="s">
        <v>1</v>
      </c>
      <c r="C2861" s="35" t="s">
        <v>387</v>
      </c>
      <c r="D2861" s="36" t="str">
        <f>+A2869</f>
        <v>吊顶：25㎜香槟色蜂窝铝板</v>
      </c>
      <c r="E2861" s="37"/>
      <c r="F2861" s="38" t="s">
        <v>119</v>
      </c>
      <c r="G2861" s="39"/>
      <c r="H2861" s="35" t="s">
        <v>388</v>
      </c>
      <c r="I2861" s="40" t="s">
        <v>389</v>
      </c>
      <c r="J2861" s="41" t="s">
        <v>37</v>
      </c>
      <c r="K2861" s="122">
        <f ca="1">VLOOKUP(A2861,'商业工程量清单 '!$A$59:$D$81,4,FALSE)</f>
        <v>447.2187</v>
      </c>
      <c r="L2861" s="43"/>
      <c r="M2861" s="44"/>
      <c r="N2861" s="44"/>
      <c r="O2861" s="44"/>
      <c r="P2861" s="45"/>
      <c r="Q2861" s="44"/>
      <c r="R2861" s="46"/>
      <c r="S2861" s="47"/>
      <c r="T2861" s="47"/>
    </row>
    <row r="2862" s="27" customFormat="1" ht="25" customHeight="1" spans="1:20">
      <c r="A2862" s="34"/>
      <c r="B2862" s="48">
        <v>1</v>
      </c>
      <c r="C2862" s="49" t="s">
        <v>390</v>
      </c>
      <c r="D2862" s="48" t="s">
        <v>391</v>
      </c>
      <c r="E2862" s="48"/>
      <c r="F2862" s="50"/>
      <c r="G2862" s="48"/>
      <c r="H2862" s="51"/>
      <c r="I2862" s="52">
        <f>J2874</f>
        <v>165</v>
      </c>
      <c r="J2862" s="53" t="s">
        <v>392</v>
      </c>
      <c r="K2862" s="54"/>
      <c r="L2862" s="55"/>
      <c r="M2862" s="56" t="s">
        <v>1070</v>
      </c>
      <c r="N2862" s="57"/>
      <c r="O2862" s="57">
        <v>1.8</v>
      </c>
      <c r="P2862" s="57">
        <v>3.5</v>
      </c>
      <c r="Q2862" s="57">
        <v>1</v>
      </c>
      <c r="R2862" s="58">
        <f>+Q2862*P2862*O2862</f>
        <v>6.3</v>
      </c>
      <c r="S2862" s="47"/>
      <c r="T2862" s="47"/>
    </row>
    <row r="2863" s="27" customFormat="1" ht="18" customHeight="1" spans="1:20">
      <c r="A2863" s="34"/>
      <c r="B2863" s="48">
        <v>2</v>
      </c>
      <c r="C2863" s="59"/>
      <c r="D2863" s="48" t="s">
        <v>394</v>
      </c>
      <c r="E2863" s="48"/>
      <c r="F2863" s="50"/>
      <c r="G2863" s="48"/>
      <c r="H2863" s="51"/>
      <c r="I2863" s="52">
        <f>J2899</f>
        <v>434.345330818191</v>
      </c>
      <c r="J2863" s="53" t="s">
        <v>392</v>
      </c>
      <c r="K2863" s="60"/>
      <c r="L2863" s="61" t="s">
        <v>119</v>
      </c>
      <c r="M2863" s="44"/>
      <c r="N2863" s="44"/>
      <c r="O2863" s="44"/>
      <c r="P2863" s="44"/>
      <c r="Q2863" s="44"/>
      <c r="R2863" s="62"/>
      <c r="S2863" s="47"/>
      <c r="T2863" s="47"/>
    </row>
    <row r="2864" s="27" customFormat="1" ht="18" customHeight="1" spans="1:20">
      <c r="A2864" s="34"/>
      <c r="B2864" s="48">
        <v>3</v>
      </c>
      <c r="C2864" s="63"/>
      <c r="D2864" s="48" t="s">
        <v>395</v>
      </c>
      <c r="E2864" s="48"/>
      <c r="F2864" s="50"/>
      <c r="G2864" s="48"/>
      <c r="H2864" s="51"/>
      <c r="I2864" s="52">
        <f>J2900</f>
        <v>5</v>
      </c>
      <c r="J2864" s="53" t="s">
        <v>392</v>
      </c>
      <c r="K2864" s="60"/>
      <c r="L2864" s="60"/>
      <c r="M2864" s="65" t="s">
        <v>396</v>
      </c>
      <c r="N2864" s="65" t="s">
        <v>397</v>
      </c>
      <c r="O2864" s="65" t="s">
        <v>398</v>
      </c>
      <c r="P2864" s="65" t="s">
        <v>399</v>
      </c>
      <c r="Q2864" s="65" t="s">
        <v>400</v>
      </c>
      <c r="R2864" s="66" t="s">
        <v>401</v>
      </c>
      <c r="S2864" s="47"/>
      <c r="T2864" s="47"/>
    </row>
    <row r="2865" s="27" customFormat="1" ht="18" customHeight="1" spans="1:20">
      <c r="A2865" s="34"/>
      <c r="B2865" s="48">
        <v>4</v>
      </c>
      <c r="C2865" s="48" t="s">
        <v>402</v>
      </c>
      <c r="D2865" s="67" t="s">
        <v>403</v>
      </c>
      <c r="E2865" s="67"/>
      <c r="F2865" s="50"/>
      <c r="G2865" s="67"/>
      <c r="H2865" s="68"/>
      <c r="I2865" s="52">
        <f>SUM(I2862:I2864)</f>
        <v>604.345330818191</v>
      </c>
      <c r="J2865" s="53" t="s">
        <v>392</v>
      </c>
      <c r="K2865" s="60"/>
      <c r="L2865" s="69" t="s">
        <v>431</v>
      </c>
      <c r="M2865" s="34" t="s">
        <v>1069</v>
      </c>
      <c r="N2865" s="34">
        <v>7.03</v>
      </c>
      <c r="O2865" s="34">
        <f>P2862</f>
        <v>3.5</v>
      </c>
      <c r="P2865" s="34">
        <v>2</v>
      </c>
      <c r="Q2865" s="44">
        <f t="shared" ref="Q2865:Q2870" si="452">+P2865*O2865*N2865</f>
        <v>49.21</v>
      </c>
      <c r="R2865" s="71">
        <f>+Q2865/R2862</f>
        <v>7.81111111111111</v>
      </c>
      <c r="S2865" s="47"/>
      <c r="T2865" s="47"/>
    </row>
    <row r="2866" s="27" customFormat="1" ht="28" customHeight="1" spans="1:20">
      <c r="A2866" s="34"/>
      <c r="B2866" s="48">
        <v>5</v>
      </c>
      <c r="C2866" s="72" t="s">
        <v>406</v>
      </c>
      <c r="D2866" s="48" t="s">
        <v>407</v>
      </c>
      <c r="E2866" s="48"/>
      <c r="F2866" s="50"/>
      <c r="G2866" s="48"/>
      <c r="H2866" s="73">
        <f>+'材料表 '!$E$178</f>
        <v>0</v>
      </c>
      <c r="I2866" s="52">
        <f>H2866*I2865</f>
        <v>0</v>
      </c>
      <c r="J2866" s="53" t="s">
        <v>392</v>
      </c>
      <c r="K2866" s="60"/>
      <c r="L2866" s="69" t="s">
        <v>431</v>
      </c>
      <c r="M2866" s="34" t="s">
        <v>1069</v>
      </c>
      <c r="N2866" s="34">
        <v>3.77</v>
      </c>
      <c r="O2866" s="34">
        <f>+O2862</f>
        <v>1.8</v>
      </c>
      <c r="P2866" s="34">
        <v>2</v>
      </c>
      <c r="Q2866" s="44">
        <f t="shared" si="452"/>
        <v>13.572</v>
      </c>
      <c r="R2866" s="71">
        <f>+Q2866/R2862</f>
        <v>2.15428571428571</v>
      </c>
      <c r="S2866" s="47"/>
      <c r="T2866" s="47"/>
    </row>
    <row r="2867" s="27" customFormat="1" ht="18" customHeight="1" spans="1:20">
      <c r="A2867" s="34"/>
      <c r="B2867" s="48">
        <v>6</v>
      </c>
      <c r="C2867" s="48" t="s">
        <v>409</v>
      </c>
      <c r="D2867" s="48" t="s">
        <v>410</v>
      </c>
      <c r="E2867" s="48"/>
      <c r="F2867" s="50"/>
      <c r="G2867" s="48"/>
      <c r="H2867" s="73">
        <f>+'材料表 '!$E$179</f>
        <v>0</v>
      </c>
      <c r="I2867" s="52">
        <f>H2867*I2865</f>
        <v>0</v>
      </c>
      <c r="J2867" s="53" t="s">
        <v>392</v>
      </c>
      <c r="K2867" s="60"/>
      <c r="L2867" s="69" t="s">
        <v>431</v>
      </c>
      <c r="M2867" s="34" t="s">
        <v>1069</v>
      </c>
      <c r="N2867" s="34">
        <v>7.03</v>
      </c>
      <c r="O2867" s="34">
        <f>O2862</f>
        <v>1.8</v>
      </c>
      <c r="P2867" s="34">
        <f>0.6*5</f>
        <v>3</v>
      </c>
      <c r="Q2867" s="44">
        <f t="shared" si="452"/>
        <v>37.962</v>
      </c>
      <c r="R2867" s="71">
        <f>+Q2867/R2862</f>
        <v>6.02571428571429</v>
      </c>
      <c r="S2867" s="47"/>
      <c r="T2867" s="47"/>
    </row>
    <row r="2868" s="27" customFormat="1" ht="18" customHeight="1" spans="1:20">
      <c r="A2868" s="34"/>
      <c r="B2868" s="48">
        <v>7</v>
      </c>
      <c r="C2868" s="48" t="s">
        <v>412</v>
      </c>
      <c r="D2868" s="72" t="s">
        <v>413</v>
      </c>
      <c r="E2868" s="72"/>
      <c r="F2868" s="77"/>
      <c r="G2868" s="72"/>
      <c r="H2868" s="73">
        <f>+'材料表 '!$E$180</f>
        <v>0.09</v>
      </c>
      <c r="I2868" s="52">
        <f>(I2865+I2866+I2867)*H2868</f>
        <v>54.3910797736372</v>
      </c>
      <c r="J2868" s="53" t="s">
        <v>392</v>
      </c>
      <c r="K2868" s="60"/>
      <c r="L2868" s="69" t="s">
        <v>463</v>
      </c>
      <c r="M2868" s="34" t="s">
        <v>490</v>
      </c>
      <c r="N2868" s="34">
        <f>0.3*0.2*7.85*10</f>
        <v>4.71</v>
      </c>
      <c r="O2868" s="34">
        <v>1</v>
      </c>
      <c r="P2868" s="34">
        <v>2</v>
      </c>
      <c r="Q2868" s="44">
        <f t="shared" si="452"/>
        <v>9.42</v>
      </c>
      <c r="R2868" s="71">
        <f>+Q2868/R2862</f>
        <v>1.4952380952381</v>
      </c>
      <c r="S2868" s="47"/>
      <c r="T2868" s="47"/>
    </row>
    <row r="2869" s="27" customFormat="1" ht="18" customHeight="1" spans="1:20">
      <c r="A2869" s="34" t="s">
        <v>1072</v>
      </c>
      <c r="B2869" s="48">
        <v>8</v>
      </c>
      <c r="C2869" s="48" t="s">
        <v>363</v>
      </c>
      <c r="D2869" s="106" t="s">
        <v>415</v>
      </c>
      <c r="E2869" s="107"/>
      <c r="F2869" s="108"/>
      <c r="G2869" s="107"/>
      <c r="H2869" s="51"/>
      <c r="I2869" s="74">
        <f>SUM(I2865:I2868)</f>
        <v>658.736410591828</v>
      </c>
      <c r="J2869" s="53" t="s">
        <v>416</v>
      </c>
      <c r="K2869" s="60"/>
      <c r="L2869" s="69" t="s">
        <v>465</v>
      </c>
      <c r="M2869" s="34" t="s">
        <v>1066</v>
      </c>
      <c r="N2869" s="100">
        <f>0.36*5*7.85</f>
        <v>14.13</v>
      </c>
      <c r="O2869" s="34">
        <f>110/1000</f>
        <v>0.11</v>
      </c>
      <c r="P2869" s="44">
        <f>+P2868*O2868*2</f>
        <v>4</v>
      </c>
      <c r="Q2869" s="44">
        <f t="shared" si="452"/>
        <v>6.2172</v>
      </c>
      <c r="R2869" s="84">
        <f>+Q2869/R2862</f>
        <v>0.986857142857143</v>
      </c>
      <c r="S2869" s="79"/>
      <c r="T2869" s="47"/>
    </row>
    <row r="2870" s="27" customFormat="1" ht="18" customHeight="1" spans="1:20">
      <c r="A2870" s="34"/>
      <c r="B2870" s="109" t="s">
        <v>418</v>
      </c>
      <c r="C2870" s="110"/>
      <c r="D2870" s="110"/>
      <c r="E2870" s="110"/>
      <c r="F2870" s="110"/>
      <c r="G2870" s="110"/>
      <c r="H2870" s="110"/>
      <c r="I2870" s="110"/>
      <c r="J2870" s="110"/>
      <c r="K2870" s="80"/>
      <c r="L2870" s="69" t="s">
        <v>433</v>
      </c>
      <c r="M2870" s="44"/>
      <c r="N2870" s="82">
        <f>0.056*3*2.71+0.0675*3*2.71</f>
        <v>1.004055</v>
      </c>
      <c r="O2870" s="44">
        <f>O2862</f>
        <v>1.8</v>
      </c>
      <c r="P2870" s="44">
        <v>1</v>
      </c>
      <c r="Q2870" s="44">
        <f t="shared" si="452"/>
        <v>1.807299</v>
      </c>
      <c r="R2870" s="84">
        <f>+Q2870/R2862</f>
        <v>0.286872857142857</v>
      </c>
      <c r="S2870" s="47">
        <f>0.16*P2870*O2870/R2862</f>
        <v>0.0457142857142857</v>
      </c>
      <c r="T2870" s="47"/>
    </row>
    <row r="2871" s="27" customFormat="1" ht="18" customHeight="1" spans="1:20">
      <c r="A2871" s="34"/>
      <c r="B2871" s="48">
        <v>1</v>
      </c>
      <c r="C2871" s="48" t="s">
        <v>391</v>
      </c>
      <c r="D2871" s="48" t="s">
        <v>396</v>
      </c>
      <c r="E2871" s="48" t="s">
        <v>37</v>
      </c>
      <c r="F2871" s="50"/>
      <c r="G2871" s="48"/>
      <c r="H2871" s="51" t="s">
        <v>399</v>
      </c>
      <c r="I2871" s="51" t="s">
        <v>420</v>
      </c>
      <c r="J2871" s="95" t="s">
        <v>421</v>
      </c>
      <c r="K2871" s="92"/>
      <c r="L2871" s="69" t="s">
        <v>433</v>
      </c>
      <c r="M2871" s="44"/>
      <c r="N2871" s="82">
        <f>0.056*3*2.71+0.0675*3*2.71</f>
        <v>1.004055</v>
      </c>
      <c r="O2871" s="44">
        <f>P2862</f>
        <v>3.5</v>
      </c>
      <c r="P2871" s="44">
        <v>1</v>
      </c>
      <c r="Q2871" s="44">
        <f>+P2871*O2871</f>
        <v>3.5</v>
      </c>
      <c r="R2871" s="84">
        <f>+Q2871/R2862</f>
        <v>0.555555555555556</v>
      </c>
      <c r="S2871" s="47"/>
      <c r="T2871" s="47"/>
    </row>
    <row r="2872" s="27" customFormat="1" ht="18" customHeight="1" spans="1:20">
      <c r="A2872" s="34"/>
      <c r="B2872" s="48">
        <v>2</v>
      </c>
      <c r="C2872" s="48"/>
      <c r="D2872" s="111" t="s">
        <v>491</v>
      </c>
      <c r="E2872" s="49" t="s">
        <v>423</v>
      </c>
      <c r="F2872" s="112"/>
      <c r="G2872" s="111"/>
      <c r="H2872" s="113">
        <v>1</v>
      </c>
      <c r="I2872" s="113">
        <f>+辅材及安装费!$G$3</f>
        <v>165</v>
      </c>
      <c r="J2872" s="114">
        <f t="shared" ref="J2872:J2880" si="453">H2872*I2872</f>
        <v>165</v>
      </c>
      <c r="K2872" s="92"/>
      <c r="L2872" s="69" t="s">
        <v>461</v>
      </c>
      <c r="M2872" s="34" t="s">
        <v>462</v>
      </c>
      <c r="N2872" s="34">
        <v>3.77</v>
      </c>
      <c r="O2872" s="34">
        <v>0.65</v>
      </c>
      <c r="P2872" s="34">
        <v>0</v>
      </c>
      <c r="Q2872" s="44">
        <f>+P2872*O2872*N2872</f>
        <v>0</v>
      </c>
      <c r="R2872" s="84">
        <f>+Q2872/R2862</f>
        <v>0</v>
      </c>
      <c r="S2872" s="47"/>
      <c r="T2872" s="47"/>
    </row>
    <row r="2873" s="27" customFormat="1" ht="18" customHeight="1" spans="1:20">
      <c r="A2873" s="34"/>
      <c r="B2873" s="48">
        <v>3</v>
      </c>
      <c r="C2873" s="48"/>
      <c r="D2873" s="115"/>
      <c r="E2873" s="63"/>
      <c r="F2873" s="116"/>
      <c r="G2873" s="115"/>
      <c r="H2873" s="117"/>
      <c r="I2873" s="117"/>
      <c r="J2873" s="118"/>
      <c r="K2873" s="92"/>
      <c r="L2873" s="90" t="s">
        <v>472</v>
      </c>
      <c r="M2873" s="44"/>
      <c r="N2873" s="82"/>
      <c r="O2873" s="44"/>
      <c r="P2873" s="44">
        <f>+P2869</f>
        <v>4</v>
      </c>
      <c r="Q2873" s="44">
        <f>+P2873</f>
        <v>4</v>
      </c>
      <c r="R2873" s="84">
        <f>+Q2873/R2862</f>
        <v>0.634920634920635</v>
      </c>
      <c r="S2873" s="47"/>
      <c r="T2873" s="47"/>
    </row>
    <row r="2874" s="27" customFormat="1" ht="18" customHeight="1" spans="1:20">
      <c r="A2874" s="34"/>
      <c r="B2874" s="48">
        <v>4</v>
      </c>
      <c r="C2874" s="48"/>
      <c r="D2874" s="85" t="s">
        <v>426</v>
      </c>
      <c r="E2874" s="48" t="s">
        <v>392</v>
      </c>
      <c r="F2874" s="50"/>
      <c r="G2874" s="48"/>
      <c r="H2874" s="86"/>
      <c r="I2874" s="86"/>
      <c r="J2874" s="95">
        <f>SUM(J2872:J2872)</f>
        <v>165</v>
      </c>
      <c r="K2874" s="92"/>
      <c r="L2874" s="90" t="s">
        <v>473</v>
      </c>
      <c r="M2874" s="44"/>
      <c r="N2874" s="82"/>
      <c r="O2874" s="44"/>
      <c r="P2874" s="44"/>
      <c r="Q2874" s="44">
        <v>0</v>
      </c>
      <c r="R2874" s="84">
        <f>+Q2874/R2862</f>
        <v>0</v>
      </c>
      <c r="S2874" s="47"/>
      <c r="T2874" s="47"/>
    </row>
    <row r="2875" s="27" customFormat="1" ht="24" customHeight="1" spans="1:20">
      <c r="A2875" s="34"/>
      <c r="B2875" s="48">
        <v>1</v>
      </c>
      <c r="C2875" s="48" t="s">
        <v>394</v>
      </c>
      <c r="D2875" s="88" t="s">
        <v>431</v>
      </c>
      <c r="E2875" s="72" t="str">
        <f>+VLOOKUP(D2875,'材料表 '!C:F,2,0)</f>
        <v>kg</v>
      </c>
      <c r="F2875" s="77">
        <f>+SUMIF($L$2862:$L$2900,D2875,$R$2862:$R$2900)</f>
        <v>15.9911111111111</v>
      </c>
      <c r="G2875" s="89">
        <f>+VLOOKUP(D2875,'材料表 '!C:F,4,0)</f>
        <v>0.03</v>
      </c>
      <c r="H2875" s="74">
        <f t="shared" ref="H2875:H2880" si="454">F2875*(G2875+1)</f>
        <v>16.4708444444444</v>
      </c>
      <c r="I2875" s="74">
        <f>+VLOOKUP(D2875,'材料表 '!C:F,3,0)</f>
        <v>3.80530973451327</v>
      </c>
      <c r="J2875" s="95">
        <f t="shared" si="453"/>
        <v>62.6766647000982</v>
      </c>
      <c r="K2875" s="92">
        <f ca="1">H2875*K2861</f>
        <v>7366.06964034665</v>
      </c>
      <c r="L2875" s="90"/>
      <c r="M2875" s="44"/>
      <c r="N2875" s="82"/>
      <c r="O2875" s="44"/>
      <c r="P2875" s="44"/>
      <c r="Q2875" s="44"/>
      <c r="R2875" s="84"/>
      <c r="S2875" s="47"/>
      <c r="T2875" s="47"/>
    </row>
    <row r="2876" s="27" customFormat="1" ht="18" customHeight="1" spans="1:20">
      <c r="A2876" s="34"/>
      <c r="B2876" s="48">
        <v>2</v>
      </c>
      <c r="C2876" s="48"/>
      <c r="D2876" s="88" t="s">
        <v>461</v>
      </c>
      <c r="E2876" s="72" t="str">
        <f>+VLOOKUP(D2876,'材料表 '!C:F,2,0)</f>
        <v>kg</v>
      </c>
      <c r="F2876" s="77">
        <f t="shared" ref="F2876:F2885" si="455">+SUMIF($L$2862:$L$2900,D2876,$R$2862:$R$2900)</f>
        <v>0</v>
      </c>
      <c r="G2876" s="89">
        <f>+VLOOKUP(D2876,'材料表 '!C:F,4,0)</f>
        <v>0.03</v>
      </c>
      <c r="H2876" s="74">
        <f t="shared" si="454"/>
        <v>0</v>
      </c>
      <c r="I2876" s="74">
        <f>+VLOOKUP(D2876,'材料表 '!C:F,3,0)</f>
        <v>3.53982300884956</v>
      </c>
      <c r="J2876" s="95">
        <f t="shared" si="453"/>
        <v>0</v>
      </c>
      <c r="K2876" s="92">
        <f ca="1">H2876*K2861</f>
        <v>0</v>
      </c>
      <c r="L2876" s="90"/>
      <c r="M2876" s="44"/>
      <c r="N2876" s="82"/>
      <c r="O2876" s="44"/>
      <c r="P2876" s="44"/>
      <c r="Q2876" s="44"/>
      <c r="R2876" s="84"/>
      <c r="S2876" s="47"/>
      <c r="T2876" s="47"/>
    </row>
    <row r="2877" s="27" customFormat="1" ht="18" customHeight="1" spans="1:20">
      <c r="A2877" s="34"/>
      <c r="B2877" s="48">
        <v>3</v>
      </c>
      <c r="C2877" s="48"/>
      <c r="D2877" s="88" t="s">
        <v>465</v>
      </c>
      <c r="E2877" s="72" t="str">
        <f>+VLOOKUP(D2877,'材料表 '!C:F,2,0)</f>
        <v>kg</v>
      </c>
      <c r="F2877" s="77">
        <f t="shared" si="455"/>
        <v>0.986857142857143</v>
      </c>
      <c r="G2877" s="89">
        <f>+VLOOKUP(D2877,'材料表 '!C:F,4,0)</f>
        <v>0.03</v>
      </c>
      <c r="H2877" s="74">
        <f t="shared" si="454"/>
        <v>1.01646285714286</v>
      </c>
      <c r="I2877" s="74">
        <f>+VLOOKUP(D2877,'材料表 '!C:F,3,0)</f>
        <v>6.01769911504425</v>
      </c>
      <c r="J2877" s="95">
        <f t="shared" si="453"/>
        <v>6.11676763590392</v>
      </c>
      <c r="K2877" s="92">
        <f ca="1">H2877*K2861</f>
        <v>454.581197569716</v>
      </c>
      <c r="L2877" s="90"/>
      <c r="M2877" s="44"/>
      <c r="N2877" s="82"/>
      <c r="O2877" s="44"/>
      <c r="P2877" s="44"/>
      <c r="Q2877" s="44"/>
      <c r="R2877" s="84"/>
      <c r="S2877" s="47"/>
      <c r="T2877" s="47"/>
    </row>
    <row r="2878" s="27" customFormat="1" ht="18" customHeight="1" spans="1:20">
      <c r="A2878" s="34"/>
      <c r="B2878" s="48">
        <v>4</v>
      </c>
      <c r="C2878" s="48"/>
      <c r="D2878" s="88" t="s">
        <v>463</v>
      </c>
      <c r="E2878" s="72" t="str">
        <f>+VLOOKUP(D2878,'材料表 '!C:F,2,0)</f>
        <v>kg</v>
      </c>
      <c r="F2878" s="77">
        <f t="shared" si="455"/>
        <v>1.4952380952381</v>
      </c>
      <c r="G2878" s="89">
        <f>+VLOOKUP(D2878,'材料表 '!C:F,4,0)</f>
        <v>0.03</v>
      </c>
      <c r="H2878" s="74">
        <f t="shared" si="454"/>
        <v>1.54009523809524</v>
      </c>
      <c r="I2878" s="74">
        <f>+VLOOKUP(D2878,'材料表 '!C:F,3,0)</f>
        <v>6.01769911504425</v>
      </c>
      <c r="J2878" s="95">
        <f t="shared" si="453"/>
        <v>9.26782975136961</v>
      </c>
      <c r="K2878" s="92">
        <f ca="1">H2878*K2861</f>
        <v>688.759390257144</v>
      </c>
      <c r="L2878" s="90" t="s">
        <v>474</v>
      </c>
      <c r="M2878" s="44"/>
      <c r="N2878" s="82"/>
      <c r="O2878" s="44"/>
      <c r="P2878" s="44"/>
      <c r="Q2878" s="44">
        <f>+O2868*P2868*4</f>
        <v>8</v>
      </c>
      <c r="R2878" s="84">
        <f>+Q2878/R2862</f>
        <v>1.26984126984127</v>
      </c>
      <c r="S2878" s="47"/>
      <c r="T2878" s="47"/>
    </row>
    <row r="2879" s="27" customFormat="1" ht="18" customHeight="1" spans="1:20">
      <c r="A2879" s="34"/>
      <c r="B2879" s="48">
        <v>5</v>
      </c>
      <c r="C2879" s="48"/>
      <c r="D2879" s="88" t="s">
        <v>433</v>
      </c>
      <c r="E2879" s="72" t="str">
        <f>+VLOOKUP(D2879,'材料表 '!C:F,2,0)</f>
        <v>kg</v>
      </c>
      <c r="F2879" s="77">
        <f t="shared" si="455"/>
        <v>0.842428412698413</v>
      </c>
      <c r="G2879" s="89">
        <f>+VLOOKUP(D2879,'材料表 '!C:F,4,0)</f>
        <v>0.03</v>
      </c>
      <c r="H2879" s="74">
        <f t="shared" si="454"/>
        <v>0.867701265079365</v>
      </c>
      <c r="I2879" s="74">
        <f>+VLOOKUP(D2879,'材料表 '!C:F,3,0)</f>
        <v>26.1150442477876</v>
      </c>
      <c r="J2879" s="95">
        <f t="shared" si="453"/>
        <v>22.6600569314089</v>
      </c>
      <c r="K2879" s="92">
        <f ca="1">H2879*K2861</f>
        <v>388.052231757149</v>
      </c>
      <c r="L2879" s="92" t="s">
        <v>476</v>
      </c>
      <c r="M2879" s="44"/>
      <c r="N2879" s="82"/>
      <c r="O2879" s="44"/>
      <c r="P2879" s="44"/>
      <c r="Q2879" s="44">
        <f>15*8*(O2862*2+P2862*2)/500</f>
        <v>2.544</v>
      </c>
      <c r="R2879" s="84">
        <f>+Q2879/R2862</f>
        <v>0.403809523809524</v>
      </c>
      <c r="S2879" s="47"/>
      <c r="T2879" s="47"/>
    </row>
    <row r="2880" s="27" customFormat="1" ht="18" customHeight="1" spans="1:20">
      <c r="A2880" s="34"/>
      <c r="B2880" s="48">
        <v>6</v>
      </c>
      <c r="C2880" s="48"/>
      <c r="D2880" s="88" t="s">
        <v>427</v>
      </c>
      <c r="E2880" s="72" t="str">
        <f>+VLOOKUP(D2880,'材料表 '!C:F,2,0)</f>
        <v>kg</v>
      </c>
      <c r="F2880" s="77">
        <f t="shared" si="455"/>
        <v>0</v>
      </c>
      <c r="G2880" s="89">
        <f>+VLOOKUP(D2880,'材料表 '!C:F,4,0)</f>
        <v>0.03</v>
      </c>
      <c r="H2880" s="74">
        <f t="shared" si="454"/>
        <v>0</v>
      </c>
      <c r="I2880" s="74">
        <f>+VLOOKUP(D2880,'材料表 '!C:F,3,0)</f>
        <v>25.8495575221239</v>
      </c>
      <c r="J2880" s="95">
        <f t="shared" si="453"/>
        <v>0</v>
      </c>
      <c r="K2880" s="92">
        <f ca="1">H2880*K2861</f>
        <v>0</v>
      </c>
      <c r="L2880" s="69" t="s">
        <v>427</v>
      </c>
      <c r="M2880" s="70" t="s">
        <v>1007</v>
      </c>
      <c r="N2880" s="34">
        <v>3.111</v>
      </c>
      <c r="O2880" s="34">
        <f>P2862</f>
        <v>3.5</v>
      </c>
      <c r="P2880" s="34">
        <v>0</v>
      </c>
      <c r="Q2880" s="44">
        <f t="shared" ref="Q2880:Q2888" si="456">+P2880*O2880*N2880</f>
        <v>0</v>
      </c>
      <c r="R2880" s="71">
        <f>+Q2880/R2862</f>
        <v>0</v>
      </c>
      <c r="S2880" s="47"/>
      <c r="T2880" s="47"/>
    </row>
    <row r="2881" s="27" customFormat="1" ht="18" customHeight="1" spans="1:21">
      <c r="A2881" s="34"/>
      <c r="B2881" s="48">
        <v>7</v>
      </c>
      <c r="C2881" s="48"/>
      <c r="D2881" s="88"/>
      <c r="E2881" s="72"/>
      <c r="F2881" s="77">
        <f t="shared" si="455"/>
        <v>0</v>
      </c>
      <c r="G2881" s="89"/>
      <c r="H2881" s="74"/>
      <c r="I2881" s="74"/>
      <c r="J2881" s="95"/>
      <c r="K2881" s="92">
        <f ca="1">H2881*K2861</f>
        <v>0</v>
      </c>
      <c r="L2881" s="69" t="s">
        <v>429</v>
      </c>
      <c r="M2881" s="70" t="s">
        <v>1037</v>
      </c>
      <c r="N2881" s="34">
        <v>3.063</v>
      </c>
      <c r="O2881" s="100">
        <f>O2880/0.3*0.1</f>
        <v>1.16666666666667</v>
      </c>
      <c r="P2881" s="34">
        <v>0</v>
      </c>
      <c r="Q2881" s="44">
        <f t="shared" si="456"/>
        <v>0</v>
      </c>
      <c r="R2881" s="71">
        <f>+Q2881/R2862</f>
        <v>0</v>
      </c>
      <c r="S2881" s="47"/>
      <c r="T2881" s="47"/>
    </row>
    <row r="2882" s="27" customFormat="1" ht="18" customHeight="1" spans="1:21">
      <c r="A2882" s="34"/>
      <c r="B2882" s="48">
        <v>8</v>
      </c>
      <c r="C2882" s="48"/>
      <c r="D2882" s="88"/>
      <c r="E2882" s="72"/>
      <c r="F2882" s="77">
        <f t="shared" si="455"/>
        <v>0</v>
      </c>
      <c r="G2882" s="89"/>
      <c r="H2882" s="74"/>
      <c r="I2882" s="74"/>
      <c r="J2882" s="95"/>
      <c r="K2882" s="92">
        <f ca="1">H2882*K2861</f>
        <v>0</v>
      </c>
      <c r="L2882" s="69" t="s">
        <v>447</v>
      </c>
      <c r="M2882" s="70" t="s">
        <v>1038</v>
      </c>
      <c r="N2882" s="34">
        <f>1.041+0.104</f>
        <v>1.145</v>
      </c>
      <c r="O2882" s="34">
        <f>O2880</f>
        <v>3.5</v>
      </c>
      <c r="P2882" s="34">
        <v>0</v>
      </c>
      <c r="Q2882" s="44">
        <f t="shared" si="456"/>
        <v>0</v>
      </c>
      <c r="R2882" s="71">
        <f>+Q2882/R2862</f>
        <v>0</v>
      </c>
      <c r="S2882" s="47">
        <v>0.172</v>
      </c>
      <c r="T2882" s="47">
        <f>O2882*P2882*S2882</f>
        <v>0</v>
      </c>
      <c r="U2882" s="76">
        <f>T2882/R2862</f>
        <v>0</v>
      </c>
    </row>
    <row r="2883" s="27" customFormat="1" ht="18" customHeight="1" spans="1:21">
      <c r="A2883" s="34"/>
      <c r="B2883" s="48">
        <v>9</v>
      </c>
      <c r="C2883" s="48"/>
      <c r="D2883" s="88" t="s">
        <v>476</v>
      </c>
      <c r="E2883" s="72" t="str">
        <f>+VLOOKUP(D2883,'材料表 '!C:F,2,0)</f>
        <v>支</v>
      </c>
      <c r="F2883" s="77">
        <f t="shared" si="455"/>
        <v>0.403809523809524</v>
      </c>
      <c r="G2883" s="89">
        <f>+VLOOKUP(D2883,'材料表 '!C:F,4,0)</f>
        <v>0.15</v>
      </c>
      <c r="H2883" s="74">
        <f t="shared" ref="H2883:H2888" si="457">F2883*(G2883+1)</f>
        <v>0.464380952380953</v>
      </c>
      <c r="I2883" s="74">
        <f>+VLOOKUP(D2883,'材料表 '!C:F,3,0)</f>
        <v>11.5044247787611</v>
      </c>
      <c r="J2883" s="95">
        <f t="shared" ref="J2883:J2888" si="458">H2883*I2883</f>
        <v>5.34243573535611</v>
      </c>
      <c r="K2883" s="92">
        <f ca="1">H2883*K2861</f>
        <v>207.679845828572</v>
      </c>
      <c r="L2883" s="69" t="s">
        <v>429</v>
      </c>
      <c r="M2883" s="70" t="s">
        <v>1010</v>
      </c>
      <c r="N2883" s="102">
        <f>2.9</f>
        <v>2.9</v>
      </c>
      <c r="O2883" s="34">
        <v>0.2</v>
      </c>
      <c r="P2883" s="34">
        <v>0</v>
      </c>
      <c r="Q2883" s="44">
        <f t="shared" si="456"/>
        <v>0</v>
      </c>
      <c r="R2883" s="71">
        <f>+Q2883/R2862</f>
        <v>0</v>
      </c>
      <c r="S2883" s="47"/>
      <c r="T2883" s="47"/>
    </row>
    <row r="2884" s="27" customFormat="1" ht="18" customHeight="1" spans="1:21">
      <c r="A2884" s="34"/>
      <c r="B2884" s="48">
        <v>10</v>
      </c>
      <c r="C2884" s="48"/>
      <c r="D2884" s="88" t="s">
        <v>474</v>
      </c>
      <c r="E2884" s="72" t="str">
        <f>+VLOOKUP(D2884,'材料表 '!C:F,2,0)</f>
        <v>套</v>
      </c>
      <c r="F2884" s="77">
        <f t="shared" si="455"/>
        <v>1.26984126984127</v>
      </c>
      <c r="G2884" s="89">
        <f>+VLOOKUP(D2884,'材料表 '!C:F,4,0)</f>
        <v>0</v>
      </c>
      <c r="H2884" s="74">
        <f t="shared" si="457"/>
        <v>1.26984126984127</v>
      </c>
      <c r="I2884" s="74">
        <f>+VLOOKUP(D2884,'材料表 '!C:F,3,0)</f>
        <v>2.21238938053097</v>
      </c>
      <c r="J2884" s="95">
        <f t="shared" si="458"/>
        <v>2.80938334035679</v>
      </c>
      <c r="K2884" s="92">
        <f ca="1">H2884*K2861</f>
        <v>567.896761904762</v>
      </c>
      <c r="L2884" s="69" t="s">
        <v>429</v>
      </c>
      <c r="M2884" s="70" t="s">
        <v>1040</v>
      </c>
      <c r="N2884" s="34">
        <v>0.733</v>
      </c>
      <c r="O2884" s="100">
        <f>O2881*2</f>
        <v>2.33333333333333</v>
      </c>
      <c r="P2884" s="34">
        <v>0</v>
      </c>
      <c r="Q2884" s="44">
        <f t="shared" si="456"/>
        <v>0</v>
      </c>
      <c r="R2884" s="71">
        <f>+Q2884/R2862</f>
        <v>0</v>
      </c>
      <c r="S2884" s="79"/>
      <c r="T2884" s="47"/>
    </row>
    <row r="2885" s="27" customFormat="1" ht="18" customHeight="1" spans="1:21">
      <c r="A2885" s="34"/>
      <c r="B2885" s="48">
        <v>11</v>
      </c>
      <c r="C2885" s="48"/>
      <c r="D2885" s="88" t="s">
        <v>472</v>
      </c>
      <c r="E2885" s="72" t="str">
        <f>+VLOOKUP(D2885,'材料表 '!C:F,2,0)</f>
        <v>套</v>
      </c>
      <c r="F2885" s="77">
        <f t="shared" si="455"/>
        <v>0.634920634920635</v>
      </c>
      <c r="G2885" s="89">
        <f>+VLOOKUP(D2885,'材料表 '!C:F,4,0)</f>
        <v>0</v>
      </c>
      <c r="H2885" s="74">
        <f t="shared" si="457"/>
        <v>0.634920634920635</v>
      </c>
      <c r="I2885" s="74">
        <f>+VLOOKUP(D2885,'材料表 '!C:F,3,0)</f>
        <v>2.47787610619469</v>
      </c>
      <c r="J2885" s="95">
        <f t="shared" si="458"/>
        <v>1.5732546705998</v>
      </c>
      <c r="K2885" s="92">
        <f ca="1">H2885*K2861</f>
        <v>283.948380952381</v>
      </c>
      <c r="L2885" s="69" t="s">
        <v>404</v>
      </c>
      <c r="M2885" s="70" t="s">
        <v>1041</v>
      </c>
      <c r="N2885" s="34">
        <v>3.727</v>
      </c>
      <c r="O2885" s="34">
        <v>0</v>
      </c>
      <c r="P2885" s="34">
        <v>1</v>
      </c>
      <c r="Q2885" s="44">
        <f t="shared" si="456"/>
        <v>0</v>
      </c>
      <c r="R2885" s="71">
        <f>+Q2885/R2862</f>
        <v>0</v>
      </c>
      <c r="S2885" s="47"/>
      <c r="T2885" s="47"/>
      <c r="U2885" s="76"/>
    </row>
    <row r="2886" s="27" customFormat="1" ht="18" customHeight="1" spans="1:21">
      <c r="A2886" s="34"/>
      <c r="B2886" s="48">
        <v>12</v>
      </c>
      <c r="C2886" s="48"/>
      <c r="D2886" s="88" t="s">
        <v>634</v>
      </c>
      <c r="E2886" s="72" t="str">
        <f>+VLOOKUP(D2886,'材料表 '!C:F,2,0)</f>
        <v>m2</v>
      </c>
      <c r="F2886" s="77">
        <v>1.03</v>
      </c>
      <c r="G2886" s="89">
        <f>+VLOOKUP(D2886,'材料表 '!C:F,4,0)</f>
        <v>0.02</v>
      </c>
      <c r="H2886" s="74">
        <f t="shared" si="457"/>
        <v>1.0506</v>
      </c>
      <c r="I2886" s="74">
        <f>+VLOOKUP(D2886,'材料表 '!C:F,3,0)</f>
        <v>303.53982300885</v>
      </c>
      <c r="J2886" s="95">
        <f t="shared" si="458"/>
        <v>318.898938053098</v>
      </c>
      <c r="K2886" s="92">
        <f ca="1">H2886*K2861</f>
        <v>469.84796622</v>
      </c>
      <c r="L2886" s="69" t="s">
        <v>429</v>
      </c>
      <c r="M2886" s="81" t="s">
        <v>1027</v>
      </c>
      <c r="N2886" s="82">
        <v>0.735</v>
      </c>
      <c r="O2886" s="34">
        <v>0</v>
      </c>
      <c r="P2886" s="34">
        <v>1</v>
      </c>
      <c r="Q2886" s="44">
        <f t="shared" si="456"/>
        <v>0</v>
      </c>
      <c r="R2886" s="71">
        <f>+Q2886/R2862</f>
        <v>0</v>
      </c>
      <c r="S2886" s="47"/>
      <c r="T2886" s="47"/>
    </row>
    <row r="2887" s="27" customFormat="1" ht="18" customHeight="1" spans="1:21">
      <c r="A2887" s="34"/>
      <c r="B2887" s="48">
        <v>13</v>
      </c>
      <c r="C2887" s="48"/>
      <c r="D2887" s="124" t="s">
        <v>500</v>
      </c>
      <c r="E2887" s="72" t="str">
        <f>+VLOOKUP(D2887,'材料表 '!C:F,2,0)</f>
        <v>kg</v>
      </c>
      <c r="F2887" s="77">
        <v>0</v>
      </c>
      <c r="G2887" s="89">
        <f>+VLOOKUP(D2887,'材料表 '!C:F,4,0)</f>
        <v>0.03</v>
      </c>
      <c r="H2887" s="74">
        <f t="shared" si="457"/>
        <v>0</v>
      </c>
      <c r="I2887" s="74">
        <f>+VLOOKUP(D2887,'材料表 '!C:F,3,0)</f>
        <v>14.1592920353982</v>
      </c>
      <c r="J2887" s="95">
        <f t="shared" si="458"/>
        <v>0</v>
      </c>
      <c r="K2887" s="92">
        <f ca="1">H2887*K2861</f>
        <v>0</v>
      </c>
      <c r="L2887" s="69" t="s">
        <v>447</v>
      </c>
      <c r="M2887" s="70" t="s">
        <v>1038</v>
      </c>
      <c r="N2887" s="83">
        <v>0.977</v>
      </c>
      <c r="O2887" s="34">
        <v>0</v>
      </c>
      <c r="P2887" s="34">
        <v>1</v>
      </c>
      <c r="Q2887" s="44">
        <f t="shared" si="456"/>
        <v>0</v>
      </c>
      <c r="R2887" s="84">
        <f>+Q2887/R2862</f>
        <v>0</v>
      </c>
      <c r="S2887" s="47">
        <v>0.185</v>
      </c>
      <c r="T2887" s="47">
        <f>O2887*P2887*S2887</f>
        <v>0</v>
      </c>
      <c r="U2887" s="27">
        <f>T2887/R2862</f>
        <v>0</v>
      </c>
    </row>
    <row r="2888" s="27" customFormat="1" ht="20" customHeight="1" spans="1:21">
      <c r="A2888" s="34"/>
      <c r="B2888" s="48">
        <v>14</v>
      </c>
      <c r="C2888" s="48"/>
      <c r="D2888" s="88" t="s">
        <v>479</v>
      </c>
      <c r="E2888" s="72" t="str">
        <f>+VLOOKUP(D2888,'材料表 '!C:F,2,0)</f>
        <v>kg</v>
      </c>
      <c r="F2888" s="77">
        <v>0</v>
      </c>
      <c r="G2888" s="89">
        <f>+VLOOKUP(D2888,'材料表 '!C:F,4,0)</f>
        <v>0.03</v>
      </c>
      <c r="H2888" s="74">
        <f t="shared" si="457"/>
        <v>0</v>
      </c>
      <c r="I2888" s="74">
        <f>+VLOOKUP(D2888,'材料表 '!C:F,3,0)</f>
        <v>14.1592920353982</v>
      </c>
      <c r="J2888" s="95">
        <f t="shared" si="458"/>
        <v>0</v>
      </c>
      <c r="K2888" s="92">
        <f ca="1">H2888*K2861</f>
        <v>0</v>
      </c>
      <c r="L2888" s="69" t="s">
        <v>429</v>
      </c>
      <c r="M2888" s="81" t="s">
        <v>1042</v>
      </c>
      <c r="N2888" s="82">
        <v>0.687</v>
      </c>
      <c r="O2888" s="44">
        <v>0</v>
      </c>
      <c r="P2888" s="34">
        <v>0</v>
      </c>
      <c r="Q2888" s="44">
        <f t="shared" si="456"/>
        <v>0</v>
      </c>
      <c r="R2888" s="84">
        <f>+Q2888/R2862</f>
        <v>0</v>
      </c>
      <c r="S2888" s="47"/>
      <c r="T2888" s="47"/>
    </row>
    <row r="2889" s="27" customFormat="1" ht="18" customHeight="1" spans="1:21">
      <c r="A2889" s="34"/>
      <c r="B2889" s="48">
        <v>15</v>
      </c>
      <c r="C2889" s="48"/>
      <c r="D2889" s="88"/>
      <c r="E2889" s="72"/>
      <c r="F2889" s="77"/>
      <c r="G2889" s="89"/>
      <c r="H2889" s="74"/>
      <c r="I2889" s="74"/>
      <c r="J2889" s="95"/>
      <c r="K2889" s="92"/>
      <c r="L2889" s="92"/>
      <c r="M2889" s="44"/>
      <c r="N2889" s="44"/>
      <c r="O2889" s="44"/>
      <c r="P2889" s="44"/>
      <c r="Q2889" s="44"/>
      <c r="R2889" s="84"/>
      <c r="S2889" s="47"/>
      <c r="T2889" s="47"/>
    </row>
    <row r="2890" s="27" customFormat="1" ht="18" customHeight="1" spans="1:21">
      <c r="A2890" s="34"/>
      <c r="B2890" s="48">
        <v>16</v>
      </c>
      <c r="C2890" s="48"/>
      <c r="D2890" s="88"/>
      <c r="E2890" s="72"/>
      <c r="F2890" s="77"/>
      <c r="G2890" s="89"/>
      <c r="H2890" s="74"/>
      <c r="I2890" s="74"/>
      <c r="J2890" s="95"/>
      <c r="K2890" s="92"/>
      <c r="L2890" s="92"/>
      <c r="M2890" s="44"/>
      <c r="N2890" s="44"/>
      <c r="O2890" s="44"/>
      <c r="P2890" s="44"/>
      <c r="Q2890" s="44"/>
      <c r="R2890" s="84"/>
      <c r="S2890" s="47"/>
      <c r="T2890" s="47"/>
    </row>
    <row r="2891" s="27" customFormat="1" ht="18" customHeight="1" spans="1:21">
      <c r="A2891" s="34"/>
      <c r="B2891" s="48">
        <v>17</v>
      </c>
      <c r="C2891" s="48"/>
      <c r="D2891" s="121"/>
      <c r="E2891" s="72"/>
      <c r="F2891" s="77"/>
      <c r="G2891" s="89"/>
      <c r="H2891" s="74"/>
      <c r="I2891" s="74"/>
      <c r="J2891" s="95"/>
      <c r="K2891" s="92"/>
      <c r="L2891" s="92"/>
      <c r="M2891" s="44"/>
      <c r="N2891" s="44"/>
      <c r="O2891" s="44"/>
      <c r="P2891" s="44"/>
      <c r="Q2891" s="101"/>
      <c r="R2891" s="84"/>
      <c r="S2891" s="47"/>
      <c r="T2891" s="47"/>
    </row>
    <row r="2892" s="27" customFormat="1" ht="18" customHeight="1" spans="1:21">
      <c r="A2892" s="34"/>
      <c r="B2892" s="48">
        <v>18</v>
      </c>
      <c r="C2892" s="48"/>
      <c r="D2892" s="88"/>
      <c r="E2892" s="72"/>
      <c r="F2892" s="77"/>
      <c r="G2892" s="89"/>
      <c r="H2892" s="74"/>
      <c r="I2892" s="74"/>
      <c r="J2892" s="95"/>
      <c r="K2892" s="92"/>
      <c r="L2892" s="92"/>
      <c r="M2892" s="44"/>
      <c r="N2892" s="44"/>
      <c r="O2892" s="44"/>
      <c r="P2892" s="44"/>
      <c r="Q2892" s="44"/>
      <c r="R2892" s="84"/>
      <c r="S2892" s="47"/>
      <c r="T2892" s="47"/>
    </row>
    <row r="2893" s="27" customFormat="1" ht="18" customHeight="1" spans="1:21">
      <c r="A2893" s="34"/>
      <c r="B2893" s="48">
        <v>19</v>
      </c>
      <c r="C2893" s="48"/>
      <c r="D2893" s="27"/>
      <c r="E2893" s="72"/>
      <c r="F2893" s="77"/>
      <c r="G2893" s="89"/>
      <c r="H2893" s="74"/>
      <c r="I2893" s="74"/>
      <c r="J2893" s="95"/>
      <c r="K2893" s="92"/>
      <c r="L2893" s="92"/>
      <c r="M2893" s="44"/>
      <c r="N2893" s="44"/>
      <c r="O2893" s="44"/>
      <c r="P2893" s="44"/>
      <c r="Q2893" s="44"/>
      <c r="R2893" s="84"/>
      <c r="S2893" s="47"/>
      <c r="T2893" s="47"/>
    </row>
    <row r="2894" s="27" customFormat="1" ht="18" customHeight="1" spans="1:21">
      <c r="A2894" s="34"/>
      <c r="B2894" s="48">
        <v>20</v>
      </c>
      <c r="C2894" s="48"/>
      <c r="D2894" s="88"/>
      <c r="E2894" s="72"/>
      <c r="F2894" s="77"/>
      <c r="G2894" s="89"/>
      <c r="H2894" s="74"/>
      <c r="I2894" s="74"/>
      <c r="J2894" s="95"/>
      <c r="K2894" s="92"/>
      <c r="L2894" s="92"/>
      <c r="M2894" s="44"/>
      <c r="N2894" s="44"/>
      <c r="O2894" s="44"/>
      <c r="P2894" s="44"/>
      <c r="Q2894" s="44"/>
      <c r="R2894" s="84"/>
      <c r="S2894" s="47"/>
      <c r="T2894" s="47"/>
    </row>
    <row r="2895" s="27" customFormat="1" ht="18" customHeight="1" spans="1:21">
      <c r="A2895" s="34"/>
      <c r="B2895" s="48">
        <v>21</v>
      </c>
      <c r="C2895" s="48"/>
      <c r="D2895" s="88"/>
      <c r="E2895" s="72"/>
      <c r="F2895" s="77"/>
      <c r="G2895" s="89"/>
      <c r="H2895" s="74"/>
      <c r="I2895" s="74"/>
      <c r="J2895" s="95"/>
      <c r="K2895" s="92"/>
      <c r="L2895" s="92"/>
      <c r="M2895" s="44"/>
      <c r="N2895" s="44"/>
      <c r="O2895" s="44"/>
      <c r="P2895" s="44"/>
      <c r="Q2895" s="44"/>
      <c r="R2895" s="84"/>
      <c r="S2895" s="47"/>
      <c r="T2895" s="47"/>
    </row>
    <row r="2896" s="27" customFormat="1" ht="18" customHeight="1" spans="1:21">
      <c r="A2896" s="34"/>
      <c r="B2896" s="48">
        <v>22</v>
      </c>
      <c r="C2896" s="48"/>
      <c r="D2896" s="27"/>
      <c r="E2896" s="72"/>
      <c r="F2896" s="77"/>
      <c r="G2896" s="72"/>
      <c r="H2896" s="74"/>
      <c r="I2896" s="74"/>
      <c r="J2896" s="95"/>
      <c r="K2896" s="92"/>
      <c r="L2896" s="92"/>
      <c r="M2896" s="44"/>
      <c r="N2896" s="44"/>
      <c r="O2896" s="44"/>
      <c r="P2896" s="44"/>
      <c r="Q2896" s="44"/>
      <c r="R2896" s="62"/>
      <c r="S2896" s="47"/>
      <c r="T2896" s="47"/>
    </row>
    <row r="2897" s="27" customFormat="1" ht="18" customHeight="1" spans="1:20">
      <c r="A2897" s="34"/>
      <c r="B2897" s="48">
        <v>23</v>
      </c>
      <c r="C2897" s="48"/>
      <c r="D2897" s="88"/>
      <c r="E2897" s="72"/>
      <c r="F2897" s="77"/>
      <c r="G2897" s="89"/>
      <c r="H2897" s="74"/>
      <c r="I2897" s="74"/>
      <c r="J2897" s="95"/>
      <c r="K2897" s="92"/>
      <c r="L2897" s="92"/>
      <c r="M2897" s="44"/>
      <c r="N2897" s="44"/>
      <c r="O2897" s="44"/>
      <c r="P2897" s="44"/>
      <c r="Q2897" s="44"/>
      <c r="R2897" s="62"/>
      <c r="S2897" s="47"/>
      <c r="T2897" s="47"/>
    </row>
    <row r="2898" s="27" customFormat="1" ht="18" customHeight="1" spans="1:20">
      <c r="A2898" s="34"/>
      <c r="B2898" s="48">
        <v>24</v>
      </c>
      <c r="C2898" s="48"/>
      <c r="D2898" s="88" t="s">
        <v>478</v>
      </c>
      <c r="E2898" s="72" t="s">
        <v>43</v>
      </c>
      <c r="F2898" s="77"/>
      <c r="G2898" s="72">
        <v>1</v>
      </c>
      <c r="H2898" s="74">
        <v>1</v>
      </c>
      <c r="I2898" s="74">
        <f>+辅材及安装费!$E$3</f>
        <v>5</v>
      </c>
      <c r="J2898" s="95">
        <f>H2898*I2898</f>
        <v>5</v>
      </c>
      <c r="K2898" s="92"/>
      <c r="L2898" s="92"/>
      <c r="M2898" s="44"/>
      <c r="N2898" s="44"/>
      <c r="O2898" s="44"/>
      <c r="P2898" s="44"/>
      <c r="Q2898" s="44"/>
      <c r="R2898" s="62"/>
      <c r="S2898" s="47"/>
      <c r="T2898" s="47"/>
    </row>
    <row r="2899" s="27" customFormat="1" ht="18" customHeight="1" spans="1:20">
      <c r="A2899" s="34"/>
      <c r="B2899" s="48">
        <v>25</v>
      </c>
      <c r="C2899" s="48"/>
      <c r="D2899" s="93" t="s">
        <v>442</v>
      </c>
      <c r="E2899" s="72"/>
      <c r="F2899" s="77"/>
      <c r="G2899" s="72"/>
      <c r="H2899" s="74"/>
      <c r="I2899" s="74"/>
      <c r="J2899" s="95">
        <f>SUM(J2875:J2898)</f>
        <v>434.345330818191</v>
      </c>
      <c r="K2899" s="92"/>
      <c r="L2899" s="94"/>
      <c r="M2899" s="27"/>
      <c r="N2899" s="83"/>
      <c r="O2899" s="83"/>
      <c r="P2899" s="83"/>
      <c r="Q2899" s="83"/>
      <c r="R2899" s="87"/>
      <c r="S2899" s="47"/>
      <c r="T2899" s="47"/>
    </row>
    <row r="2900" s="27" customFormat="1" ht="18" customHeight="1" spans="1:20">
      <c r="A2900" s="34"/>
      <c r="B2900" s="48">
        <v>1</v>
      </c>
      <c r="C2900" s="48" t="s">
        <v>443</v>
      </c>
      <c r="D2900" s="48" t="s">
        <v>444</v>
      </c>
      <c r="E2900" s="72" t="s">
        <v>43</v>
      </c>
      <c r="F2900" s="50"/>
      <c r="G2900" s="48"/>
      <c r="H2900" s="51">
        <v>1</v>
      </c>
      <c r="I2900" s="74">
        <f>+辅材及安装费!$F$3</f>
        <v>5</v>
      </c>
      <c r="J2900" s="95">
        <f>H2900*I2900</f>
        <v>5</v>
      </c>
      <c r="K2900" s="118"/>
      <c r="L2900" s="96"/>
      <c r="M2900" s="97"/>
      <c r="N2900" s="98"/>
      <c r="O2900" s="98"/>
      <c r="P2900" s="98"/>
      <c r="Q2900" s="98"/>
      <c r="R2900" s="99"/>
      <c r="S2900" s="47"/>
      <c r="T2900" s="47"/>
    </row>
    <row r="2901" s="26" customFormat="1" ht="30" customHeight="1" spans="1:20">
      <c r="A2901" s="28"/>
      <c r="B2901" s="29" t="s">
        <v>386</v>
      </c>
      <c r="C2901" s="29"/>
      <c r="D2901" s="29"/>
      <c r="E2901" s="29"/>
      <c r="F2901" s="29"/>
      <c r="G2901" s="29"/>
      <c r="H2901" s="29"/>
      <c r="I2901" s="29"/>
      <c r="J2901" s="29"/>
      <c r="K2901" s="29"/>
      <c r="L2901" s="30"/>
      <c r="M2901" s="31"/>
      <c r="N2901" s="31"/>
      <c r="O2901" s="31"/>
      <c r="P2901" s="31"/>
      <c r="Q2901" s="31"/>
      <c r="R2901" s="32"/>
      <c r="S2901" s="33"/>
      <c r="T2901" s="33"/>
    </row>
    <row r="2902" s="27" customFormat="1" ht="33.75" customHeight="1" spans="1:20">
      <c r="A2902" s="34">
        <v>18</v>
      </c>
      <c r="B2902" s="35" t="s">
        <v>1</v>
      </c>
      <c r="C2902" s="35" t="s">
        <v>387</v>
      </c>
      <c r="D2902" s="36" t="str">
        <f>+A2910</f>
        <v>雨蓬上表面：银灰色铝板</v>
      </c>
      <c r="E2902" s="37"/>
      <c r="F2902" s="38" t="s">
        <v>119</v>
      </c>
      <c r="G2902" s="39"/>
      <c r="H2902" s="35" t="s">
        <v>388</v>
      </c>
      <c r="I2902" s="40" t="s">
        <v>389</v>
      </c>
      <c r="J2902" s="41" t="s">
        <v>37</v>
      </c>
      <c r="K2902" s="122">
        <f ca="1">VLOOKUP(A2902,'商业工程量清单 '!$A$59:$D$81,4,FALSE)</f>
        <v>987.434064</v>
      </c>
      <c r="L2902" s="43"/>
      <c r="M2902" s="44"/>
      <c r="N2902" s="44"/>
      <c r="O2902" s="44"/>
      <c r="P2902" s="45"/>
      <c r="Q2902" s="44"/>
      <c r="R2902" s="46"/>
      <c r="S2902" s="47"/>
      <c r="T2902" s="47"/>
    </row>
    <row r="2903" s="27" customFormat="1" ht="25" customHeight="1" spans="1:20">
      <c r="A2903" s="34"/>
      <c r="B2903" s="48">
        <v>1</v>
      </c>
      <c r="C2903" s="49" t="s">
        <v>390</v>
      </c>
      <c r="D2903" s="48" t="s">
        <v>391</v>
      </c>
      <c r="E2903" s="48"/>
      <c r="F2903" s="50"/>
      <c r="G2903" s="48"/>
      <c r="H2903" s="51"/>
      <c r="I2903" s="52">
        <f>J2915</f>
        <v>165</v>
      </c>
      <c r="J2903" s="53" t="s">
        <v>392</v>
      </c>
      <c r="K2903" s="54"/>
      <c r="L2903" s="55"/>
      <c r="M2903" s="56" t="s">
        <v>1070</v>
      </c>
      <c r="N2903" s="57"/>
      <c r="O2903" s="57">
        <v>1.2</v>
      </c>
      <c r="P2903" s="57">
        <v>2.956</v>
      </c>
      <c r="Q2903" s="57">
        <v>1</v>
      </c>
      <c r="R2903" s="58">
        <f>+Q2903*P2903*O2903</f>
        <v>3.5472</v>
      </c>
      <c r="S2903" s="47"/>
      <c r="T2903" s="47"/>
    </row>
    <row r="2904" s="27" customFormat="1" ht="18" customHeight="1" spans="1:20">
      <c r="A2904" s="34"/>
      <c r="B2904" s="48">
        <v>2</v>
      </c>
      <c r="C2904" s="59"/>
      <c r="D2904" s="48" t="s">
        <v>394</v>
      </c>
      <c r="E2904" s="48"/>
      <c r="F2904" s="50"/>
      <c r="G2904" s="48"/>
      <c r="H2904" s="51"/>
      <c r="I2904" s="52">
        <f>J2940</f>
        <v>432.903247225232</v>
      </c>
      <c r="J2904" s="53" t="s">
        <v>392</v>
      </c>
      <c r="K2904" s="60"/>
      <c r="L2904" s="61" t="s">
        <v>119</v>
      </c>
      <c r="M2904" s="44"/>
      <c r="N2904" s="44"/>
      <c r="O2904" s="44"/>
      <c r="P2904" s="44"/>
      <c r="Q2904" s="44"/>
      <c r="R2904" s="62"/>
      <c r="S2904" s="47"/>
      <c r="T2904" s="47"/>
    </row>
    <row r="2905" s="27" customFormat="1" ht="18" customHeight="1" spans="1:20">
      <c r="A2905" s="34"/>
      <c r="B2905" s="48">
        <v>3</v>
      </c>
      <c r="C2905" s="63"/>
      <c r="D2905" s="48" t="s">
        <v>395</v>
      </c>
      <c r="E2905" s="48"/>
      <c r="F2905" s="50"/>
      <c r="G2905" s="48"/>
      <c r="H2905" s="51"/>
      <c r="I2905" s="52">
        <f>J2941</f>
        <v>5</v>
      </c>
      <c r="J2905" s="53" t="s">
        <v>392</v>
      </c>
      <c r="K2905" s="60"/>
      <c r="L2905" s="60"/>
      <c r="M2905" s="65" t="s">
        <v>396</v>
      </c>
      <c r="N2905" s="65" t="s">
        <v>397</v>
      </c>
      <c r="O2905" s="65" t="s">
        <v>398</v>
      </c>
      <c r="P2905" s="65" t="s">
        <v>399</v>
      </c>
      <c r="Q2905" s="65" t="s">
        <v>400</v>
      </c>
      <c r="R2905" s="66" t="s">
        <v>401</v>
      </c>
      <c r="S2905" s="47"/>
      <c r="T2905" s="47"/>
    </row>
    <row r="2906" s="27" customFormat="1" ht="18" customHeight="1" spans="1:20">
      <c r="A2906" s="34"/>
      <c r="B2906" s="48">
        <v>4</v>
      </c>
      <c r="C2906" s="48" t="s">
        <v>402</v>
      </c>
      <c r="D2906" s="67" t="s">
        <v>403</v>
      </c>
      <c r="E2906" s="67"/>
      <c r="F2906" s="50"/>
      <c r="G2906" s="67"/>
      <c r="H2906" s="68"/>
      <c r="I2906" s="52">
        <f>SUM(I2903:I2905)</f>
        <v>602.903247225232</v>
      </c>
      <c r="J2906" s="53" t="s">
        <v>392</v>
      </c>
      <c r="K2906" s="60"/>
      <c r="L2906" s="69" t="s">
        <v>431</v>
      </c>
      <c r="M2906" s="34" t="s">
        <v>1069</v>
      </c>
      <c r="N2906" s="34">
        <v>7.03</v>
      </c>
      <c r="O2906" s="34">
        <f>P2903</f>
        <v>2.956</v>
      </c>
      <c r="P2906" s="34">
        <v>1</v>
      </c>
      <c r="Q2906" s="44">
        <f t="shared" ref="Q2906:Q2911" si="459">+P2906*O2906*N2906</f>
        <v>20.78068</v>
      </c>
      <c r="R2906" s="71">
        <f>+Q2906/R2903</f>
        <v>5.85833333333333</v>
      </c>
      <c r="S2906" s="47"/>
      <c r="T2906" s="47"/>
    </row>
    <row r="2907" s="27" customFormat="1" ht="28" customHeight="1" spans="1:20">
      <c r="A2907" s="34"/>
      <c r="B2907" s="48">
        <v>5</v>
      </c>
      <c r="C2907" s="72" t="s">
        <v>406</v>
      </c>
      <c r="D2907" s="48" t="s">
        <v>407</v>
      </c>
      <c r="E2907" s="48"/>
      <c r="F2907" s="50"/>
      <c r="G2907" s="48"/>
      <c r="H2907" s="73">
        <f>+'材料表 '!$E$178</f>
        <v>0</v>
      </c>
      <c r="I2907" s="52">
        <f>H2907*I2906</f>
        <v>0</v>
      </c>
      <c r="J2907" s="53" t="s">
        <v>392</v>
      </c>
      <c r="K2907" s="60"/>
      <c r="L2907" s="69" t="s">
        <v>431</v>
      </c>
      <c r="M2907" s="34" t="s">
        <v>1069</v>
      </c>
      <c r="N2907" s="34">
        <v>3.77</v>
      </c>
      <c r="O2907" s="34">
        <f>+O2903</f>
        <v>1.2</v>
      </c>
      <c r="P2907" s="34">
        <v>2</v>
      </c>
      <c r="Q2907" s="44">
        <f t="shared" si="459"/>
        <v>9.048</v>
      </c>
      <c r="R2907" s="71">
        <f>+Q2907/R2903</f>
        <v>2.55074424898511</v>
      </c>
      <c r="S2907" s="47"/>
      <c r="T2907" s="47"/>
    </row>
    <row r="2908" s="27" customFormat="1" ht="18" customHeight="1" spans="1:20">
      <c r="A2908" s="34"/>
      <c r="B2908" s="48">
        <v>6</v>
      </c>
      <c r="C2908" s="48" t="s">
        <v>409</v>
      </c>
      <c r="D2908" s="48" t="s">
        <v>410</v>
      </c>
      <c r="E2908" s="48"/>
      <c r="F2908" s="50"/>
      <c r="G2908" s="48"/>
      <c r="H2908" s="73">
        <f>+'材料表 '!$E$179</f>
        <v>0</v>
      </c>
      <c r="I2908" s="52">
        <f>H2908*I2906</f>
        <v>0</v>
      </c>
      <c r="J2908" s="53" t="s">
        <v>392</v>
      </c>
      <c r="K2908" s="60"/>
      <c r="L2908" s="69" t="s">
        <v>431</v>
      </c>
      <c r="M2908" s="34" t="s">
        <v>1069</v>
      </c>
      <c r="N2908" s="34">
        <v>7.03</v>
      </c>
      <c r="O2908" s="34">
        <f>O2903</f>
        <v>1.2</v>
      </c>
      <c r="P2908" s="34">
        <f>0.6*5</f>
        <v>3</v>
      </c>
      <c r="Q2908" s="44">
        <f t="shared" si="459"/>
        <v>25.308</v>
      </c>
      <c r="R2908" s="71">
        <f>+Q2908/R2903</f>
        <v>7.13464140730717</v>
      </c>
      <c r="S2908" s="47"/>
      <c r="T2908" s="47"/>
    </row>
    <row r="2909" s="27" customFormat="1" ht="18" customHeight="1" spans="1:20">
      <c r="A2909" s="34"/>
      <c r="B2909" s="48">
        <v>7</v>
      </c>
      <c r="C2909" s="48" t="s">
        <v>412</v>
      </c>
      <c r="D2909" s="72" t="s">
        <v>413</v>
      </c>
      <c r="E2909" s="72"/>
      <c r="F2909" s="77"/>
      <c r="G2909" s="72"/>
      <c r="H2909" s="73">
        <f>+'材料表 '!$E$180</f>
        <v>0.09</v>
      </c>
      <c r="I2909" s="52">
        <f>(I2906+I2907+I2908)*H2909</f>
        <v>54.2612922502709</v>
      </c>
      <c r="J2909" s="53" t="s">
        <v>392</v>
      </c>
      <c r="K2909" s="60"/>
      <c r="L2909" s="69" t="s">
        <v>463</v>
      </c>
      <c r="M2909" s="34" t="s">
        <v>490</v>
      </c>
      <c r="N2909" s="34">
        <f>0.3*0.2*7.85*10</f>
        <v>4.71</v>
      </c>
      <c r="O2909" s="34">
        <v>1</v>
      </c>
      <c r="P2909" s="34">
        <v>2</v>
      </c>
      <c r="Q2909" s="44">
        <f t="shared" si="459"/>
        <v>9.42</v>
      </c>
      <c r="R2909" s="71">
        <f>+Q2909/R2903</f>
        <v>2.65561569688769</v>
      </c>
      <c r="S2909" s="47"/>
      <c r="T2909" s="47"/>
    </row>
    <row r="2910" s="27" customFormat="1" ht="18" customHeight="1" spans="1:20">
      <c r="A2910" s="34" t="s">
        <v>334</v>
      </c>
      <c r="B2910" s="48">
        <v>8</v>
      </c>
      <c r="C2910" s="48" t="s">
        <v>363</v>
      </c>
      <c r="D2910" s="106" t="s">
        <v>415</v>
      </c>
      <c r="E2910" s="107"/>
      <c r="F2910" s="108"/>
      <c r="G2910" s="107"/>
      <c r="H2910" s="51"/>
      <c r="I2910" s="74">
        <f>SUM(I2906:I2909)</f>
        <v>657.164539475503</v>
      </c>
      <c r="J2910" s="53" t="s">
        <v>416</v>
      </c>
      <c r="K2910" s="60"/>
      <c r="L2910" s="69" t="s">
        <v>465</v>
      </c>
      <c r="M2910" s="34" t="s">
        <v>1066</v>
      </c>
      <c r="N2910" s="100">
        <f>0.36*5*7.85</f>
        <v>14.13</v>
      </c>
      <c r="O2910" s="34">
        <f>110/1000</f>
        <v>0.11</v>
      </c>
      <c r="P2910" s="44">
        <f>+P2909*O2909*2</f>
        <v>4</v>
      </c>
      <c r="Q2910" s="44">
        <f t="shared" si="459"/>
        <v>6.2172</v>
      </c>
      <c r="R2910" s="84">
        <f>+Q2910/R2903</f>
        <v>1.75270635994587</v>
      </c>
      <c r="S2910" s="79"/>
      <c r="T2910" s="47"/>
    </row>
    <row r="2911" s="27" customFormat="1" ht="18" customHeight="1" spans="1:20">
      <c r="A2911" s="34"/>
      <c r="B2911" s="109" t="s">
        <v>418</v>
      </c>
      <c r="C2911" s="110"/>
      <c r="D2911" s="110"/>
      <c r="E2911" s="110"/>
      <c r="F2911" s="110"/>
      <c r="G2911" s="110"/>
      <c r="H2911" s="110"/>
      <c r="I2911" s="110"/>
      <c r="J2911" s="110"/>
      <c r="K2911" s="80"/>
      <c r="L2911" s="69" t="s">
        <v>433</v>
      </c>
      <c r="M2911" s="44"/>
      <c r="N2911" s="82">
        <f>0.056*3*2.71+0.0675*3*2.71</f>
        <v>1.004055</v>
      </c>
      <c r="O2911" s="44">
        <f>O2903</f>
        <v>1.2</v>
      </c>
      <c r="P2911" s="44">
        <v>1</v>
      </c>
      <c r="Q2911" s="44">
        <f t="shared" si="459"/>
        <v>1.204866</v>
      </c>
      <c r="R2911" s="84">
        <f>+Q2911/R2903</f>
        <v>0.339666779431665</v>
      </c>
      <c r="S2911" s="47">
        <f>0.16*P2911*O2911/R2903</f>
        <v>0.054127198917456</v>
      </c>
      <c r="T2911" s="47"/>
    </row>
    <row r="2912" s="27" customFormat="1" ht="18" customHeight="1" spans="1:20">
      <c r="A2912" s="34"/>
      <c r="B2912" s="48">
        <v>1</v>
      </c>
      <c r="C2912" s="48" t="s">
        <v>391</v>
      </c>
      <c r="D2912" s="48" t="s">
        <v>396</v>
      </c>
      <c r="E2912" s="48" t="s">
        <v>37</v>
      </c>
      <c r="F2912" s="50"/>
      <c r="G2912" s="48"/>
      <c r="H2912" s="51" t="s">
        <v>399</v>
      </c>
      <c r="I2912" s="51" t="s">
        <v>420</v>
      </c>
      <c r="J2912" s="95" t="s">
        <v>421</v>
      </c>
      <c r="K2912" s="92"/>
      <c r="L2912" s="69" t="s">
        <v>433</v>
      </c>
      <c r="M2912" s="44"/>
      <c r="N2912" s="82">
        <f>0.056*3*2.71+0.0675*3*2.71</f>
        <v>1.004055</v>
      </c>
      <c r="O2912" s="44">
        <f>P2903</f>
        <v>2.956</v>
      </c>
      <c r="P2912" s="44">
        <v>1</v>
      </c>
      <c r="Q2912" s="44">
        <f>+P2912*O2912</f>
        <v>2.956</v>
      </c>
      <c r="R2912" s="84">
        <f>+Q2912/R2903</f>
        <v>0.833333333333333</v>
      </c>
      <c r="S2912" s="47"/>
      <c r="T2912" s="47"/>
    </row>
    <row r="2913" s="27" customFormat="1" ht="18" customHeight="1" spans="1:21">
      <c r="A2913" s="34"/>
      <c r="B2913" s="48">
        <v>2</v>
      </c>
      <c r="C2913" s="48"/>
      <c r="D2913" s="111" t="s">
        <v>491</v>
      </c>
      <c r="E2913" s="49" t="s">
        <v>423</v>
      </c>
      <c r="F2913" s="112"/>
      <c r="G2913" s="111"/>
      <c r="H2913" s="113">
        <v>1</v>
      </c>
      <c r="I2913" s="113">
        <f>+辅材及安装费!$G$3</f>
        <v>165</v>
      </c>
      <c r="J2913" s="114">
        <f t="shared" ref="J2913:J2922" si="460">H2913*I2913</f>
        <v>165</v>
      </c>
      <c r="K2913" s="92"/>
      <c r="L2913" s="69" t="s">
        <v>461</v>
      </c>
      <c r="M2913" s="34" t="s">
        <v>462</v>
      </c>
      <c r="N2913" s="34">
        <v>3.77</v>
      </c>
      <c r="O2913" s="34">
        <v>0.65</v>
      </c>
      <c r="P2913" s="34">
        <v>0</v>
      </c>
      <c r="Q2913" s="44">
        <f>+P2913*O2913*N2913</f>
        <v>0</v>
      </c>
      <c r="R2913" s="84">
        <f>+Q2913/R2903</f>
        <v>0</v>
      </c>
      <c r="S2913" s="47"/>
      <c r="T2913" s="47"/>
    </row>
    <row r="2914" s="27" customFormat="1" ht="18" customHeight="1" spans="1:21">
      <c r="A2914" s="34"/>
      <c r="B2914" s="48">
        <v>3</v>
      </c>
      <c r="C2914" s="48"/>
      <c r="D2914" s="115"/>
      <c r="E2914" s="63"/>
      <c r="F2914" s="116"/>
      <c r="G2914" s="115"/>
      <c r="H2914" s="117"/>
      <c r="I2914" s="117"/>
      <c r="J2914" s="118"/>
      <c r="K2914" s="92"/>
      <c r="L2914" s="90" t="s">
        <v>472</v>
      </c>
      <c r="M2914" s="44"/>
      <c r="N2914" s="82"/>
      <c r="O2914" s="44"/>
      <c r="P2914" s="44">
        <f>+P2910</f>
        <v>4</v>
      </c>
      <c r="Q2914" s="44">
        <f>+P2914</f>
        <v>4</v>
      </c>
      <c r="R2914" s="84">
        <f>+Q2914/R2903</f>
        <v>1.127649977447</v>
      </c>
      <c r="S2914" s="47"/>
      <c r="T2914" s="47"/>
    </row>
    <row r="2915" s="27" customFormat="1" ht="18" customHeight="1" spans="1:21">
      <c r="A2915" s="34"/>
      <c r="B2915" s="48">
        <v>4</v>
      </c>
      <c r="C2915" s="48"/>
      <c r="D2915" s="85" t="s">
        <v>426</v>
      </c>
      <c r="E2915" s="48" t="s">
        <v>392</v>
      </c>
      <c r="F2915" s="50"/>
      <c r="G2915" s="48"/>
      <c r="H2915" s="86"/>
      <c r="I2915" s="86"/>
      <c r="J2915" s="95">
        <f>SUM(J2913:J2913)</f>
        <v>165</v>
      </c>
      <c r="K2915" s="92"/>
      <c r="L2915" s="90" t="s">
        <v>473</v>
      </c>
      <c r="M2915" s="44"/>
      <c r="N2915" s="82"/>
      <c r="O2915" s="44"/>
      <c r="P2915" s="44"/>
      <c r="Q2915" s="44">
        <v>0</v>
      </c>
      <c r="R2915" s="84">
        <f>+Q2915/R2903</f>
        <v>0</v>
      </c>
      <c r="S2915" s="47"/>
      <c r="T2915" s="47"/>
    </row>
    <row r="2916" s="27" customFormat="1" ht="24" customHeight="1" spans="1:21">
      <c r="A2916" s="34"/>
      <c r="B2916" s="48">
        <v>1</v>
      </c>
      <c r="C2916" s="48" t="s">
        <v>394</v>
      </c>
      <c r="D2916" s="88" t="s">
        <v>431</v>
      </c>
      <c r="E2916" s="72" t="str">
        <f>+VLOOKUP(D2916,'材料表 '!C:F,2,0)</f>
        <v>kg</v>
      </c>
      <c r="F2916" s="77">
        <f>+SUMIF($L$2903:$L$2941,D2916,$R$2903:$R$2941)</f>
        <v>15.5437189896256</v>
      </c>
      <c r="G2916" s="89">
        <f>+VLOOKUP(D2916,'材料表 '!C:F,4,0)</f>
        <v>0.03</v>
      </c>
      <c r="H2916" s="74">
        <f t="shared" ref="H2916:H2922" si="461">F2916*(G2916+1)</f>
        <v>16.0100305593144</v>
      </c>
      <c r="I2916" s="74">
        <f>+VLOOKUP(D2916,'材料表 '!C:F,3,0)</f>
        <v>3.80530973451327</v>
      </c>
      <c r="J2916" s="95">
        <f t="shared" si="460"/>
        <v>60.9231251372139</v>
      </c>
      <c r="K2916" s="92">
        <f ca="1">H2916*K2902</f>
        <v>15808.849539948</v>
      </c>
      <c r="L2916" s="90"/>
      <c r="M2916" s="44"/>
      <c r="N2916" s="82"/>
      <c r="O2916" s="44"/>
      <c r="P2916" s="44"/>
      <c r="Q2916" s="44"/>
      <c r="R2916" s="84"/>
      <c r="S2916" s="47"/>
      <c r="T2916" s="47"/>
    </row>
    <row r="2917" s="27" customFormat="1" ht="18" customHeight="1" spans="1:21">
      <c r="A2917" s="34"/>
      <c r="B2917" s="48">
        <v>2</v>
      </c>
      <c r="C2917" s="48"/>
      <c r="D2917" s="88" t="s">
        <v>461</v>
      </c>
      <c r="E2917" s="72" t="str">
        <f>+VLOOKUP(D2917,'材料表 '!C:F,2,0)</f>
        <v>kg</v>
      </c>
      <c r="F2917" s="77">
        <f t="shared" ref="F2917:F2926" si="462">+SUMIF($L$2903:$L$2941,D2917,$R$2903:$R$2941)</f>
        <v>0</v>
      </c>
      <c r="G2917" s="89">
        <f>+VLOOKUP(D2917,'材料表 '!C:F,4,0)</f>
        <v>0.03</v>
      </c>
      <c r="H2917" s="74">
        <f t="shared" si="461"/>
        <v>0</v>
      </c>
      <c r="I2917" s="74">
        <f>+VLOOKUP(D2917,'材料表 '!C:F,3,0)</f>
        <v>3.53982300884956</v>
      </c>
      <c r="J2917" s="95">
        <f t="shared" si="460"/>
        <v>0</v>
      </c>
      <c r="K2917" s="92">
        <f ca="1">H2917*K2902</f>
        <v>0</v>
      </c>
      <c r="L2917" s="90"/>
      <c r="M2917" s="44"/>
      <c r="N2917" s="82"/>
      <c r="O2917" s="44"/>
      <c r="P2917" s="44"/>
      <c r="Q2917" s="44"/>
      <c r="R2917" s="84"/>
      <c r="S2917" s="47"/>
      <c r="T2917" s="47"/>
    </row>
    <row r="2918" s="27" customFormat="1" ht="18" customHeight="1" spans="1:21">
      <c r="A2918" s="34"/>
      <c r="B2918" s="48">
        <v>3</v>
      </c>
      <c r="C2918" s="48"/>
      <c r="D2918" s="88" t="s">
        <v>465</v>
      </c>
      <c r="E2918" s="72" t="str">
        <f>+VLOOKUP(D2918,'材料表 '!C:F,2,0)</f>
        <v>kg</v>
      </c>
      <c r="F2918" s="77">
        <f t="shared" si="462"/>
        <v>1.75270635994587</v>
      </c>
      <c r="G2918" s="89">
        <f>+VLOOKUP(D2918,'材料表 '!C:F,4,0)</f>
        <v>0.03</v>
      </c>
      <c r="H2918" s="74">
        <f t="shared" si="461"/>
        <v>1.80528755074425</v>
      </c>
      <c r="I2918" s="74">
        <f>+VLOOKUP(D2918,'材料表 '!C:F,3,0)</f>
        <v>6.01769911504425</v>
      </c>
      <c r="J2918" s="95">
        <f t="shared" si="460"/>
        <v>10.8636772965141</v>
      </c>
      <c r="K2918" s="92">
        <f ca="1">H2918*K2902</f>
        <v>1782.60242292</v>
      </c>
      <c r="L2918" s="90"/>
      <c r="M2918" s="44"/>
      <c r="N2918" s="82"/>
      <c r="O2918" s="44"/>
      <c r="P2918" s="44"/>
      <c r="Q2918" s="44"/>
      <c r="R2918" s="84"/>
      <c r="S2918" s="47"/>
      <c r="T2918" s="47"/>
    </row>
    <row r="2919" s="27" customFormat="1" ht="18" customHeight="1" spans="1:21">
      <c r="A2919" s="34"/>
      <c r="B2919" s="48">
        <v>4</v>
      </c>
      <c r="C2919" s="48"/>
      <c r="D2919" s="88" t="s">
        <v>463</v>
      </c>
      <c r="E2919" s="72" t="str">
        <f>+VLOOKUP(D2919,'材料表 '!C:F,2,0)</f>
        <v>kg</v>
      </c>
      <c r="F2919" s="77">
        <f t="shared" si="462"/>
        <v>2.65561569688769</v>
      </c>
      <c r="G2919" s="89">
        <f>+VLOOKUP(D2919,'材料表 '!C:F,4,0)</f>
        <v>0.03</v>
      </c>
      <c r="H2919" s="74">
        <f t="shared" si="461"/>
        <v>2.73528416779432</v>
      </c>
      <c r="I2919" s="74">
        <f>+VLOOKUP(D2919,'材料表 '!C:F,3,0)</f>
        <v>6.01769911504425</v>
      </c>
      <c r="J2919" s="95">
        <f t="shared" si="460"/>
        <v>16.4601171159304</v>
      </c>
      <c r="K2919" s="92">
        <f ca="1">H2919*K2902</f>
        <v>2700.912762</v>
      </c>
      <c r="L2919" s="90" t="s">
        <v>474</v>
      </c>
      <c r="M2919" s="44"/>
      <c r="N2919" s="82"/>
      <c r="O2919" s="44"/>
      <c r="P2919" s="44"/>
      <c r="Q2919" s="44">
        <f>+O2909*P2909*4</f>
        <v>8</v>
      </c>
      <c r="R2919" s="84">
        <f>+Q2919/R2903</f>
        <v>2.255299954894</v>
      </c>
      <c r="S2919" s="47"/>
      <c r="T2919" s="47"/>
    </row>
    <row r="2920" s="27" customFormat="1" ht="18" customHeight="1" spans="1:21">
      <c r="A2920" s="34"/>
      <c r="B2920" s="48">
        <v>5</v>
      </c>
      <c r="C2920" s="48"/>
      <c r="D2920" s="88" t="s">
        <v>433</v>
      </c>
      <c r="E2920" s="72" t="str">
        <f>+VLOOKUP(D2920,'材料表 '!C:F,2,0)</f>
        <v>kg</v>
      </c>
      <c r="F2920" s="77">
        <f t="shared" si="462"/>
        <v>1.173000112765</v>
      </c>
      <c r="G2920" s="89">
        <f>+VLOOKUP(D2920,'材料表 '!C:F,4,0)</f>
        <v>0.03</v>
      </c>
      <c r="H2920" s="74">
        <f t="shared" si="461"/>
        <v>1.20819011614795</v>
      </c>
      <c r="I2920" s="74">
        <f>+VLOOKUP(D2920,'材料表 '!C:F,3,0)</f>
        <v>26.1150442477876</v>
      </c>
      <c r="J2920" s="95">
        <f t="shared" si="460"/>
        <v>31.5519383429434</v>
      </c>
      <c r="K2920" s="92">
        <f ca="1">H2920*K2902</f>
        <v>1193.0080764726</v>
      </c>
      <c r="L2920" s="92" t="s">
        <v>476</v>
      </c>
      <c r="M2920" s="44"/>
      <c r="N2920" s="82"/>
      <c r="O2920" s="44"/>
      <c r="P2920" s="44"/>
      <c r="Q2920" s="44">
        <f>15*8*(O2903*2+P2903*2)/500</f>
        <v>1.99488</v>
      </c>
      <c r="R2920" s="84">
        <f>+Q2920/R2903</f>
        <v>0.562381596752368</v>
      </c>
      <c r="S2920" s="47"/>
      <c r="T2920" s="47"/>
    </row>
    <row r="2921" s="27" customFormat="1" ht="18" customHeight="1" spans="1:21">
      <c r="A2921" s="34"/>
      <c r="B2921" s="48">
        <v>6</v>
      </c>
      <c r="C2921" s="48"/>
      <c r="D2921" s="88" t="s">
        <v>427</v>
      </c>
      <c r="E2921" s="72" t="str">
        <f>+VLOOKUP(D2921,'材料表 '!C:F,2,0)</f>
        <v>kg</v>
      </c>
      <c r="F2921" s="77">
        <f t="shared" si="462"/>
        <v>0</v>
      </c>
      <c r="G2921" s="89">
        <f>+VLOOKUP(D2921,'材料表 '!C:F,4,0)</f>
        <v>0.03</v>
      </c>
      <c r="H2921" s="74">
        <f t="shared" si="461"/>
        <v>0</v>
      </c>
      <c r="I2921" s="74">
        <f>+VLOOKUP(D2921,'材料表 '!C:F,3,0)</f>
        <v>25.8495575221239</v>
      </c>
      <c r="J2921" s="95">
        <f t="shared" si="460"/>
        <v>0</v>
      </c>
      <c r="K2921" s="92">
        <f ca="1">H2921*K2902</f>
        <v>0</v>
      </c>
      <c r="L2921" s="69" t="s">
        <v>427</v>
      </c>
      <c r="M2921" s="70" t="s">
        <v>1007</v>
      </c>
      <c r="N2921" s="34">
        <v>3.111</v>
      </c>
      <c r="O2921" s="34">
        <f>P2903</f>
        <v>2.956</v>
      </c>
      <c r="P2921" s="34">
        <v>0</v>
      </c>
      <c r="Q2921" s="44">
        <f t="shared" ref="Q2921:Q2929" si="463">+P2921*O2921*N2921</f>
        <v>0</v>
      </c>
      <c r="R2921" s="71">
        <f>+Q2921/R2903</f>
        <v>0</v>
      </c>
      <c r="S2921" s="47"/>
      <c r="T2921" s="47"/>
    </row>
    <row r="2922" s="27" customFormat="1" ht="18" customHeight="1" spans="1:21">
      <c r="A2922" s="34"/>
      <c r="B2922" s="48">
        <v>7</v>
      </c>
      <c r="C2922" s="48"/>
      <c r="D2922" s="88" t="s">
        <v>1073</v>
      </c>
      <c r="E2922" s="72" t="str">
        <f>+VLOOKUP(D2922,'材料表 '!C:F,2,0)</f>
        <v>m2</v>
      </c>
      <c r="F2922" s="77">
        <v>1</v>
      </c>
      <c r="G2922" s="89">
        <f>+VLOOKUP(D2922,'材料表 '!C:F,4,0)</f>
        <v>0</v>
      </c>
      <c r="H2922" s="74">
        <f t="shared" si="461"/>
        <v>1</v>
      </c>
      <c r="I2922" s="74">
        <f>+VLOOKUP(D2922,'材料表 '!C:F,3,0)</f>
        <v>26.5486725663717</v>
      </c>
      <c r="J2922" s="95">
        <f t="shared" si="460"/>
        <v>26.5486725663717</v>
      </c>
      <c r="K2922" s="92">
        <f ca="1">H2922*K2902</f>
        <v>987.434064</v>
      </c>
      <c r="L2922" s="69" t="s">
        <v>429</v>
      </c>
      <c r="M2922" s="70" t="s">
        <v>1037</v>
      </c>
      <c r="N2922" s="34">
        <v>3.063</v>
      </c>
      <c r="O2922" s="100">
        <f>O2921/0.3*0.1</f>
        <v>0.985333333333333</v>
      </c>
      <c r="P2922" s="34">
        <v>0</v>
      </c>
      <c r="Q2922" s="44">
        <f t="shared" si="463"/>
        <v>0</v>
      </c>
      <c r="R2922" s="71">
        <f>+Q2922/R2903</f>
        <v>0</v>
      </c>
      <c r="S2922" s="47"/>
      <c r="T2922" s="47"/>
    </row>
    <row r="2923" s="27" customFormat="1" ht="18" customHeight="1" spans="1:21">
      <c r="A2923" s="34"/>
      <c r="B2923" s="48">
        <v>8</v>
      </c>
      <c r="C2923" s="48"/>
      <c r="D2923" s="88"/>
      <c r="E2923" s="72"/>
      <c r="F2923" s="77">
        <f t="shared" si="462"/>
        <v>0</v>
      </c>
      <c r="G2923" s="89"/>
      <c r="H2923" s="74"/>
      <c r="I2923" s="74"/>
      <c r="J2923" s="95"/>
      <c r="K2923" s="92">
        <f ca="1">H2923*K2902</f>
        <v>0</v>
      </c>
      <c r="L2923" s="69" t="s">
        <v>447</v>
      </c>
      <c r="M2923" s="70" t="s">
        <v>1038</v>
      </c>
      <c r="N2923" s="34">
        <f>1.041+0.104</f>
        <v>1.145</v>
      </c>
      <c r="O2923" s="34">
        <f>O2921</f>
        <v>2.956</v>
      </c>
      <c r="P2923" s="34">
        <v>0</v>
      </c>
      <c r="Q2923" s="44">
        <f t="shared" si="463"/>
        <v>0</v>
      </c>
      <c r="R2923" s="71">
        <f>+Q2923/R2903</f>
        <v>0</v>
      </c>
      <c r="S2923" s="47">
        <v>0.172</v>
      </c>
      <c r="T2923" s="47">
        <f>O2923*P2923*S2923</f>
        <v>0</v>
      </c>
      <c r="U2923" s="76">
        <f>T2923/R2903</f>
        <v>0</v>
      </c>
    </row>
    <row r="2924" s="27" customFormat="1" ht="18" customHeight="1" spans="1:21">
      <c r="A2924" s="34"/>
      <c r="B2924" s="48">
        <v>9</v>
      </c>
      <c r="C2924" s="48"/>
      <c r="D2924" s="88" t="s">
        <v>476</v>
      </c>
      <c r="E2924" s="72" t="str">
        <f>+VLOOKUP(D2924,'材料表 '!C:F,2,0)</f>
        <v>支</v>
      </c>
      <c r="F2924" s="77">
        <f t="shared" si="462"/>
        <v>0.562381596752368</v>
      </c>
      <c r="G2924" s="89">
        <f>+VLOOKUP(D2924,'材料表 '!C:F,4,0)</f>
        <v>0.15</v>
      </c>
      <c r="H2924" s="74">
        <f t="shared" ref="H2924:H2930" si="464">F2924*(G2924+1)</f>
        <v>0.646738836265223</v>
      </c>
      <c r="I2924" s="74">
        <f>+VLOOKUP(D2924,'材料表 '!C:F,3,0)</f>
        <v>11.5044247787611</v>
      </c>
      <c r="J2924" s="95">
        <f t="shared" ref="J2924:J2930" si="465">H2924*I2924</f>
        <v>7.44035829331675</v>
      </c>
      <c r="K2924" s="92">
        <f ca="1">H2924*K2902</f>
        <v>638.61195744</v>
      </c>
      <c r="L2924" s="69" t="s">
        <v>429</v>
      </c>
      <c r="M2924" s="70" t="s">
        <v>1010</v>
      </c>
      <c r="N2924" s="102">
        <f>2.9</f>
        <v>2.9</v>
      </c>
      <c r="O2924" s="34">
        <v>0.2</v>
      </c>
      <c r="P2924" s="34">
        <v>0</v>
      </c>
      <c r="Q2924" s="44">
        <f t="shared" si="463"/>
        <v>0</v>
      </c>
      <c r="R2924" s="71">
        <f>+Q2924/R2903</f>
        <v>0</v>
      </c>
      <c r="S2924" s="47"/>
      <c r="T2924" s="47"/>
    </row>
    <row r="2925" s="27" customFormat="1" ht="18" customHeight="1" spans="1:21">
      <c r="A2925" s="34"/>
      <c r="B2925" s="48">
        <v>10</v>
      </c>
      <c r="C2925" s="48"/>
      <c r="D2925" s="88" t="s">
        <v>474</v>
      </c>
      <c r="E2925" s="72" t="str">
        <f>+VLOOKUP(D2925,'材料表 '!C:F,2,0)</f>
        <v>套</v>
      </c>
      <c r="F2925" s="77">
        <f t="shared" si="462"/>
        <v>2.255299954894</v>
      </c>
      <c r="G2925" s="89">
        <f>+VLOOKUP(D2925,'材料表 '!C:F,4,0)</f>
        <v>0</v>
      </c>
      <c r="H2925" s="74">
        <f t="shared" si="464"/>
        <v>2.255299954894</v>
      </c>
      <c r="I2925" s="74">
        <f>+VLOOKUP(D2925,'材料表 '!C:F,3,0)</f>
        <v>2.21238938053097</v>
      </c>
      <c r="J2925" s="95">
        <f t="shared" si="465"/>
        <v>4.98960167011946</v>
      </c>
      <c r="K2925" s="92">
        <f ca="1">H2925*K2902</f>
        <v>2226.96</v>
      </c>
      <c r="L2925" s="69" t="s">
        <v>429</v>
      </c>
      <c r="M2925" s="70" t="s">
        <v>1040</v>
      </c>
      <c r="N2925" s="34">
        <v>0.733</v>
      </c>
      <c r="O2925" s="100">
        <f>O2922*2</f>
        <v>1.97066666666667</v>
      </c>
      <c r="P2925" s="34">
        <v>0</v>
      </c>
      <c r="Q2925" s="44">
        <f t="shared" si="463"/>
        <v>0</v>
      </c>
      <c r="R2925" s="71">
        <f>+Q2925/R2903</f>
        <v>0</v>
      </c>
      <c r="S2925" s="79"/>
      <c r="T2925" s="47"/>
    </row>
    <row r="2926" s="27" customFormat="1" ht="18" customHeight="1" spans="1:21">
      <c r="A2926" s="34"/>
      <c r="B2926" s="48">
        <v>11</v>
      </c>
      <c r="C2926" s="48"/>
      <c r="D2926" s="88" t="s">
        <v>472</v>
      </c>
      <c r="E2926" s="72" t="str">
        <f>+VLOOKUP(D2926,'材料表 '!C:F,2,0)</f>
        <v>套</v>
      </c>
      <c r="F2926" s="77">
        <f t="shared" si="462"/>
        <v>1.127649977447</v>
      </c>
      <c r="G2926" s="89">
        <f>+VLOOKUP(D2926,'材料表 '!C:F,4,0)</f>
        <v>0</v>
      </c>
      <c r="H2926" s="74">
        <f t="shared" si="464"/>
        <v>1.127649977447</v>
      </c>
      <c r="I2926" s="74">
        <f>+VLOOKUP(D2926,'材料表 '!C:F,3,0)</f>
        <v>2.47787610619469</v>
      </c>
      <c r="J2926" s="95">
        <f t="shared" si="465"/>
        <v>2.7941769352669</v>
      </c>
      <c r="K2926" s="92">
        <f ca="1">H2926*K2902</f>
        <v>1113.48</v>
      </c>
      <c r="L2926" s="69" t="s">
        <v>404</v>
      </c>
      <c r="M2926" s="70" t="s">
        <v>1041</v>
      </c>
      <c r="N2926" s="34">
        <v>3.727</v>
      </c>
      <c r="O2926" s="34">
        <v>0</v>
      </c>
      <c r="P2926" s="34">
        <v>1</v>
      </c>
      <c r="Q2926" s="44">
        <f t="shared" si="463"/>
        <v>0</v>
      </c>
      <c r="R2926" s="71">
        <f>+Q2926/R2903</f>
        <v>0</v>
      </c>
      <c r="S2926" s="47"/>
      <c r="T2926" s="47"/>
      <c r="U2926" s="76"/>
    </row>
    <row r="2927" s="27" customFormat="1" ht="18" customHeight="1" spans="1:21">
      <c r="A2927" s="34"/>
      <c r="B2927" s="48">
        <v>12</v>
      </c>
      <c r="C2927" s="48"/>
      <c r="D2927" s="88" t="s">
        <v>510</v>
      </c>
      <c r="E2927" s="72" t="str">
        <f>+VLOOKUP(D2927,'材料表 '!C:F,2,0)</f>
        <v>m2</v>
      </c>
      <c r="F2927" s="77">
        <f>1.03-F2928</f>
        <v>0.982638700947226</v>
      </c>
      <c r="G2927" s="89">
        <f>+VLOOKUP(D2927,'材料表 '!C:F,4,0)</f>
        <v>0.02</v>
      </c>
      <c r="H2927" s="74">
        <f t="shared" si="464"/>
        <v>1.00229147496617</v>
      </c>
      <c r="I2927" s="74">
        <f>+VLOOKUP(D2927,'材料表 '!C:F,3,0)</f>
        <v>253.097345132743</v>
      </c>
      <c r="J2927" s="95">
        <f t="shared" si="465"/>
        <v>253.677311363119</v>
      </c>
      <c r="K2927" s="92">
        <f ca="1">H2927*K2902</f>
        <v>989.696744438399</v>
      </c>
      <c r="L2927" s="69" t="s">
        <v>429</v>
      </c>
      <c r="M2927" s="81" t="s">
        <v>1027</v>
      </c>
      <c r="N2927" s="82">
        <v>0.735</v>
      </c>
      <c r="O2927" s="34">
        <v>0</v>
      </c>
      <c r="P2927" s="34">
        <v>1</v>
      </c>
      <c r="Q2927" s="44">
        <f t="shared" si="463"/>
        <v>0</v>
      </c>
      <c r="R2927" s="71">
        <f>+Q2927/R2903</f>
        <v>0</v>
      </c>
      <c r="S2927" s="47"/>
      <c r="T2927" s="47"/>
    </row>
    <row r="2928" s="27" customFormat="1" ht="18" customHeight="1" spans="1:21">
      <c r="A2928" s="34"/>
      <c r="B2928" s="48">
        <v>13</v>
      </c>
      <c r="C2928" s="48"/>
      <c r="D2928" s="125" t="s">
        <v>511</v>
      </c>
      <c r="E2928" s="72" t="str">
        <f>+VLOOKUP(D2928,'材料表 '!C:F,2,0)</f>
        <v>m2</v>
      </c>
      <c r="F2928" s="77">
        <f>0.14/P2903</f>
        <v>0.047361299052774</v>
      </c>
      <c r="G2928" s="89">
        <f>+VLOOKUP(D2928,'材料表 '!C:F,4,0)</f>
        <v>0.02</v>
      </c>
      <c r="H2928" s="74">
        <f t="shared" si="464"/>
        <v>0.0483085250338295</v>
      </c>
      <c r="I2928" s="74">
        <f>+VLOOKUP(D2928,'材料表 '!C:F,3,0)</f>
        <v>261.946902654867</v>
      </c>
      <c r="J2928" s="95">
        <f t="shared" si="465"/>
        <v>12.6542685044367</v>
      </c>
      <c r="K2928" s="92"/>
      <c r="L2928" s="69"/>
      <c r="M2928" s="81"/>
      <c r="N2928" s="82"/>
      <c r="O2928" s="34"/>
      <c r="P2928" s="34"/>
      <c r="Q2928" s="44"/>
      <c r="R2928" s="71"/>
      <c r="S2928" s="47"/>
      <c r="T2928" s="47"/>
    </row>
    <row r="2929" s="27" customFormat="1" ht="18" customHeight="1" spans="1:21">
      <c r="A2929" s="34"/>
      <c r="B2929" s="48">
        <v>14</v>
      </c>
      <c r="C2929" s="48"/>
      <c r="D2929" s="124" t="s">
        <v>500</v>
      </c>
      <c r="E2929" s="72" t="str">
        <f>+VLOOKUP(D2929,'材料表 '!C:F,2,0)</f>
        <v>kg</v>
      </c>
      <c r="F2929" s="77">
        <v>0</v>
      </c>
      <c r="G2929" s="89">
        <f>+VLOOKUP(D2929,'材料表 '!C:F,4,0)</f>
        <v>0.03</v>
      </c>
      <c r="H2929" s="74">
        <f t="shared" si="464"/>
        <v>0</v>
      </c>
      <c r="I2929" s="74">
        <f>+VLOOKUP(D2929,'材料表 '!C:F,3,0)</f>
        <v>14.1592920353982</v>
      </c>
      <c r="J2929" s="95">
        <f t="shared" si="465"/>
        <v>0</v>
      </c>
      <c r="K2929" s="92">
        <f ca="1">H2929*K2902</f>
        <v>0</v>
      </c>
      <c r="L2929" s="69" t="s">
        <v>447</v>
      </c>
      <c r="M2929" s="70" t="s">
        <v>1038</v>
      </c>
      <c r="N2929" s="83">
        <v>0.977</v>
      </c>
      <c r="O2929" s="34">
        <v>0</v>
      </c>
      <c r="P2929" s="34">
        <v>1</v>
      </c>
      <c r="Q2929" s="44">
        <f>+P2929*O2929*N2929</f>
        <v>0</v>
      </c>
      <c r="R2929" s="84">
        <f>+Q2929/R2903</f>
        <v>0</v>
      </c>
      <c r="S2929" s="47">
        <v>0.185</v>
      </c>
      <c r="T2929" s="47">
        <f>O2929*P2929*S2929</f>
        <v>0</v>
      </c>
      <c r="U2929" s="27">
        <f>T2929/R2903</f>
        <v>0</v>
      </c>
    </row>
    <row r="2930" s="27" customFormat="1" ht="20" customHeight="1" spans="1:21">
      <c r="A2930" s="34"/>
      <c r="B2930" s="48">
        <v>15</v>
      </c>
      <c r="C2930" s="48"/>
      <c r="D2930" s="88" t="s">
        <v>479</v>
      </c>
      <c r="E2930" s="72" t="str">
        <f>+VLOOKUP(D2930,'材料表 '!C:F,2,0)</f>
        <v>kg</v>
      </c>
      <c r="F2930" s="77">
        <v>0</v>
      </c>
      <c r="G2930" s="89">
        <f>+VLOOKUP(D2930,'材料表 '!C:F,4,0)</f>
        <v>0.03</v>
      </c>
      <c r="H2930" s="74">
        <f t="shared" si="464"/>
        <v>0</v>
      </c>
      <c r="I2930" s="74">
        <f>+VLOOKUP(D2930,'材料表 '!C:F,3,0)</f>
        <v>14.1592920353982</v>
      </c>
      <c r="J2930" s="95">
        <f t="shared" si="465"/>
        <v>0</v>
      </c>
      <c r="K2930" s="92">
        <f ca="1">H2930*K2902</f>
        <v>0</v>
      </c>
      <c r="L2930" s="69" t="s">
        <v>429</v>
      </c>
      <c r="M2930" s="81" t="s">
        <v>1042</v>
      </c>
      <c r="N2930" s="82">
        <v>0.687</v>
      </c>
      <c r="O2930" s="44">
        <v>0</v>
      </c>
      <c r="P2930" s="34">
        <v>0</v>
      </c>
      <c r="Q2930" s="44">
        <f>+P2930*O2930*N2930</f>
        <v>0</v>
      </c>
      <c r="R2930" s="84">
        <f>+Q2930/R2903</f>
        <v>0</v>
      </c>
      <c r="S2930" s="47"/>
      <c r="T2930" s="47"/>
    </row>
    <row r="2931" s="27" customFormat="1" ht="18" customHeight="1" spans="1:21">
      <c r="A2931" s="34"/>
      <c r="B2931" s="48">
        <v>16</v>
      </c>
      <c r="C2931" s="48"/>
      <c r="D2931" s="88"/>
      <c r="E2931" s="72"/>
      <c r="F2931" s="77"/>
      <c r="G2931" s="89"/>
      <c r="H2931" s="74"/>
      <c r="I2931" s="74"/>
      <c r="J2931" s="95"/>
      <c r="K2931" s="92"/>
      <c r="L2931" s="92"/>
      <c r="M2931" s="44"/>
      <c r="N2931" s="44"/>
      <c r="O2931" s="44"/>
      <c r="P2931" s="44"/>
      <c r="Q2931" s="44"/>
      <c r="R2931" s="84"/>
      <c r="S2931" s="47"/>
      <c r="T2931" s="47"/>
    </row>
    <row r="2932" s="27" customFormat="1" ht="18" customHeight="1" spans="1:21">
      <c r="A2932" s="34"/>
      <c r="B2932" s="48">
        <v>17</v>
      </c>
      <c r="C2932" s="48"/>
      <c r="D2932" s="88"/>
      <c r="E2932" s="72"/>
      <c r="F2932" s="77"/>
      <c r="G2932" s="89"/>
      <c r="H2932" s="74"/>
      <c r="I2932" s="74"/>
      <c r="J2932" s="95"/>
      <c r="K2932" s="92"/>
      <c r="L2932" s="92"/>
      <c r="M2932" s="44"/>
      <c r="N2932" s="44"/>
      <c r="O2932" s="44"/>
      <c r="P2932" s="44"/>
      <c r="Q2932" s="44"/>
      <c r="R2932" s="84"/>
      <c r="S2932" s="47"/>
      <c r="T2932" s="47"/>
    </row>
    <row r="2933" s="27" customFormat="1" ht="18" customHeight="1" spans="1:21">
      <c r="A2933" s="34"/>
      <c r="B2933" s="48">
        <v>18</v>
      </c>
      <c r="C2933" s="48"/>
      <c r="D2933" s="121"/>
      <c r="E2933" s="72"/>
      <c r="F2933" s="77"/>
      <c r="G2933" s="89"/>
      <c r="H2933" s="74"/>
      <c r="I2933" s="74"/>
      <c r="J2933" s="95"/>
      <c r="K2933" s="92"/>
      <c r="L2933" s="92"/>
      <c r="M2933" s="44"/>
      <c r="N2933" s="44"/>
      <c r="O2933" s="44"/>
      <c r="P2933" s="44"/>
      <c r="Q2933" s="101"/>
      <c r="R2933" s="84"/>
      <c r="S2933" s="47"/>
      <c r="T2933" s="47"/>
    </row>
    <row r="2934" s="27" customFormat="1" ht="18" customHeight="1" spans="1:21">
      <c r="A2934" s="34"/>
      <c r="B2934" s="48">
        <v>19</v>
      </c>
      <c r="C2934" s="48"/>
      <c r="D2934" s="88"/>
      <c r="E2934" s="72"/>
      <c r="F2934" s="77"/>
      <c r="G2934" s="89"/>
      <c r="H2934" s="74"/>
      <c r="I2934" s="74"/>
      <c r="J2934" s="95"/>
      <c r="K2934" s="92"/>
      <c r="L2934" s="92"/>
      <c r="M2934" s="44"/>
      <c r="N2934" s="44"/>
      <c r="O2934" s="44"/>
      <c r="P2934" s="44"/>
      <c r="Q2934" s="44"/>
      <c r="R2934" s="84"/>
      <c r="S2934" s="47"/>
      <c r="T2934" s="47"/>
    </row>
    <row r="2935" s="27" customFormat="1" ht="18" customHeight="1" spans="1:21">
      <c r="A2935" s="34"/>
      <c r="B2935" s="48">
        <v>20</v>
      </c>
      <c r="C2935" s="48"/>
      <c r="D2935" s="27"/>
      <c r="E2935" s="72"/>
      <c r="F2935" s="77"/>
      <c r="G2935" s="89"/>
      <c r="H2935" s="74"/>
      <c r="I2935" s="74"/>
      <c r="J2935" s="95"/>
      <c r="K2935" s="92"/>
      <c r="L2935" s="92"/>
      <c r="M2935" s="44"/>
      <c r="N2935" s="44"/>
      <c r="O2935" s="44"/>
      <c r="P2935" s="44"/>
      <c r="Q2935" s="44"/>
      <c r="R2935" s="84"/>
      <c r="S2935" s="47"/>
      <c r="T2935" s="47"/>
    </row>
    <row r="2936" s="27" customFormat="1" ht="18" customHeight="1" spans="1:21">
      <c r="A2936" s="34"/>
      <c r="B2936" s="48">
        <v>21</v>
      </c>
      <c r="C2936" s="48"/>
      <c r="D2936" s="88"/>
      <c r="E2936" s="72"/>
      <c r="F2936" s="77"/>
      <c r="G2936" s="89"/>
      <c r="H2936" s="74"/>
      <c r="I2936" s="74"/>
      <c r="J2936" s="95"/>
      <c r="K2936" s="92"/>
      <c r="L2936" s="92"/>
      <c r="M2936" s="44"/>
      <c r="N2936" s="44"/>
      <c r="O2936" s="44"/>
      <c r="P2936" s="44"/>
      <c r="Q2936" s="44"/>
      <c r="R2936" s="84"/>
      <c r="S2936" s="47"/>
      <c r="T2936" s="47"/>
    </row>
    <row r="2937" s="27" customFormat="1" ht="18" customHeight="1" spans="1:21">
      <c r="A2937" s="34"/>
      <c r="B2937" s="48">
        <v>22</v>
      </c>
      <c r="C2937" s="48"/>
      <c r="D2937" s="88"/>
      <c r="E2937" s="72"/>
      <c r="F2937" s="77"/>
      <c r="G2937" s="89"/>
      <c r="H2937" s="74"/>
      <c r="I2937" s="74"/>
      <c r="J2937" s="95"/>
      <c r="K2937" s="92"/>
      <c r="L2937" s="92"/>
      <c r="M2937" s="44"/>
      <c r="N2937" s="44"/>
      <c r="O2937" s="44"/>
      <c r="P2937" s="44"/>
      <c r="Q2937" s="44"/>
      <c r="R2937" s="84"/>
      <c r="S2937" s="47"/>
      <c r="T2937" s="47"/>
    </row>
    <row r="2938" s="27" customFormat="1" ht="18" customHeight="1" spans="1:21">
      <c r="A2938" s="34"/>
      <c r="B2938" s="48">
        <v>23</v>
      </c>
      <c r="C2938" s="48"/>
      <c r="D2938" s="27"/>
      <c r="E2938" s="72"/>
      <c r="F2938" s="77"/>
      <c r="G2938" s="72"/>
      <c r="H2938" s="74"/>
      <c r="I2938" s="74"/>
      <c r="J2938" s="95"/>
      <c r="K2938" s="92"/>
      <c r="L2938" s="92"/>
      <c r="M2938" s="44"/>
      <c r="N2938" s="44"/>
      <c r="O2938" s="44"/>
      <c r="P2938" s="44"/>
      <c r="Q2938" s="44"/>
      <c r="R2938" s="62"/>
      <c r="S2938" s="47"/>
      <c r="T2938" s="47"/>
    </row>
    <row r="2939" s="27" customFormat="1" ht="18" customHeight="1" spans="1:21">
      <c r="A2939" s="34"/>
      <c r="B2939" s="48">
        <v>24</v>
      </c>
      <c r="C2939" s="48"/>
      <c r="D2939" s="88" t="s">
        <v>478</v>
      </c>
      <c r="E2939" s="72" t="s">
        <v>43</v>
      </c>
      <c r="F2939" s="77"/>
      <c r="G2939" s="72">
        <v>1</v>
      </c>
      <c r="H2939" s="74">
        <v>1</v>
      </c>
      <c r="I2939" s="74">
        <f>+辅材及安装费!$E$3</f>
        <v>5</v>
      </c>
      <c r="J2939" s="95">
        <f>H2939*I2939</f>
        <v>5</v>
      </c>
      <c r="K2939" s="92"/>
      <c r="L2939" s="92"/>
      <c r="M2939" s="44"/>
      <c r="N2939" s="44"/>
      <c r="O2939" s="44"/>
      <c r="P2939" s="44"/>
      <c r="Q2939" s="44"/>
      <c r="R2939" s="62"/>
      <c r="S2939" s="47"/>
      <c r="T2939" s="47"/>
    </row>
    <row r="2940" s="27" customFormat="1" ht="18" customHeight="1" spans="1:21">
      <c r="A2940" s="34"/>
      <c r="B2940" s="48">
        <v>25</v>
      </c>
      <c r="C2940" s="48"/>
      <c r="D2940" s="93" t="s">
        <v>442</v>
      </c>
      <c r="E2940" s="72"/>
      <c r="F2940" s="77"/>
      <c r="G2940" s="72"/>
      <c r="H2940" s="74"/>
      <c r="I2940" s="74"/>
      <c r="J2940" s="95">
        <f>SUM(J2916:J2939)</f>
        <v>432.903247225232</v>
      </c>
      <c r="K2940" s="92"/>
      <c r="L2940" s="94"/>
      <c r="M2940" s="27"/>
      <c r="N2940" s="83"/>
      <c r="O2940" s="83"/>
      <c r="P2940" s="83"/>
      <c r="Q2940" s="83"/>
      <c r="R2940" s="87"/>
      <c r="S2940" s="47"/>
      <c r="T2940" s="47"/>
    </row>
    <row r="2941" s="27" customFormat="1" ht="18" customHeight="1" spans="1:21">
      <c r="A2941" s="34"/>
      <c r="B2941" s="48">
        <v>1</v>
      </c>
      <c r="C2941" s="48" t="s">
        <v>443</v>
      </c>
      <c r="D2941" s="48" t="s">
        <v>444</v>
      </c>
      <c r="E2941" s="72" t="s">
        <v>43</v>
      </c>
      <c r="F2941" s="50"/>
      <c r="G2941" s="48"/>
      <c r="H2941" s="51">
        <v>1</v>
      </c>
      <c r="I2941" s="74">
        <f>+辅材及安装费!$F$3</f>
        <v>5</v>
      </c>
      <c r="J2941" s="95">
        <f>H2941*I2941</f>
        <v>5</v>
      </c>
      <c r="K2941" s="118"/>
      <c r="L2941" s="96"/>
      <c r="M2941" s="97"/>
      <c r="N2941" s="98"/>
      <c r="O2941" s="98"/>
      <c r="P2941" s="98"/>
      <c r="Q2941" s="98"/>
      <c r="R2941" s="99"/>
      <c r="S2941" s="47"/>
      <c r="T2941" s="47"/>
    </row>
    <row r="2942" s="26" customFormat="1" ht="30" customHeight="1" spans="1:21">
      <c r="A2942" s="28"/>
      <c r="B2942" s="29" t="s">
        <v>386</v>
      </c>
      <c r="C2942" s="29"/>
      <c r="D2942" s="29"/>
      <c r="E2942" s="29"/>
      <c r="F2942" s="29"/>
      <c r="G2942" s="29"/>
      <c r="H2942" s="29"/>
      <c r="I2942" s="29"/>
      <c r="J2942" s="29"/>
      <c r="K2942" s="29"/>
      <c r="L2942" s="30"/>
      <c r="M2942" s="31"/>
      <c r="N2942" s="31"/>
      <c r="O2942" s="31"/>
      <c r="P2942" s="31"/>
      <c r="Q2942" s="31"/>
      <c r="R2942" s="32"/>
      <c r="S2942" s="33"/>
      <c r="T2942" s="33"/>
    </row>
    <row r="2943" s="27" customFormat="1" ht="33.75" customHeight="1" spans="1:21">
      <c r="A2943" s="34">
        <v>19</v>
      </c>
      <c r="B2943" s="35" t="s">
        <v>1</v>
      </c>
      <c r="C2943" s="35" t="s">
        <v>387</v>
      </c>
      <c r="D2943" s="36" t="str">
        <f>+A2951</f>
        <v>屋面上表面：浅灰色铝板</v>
      </c>
      <c r="E2943" s="37"/>
      <c r="F2943" s="38" t="s">
        <v>119</v>
      </c>
      <c r="G2943" s="39"/>
      <c r="H2943" s="35" t="s">
        <v>388</v>
      </c>
      <c r="I2943" s="40" t="s">
        <v>389</v>
      </c>
      <c r="J2943" s="41" t="s">
        <v>37</v>
      </c>
      <c r="K2943" s="122">
        <f ca="1">VLOOKUP(A2943,'商业工程量清单 '!$A$59:$D$81,4,FALSE)</f>
        <v>1318.3075</v>
      </c>
      <c r="L2943" s="43"/>
      <c r="M2943" s="44"/>
      <c r="N2943" s="44"/>
      <c r="O2943" s="44"/>
      <c r="P2943" s="45"/>
      <c r="Q2943" s="44"/>
      <c r="R2943" s="46"/>
      <c r="S2943" s="47"/>
      <c r="T2943" s="47"/>
    </row>
    <row r="2944" s="27" customFormat="1" ht="25" customHeight="1" spans="1:21">
      <c r="A2944" s="34"/>
      <c r="B2944" s="48">
        <v>1</v>
      </c>
      <c r="C2944" s="49" t="s">
        <v>390</v>
      </c>
      <c r="D2944" s="48" t="s">
        <v>391</v>
      </c>
      <c r="E2944" s="48"/>
      <c r="F2944" s="50"/>
      <c r="G2944" s="48"/>
      <c r="H2944" s="51"/>
      <c r="I2944" s="52">
        <f>J2956</f>
        <v>165</v>
      </c>
      <c r="J2944" s="53" t="s">
        <v>392</v>
      </c>
      <c r="K2944" s="54"/>
      <c r="L2944" s="55"/>
      <c r="M2944" s="56" t="s">
        <v>1070</v>
      </c>
      <c r="N2944" s="57"/>
      <c r="O2944" s="57">
        <v>1.2</v>
      </c>
      <c r="P2944" s="57">
        <v>3.3</v>
      </c>
      <c r="Q2944" s="57">
        <v>1</v>
      </c>
      <c r="R2944" s="58">
        <f>+Q2944*P2944*O2944</f>
        <v>3.96</v>
      </c>
      <c r="S2944" s="47"/>
      <c r="T2944" s="47"/>
    </row>
    <row r="2945" s="27" customFormat="1" ht="18" customHeight="1" spans="1:20">
      <c r="A2945" s="34"/>
      <c r="B2945" s="48">
        <v>2</v>
      </c>
      <c r="C2945" s="59"/>
      <c r="D2945" s="48" t="s">
        <v>394</v>
      </c>
      <c r="E2945" s="48"/>
      <c r="F2945" s="50"/>
      <c r="G2945" s="48"/>
      <c r="H2945" s="51"/>
      <c r="I2945" s="52">
        <f>J2981</f>
        <v>391.970615296728</v>
      </c>
      <c r="J2945" s="53" t="s">
        <v>392</v>
      </c>
      <c r="K2945" s="60"/>
      <c r="L2945" s="61" t="s">
        <v>119</v>
      </c>
      <c r="M2945" s="44"/>
      <c r="N2945" s="44"/>
      <c r="O2945" s="44"/>
      <c r="P2945" s="44"/>
      <c r="Q2945" s="44"/>
      <c r="R2945" s="62"/>
      <c r="S2945" s="47"/>
      <c r="T2945" s="47"/>
    </row>
    <row r="2946" s="27" customFormat="1" ht="18" customHeight="1" spans="1:20">
      <c r="A2946" s="34"/>
      <c r="B2946" s="48">
        <v>3</v>
      </c>
      <c r="C2946" s="63"/>
      <c r="D2946" s="48" t="s">
        <v>395</v>
      </c>
      <c r="E2946" s="48"/>
      <c r="F2946" s="50"/>
      <c r="G2946" s="48"/>
      <c r="H2946" s="51"/>
      <c r="I2946" s="52">
        <f>J2982</f>
        <v>5</v>
      </c>
      <c r="J2946" s="53" t="s">
        <v>392</v>
      </c>
      <c r="K2946" s="60"/>
      <c r="L2946" s="60"/>
      <c r="M2946" s="65" t="s">
        <v>396</v>
      </c>
      <c r="N2946" s="65" t="s">
        <v>397</v>
      </c>
      <c r="O2946" s="65" t="s">
        <v>398</v>
      </c>
      <c r="P2946" s="65" t="s">
        <v>399</v>
      </c>
      <c r="Q2946" s="65" t="s">
        <v>400</v>
      </c>
      <c r="R2946" s="66" t="s">
        <v>401</v>
      </c>
      <c r="S2946" s="47"/>
      <c r="T2946" s="47"/>
    </row>
    <row r="2947" s="27" customFormat="1" ht="18" customHeight="1" spans="1:20">
      <c r="A2947" s="34"/>
      <c r="B2947" s="48">
        <v>4</v>
      </c>
      <c r="C2947" s="48" t="s">
        <v>402</v>
      </c>
      <c r="D2947" s="67" t="s">
        <v>403</v>
      </c>
      <c r="E2947" s="67"/>
      <c r="F2947" s="50"/>
      <c r="G2947" s="67"/>
      <c r="H2947" s="68"/>
      <c r="I2947" s="52">
        <f>SUM(I2944:I2946)</f>
        <v>561.970615296728</v>
      </c>
      <c r="J2947" s="53" t="s">
        <v>392</v>
      </c>
      <c r="K2947" s="60"/>
      <c r="L2947" s="69" t="s">
        <v>431</v>
      </c>
      <c r="M2947" s="34" t="s">
        <v>1069</v>
      </c>
      <c r="N2947" s="34">
        <v>7.03</v>
      </c>
      <c r="O2947" s="34">
        <f>P2944</f>
        <v>3.3</v>
      </c>
      <c r="P2947" s="34">
        <v>1</v>
      </c>
      <c r="Q2947" s="44">
        <f t="shared" ref="Q2947:Q2952" si="466">+P2947*O2947*N2947</f>
        <v>23.199</v>
      </c>
      <c r="R2947" s="71">
        <f>+Q2947/R2944</f>
        <v>5.85833333333333</v>
      </c>
      <c r="S2947" s="47"/>
      <c r="T2947" s="47"/>
    </row>
    <row r="2948" s="27" customFormat="1" ht="28" customHeight="1" spans="1:20">
      <c r="A2948" s="34"/>
      <c r="B2948" s="48">
        <v>5</v>
      </c>
      <c r="C2948" s="72" t="s">
        <v>406</v>
      </c>
      <c r="D2948" s="48" t="s">
        <v>407</v>
      </c>
      <c r="E2948" s="48"/>
      <c r="F2948" s="50"/>
      <c r="G2948" s="48"/>
      <c r="H2948" s="73">
        <f>+'材料表 '!$E$178</f>
        <v>0</v>
      </c>
      <c r="I2948" s="52">
        <f>H2948*I2947</f>
        <v>0</v>
      </c>
      <c r="J2948" s="53" t="s">
        <v>392</v>
      </c>
      <c r="K2948" s="60"/>
      <c r="L2948" s="69" t="s">
        <v>431</v>
      </c>
      <c r="M2948" s="34" t="s">
        <v>1069</v>
      </c>
      <c r="N2948" s="34">
        <v>3.77</v>
      </c>
      <c r="O2948" s="34">
        <f>+O2944</f>
        <v>1.2</v>
      </c>
      <c r="P2948" s="34">
        <v>2</v>
      </c>
      <c r="Q2948" s="44">
        <f t="shared" si="466"/>
        <v>9.048</v>
      </c>
      <c r="R2948" s="71">
        <f>+Q2948/R2944</f>
        <v>2.28484848484848</v>
      </c>
      <c r="S2948" s="47"/>
      <c r="T2948" s="47"/>
    </row>
    <row r="2949" s="27" customFormat="1" ht="18" customHeight="1" spans="1:20">
      <c r="A2949" s="34"/>
      <c r="B2949" s="48">
        <v>6</v>
      </c>
      <c r="C2949" s="48" t="s">
        <v>409</v>
      </c>
      <c r="D2949" s="48" t="s">
        <v>410</v>
      </c>
      <c r="E2949" s="48"/>
      <c r="F2949" s="50"/>
      <c r="G2949" s="48"/>
      <c r="H2949" s="73">
        <f>+'材料表 '!$E$179</f>
        <v>0</v>
      </c>
      <c r="I2949" s="52">
        <f>H2949*I2947</f>
        <v>0</v>
      </c>
      <c r="J2949" s="53" t="s">
        <v>392</v>
      </c>
      <c r="K2949" s="60"/>
      <c r="L2949" s="69" t="s">
        <v>431</v>
      </c>
      <c r="M2949" s="34" t="s">
        <v>1069</v>
      </c>
      <c r="N2949" s="34">
        <v>7.03</v>
      </c>
      <c r="O2949" s="34">
        <f>O2944</f>
        <v>1.2</v>
      </c>
      <c r="P2949" s="34">
        <f>0.6*5</f>
        <v>3</v>
      </c>
      <c r="Q2949" s="44">
        <f t="shared" si="466"/>
        <v>25.308</v>
      </c>
      <c r="R2949" s="71">
        <f>+Q2949/R2944</f>
        <v>6.39090909090909</v>
      </c>
      <c r="S2949" s="47"/>
      <c r="T2949" s="47"/>
    </row>
    <row r="2950" s="27" customFormat="1" ht="18" customHeight="1" spans="1:20">
      <c r="A2950" s="34"/>
      <c r="B2950" s="48">
        <v>7</v>
      </c>
      <c r="C2950" s="48" t="s">
        <v>412</v>
      </c>
      <c r="D2950" s="72" t="s">
        <v>413</v>
      </c>
      <c r="E2950" s="72"/>
      <c r="F2950" s="77"/>
      <c r="G2950" s="72"/>
      <c r="H2950" s="73">
        <f>+'材料表 '!$E$180</f>
        <v>0.09</v>
      </c>
      <c r="I2950" s="52">
        <f>(I2947+I2948+I2949)*H2950</f>
        <v>50.5773553767055</v>
      </c>
      <c r="J2950" s="53" t="s">
        <v>392</v>
      </c>
      <c r="K2950" s="60"/>
      <c r="L2950" s="69" t="s">
        <v>463</v>
      </c>
      <c r="M2950" s="34" t="s">
        <v>490</v>
      </c>
      <c r="N2950" s="34">
        <f>0.3*0.2*7.85*10</f>
        <v>4.71</v>
      </c>
      <c r="O2950" s="34">
        <v>1</v>
      </c>
      <c r="P2950" s="34">
        <v>2</v>
      </c>
      <c r="Q2950" s="44">
        <f t="shared" si="466"/>
        <v>9.42</v>
      </c>
      <c r="R2950" s="71">
        <f>+Q2950/R2944</f>
        <v>2.37878787878788</v>
      </c>
      <c r="S2950" s="47"/>
      <c r="T2950" s="47"/>
    </row>
    <row r="2951" s="27" customFormat="1" ht="18" customHeight="1" spans="1:20">
      <c r="A2951" s="34" t="s">
        <v>335</v>
      </c>
      <c r="B2951" s="48">
        <v>8</v>
      </c>
      <c r="C2951" s="48" t="s">
        <v>363</v>
      </c>
      <c r="D2951" s="106" t="s">
        <v>415</v>
      </c>
      <c r="E2951" s="107"/>
      <c r="F2951" s="108"/>
      <c r="G2951" s="107"/>
      <c r="H2951" s="51"/>
      <c r="I2951" s="74">
        <f>SUM(I2947:I2950)</f>
        <v>612.547970673433</v>
      </c>
      <c r="J2951" s="53" t="s">
        <v>416</v>
      </c>
      <c r="K2951" s="60"/>
      <c r="L2951" s="69" t="s">
        <v>465</v>
      </c>
      <c r="M2951" s="34" t="s">
        <v>1066</v>
      </c>
      <c r="N2951" s="100">
        <f>0.36*5*7.85</f>
        <v>14.13</v>
      </c>
      <c r="O2951" s="34">
        <f>110/1000</f>
        <v>0.11</v>
      </c>
      <c r="P2951" s="44">
        <f>+P2950*O2950*2</f>
        <v>4</v>
      </c>
      <c r="Q2951" s="44">
        <f t="shared" si="466"/>
        <v>6.2172</v>
      </c>
      <c r="R2951" s="84">
        <f>+Q2951/R2944</f>
        <v>1.57</v>
      </c>
      <c r="S2951" s="79"/>
      <c r="T2951" s="47"/>
    </row>
    <row r="2952" s="27" customFormat="1" ht="18" customHeight="1" spans="1:20">
      <c r="A2952" s="34"/>
      <c r="B2952" s="109" t="s">
        <v>418</v>
      </c>
      <c r="C2952" s="110"/>
      <c r="D2952" s="110"/>
      <c r="E2952" s="110"/>
      <c r="F2952" s="110"/>
      <c r="G2952" s="110"/>
      <c r="H2952" s="110"/>
      <c r="I2952" s="110"/>
      <c r="J2952" s="110"/>
      <c r="K2952" s="80"/>
      <c r="L2952" s="69" t="s">
        <v>433</v>
      </c>
      <c r="M2952" s="44"/>
      <c r="N2952" s="82">
        <f>0.056*3*2.71+0.0675*3*2.71</f>
        <v>1.004055</v>
      </c>
      <c r="O2952" s="44">
        <f>O2944</f>
        <v>1.2</v>
      </c>
      <c r="P2952" s="44">
        <v>1</v>
      </c>
      <c r="Q2952" s="44">
        <f t="shared" si="466"/>
        <v>1.204866</v>
      </c>
      <c r="R2952" s="84">
        <f>+Q2952/R2944</f>
        <v>0.304259090909091</v>
      </c>
      <c r="S2952" s="47">
        <f>0.16*P2952*O2952/R2944</f>
        <v>0.0484848484848485</v>
      </c>
      <c r="T2952" s="47"/>
    </row>
    <row r="2953" s="27" customFormat="1" ht="18" customHeight="1" spans="1:20">
      <c r="A2953" s="34"/>
      <c r="B2953" s="48">
        <v>1</v>
      </c>
      <c r="C2953" s="48" t="s">
        <v>391</v>
      </c>
      <c r="D2953" s="48" t="s">
        <v>396</v>
      </c>
      <c r="E2953" s="48" t="s">
        <v>37</v>
      </c>
      <c r="F2953" s="50"/>
      <c r="G2953" s="48"/>
      <c r="H2953" s="51" t="s">
        <v>399</v>
      </c>
      <c r="I2953" s="51" t="s">
        <v>420</v>
      </c>
      <c r="J2953" s="95" t="s">
        <v>421</v>
      </c>
      <c r="K2953" s="92"/>
      <c r="L2953" s="69" t="s">
        <v>433</v>
      </c>
      <c r="M2953" s="44"/>
      <c r="N2953" s="82">
        <f>0.056*3*2.71+0.0675*3*2.71</f>
        <v>1.004055</v>
      </c>
      <c r="O2953" s="44">
        <f>P2944</f>
        <v>3.3</v>
      </c>
      <c r="P2953" s="44">
        <v>1</v>
      </c>
      <c r="Q2953" s="44">
        <f>+P2953*O2953</f>
        <v>3.3</v>
      </c>
      <c r="R2953" s="84">
        <f>+Q2953/R2944</f>
        <v>0.833333333333333</v>
      </c>
      <c r="S2953" s="47"/>
      <c r="T2953" s="47"/>
    </row>
    <row r="2954" s="27" customFormat="1" ht="18" customHeight="1" spans="1:20">
      <c r="A2954" s="34"/>
      <c r="B2954" s="48">
        <v>2</v>
      </c>
      <c r="C2954" s="48"/>
      <c r="D2954" s="111" t="s">
        <v>491</v>
      </c>
      <c r="E2954" s="49" t="s">
        <v>423</v>
      </c>
      <c r="F2954" s="112"/>
      <c r="G2954" s="111"/>
      <c r="H2954" s="113">
        <v>1</v>
      </c>
      <c r="I2954" s="113">
        <f>+辅材及安装费!$G$3</f>
        <v>165</v>
      </c>
      <c r="J2954" s="114">
        <f t="shared" ref="J2954:J2963" si="467">H2954*I2954</f>
        <v>165</v>
      </c>
      <c r="K2954" s="92"/>
      <c r="L2954" s="69" t="s">
        <v>461</v>
      </c>
      <c r="M2954" s="34" t="s">
        <v>462</v>
      </c>
      <c r="N2954" s="34">
        <v>3.77</v>
      </c>
      <c r="O2954" s="34">
        <v>0.65</v>
      </c>
      <c r="P2954" s="34">
        <v>0</v>
      </c>
      <c r="Q2954" s="44">
        <f>+P2954*O2954*N2954</f>
        <v>0</v>
      </c>
      <c r="R2954" s="84">
        <f>+Q2954/R2944</f>
        <v>0</v>
      </c>
      <c r="S2954" s="47"/>
      <c r="T2954" s="47"/>
    </row>
    <row r="2955" s="27" customFormat="1" ht="18" customHeight="1" spans="1:20">
      <c r="A2955" s="34"/>
      <c r="B2955" s="48">
        <v>3</v>
      </c>
      <c r="C2955" s="48"/>
      <c r="D2955" s="115"/>
      <c r="E2955" s="63"/>
      <c r="F2955" s="116"/>
      <c r="G2955" s="115"/>
      <c r="H2955" s="117"/>
      <c r="I2955" s="117"/>
      <c r="J2955" s="118"/>
      <c r="K2955" s="92"/>
      <c r="L2955" s="90" t="s">
        <v>472</v>
      </c>
      <c r="M2955" s="44"/>
      <c r="N2955" s="82"/>
      <c r="O2955" s="44"/>
      <c r="P2955" s="44">
        <f>+P2951</f>
        <v>4</v>
      </c>
      <c r="Q2955" s="44">
        <f>+P2955</f>
        <v>4</v>
      </c>
      <c r="R2955" s="84">
        <f>+Q2955/R2944</f>
        <v>1.01010101010101</v>
      </c>
      <c r="S2955" s="47"/>
      <c r="T2955" s="47"/>
    </row>
    <row r="2956" s="27" customFormat="1" ht="18" customHeight="1" spans="1:20">
      <c r="A2956" s="34"/>
      <c r="B2956" s="48">
        <v>4</v>
      </c>
      <c r="C2956" s="48"/>
      <c r="D2956" s="85" t="s">
        <v>426</v>
      </c>
      <c r="E2956" s="48" t="s">
        <v>392</v>
      </c>
      <c r="F2956" s="50"/>
      <c r="G2956" s="48"/>
      <c r="H2956" s="86"/>
      <c r="I2956" s="86"/>
      <c r="J2956" s="95">
        <f>SUM(J2954:J2954)</f>
        <v>165</v>
      </c>
      <c r="K2956" s="92"/>
      <c r="L2956" s="90" t="s">
        <v>473</v>
      </c>
      <c r="M2956" s="44"/>
      <c r="N2956" s="82"/>
      <c r="O2956" s="44"/>
      <c r="P2956" s="44"/>
      <c r="Q2956" s="44">
        <v>0</v>
      </c>
      <c r="R2956" s="84">
        <f>+Q2956/R2944</f>
        <v>0</v>
      </c>
      <c r="S2956" s="47"/>
      <c r="T2956" s="47"/>
    </row>
    <row r="2957" s="27" customFormat="1" ht="24" customHeight="1" spans="1:20">
      <c r="A2957" s="34"/>
      <c r="B2957" s="48">
        <v>1</v>
      </c>
      <c r="C2957" s="48" t="s">
        <v>394</v>
      </c>
      <c r="D2957" s="88" t="s">
        <v>431</v>
      </c>
      <c r="E2957" s="72" t="str">
        <f>+VLOOKUP(D2957,'材料表 '!C:F,2,0)</f>
        <v>kg</v>
      </c>
      <c r="F2957" s="77">
        <f>+SUMIF($L$2944:$L$2982,D2957,$R$2944:$R$2982)</f>
        <v>14.5340909090909</v>
      </c>
      <c r="G2957" s="89">
        <f>+VLOOKUP(D2957,'材料表 '!C:F,4,0)</f>
        <v>0.03</v>
      </c>
      <c r="H2957" s="74">
        <f t="shared" ref="H2957:H2963" si="468">F2957*(G2957+1)</f>
        <v>14.9701136363636</v>
      </c>
      <c r="I2957" s="74">
        <f>+VLOOKUP(D2957,'材料表 '!C:F,3,0)</f>
        <v>3.80530973451327</v>
      </c>
      <c r="J2957" s="95">
        <f t="shared" si="467"/>
        <v>56.9659191472244</v>
      </c>
      <c r="K2957" s="92">
        <f ca="1">H2957*K2943</f>
        <v>19735.2130826704</v>
      </c>
      <c r="L2957" s="90"/>
      <c r="M2957" s="44"/>
      <c r="N2957" s="82"/>
      <c r="O2957" s="44"/>
      <c r="P2957" s="44"/>
      <c r="Q2957" s="44"/>
      <c r="R2957" s="84"/>
      <c r="S2957" s="47"/>
      <c r="T2957" s="47"/>
    </row>
    <row r="2958" s="27" customFormat="1" ht="18" customHeight="1" spans="1:20">
      <c r="A2958" s="34"/>
      <c r="B2958" s="48">
        <v>2</v>
      </c>
      <c r="C2958" s="48"/>
      <c r="D2958" s="88" t="s">
        <v>461</v>
      </c>
      <c r="E2958" s="72" t="str">
        <f>+VLOOKUP(D2958,'材料表 '!C:F,2,0)</f>
        <v>kg</v>
      </c>
      <c r="F2958" s="77">
        <f>+SUMIF($L$2944:$L$2982,D2958,$R$2944:$R$2982)</f>
        <v>0</v>
      </c>
      <c r="G2958" s="89">
        <f>+VLOOKUP(D2958,'材料表 '!C:F,4,0)</f>
        <v>0.03</v>
      </c>
      <c r="H2958" s="74">
        <f t="shared" si="468"/>
        <v>0</v>
      </c>
      <c r="I2958" s="74">
        <f>+VLOOKUP(D2958,'材料表 '!C:F,3,0)</f>
        <v>3.53982300884956</v>
      </c>
      <c r="J2958" s="95">
        <f t="shared" si="467"/>
        <v>0</v>
      </c>
      <c r="K2958" s="92">
        <f ca="1">H2958*K2943</f>
        <v>0</v>
      </c>
      <c r="L2958" s="90"/>
      <c r="M2958" s="44"/>
      <c r="N2958" s="82"/>
      <c r="O2958" s="44"/>
      <c r="P2958" s="44"/>
      <c r="Q2958" s="44"/>
      <c r="R2958" s="84"/>
      <c r="S2958" s="47"/>
      <c r="T2958" s="47"/>
    </row>
    <row r="2959" s="27" customFormat="1" ht="18" customHeight="1" spans="1:20">
      <c r="A2959" s="34"/>
      <c r="B2959" s="48">
        <v>3</v>
      </c>
      <c r="C2959" s="48"/>
      <c r="D2959" s="88" t="s">
        <v>465</v>
      </c>
      <c r="E2959" s="72" t="str">
        <f>+VLOOKUP(D2959,'材料表 '!C:F,2,0)</f>
        <v>kg</v>
      </c>
      <c r="F2959" s="77">
        <f t="shared" ref="F2958:F2967" si="469">+SUMIF($L$2944:$L$2982,D2959,$R$2944:$R$2982)</f>
        <v>1.57</v>
      </c>
      <c r="G2959" s="89">
        <f>+VLOOKUP(D2959,'材料表 '!C:F,4,0)</f>
        <v>0.03</v>
      </c>
      <c r="H2959" s="74">
        <f t="shared" si="468"/>
        <v>1.6171</v>
      </c>
      <c r="I2959" s="74">
        <f>+VLOOKUP(D2959,'材料表 '!C:F,3,0)</f>
        <v>6.01769911504425</v>
      </c>
      <c r="J2959" s="95">
        <f t="shared" si="467"/>
        <v>9.73122123893806</v>
      </c>
      <c r="K2959" s="92">
        <f ca="1">H2959*K2943</f>
        <v>2131.83505825</v>
      </c>
      <c r="L2959" s="90"/>
      <c r="M2959" s="44"/>
      <c r="N2959" s="82"/>
      <c r="O2959" s="44"/>
      <c r="P2959" s="44"/>
      <c r="Q2959" s="44"/>
      <c r="R2959" s="84"/>
      <c r="S2959" s="47"/>
      <c r="T2959" s="47"/>
    </row>
    <row r="2960" s="27" customFormat="1" ht="18" customHeight="1" spans="1:20">
      <c r="A2960" s="34"/>
      <c r="B2960" s="48">
        <v>4</v>
      </c>
      <c r="C2960" s="48"/>
      <c r="D2960" s="88" t="s">
        <v>463</v>
      </c>
      <c r="E2960" s="72" t="str">
        <f>+VLOOKUP(D2960,'材料表 '!C:F,2,0)</f>
        <v>kg</v>
      </c>
      <c r="F2960" s="77">
        <f t="shared" si="469"/>
        <v>2.37878787878788</v>
      </c>
      <c r="G2960" s="89">
        <f>+VLOOKUP(D2960,'材料表 '!C:F,4,0)</f>
        <v>0.03</v>
      </c>
      <c r="H2960" s="74">
        <f t="shared" si="468"/>
        <v>2.45015151515152</v>
      </c>
      <c r="I2960" s="74">
        <f>+VLOOKUP(D2960,'材料表 '!C:F,3,0)</f>
        <v>6.01769911504425</v>
      </c>
      <c r="J2960" s="95">
        <f t="shared" si="467"/>
        <v>14.7442746044516</v>
      </c>
      <c r="K2960" s="92">
        <f ca="1">H2960*K2943</f>
        <v>3230.05311856061</v>
      </c>
      <c r="L2960" s="90" t="s">
        <v>474</v>
      </c>
      <c r="M2960" s="44"/>
      <c r="N2960" s="82"/>
      <c r="O2960" s="44"/>
      <c r="P2960" s="44"/>
      <c r="Q2960" s="44">
        <f>+O2950*P2950*4</f>
        <v>8</v>
      </c>
      <c r="R2960" s="84">
        <f>+Q2960/R2944</f>
        <v>2.02020202020202</v>
      </c>
      <c r="S2960" s="47"/>
      <c r="T2960" s="47"/>
    </row>
    <row r="2961" s="27" customFormat="1" ht="18" customHeight="1" spans="1:21">
      <c r="A2961" s="34"/>
      <c r="B2961" s="48">
        <v>5</v>
      </c>
      <c r="C2961" s="48"/>
      <c r="D2961" s="88" t="s">
        <v>433</v>
      </c>
      <c r="E2961" s="72" t="str">
        <f>+VLOOKUP(D2961,'材料表 '!C:F,2,0)</f>
        <v>kg</v>
      </c>
      <c r="F2961" s="77">
        <f t="shared" si="469"/>
        <v>1.13759242424242</v>
      </c>
      <c r="G2961" s="89">
        <f>+VLOOKUP(D2961,'材料表 '!C:F,4,0)</f>
        <v>0.03</v>
      </c>
      <c r="H2961" s="74">
        <f t="shared" si="468"/>
        <v>1.17172019696969</v>
      </c>
      <c r="I2961" s="74">
        <f>+VLOOKUP(D2961,'材料表 '!C:F,3,0)</f>
        <v>26.1150442477876</v>
      </c>
      <c r="J2961" s="95">
        <f t="shared" si="467"/>
        <v>30.5995247898899</v>
      </c>
      <c r="K2961" s="92">
        <f ca="1">H2961*K2943</f>
        <v>1544.68752356662</v>
      </c>
      <c r="L2961" s="92" t="s">
        <v>476</v>
      </c>
      <c r="M2961" s="44"/>
      <c r="N2961" s="82"/>
      <c r="O2961" s="44"/>
      <c r="P2961" s="44"/>
      <c r="Q2961" s="44">
        <f>15*8*(O2944*2+P2944*2)/500</f>
        <v>2.16</v>
      </c>
      <c r="R2961" s="84">
        <f>+Q2961/R2944</f>
        <v>0.545454545454546</v>
      </c>
      <c r="S2961" s="47"/>
      <c r="T2961" s="47"/>
    </row>
    <row r="2962" s="27" customFormat="1" ht="18" customHeight="1" spans="1:21">
      <c r="A2962" s="34"/>
      <c r="B2962" s="48">
        <v>6</v>
      </c>
      <c r="C2962" s="48"/>
      <c r="D2962" s="88" t="s">
        <v>427</v>
      </c>
      <c r="E2962" s="72" t="str">
        <f>+VLOOKUP(D2962,'材料表 '!C:F,2,0)</f>
        <v>kg</v>
      </c>
      <c r="F2962" s="77">
        <f t="shared" si="469"/>
        <v>0</v>
      </c>
      <c r="G2962" s="89">
        <f>+VLOOKUP(D2962,'材料表 '!C:F,4,0)</f>
        <v>0.03</v>
      </c>
      <c r="H2962" s="74">
        <f t="shared" si="468"/>
        <v>0</v>
      </c>
      <c r="I2962" s="74">
        <f>+VLOOKUP(D2962,'材料表 '!C:F,3,0)</f>
        <v>25.8495575221239</v>
      </c>
      <c r="J2962" s="95">
        <f t="shared" si="467"/>
        <v>0</v>
      </c>
      <c r="K2962" s="92">
        <f ca="1">H2962*K2943</f>
        <v>0</v>
      </c>
      <c r="L2962" s="69" t="s">
        <v>427</v>
      </c>
      <c r="M2962" s="70" t="s">
        <v>1007</v>
      </c>
      <c r="N2962" s="34">
        <v>3.111</v>
      </c>
      <c r="O2962" s="34">
        <f>P2944</f>
        <v>3.3</v>
      </c>
      <c r="P2962" s="34">
        <v>0</v>
      </c>
      <c r="Q2962" s="44">
        <f t="shared" ref="Q2962:Q2968" si="470">+P2962*O2962*N2962</f>
        <v>0</v>
      </c>
      <c r="R2962" s="71">
        <f>+Q2962/R2944</f>
        <v>0</v>
      </c>
      <c r="S2962" s="47"/>
      <c r="T2962" s="47"/>
    </row>
    <row r="2963" s="27" customFormat="1" ht="18" customHeight="1" spans="1:21">
      <c r="A2963" s="34"/>
      <c r="B2963" s="48">
        <v>7</v>
      </c>
      <c r="C2963" s="48"/>
      <c r="D2963" s="88" t="s">
        <v>1073</v>
      </c>
      <c r="E2963" s="72" t="str">
        <f>+VLOOKUP(D2963,'材料表 '!C:F,2,0)</f>
        <v>m2</v>
      </c>
      <c r="F2963" s="77">
        <f t="shared" si="469"/>
        <v>0</v>
      </c>
      <c r="G2963" s="89">
        <f>+VLOOKUP(D2963,'材料表 '!C:F,4,0)</f>
        <v>0</v>
      </c>
      <c r="H2963" s="74">
        <f t="shared" si="468"/>
        <v>0</v>
      </c>
      <c r="I2963" s="74">
        <f>+VLOOKUP(D2963,'材料表 '!C:F,3,0)</f>
        <v>26.5486725663717</v>
      </c>
      <c r="J2963" s="95">
        <f t="shared" si="467"/>
        <v>0</v>
      </c>
      <c r="K2963" s="92">
        <f ca="1">H2963*K2943</f>
        <v>0</v>
      </c>
      <c r="L2963" s="69" t="s">
        <v>429</v>
      </c>
      <c r="M2963" s="70" t="s">
        <v>1037</v>
      </c>
      <c r="N2963" s="34">
        <v>3.063</v>
      </c>
      <c r="O2963" s="100">
        <f>O2962/0.3*0.1</f>
        <v>1.1</v>
      </c>
      <c r="P2963" s="34">
        <v>0</v>
      </c>
      <c r="Q2963" s="44">
        <f t="shared" si="470"/>
        <v>0</v>
      </c>
      <c r="R2963" s="71">
        <f>+Q2963/R2944</f>
        <v>0</v>
      </c>
      <c r="S2963" s="47"/>
      <c r="T2963" s="47"/>
    </row>
    <row r="2964" s="27" customFormat="1" ht="18" customHeight="1" spans="1:21">
      <c r="A2964" s="34"/>
      <c r="B2964" s="48">
        <v>8</v>
      </c>
      <c r="C2964" s="48"/>
      <c r="D2964" s="88"/>
      <c r="E2964" s="72"/>
      <c r="F2964" s="77">
        <f t="shared" si="469"/>
        <v>0</v>
      </c>
      <c r="G2964" s="89"/>
      <c r="H2964" s="74"/>
      <c r="I2964" s="74"/>
      <c r="J2964" s="95"/>
      <c r="K2964" s="92">
        <f ca="1">H2964*K2943</f>
        <v>0</v>
      </c>
      <c r="L2964" s="69" t="s">
        <v>447</v>
      </c>
      <c r="M2964" s="70" t="s">
        <v>1038</v>
      </c>
      <c r="N2964" s="34">
        <f>1.041+0.104</f>
        <v>1.145</v>
      </c>
      <c r="O2964" s="34">
        <f>O2962</f>
        <v>3.3</v>
      </c>
      <c r="P2964" s="34">
        <v>0</v>
      </c>
      <c r="Q2964" s="44">
        <f t="shared" si="470"/>
        <v>0</v>
      </c>
      <c r="R2964" s="71">
        <f>+Q2964/R2944</f>
        <v>0</v>
      </c>
      <c r="S2964" s="47">
        <v>0.172</v>
      </c>
      <c r="T2964" s="47">
        <f>O2964*P2964*S2964</f>
        <v>0</v>
      </c>
      <c r="U2964" s="76">
        <f>T2964/R2944</f>
        <v>0</v>
      </c>
    </row>
    <row r="2965" s="27" customFormat="1" ht="18" customHeight="1" spans="1:21">
      <c r="A2965" s="34"/>
      <c r="B2965" s="48">
        <v>9</v>
      </c>
      <c r="C2965" s="48"/>
      <c r="D2965" s="88" t="s">
        <v>476</v>
      </c>
      <c r="E2965" s="72" t="str">
        <f>+VLOOKUP(D2965,'材料表 '!C:F,2,0)</f>
        <v>支</v>
      </c>
      <c r="F2965" s="77">
        <f t="shared" si="469"/>
        <v>0.545454545454546</v>
      </c>
      <c r="G2965" s="89">
        <f>+VLOOKUP(D2965,'材料表 '!C:F,4,0)</f>
        <v>0.15</v>
      </c>
      <c r="H2965" s="74">
        <f t="shared" ref="H2965:H2971" si="471">F2965*(G2965+1)</f>
        <v>0.627272727272728</v>
      </c>
      <c r="I2965" s="74">
        <f>+VLOOKUP(D2965,'材料表 '!C:F,3,0)</f>
        <v>11.5044247787611</v>
      </c>
      <c r="J2965" s="95">
        <f t="shared" ref="J2965:J2971" si="472">H2965*I2965</f>
        <v>7.21641190667742</v>
      </c>
      <c r="K2965" s="92">
        <f ca="1">H2965*K2943</f>
        <v>826.938340909092</v>
      </c>
      <c r="L2965" s="69" t="s">
        <v>429</v>
      </c>
      <c r="M2965" s="70" t="s">
        <v>1010</v>
      </c>
      <c r="N2965" s="102">
        <f>2.9</f>
        <v>2.9</v>
      </c>
      <c r="O2965" s="34">
        <v>0.2</v>
      </c>
      <c r="P2965" s="34">
        <v>0</v>
      </c>
      <c r="Q2965" s="44">
        <f t="shared" si="470"/>
        <v>0</v>
      </c>
      <c r="R2965" s="71">
        <f>+Q2965/R2944</f>
        <v>0</v>
      </c>
      <c r="S2965" s="47"/>
      <c r="T2965" s="47"/>
    </row>
    <row r="2966" s="27" customFormat="1" ht="18" customHeight="1" spans="1:21">
      <c r="A2966" s="34"/>
      <c r="B2966" s="48">
        <v>10</v>
      </c>
      <c r="C2966" s="48"/>
      <c r="D2966" s="88" t="s">
        <v>474</v>
      </c>
      <c r="E2966" s="72" t="str">
        <f>+VLOOKUP(D2966,'材料表 '!C:F,2,0)</f>
        <v>套</v>
      </c>
      <c r="F2966" s="77">
        <f t="shared" si="469"/>
        <v>2.02020202020202</v>
      </c>
      <c r="G2966" s="89">
        <f>+VLOOKUP(D2966,'材料表 '!C:F,4,0)</f>
        <v>0</v>
      </c>
      <c r="H2966" s="74">
        <f t="shared" si="471"/>
        <v>2.02020202020202</v>
      </c>
      <c r="I2966" s="74">
        <f>+VLOOKUP(D2966,'材料表 '!C:F,3,0)</f>
        <v>2.21238938053097</v>
      </c>
      <c r="J2966" s="95">
        <f t="shared" si="472"/>
        <v>4.46947349602216</v>
      </c>
      <c r="K2966" s="92">
        <f ca="1">H2966*K2943</f>
        <v>2663.24747474747</v>
      </c>
      <c r="L2966" s="69" t="s">
        <v>429</v>
      </c>
      <c r="M2966" s="70" t="s">
        <v>1040</v>
      </c>
      <c r="N2966" s="34">
        <v>0.733</v>
      </c>
      <c r="O2966" s="100">
        <f>O2963*2</f>
        <v>2.2</v>
      </c>
      <c r="P2966" s="34">
        <v>0</v>
      </c>
      <c r="Q2966" s="44">
        <f t="shared" si="470"/>
        <v>0</v>
      </c>
      <c r="R2966" s="71">
        <f>+Q2966/R2944</f>
        <v>0</v>
      </c>
      <c r="S2966" s="79"/>
      <c r="T2966" s="47"/>
    </row>
    <row r="2967" s="27" customFormat="1" ht="18" customHeight="1" spans="1:21">
      <c r="A2967" s="34"/>
      <c r="B2967" s="48">
        <v>11</v>
      </c>
      <c r="C2967" s="48"/>
      <c r="D2967" s="88" t="s">
        <v>472</v>
      </c>
      <c r="E2967" s="72" t="str">
        <f>+VLOOKUP(D2967,'材料表 '!C:F,2,0)</f>
        <v>套</v>
      </c>
      <c r="F2967" s="77">
        <f t="shared" si="469"/>
        <v>1.01010101010101</v>
      </c>
      <c r="G2967" s="89">
        <f>+VLOOKUP(D2967,'材料表 '!C:F,4,0)</f>
        <v>0</v>
      </c>
      <c r="H2967" s="74">
        <f t="shared" si="471"/>
        <v>1.01010101010101</v>
      </c>
      <c r="I2967" s="74">
        <f>+VLOOKUP(D2967,'材料表 '!C:F,3,0)</f>
        <v>2.47787610619469</v>
      </c>
      <c r="J2967" s="95">
        <f t="shared" si="472"/>
        <v>2.50290515777241</v>
      </c>
      <c r="K2967" s="92">
        <f ca="1">H2967*K2943</f>
        <v>1331.62373737374</v>
      </c>
      <c r="L2967" s="69" t="s">
        <v>404</v>
      </c>
      <c r="M2967" s="70" t="s">
        <v>1041</v>
      </c>
      <c r="N2967" s="34">
        <v>3.727</v>
      </c>
      <c r="O2967" s="34">
        <v>0</v>
      </c>
      <c r="P2967" s="34">
        <v>1</v>
      </c>
      <c r="Q2967" s="44">
        <f t="shared" si="470"/>
        <v>0</v>
      </c>
      <c r="R2967" s="71">
        <f>+Q2967/R2944</f>
        <v>0</v>
      </c>
      <c r="S2967" s="47"/>
      <c r="T2967" s="47"/>
      <c r="U2967" s="76"/>
    </row>
    <row r="2968" s="27" customFormat="1" ht="18" customHeight="1" spans="1:21">
      <c r="A2968" s="34"/>
      <c r="B2968" s="48">
        <v>12</v>
      </c>
      <c r="C2968" s="48"/>
      <c r="D2968" s="88" t="s">
        <v>506</v>
      </c>
      <c r="E2968" s="72" t="str">
        <f>+VLOOKUP(D2968,'材料表 '!C:F,2,0)</f>
        <v>m2</v>
      </c>
      <c r="F2968" s="77">
        <v>1.01</v>
      </c>
      <c r="G2968" s="89">
        <f>+VLOOKUP(D2968,'材料表 '!C:F,4,0)</f>
        <v>0.02</v>
      </c>
      <c r="H2968" s="74">
        <f t="shared" si="471"/>
        <v>1.0302</v>
      </c>
      <c r="I2968" s="74">
        <f>+VLOOKUP(D2968,'材料表 '!C:F,3,0)</f>
        <v>253.097345132743</v>
      </c>
      <c r="J2968" s="95">
        <f t="shared" si="472"/>
        <v>260.740884955752</v>
      </c>
      <c r="K2968" s="92">
        <f ca="1">H2968*K2943</f>
        <v>1358.1203865</v>
      </c>
      <c r="L2968" s="69" t="s">
        <v>429</v>
      </c>
      <c r="M2968" s="81" t="s">
        <v>1027</v>
      </c>
      <c r="N2968" s="82">
        <v>0.735</v>
      </c>
      <c r="O2968" s="34">
        <v>0</v>
      </c>
      <c r="P2968" s="34">
        <v>1</v>
      </c>
      <c r="Q2968" s="44">
        <f t="shared" si="470"/>
        <v>0</v>
      </c>
      <c r="R2968" s="71">
        <f>+Q2968/R2944</f>
        <v>0</v>
      </c>
      <c r="S2968" s="47"/>
      <c r="T2968" s="47"/>
    </row>
    <row r="2969" s="27" customFormat="1" ht="18" customHeight="1" spans="1:21">
      <c r="A2969" s="34"/>
      <c r="B2969" s="48">
        <v>13</v>
      </c>
      <c r="C2969" s="48"/>
      <c r="D2969" s="125"/>
      <c r="E2969" s="72"/>
      <c r="F2969" s="77"/>
      <c r="G2969" s="89"/>
      <c r="H2969" s="74"/>
      <c r="I2969" s="74"/>
      <c r="J2969" s="95"/>
      <c r="K2969" s="92"/>
      <c r="L2969" s="69"/>
      <c r="M2969" s="81"/>
      <c r="N2969" s="82"/>
      <c r="O2969" s="34"/>
      <c r="P2969" s="34"/>
      <c r="Q2969" s="44"/>
      <c r="R2969" s="71"/>
      <c r="S2969" s="47"/>
      <c r="T2969" s="47"/>
    </row>
    <row r="2970" s="27" customFormat="1" ht="18" customHeight="1" spans="1:21">
      <c r="A2970" s="34"/>
      <c r="B2970" s="48">
        <v>14</v>
      </c>
      <c r="C2970" s="48"/>
      <c r="D2970" s="124" t="s">
        <v>500</v>
      </c>
      <c r="E2970" s="72" t="str">
        <f>+VLOOKUP(D2970,'材料表 '!C:F,2,0)</f>
        <v>kg</v>
      </c>
      <c r="F2970" s="77">
        <v>0</v>
      </c>
      <c r="G2970" s="89">
        <f>+VLOOKUP(D2970,'材料表 '!C:F,4,0)</f>
        <v>0.03</v>
      </c>
      <c r="H2970" s="74">
        <f t="shared" si="471"/>
        <v>0</v>
      </c>
      <c r="I2970" s="74">
        <f>+VLOOKUP(D2970,'材料表 '!C:F,3,0)</f>
        <v>14.1592920353982</v>
      </c>
      <c r="J2970" s="95">
        <f t="shared" si="472"/>
        <v>0</v>
      </c>
      <c r="K2970" s="92">
        <f ca="1">H2970*K2943</f>
        <v>0</v>
      </c>
      <c r="L2970" s="69" t="s">
        <v>447</v>
      </c>
      <c r="M2970" s="70" t="s">
        <v>1038</v>
      </c>
      <c r="N2970" s="83">
        <v>0.977</v>
      </c>
      <c r="O2970" s="34">
        <v>0</v>
      </c>
      <c r="P2970" s="34">
        <v>1</v>
      </c>
      <c r="Q2970" s="44">
        <f>+P2970*O2970*N2970</f>
        <v>0</v>
      </c>
      <c r="R2970" s="84">
        <f>+Q2970/R2944</f>
        <v>0</v>
      </c>
      <c r="S2970" s="47">
        <v>0.185</v>
      </c>
      <c r="T2970" s="47">
        <f>O2970*P2970*S2970</f>
        <v>0</v>
      </c>
      <c r="U2970" s="27">
        <f>T2970/R2944</f>
        <v>0</v>
      </c>
    </row>
    <row r="2971" s="27" customFormat="1" ht="20" customHeight="1" spans="1:21">
      <c r="A2971" s="34"/>
      <c r="B2971" s="48">
        <v>15</v>
      </c>
      <c r="C2971" s="48"/>
      <c r="D2971" s="88" t="s">
        <v>479</v>
      </c>
      <c r="E2971" s="72" t="str">
        <f>+VLOOKUP(D2971,'材料表 '!C:F,2,0)</f>
        <v>kg</v>
      </c>
      <c r="F2971" s="77">
        <v>0</v>
      </c>
      <c r="G2971" s="89">
        <f>+VLOOKUP(D2971,'材料表 '!C:F,4,0)</f>
        <v>0.03</v>
      </c>
      <c r="H2971" s="74">
        <f t="shared" si="471"/>
        <v>0</v>
      </c>
      <c r="I2971" s="74">
        <f>+VLOOKUP(D2971,'材料表 '!C:F,3,0)</f>
        <v>14.1592920353982</v>
      </c>
      <c r="J2971" s="95">
        <f t="shared" si="472"/>
        <v>0</v>
      </c>
      <c r="K2971" s="92">
        <f ca="1">H2971*K2943</f>
        <v>0</v>
      </c>
      <c r="L2971" s="69" t="s">
        <v>429</v>
      </c>
      <c r="M2971" s="81" t="s">
        <v>1042</v>
      </c>
      <c r="N2971" s="82">
        <v>0.687</v>
      </c>
      <c r="O2971" s="44">
        <v>0</v>
      </c>
      <c r="P2971" s="34">
        <v>0</v>
      </c>
      <c r="Q2971" s="44">
        <f>+P2971*O2971*N2971</f>
        <v>0</v>
      </c>
      <c r="R2971" s="84">
        <f>+Q2971/R2944</f>
        <v>0</v>
      </c>
      <c r="S2971" s="47"/>
      <c r="T2971" s="47"/>
    </row>
    <row r="2972" s="27" customFormat="1" ht="18" customHeight="1" spans="1:21">
      <c r="A2972" s="34"/>
      <c r="B2972" s="48">
        <v>16</v>
      </c>
      <c r="C2972" s="48"/>
      <c r="D2972" s="88"/>
      <c r="E2972" s="72"/>
      <c r="F2972" s="77"/>
      <c r="G2972" s="89"/>
      <c r="H2972" s="74"/>
      <c r="I2972" s="74"/>
      <c r="J2972" s="95"/>
      <c r="K2972" s="92"/>
      <c r="L2972" s="92"/>
      <c r="M2972" s="44"/>
      <c r="N2972" s="44"/>
      <c r="O2972" s="44"/>
      <c r="P2972" s="44"/>
      <c r="Q2972" s="44"/>
      <c r="R2972" s="84"/>
      <c r="S2972" s="47"/>
      <c r="T2972" s="47"/>
    </row>
    <row r="2973" s="27" customFormat="1" ht="18" customHeight="1" spans="1:21">
      <c r="A2973" s="34"/>
      <c r="B2973" s="48">
        <v>17</v>
      </c>
      <c r="C2973" s="48"/>
      <c r="D2973" s="88"/>
      <c r="E2973" s="72"/>
      <c r="F2973" s="77"/>
      <c r="G2973" s="89"/>
      <c r="H2973" s="74"/>
      <c r="I2973" s="74"/>
      <c r="J2973" s="95"/>
      <c r="K2973" s="92"/>
      <c r="L2973" s="92"/>
      <c r="M2973" s="44"/>
      <c r="N2973" s="44"/>
      <c r="O2973" s="44"/>
      <c r="P2973" s="44"/>
      <c r="Q2973" s="44"/>
      <c r="R2973" s="84"/>
      <c r="S2973" s="47"/>
      <c r="T2973" s="47"/>
    </row>
    <row r="2974" s="27" customFormat="1" ht="18" customHeight="1" spans="1:21">
      <c r="A2974" s="34"/>
      <c r="B2974" s="48">
        <v>18</v>
      </c>
      <c r="C2974" s="48"/>
      <c r="D2974" s="121"/>
      <c r="E2974" s="72"/>
      <c r="F2974" s="77"/>
      <c r="G2974" s="89"/>
      <c r="H2974" s="74"/>
      <c r="I2974" s="74"/>
      <c r="J2974" s="95"/>
      <c r="K2974" s="92"/>
      <c r="L2974" s="92"/>
      <c r="M2974" s="44"/>
      <c r="N2974" s="44"/>
      <c r="O2974" s="44"/>
      <c r="P2974" s="44"/>
      <c r="Q2974" s="101"/>
      <c r="R2974" s="84"/>
      <c r="S2974" s="47"/>
      <c r="T2974" s="47"/>
    </row>
    <row r="2975" s="27" customFormat="1" ht="18" customHeight="1" spans="1:21">
      <c r="A2975" s="34"/>
      <c r="B2975" s="48">
        <v>19</v>
      </c>
      <c r="C2975" s="48"/>
      <c r="D2975" s="88"/>
      <c r="E2975" s="72"/>
      <c r="F2975" s="77"/>
      <c r="G2975" s="89"/>
      <c r="H2975" s="74"/>
      <c r="I2975" s="74"/>
      <c r="J2975" s="95"/>
      <c r="K2975" s="92"/>
      <c r="L2975" s="92"/>
      <c r="M2975" s="44"/>
      <c r="N2975" s="44"/>
      <c r="O2975" s="44"/>
      <c r="P2975" s="44"/>
      <c r="Q2975" s="44"/>
      <c r="R2975" s="84"/>
      <c r="S2975" s="47"/>
      <c r="T2975" s="47"/>
    </row>
    <row r="2976" s="27" customFormat="1" ht="18" customHeight="1" spans="1:21">
      <c r="A2976" s="34"/>
      <c r="B2976" s="48">
        <v>20</v>
      </c>
      <c r="C2976" s="48"/>
      <c r="D2976" s="27"/>
      <c r="E2976" s="72"/>
      <c r="F2976" s="77"/>
      <c r="G2976" s="89"/>
      <c r="H2976" s="74"/>
      <c r="I2976" s="74"/>
      <c r="J2976" s="95"/>
      <c r="K2976" s="92"/>
      <c r="L2976" s="92"/>
      <c r="M2976" s="44"/>
      <c r="N2976" s="44"/>
      <c r="O2976" s="44"/>
      <c r="P2976" s="44"/>
      <c r="Q2976" s="44"/>
      <c r="R2976" s="84"/>
      <c r="S2976" s="47"/>
      <c r="T2976" s="47"/>
    </row>
    <row r="2977" s="27" customFormat="1" ht="18" customHeight="1" spans="1:20">
      <c r="A2977" s="34"/>
      <c r="B2977" s="48">
        <v>21</v>
      </c>
      <c r="C2977" s="48"/>
      <c r="D2977" s="88"/>
      <c r="E2977" s="72"/>
      <c r="F2977" s="77"/>
      <c r="G2977" s="89"/>
      <c r="H2977" s="74"/>
      <c r="I2977" s="74"/>
      <c r="J2977" s="95"/>
      <c r="K2977" s="92"/>
      <c r="L2977" s="92"/>
      <c r="M2977" s="44"/>
      <c r="N2977" s="44"/>
      <c r="O2977" s="44"/>
      <c r="P2977" s="44"/>
      <c r="Q2977" s="44"/>
      <c r="R2977" s="84"/>
      <c r="S2977" s="47"/>
      <c r="T2977" s="47"/>
    </row>
    <row r="2978" s="27" customFormat="1" ht="18" customHeight="1" spans="1:20">
      <c r="A2978" s="34"/>
      <c r="B2978" s="48">
        <v>22</v>
      </c>
      <c r="C2978" s="48"/>
      <c r="D2978" s="88"/>
      <c r="E2978" s="72"/>
      <c r="F2978" s="77"/>
      <c r="G2978" s="89"/>
      <c r="H2978" s="74"/>
      <c r="I2978" s="74"/>
      <c r="J2978" s="95"/>
      <c r="K2978" s="92"/>
      <c r="L2978" s="92"/>
      <c r="M2978" s="44"/>
      <c r="N2978" s="44"/>
      <c r="O2978" s="44"/>
      <c r="P2978" s="44"/>
      <c r="Q2978" s="44"/>
      <c r="R2978" s="84"/>
      <c r="S2978" s="47"/>
      <c r="T2978" s="47"/>
    </row>
    <row r="2979" s="27" customFormat="1" ht="18" customHeight="1" spans="1:20">
      <c r="A2979" s="34"/>
      <c r="B2979" s="48">
        <v>23</v>
      </c>
      <c r="C2979" s="48"/>
      <c r="D2979" s="27"/>
      <c r="E2979" s="72"/>
      <c r="F2979" s="77"/>
      <c r="G2979" s="72"/>
      <c r="H2979" s="74"/>
      <c r="I2979" s="74"/>
      <c r="J2979" s="95"/>
      <c r="K2979" s="92"/>
      <c r="L2979" s="92"/>
      <c r="M2979" s="44"/>
      <c r="N2979" s="44"/>
      <c r="O2979" s="44"/>
      <c r="P2979" s="44"/>
      <c r="Q2979" s="44"/>
      <c r="R2979" s="62"/>
      <c r="S2979" s="47"/>
      <c r="T2979" s="47"/>
    </row>
    <row r="2980" s="27" customFormat="1" ht="18" customHeight="1" spans="1:20">
      <c r="A2980" s="34"/>
      <c r="B2980" s="48">
        <v>24</v>
      </c>
      <c r="C2980" s="48"/>
      <c r="D2980" s="88" t="s">
        <v>478</v>
      </c>
      <c r="E2980" s="72" t="s">
        <v>43</v>
      </c>
      <c r="F2980" s="77"/>
      <c r="G2980" s="72">
        <v>1</v>
      </c>
      <c r="H2980" s="74">
        <v>1</v>
      </c>
      <c r="I2980" s="74">
        <f>+辅材及安装费!$E$3</f>
        <v>5</v>
      </c>
      <c r="J2980" s="95">
        <f>H2980*I2980</f>
        <v>5</v>
      </c>
      <c r="K2980" s="92"/>
      <c r="L2980" s="92"/>
      <c r="M2980" s="44"/>
      <c r="N2980" s="44"/>
      <c r="O2980" s="44"/>
      <c r="P2980" s="44"/>
      <c r="Q2980" s="44"/>
      <c r="R2980" s="62"/>
      <c r="S2980" s="47"/>
      <c r="T2980" s="47"/>
    </row>
    <row r="2981" s="27" customFormat="1" ht="18" customHeight="1" spans="1:20">
      <c r="A2981" s="34"/>
      <c r="B2981" s="48">
        <v>25</v>
      </c>
      <c r="C2981" s="48"/>
      <c r="D2981" s="93" t="s">
        <v>442</v>
      </c>
      <c r="E2981" s="72"/>
      <c r="F2981" s="77"/>
      <c r="G2981" s="72"/>
      <c r="H2981" s="74"/>
      <c r="I2981" s="74"/>
      <c r="J2981" s="95">
        <f>SUM(J2957:J2980)</f>
        <v>391.970615296728</v>
      </c>
      <c r="K2981" s="92"/>
      <c r="L2981" s="94"/>
      <c r="M2981" s="27"/>
      <c r="N2981" s="83"/>
      <c r="O2981" s="83"/>
      <c r="P2981" s="83"/>
      <c r="Q2981" s="83"/>
      <c r="R2981" s="87"/>
      <c r="S2981" s="47"/>
      <c r="T2981" s="47"/>
    </row>
    <row r="2982" s="27" customFormat="1" ht="18" customHeight="1" spans="1:20">
      <c r="A2982" s="34"/>
      <c r="B2982" s="48">
        <v>1</v>
      </c>
      <c r="C2982" s="48" t="s">
        <v>443</v>
      </c>
      <c r="D2982" s="48" t="s">
        <v>444</v>
      </c>
      <c r="E2982" s="72" t="s">
        <v>43</v>
      </c>
      <c r="F2982" s="50"/>
      <c r="G2982" s="48"/>
      <c r="H2982" s="51">
        <v>1</v>
      </c>
      <c r="I2982" s="74">
        <f>+辅材及安装费!$F$3</f>
        <v>5</v>
      </c>
      <c r="J2982" s="95">
        <f>H2982*I2982</f>
        <v>5</v>
      </c>
      <c r="K2982" s="118"/>
      <c r="L2982" s="96"/>
      <c r="M2982" s="97"/>
      <c r="N2982" s="98"/>
      <c r="O2982" s="98"/>
      <c r="P2982" s="98"/>
      <c r="Q2982" s="98"/>
      <c r="R2982" s="99"/>
      <c r="S2982" s="47"/>
      <c r="T2982" s="47"/>
    </row>
    <row r="2983" s="26" customFormat="1" ht="30" customHeight="1" spans="1:20">
      <c r="A2983" s="28"/>
      <c r="B2983" s="29" t="s">
        <v>386</v>
      </c>
      <c r="C2983" s="29"/>
      <c r="D2983" s="29"/>
      <c r="E2983" s="29"/>
      <c r="F2983" s="29"/>
      <c r="G2983" s="29"/>
      <c r="H2983" s="29"/>
      <c r="I2983" s="29"/>
      <c r="J2983" s="29"/>
      <c r="K2983" s="29"/>
      <c r="L2983" s="30"/>
      <c r="M2983" s="31"/>
      <c r="N2983" s="31"/>
      <c r="O2983" s="31"/>
      <c r="P2983" s="31"/>
      <c r="Q2983" s="31"/>
      <c r="R2983" s="32"/>
      <c r="S2983" s="33"/>
      <c r="T2983" s="33"/>
    </row>
    <row r="2984" s="27" customFormat="1" ht="33.75" customHeight="1" spans="1:20">
      <c r="A2984" s="34">
        <v>20</v>
      </c>
      <c r="B2984" s="35" t="s">
        <v>1</v>
      </c>
      <c r="C2984" s="35" t="s">
        <v>387</v>
      </c>
      <c r="D2984" s="36" t="str">
        <f>+A2992</f>
        <v>2.5㎜铝单板（无龙骨）</v>
      </c>
      <c r="E2984" s="37"/>
      <c r="F2984" s="38" t="s">
        <v>119</v>
      </c>
      <c r="G2984" s="39"/>
      <c r="H2984" s="35" t="s">
        <v>388</v>
      </c>
      <c r="I2984" s="40" t="s">
        <v>389</v>
      </c>
      <c r="J2984" s="41" t="s">
        <v>37</v>
      </c>
      <c r="K2984" s="122">
        <f ca="1">VLOOKUP(A2984,'商业工程量清单 '!$A$59:$D$81,4,FALSE)</f>
        <v>204</v>
      </c>
      <c r="L2984" s="43"/>
      <c r="M2984" s="44"/>
      <c r="N2984" s="44"/>
      <c r="O2984" s="44"/>
      <c r="P2984" s="45"/>
      <c r="Q2984" s="44"/>
      <c r="R2984" s="46"/>
      <c r="S2984" s="47"/>
      <c r="T2984" s="47"/>
    </row>
    <row r="2985" s="27" customFormat="1" ht="25" customHeight="1" spans="1:20">
      <c r="A2985" s="34"/>
      <c r="B2985" s="48">
        <v>1</v>
      </c>
      <c r="C2985" s="49" t="s">
        <v>390</v>
      </c>
      <c r="D2985" s="48" t="s">
        <v>391</v>
      </c>
      <c r="E2985" s="48"/>
      <c r="F2985" s="50"/>
      <c r="G2985" s="48"/>
      <c r="H2985" s="51"/>
      <c r="I2985" s="52">
        <f>J2997</f>
        <v>68</v>
      </c>
      <c r="J2985" s="53" t="s">
        <v>392</v>
      </c>
      <c r="K2985" s="54"/>
      <c r="L2985" s="55"/>
      <c r="M2985" s="56"/>
      <c r="N2985" s="57"/>
      <c r="O2985" s="57"/>
      <c r="P2985" s="57"/>
      <c r="Q2985" s="57"/>
      <c r="R2985" s="58"/>
      <c r="S2985" s="47"/>
      <c r="T2985" s="47"/>
    </row>
    <row r="2986" s="27" customFormat="1" ht="18" customHeight="1" spans="1:20">
      <c r="A2986" s="34"/>
      <c r="B2986" s="48">
        <v>2</v>
      </c>
      <c r="C2986" s="59"/>
      <c r="D2986" s="48" t="s">
        <v>394</v>
      </c>
      <c r="E2986" s="48"/>
      <c r="F2986" s="50"/>
      <c r="G2986" s="48"/>
      <c r="H2986" s="51"/>
      <c r="I2986" s="52">
        <f>J3022</f>
        <v>269.774336283186</v>
      </c>
      <c r="J2986" s="53" t="s">
        <v>392</v>
      </c>
      <c r="K2986" s="60"/>
      <c r="L2986" s="61"/>
      <c r="M2986" s="44"/>
      <c r="N2986" s="44"/>
      <c r="O2986" s="44"/>
      <c r="P2986" s="44"/>
      <c r="Q2986" s="44"/>
      <c r="R2986" s="62"/>
      <c r="S2986" s="47"/>
      <c r="T2986" s="47"/>
    </row>
    <row r="2987" s="27" customFormat="1" ht="18" customHeight="1" spans="1:20">
      <c r="A2987" s="34"/>
      <c r="B2987" s="48">
        <v>3</v>
      </c>
      <c r="C2987" s="63"/>
      <c r="D2987" s="48" t="s">
        <v>395</v>
      </c>
      <c r="E2987" s="48"/>
      <c r="F2987" s="50"/>
      <c r="G2987" s="48"/>
      <c r="H2987" s="51"/>
      <c r="I2987" s="52">
        <f>J3023</f>
        <v>5</v>
      </c>
      <c r="J2987" s="53" t="s">
        <v>392</v>
      </c>
      <c r="K2987" s="60"/>
      <c r="L2987" s="60"/>
      <c r="M2987" s="65"/>
      <c r="N2987" s="65"/>
      <c r="O2987" s="65"/>
      <c r="P2987" s="65"/>
      <c r="Q2987" s="65"/>
      <c r="R2987" s="66"/>
      <c r="S2987" s="47"/>
      <c r="T2987" s="47"/>
    </row>
    <row r="2988" s="27" customFormat="1" ht="18" customHeight="1" spans="1:20">
      <c r="A2988" s="34"/>
      <c r="B2988" s="48">
        <v>4</v>
      </c>
      <c r="C2988" s="48" t="s">
        <v>402</v>
      </c>
      <c r="D2988" s="67" t="s">
        <v>403</v>
      </c>
      <c r="E2988" s="67"/>
      <c r="F2988" s="50"/>
      <c r="G2988" s="67"/>
      <c r="H2988" s="68"/>
      <c r="I2988" s="52">
        <f>SUM(I2985:I2987)</f>
        <v>342.774336283186</v>
      </c>
      <c r="J2988" s="53" t="s">
        <v>392</v>
      </c>
      <c r="K2988" s="60"/>
      <c r="L2988" s="69"/>
      <c r="M2988" s="34"/>
      <c r="N2988" s="34"/>
      <c r="O2988" s="34"/>
      <c r="P2988" s="34"/>
      <c r="Q2988" s="44"/>
      <c r="R2988" s="71"/>
      <c r="S2988" s="47"/>
      <c r="T2988" s="47"/>
    </row>
    <row r="2989" s="27" customFormat="1" ht="28" customHeight="1" spans="1:20">
      <c r="A2989" s="34"/>
      <c r="B2989" s="48">
        <v>5</v>
      </c>
      <c r="C2989" s="72" t="s">
        <v>406</v>
      </c>
      <c r="D2989" s="48" t="s">
        <v>407</v>
      </c>
      <c r="E2989" s="48"/>
      <c r="F2989" s="50"/>
      <c r="G2989" s="48"/>
      <c r="H2989" s="73">
        <f>+'材料表 '!$E$178</f>
        <v>0</v>
      </c>
      <c r="I2989" s="52">
        <f>H2989*I2988</f>
        <v>0</v>
      </c>
      <c r="J2989" s="53" t="s">
        <v>392</v>
      </c>
      <c r="K2989" s="60"/>
      <c r="L2989" s="69"/>
      <c r="M2989" s="34"/>
      <c r="N2989" s="34"/>
      <c r="O2989" s="34"/>
      <c r="P2989" s="34"/>
      <c r="Q2989" s="44"/>
      <c r="R2989" s="71"/>
      <c r="S2989" s="47"/>
      <c r="T2989" s="47"/>
    </row>
    <row r="2990" s="27" customFormat="1" ht="18" customHeight="1" spans="1:20">
      <c r="A2990" s="34"/>
      <c r="B2990" s="48">
        <v>6</v>
      </c>
      <c r="C2990" s="48" t="s">
        <v>409</v>
      </c>
      <c r="D2990" s="48" t="s">
        <v>410</v>
      </c>
      <c r="E2990" s="48"/>
      <c r="F2990" s="50"/>
      <c r="G2990" s="48"/>
      <c r="H2990" s="73">
        <f>+'材料表 '!$E$179</f>
        <v>0</v>
      </c>
      <c r="I2990" s="52">
        <f>H2990*I2988</f>
        <v>0</v>
      </c>
      <c r="J2990" s="53" t="s">
        <v>392</v>
      </c>
      <c r="K2990" s="60"/>
      <c r="L2990" s="69"/>
      <c r="M2990" s="34"/>
      <c r="N2990" s="34"/>
      <c r="O2990" s="34"/>
      <c r="P2990" s="34"/>
      <c r="Q2990" s="44"/>
      <c r="R2990" s="71"/>
      <c r="S2990" s="47"/>
      <c r="T2990" s="47"/>
    </row>
    <row r="2991" s="27" customFormat="1" ht="18" customHeight="1" spans="1:20">
      <c r="A2991" s="34"/>
      <c r="B2991" s="48">
        <v>7</v>
      </c>
      <c r="C2991" s="48" t="s">
        <v>412</v>
      </c>
      <c r="D2991" s="72" t="s">
        <v>413</v>
      </c>
      <c r="E2991" s="72"/>
      <c r="F2991" s="77"/>
      <c r="G2991" s="72"/>
      <c r="H2991" s="73">
        <f>+'材料表 '!$E$180</f>
        <v>0.09</v>
      </c>
      <c r="I2991" s="52">
        <f>(I2988+I2989+I2990)*H2991</f>
        <v>30.8496902654867</v>
      </c>
      <c r="J2991" s="53" t="s">
        <v>392</v>
      </c>
      <c r="K2991" s="60"/>
      <c r="L2991" s="69"/>
      <c r="M2991" s="34"/>
      <c r="N2991" s="34"/>
      <c r="O2991" s="34"/>
      <c r="P2991" s="34"/>
      <c r="Q2991" s="44"/>
      <c r="R2991" s="71"/>
      <c r="S2991" s="47"/>
      <c r="T2991" s="47"/>
    </row>
    <row r="2992" s="27" customFormat="1" ht="18" customHeight="1" spans="1:20">
      <c r="A2992" s="34" t="s">
        <v>336</v>
      </c>
      <c r="B2992" s="48">
        <v>8</v>
      </c>
      <c r="C2992" s="48" t="s">
        <v>363</v>
      </c>
      <c r="D2992" s="106" t="s">
        <v>415</v>
      </c>
      <c r="E2992" s="107"/>
      <c r="F2992" s="108"/>
      <c r="G2992" s="107"/>
      <c r="H2992" s="51"/>
      <c r="I2992" s="74">
        <f>SUM(I2988:I2991)</f>
        <v>373.624026548672</v>
      </c>
      <c r="J2992" s="53" t="s">
        <v>416</v>
      </c>
      <c r="K2992" s="60"/>
      <c r="L2992" s="69"/>
      <c r="M2992" s="34"/>
      <c r="N2992" s="100"/>
      <c r="O2992" s="34"/>
      <c r="P2992" s="44"/>
      <c r="Q2992" s="44"/>
      <c r="R2992" s="84"/>
      <c r="S2992" s="79"/>
      <c r="T2992" s="47"/>
    </row>
    <row r="2993" s="27" customFormat="1" ht="18" customHeight="1" spans="1:21">
      <c r="A2993" s="34"/>
      <c r="B2993" s="109" t="s">
        <v>418</v>
      </c>
      <c r="C2993" s="110"/>
      <c r="D2993" s="110"/>
      <c r="E2993" s="110"/>
      <c r="F2993" s="110"/>
      <c r="G2993" s="110"/>
      <c r="H2993" s="110"/>
      <c r="I2993" s="110"/>
      <c r="J2993" s="110"/>
      <c r="K2993" s="80"/>
      <c r="L2993" s="69"/>
      <c r="M2993" s="44"/>
      <c r="N2993" s="82"/>
      <c r="O2993" s="44"/>
      <c r="P2993" s="44"/>
      <c r="Q2993" s="44"/>
      <c r="R2993" s="84"/>
      <c r="S2993" s="47"/>
      <c r="T2993" s="47"/>
    </row>
    <row r="2994" s="27" customFormat="1" ht="18" customHeight="1" spans="1:21">
      <c r="A2994" s="34"/>
      <c r="B2994" s="48">
        <v>1</v>
      </c>
      <c r="C2994" s="48" t="s">
        <v>391</v>
      </c>
      <c r="D2994" s="48" t="s">
        <v>396</v>
      </c>
      <c r="E2994" s="48" t="s">
        <v>37</v>
      </c>
      <c r="F2994" s="50"/>
      <c r="G2994" s="48"/>
      <c r="H2994" s="51" t="s">
        <v>399</v>
      </c>
      <c r="I2994" s="51" t="s">
        <v>420</v>
      </c>
      <c r="J2994" s="95" t="s">
        <v>421</v>
      </c>
      <c r="K2994" s="92"/>
      <c r="L2994" s="69"/>
      <c r="M2994" s="44"/>
      <c r="N2994" s="82"/>
      <c r="O2994" s="44"/>
      <c r="P2994" s="44"/>
      <c r="Q2994" s="44"/>
      <c r="R2994" s="84"/>
      <c r="S2994" s="47"/>
      <c r="T2994" s="47"/>
    </row>
    <row r="2995" s="27" customFormat="1" ht="18" customHeight="1" spans="1:21">
      <c r="A2995" s="34"/>
      <c r="B2995" s="48">
        <v>2</v>
      </c>
      <c r="C2995" s="48"/>
      <c r="D2995" s="111" t="s">
        <v>491</v>
      </c>
      <c r="E2995" s="49" t="s">
        <v>423</v>
      </c>
      <c r="F2995" s="112"/>
      <c r="G2995" s="111"/>
      <c r="H2995" s="113">
        <v>1</v>
      </c>
      <c r="I2995" s="113">
        <f>+辅材及安装费!$G$4</f>
        <v>68</v>
      </c>
      <c r="J2995" s="114">
        <f t="shared" ref="J2995:J3004" si="473">H2995*I2995</f>
        <v>68</v>
      </c>
      <c r="K2995" s="92"/>
      <c r="L2995" s="69"/>
      <c r="M2995" s="34"/>
      <c r="N2995" s="34"/>
      <c r="O2995" s="34"/>
      <c r="P2995" s="34"/>
      <c r="Q2995" s="44"/>
      <c r="R2995" s="84"/>
      <c r="S2995" s="47"/>
      <c r="T2995" s="47"/>
    </row>
    <row r="2996" s="27" customFormat="1" ht="18" customHeight="1" spans="1:21">
      <c r="A2996" s="34"/>
      <c r="B2996" s="48">
        <v>3</v>
      </c>
      <c r="C2996" s="48"/>
      <c r="D2996" s="115"/>
      <c r="E2996" s="63"/>
      <c r="F2996" s="116"/>
      <c r="G2996" s="115"/>
      <c r="H2996" s="117"/>
      <c r="I2996" s="117"/>
      <c r="J2996" s="118"/>
      <c r="K2996" s="92"/>
      <c r="L2996" s="90"/>
      <c r="M2996" s="44"/>
      <c r="N2996" s="82"/>
      <c r="O2996" s="44"/>
      <c r="P2996" s="44"/>
      <c r="Q2996" s="44"/>
      <c r="R2996" s="84"/>
      <c r="S2996" s="47"/>
      <c r="T2996" s="47"/>
    </row>
    <row r="2997" s="27" customFormat="1" ht="18" customHeight="1" spans="1:21">
      <c r="A2997" s="34"/>
      <c r="B2997" s="48">
        <v>4</v>
      </c>
      <c r="C2997" s="48"/>
      <c r="D2997" s="85" t="s">
        <v>426</v>
      </c>
      <c r="E2997" s="48" t="s">
        <v>392</v>
      </c>
      <c r="F2997" s="50"/>
      <c r="G2997" s="48"/>
      <c r="H2997" s="86"/>
      <c r="I2997" s="86"/>
      <c r="J2997" s="95">
        <f>SUM(J2995:J2995)</f>
        <v>68</v>
      </c>
      <c r="K2997" s="92"/>
      <c r="L2997" s="90"/>
      <c r="M2997" s="44"/>
      <c r="N2997" s="82"/>
      <c r="O2997" s="44"/>
      <c r="P2997" s="44"/>
      <c r="Q2997" s="44"/>
      <c r="R2997" s="84"/>
      <c r="S2997" s="47"/>
      <c r="T2997" s="47"/>
    </row>
    <row r="2998" s="27" customFormat="1" ht="24" customHeight="1" spans="1:21">
      <c r="A2998" s="34"/>
      <c r="B2998" s="48">
        <v>1</v>
      </c>
      <c r="C2998" s="48" t="s">
        <v>394</v>
      </c>
      <c r="D2998" s="88" t="s">
        <v>431</v>
      </c>
      <c r="E2998" s="72" t="str">
        <f>+VLOOKUP(D2998,'材料表 '!C:F,2,0)</f>
        <v>kg</v>
      </c>
      <c r="F2998" s="77">
        <v>0</v>
      </c>
      <c r="G2998" s="89">
        <f>+VLOOKUP(D2998,'材料表 '!C:F,4,0)</f>
        <v>0.03</v>
      </c>
      <c r="H2998" s="74">
        <f t="shared" ref="H2998:H3004" si="474">F2998*(G2998+1)</f>
        <v>0</v>
      </c>
      <c r="I2998" s="74">
        <f>+VLOOKUP(D2998,'材料表 '!C:F,3,0)</f>
        <v>3.80530973451327</v>
      </c>
      <c r="J2998" s="95">
        <f t="shared" si="473"/>
        <v>0</v>
      </c>
      <c r="K2998" s="92">
        <f ca="1">H2998*K2984</f>
        <v>0</v>
      </c>
      <c r="L2998" s="90"/>
      <c r="M2998" s="44"/>
      <c r="N2998" s="82"/>
      <c r="O2998" s="44"/>
      <c r="P2998" s="44"/>
      <c r="Q2998" s="44"/>
      <c r="R2998" s="84"/>
      <c r="S2998" s="47"/>
      <c r="T2998" s="47"/>
    </row>
    <row r="2999" s="27" customFormat="1" ht="18" customHeight="1" spans="1:21">
      <c r="A2999" s="34"/>
      <c r="B2999" s="48">
        <v>2</v>
      </c>
      <c r="C2999" s="48"/>
      <c r="D2999" s="88" t="s">
        <v>461</v>
      </c>
      <c r="E2999" s="72" t="str">
        <f>+VLOOKUP(D2999,'材料表 '!C:F,2,0)</f>
        <v>kg</v>
      </c>
      <c r="F2999" s="77">
        <v>0</v>
      </c>
      <c r="G2999" s="89">
        <f>+VLOOKUP(D2999,'材料表 '!C:F,4,0)</f>
        <v>0.03</v>
      </c>
      <c r="H2999" s="74">
        <f t="shared" si="474"/>
        <v>0</v>
      </c>
      <c r="I2999" s="74">
        <f>+VLOOKUP(D2999,'材料表 '!C:F,3,0)</f>
        <v>3.53982300884956</v>
      </c>
      <c r="J2999" s="95">
        <f t="shared" si="473"/>
        <v>0</v>
      </c>
      <c r="K2999" s="92">
        <f ca="1">H2999*K2984</f>
        <v>0</v>
      </c>
      <c r="L2999" s="90"/>
      <c r="M2999" s="44"/>
      <c r="N2999" s="82"/>
      <c r="O2999" s="44"/>
      <c r="P2999" s="44"/>
      <c r="Q2999" s="44"/>
      <c r="R2999" s="84"/>
      <c r="S2999" s="47"/>
      <c r="T2999" s="47"/>
    </row>
    <row r="3000" s="27" customFormat="1" ht="18" customHeight="1" spans="1:21">
      <c r="A3000" s="34"/>
      <c r="B3000" s="48">
        <v>3</v>
      </c>
      <c r="C3000" s="48"/>
      <c r="D3000" s="88" t="s">
        <v>465</v>
      </c>
      <c r="E3000" s="72" t="str">
        <f>+VLOOKUP(D3000,'材料表 '!C:F,2,0)</f>
        <v>kg</v>
      </c>
      <c r="F3000" s="77">
        <v>0</v>
      </c>
      <c r="G3000" s="89">
        <f>+VLOOKUP(D3000,'材料表 '!C:F,4,0)</f>
        <v>0.03</v>
      </c>
      <c r="H3000" s="74">
        <f t="shared" si="474"/>
        <v>0</v>
      </c>
      <c r="I3000" s="74">
        <f>+VLOOKUP(D3000,'材料表 '!C:F,3,0)</f>
        <v>6.01769911504425</v>
      </c>
      <c r="J3000" s="95">
        <f t="shared" si="473"/>
        <v>0</v>
      </c>
      <c r="K3000" s="92">
        <f ca="1">H3000*K2984</f>
        <v>0</v>
      </c>
      <c r="L3000" s="90"/>
      <c r="M3000" s="44"/>
      <c r="N3000" s="82"/>
      <c r="O3000" s="44"/>
      <c r="P3000" s="44"/>
      <c r="Q3000" s="44"/>
      <c r="R3000" s="84"/>
      <c r="S3000" s="47"/>
      <c r="T3000" s="47"/>
    </row>
    <row r="3001" s="27" customFormat="1" ht="18" customHeight="1" spans="1:21">
      <c r="A3001" s="34"/>
      <c r="B3001" s="48">
        <v>4</v>
      </c>
      <c r="C3001" s="48"/>
      <c r="D3001" s="88" t="s">
        <v>463</v>
      </c>
      <c r="E3001" s="72" t="str">
        <f>+VLOOKUP(D3001,'材料表 '!C:F,2,0)</f>
        <v>kg</v>
      </c>
      <c r="F3001" s="77">
        <v>0</v>
      </c>
      <c r="G3001" s="89">
        <f>+VLOOKUP(D3001,'材料表 '!C:F,4,0)</f>
        <v>0.03</v>
      </c>
      <c r="H3001" s="74">
        <f t="shared" si="474"/>
        <v>0</v>
      </c>
      <c r="I3001" s="74">
        <f>+VLOOKUP(D3001,'材料表 '!C:F,3,0)</f>
        <v>6.01769911504425</v>
      </c>
      <c r="J3001" s="95">
        <f t="shared" si="473"/>
        <v>0</v>
      </c>
      <c r="K3001" s="92">
        <f ca="1">H3001*K2984</f>
        <v>0</v>
      </c>
      <c r="L3001" s="90"/>
      <c r="M3001" s="44"/>
      <c r="N3001" s="82"/>
      <c r="O3001" s="44"/>
      <c r="P3001" s="44"/>
      <c r="Q3001" s="44"/>
      <c r="R3001" s="84"/>
      <c r="S3001" s="47"/>
      <c r="T3001" s="47"/>
    </row>
    <row r="3002" s="27" customFormat="1" ht="18" customHeight="1" spans="1:21">
      <c r="A3002" s="34"/>
      <c r="B3002" s="48">
        <v>5</v>
      </c>
      <c r="C3002" s="48"/>
      <c r="D3002" s="88" t="s">
        <v>433</v>
      </c>
      <c r="E3002" s="72" t="str">
        <f>+VLOOKUP(D3002,'材料表 '!C:F,2,0)</f>
        <v>kg</v>
      </c>
      <c r="F3002" s="77">
        <v>0</v>
      </c>
      <c r="G3002" s="89">
        <f>+VLOOKUP(D3002,'材料表 '!C:F,4,0)</f>
        <v>0.03</v>
      </c>
      <c r="H3002" s="74">
        <f t="shared" si="474"/>
        <v>0</v>
      </c>
      <c r="I3002" s="74">
        <f>+VLOOKUP(D3002,'材料表 '!C:F,3,0)</f>
        <v>26.1150442477876</v>
      </c>
      <c r="J3002" s="95">
        <f t="shared" si="473"/>
        <v>0</v>
      </c>
      <c r="K3002" s="92">
        <f ca="1">H3002*K2984</f>
        <v>0</v>
      </c>
      <c r="L3002" s="92"/>
      <c r="M3002" s="44"/>
      <c r="N3002" s="82"/>
      <c r="O3002" s="44"/>
      <c r="P3002" s="44"/>
      <c r="Q3002" s="44"/>
      <c r="R3002" s="84"/>
      <c r="S3002" s="47"/>
      <c r="T3002" s="47"/>
    </row>
    <row r="3003" s="27" customFormat="1" ht="18" customHeight="1" spans="1:21">
      <c r="A3003" s="34"/>
      <c r="B3003" s="48">
        <v>6</v>
      </c>
      <c r="C3003" s="48"/>
      <c r="D3003" s="88" t="s">
        <v>427</v>
      </c>
      <c r="E3003" s="72" t="str">
        <f>+VLOOKUP(D3003,'材料表 '!C:F,2,0)</f>
        <v>kg</v>
      </c>
      <c r="F3003" s="77">
        <v>0</v>
      </c>
      <c r="G3003" s="89">
        <f>+VLOOKUP(D3003,'材料表 '!C:F,4,0)</f>
        <v>0.03</v>
      </c>
      <c r="H3003" s="74">
        <f t="shared" si="474"/>
        <v>0</v>
      </c>
      <c r="I3003" s="74">
        <f>+VLOOKUP(D3003,'材料表 '!C:F,3,0)</f>
        <v>25.8495575221239</v>
      </c>
      <c r="J3003" s="95">
        <f t="shared" si="473"/>
        <v>0</v>
      </c>
      <c r="K3003" s="92">
        <f ca="1">H3003*K2984</f>
        <v>0</v>
      </c>
      <c r="L3003" s="69"/>
      <c r="M3003" s="70"/>
      <c r="N3003" s="34"/>
      <c r="O3003" s="34"/>
      <c r="P3003" s="34"/>
      <c r="Q3003" s="44"/>
      <c r="R3003" s="71"/>
      <c r="S3003" s="47"/>
      <c r="T3003" s="47"/>
    </row>
    <row r="3004" s="27" customFormat="1" ht="18" customHeight="1" spans="1:21">
      <c r="A3004" s="34"/>
      <c r="B3004" s="48">
        <v>7</v>
      </c>
      <c r="C3004" s="48"/>
      <c r="D3004" s="88"/>
      <c r="E3004" s="72"/>
      <c r="F3004" s="77"/>
      <c r="G3004" s="89"/>
      <c r="H3004" s="74"/>
      <c r="I3004" s="74"/>
      <c r="J3004" s="95"/>
      <c r="K3004" s="92">
        <f ca="1">H3004*K2984</f>
        <v>0</v>
      </c>
      <c r="L3004" s="69"/>
      <c r="M3004" s="70"/>
      <c r="N3004" s="34"/>
      <c r="O3004" s="100"/>
      <c r="P3004" s="34"/>
      <c r="Q3004" s="44"/>
      <c r="R3004" s="71"/>
      <c r="S3004" s="47"/>
      <c r="T3004" s="47"/>
    </row>
    <row r="3005" s="27" customFormat="1" ht="18" customHeight="1" spans="1:21">
      <c r="A3005" s="34"/>
      <c r="B3005" s="48">
        <v>8</v>
      </c>
      <c r="C3005" s="48"/>
      <c r="D3005" s="88"/>
      <c r="E3005" s="72"/>
      <c r="F3005" s="77"/>
      <c r="G3005" s="89"/>
      <c r="H3005" s="74"/>
      <c r="I3005" s="74"/>
      <c r="J3005" s="95"/>
      <c r="K3005" s="92">
        <f ca="1">H3005*K2984</f>
        <v>0</v>
      </c>
      <c r="L3005" s="69"/>
      <c r="M3005" s="70"/>
      <c r="N3005" s="34"/>
      <c r="O3005" s="34"/>
      <c r="P3005" s="34"/>
      <c r="Q3005" s="44"/>
      <c r="R3005" s="71"/>
      <c r="S3005" s="47"/>
      <c r="T3005" s="47"/>
      <c r="U3005" s="76"/>
    </row>
    <row r="3006" s="27" customFormat="1" ht="18" customHeight="1" spans="1:21">
      <c r="A3006" s="34"/>
      <c r="B3006" s="48">
        <v>9</v>
      </c>
      <c r="C3006" s="48"/>
      <c r="D3006" s="88" t="s">
        <v>476</v>
      </c>
      <c r="E3006" s="72" t="str">
        <f>+VLOOKUP(D3006,'材料表 '!C:F,2,0)</f>
        <v>支</v>
      </c>
      <c r="F3006" s="77">
        <v>0.5</v>
      </c>
      <c r="G3006" s="89">
        <f>+VLOOKUP(D3006,'材料表 '!C:F,4,0)</f>
        <v>0.15</v>
      </c>
      <c r="H3006" s="74">
        <f t="shared" ref="H3006:H3009" si="475">F3006*(G3006+1)</f>
        <v>0.575</v>
      </c>
      <c r="I3006" s="74">
        <f>+VLOOKUP(D3006,'材料表 '!C:F,3,0)</f>
        <v>11.5044247787611</v>
      </c>
      <c r="J3006" s="95">
        <f t="shared" ref="J3006:J3009" si="476">H3006*I3006</f>
        <v>6.61504424778763</v>
      </c>
      <c r="K3006" s="92">
        <f ca="1">H3006*K2984</f>
        <v>117.3</v>
      </c>
      <c r="L3006" s="69"/>
      <c r="M3006" s="70"/>
      <c r="N3006" s="102"/>
      <c r="O3006" s="34"/>
      <c r="P3006" s="34"/>
      <c r="Q3006" s="44"/>
      <c r="R3006" s="71"/>
      <c r="S3006" s="47"/>
      <c r="T3006" s="47"/>
    </row>
    <row r="3007" s="27" customFormat="1" ht="18" customHeight="1" spans="1:21">
      <c r="A3007" s="34"/>
      <c r="B3007" s="48">
        <v>10</v>
      </c>
      <c r="C3007" s="48"/>
      <c r="D3007" s="88" t="s">
        <v>474</v>
      </c>
      <c r="E3007" s="72" t="str">
        <f>+VLOOKUP(D3007,'材料表 '!C:F,2,0)</f>
        <v>套</v>
      </c>
      <c r="F3007" s="77">
        <v>0</v>
      </c>
      <c r="G3007" s="89">
        <f>+VLOOKUP(D3007,'材料表 '!C:F,4,0)</f>
        <v>0</v>
      </c>
      <c r="H3007" s="74">
        <f t="shared" si="475"/>
        <v>0</v>
      </c>
      <c r="I3007" s="74">
        <f>+VLOOKUP(D3007,'材料表 '!C:F,3,0)</f>
        <v>2.21238938053097</v>
      </c>
      <c r="J3007" s="95">
        <f t="shared" si="476"/>
        <v>0</v>
      </c>
      <c r="K3007" s="92">
        <f ca="1">H3007*K2984</f>
        <v>0</v>
      </c>
      <c r="L3007" s="69"/>
      <c r="M3007" s="70"/>
      <c r="N3007" s="34"/>
      <c r="O3007" s="100"/>
      <c r="P3007" s="34"/>
      <c r="Q3007" s="44"/>
      <c r="R3007" s="71"/>
      <c r="S3007" s="79"/>
      <c r="T3007" s="47"/>
    </row>
    <row r="3008" s="27" customFormat="1" ht="18" customHeight="1" spans="1:21">
      <c r="A3008" s="34"/>
      <c r="B3008" s="48">
        <v>11</v>
      </c>
      <c r="C3008" s="48"/>
      <c r="D3008" s="88" t="s">
        <v>472</v>
      </c>
      <c r="E3008" s="72" t="str">
        <f>+VLOOKUP(D3008,'材料表 '!C:F,2,0)</f>
        <v>套</v>
      </c>
      <c r="F3008" s="77">
        <v>0</v>
      </c>
      <c r="G3008" s="89">
        <f>+VLOOKUP(D3008,'材料表 '!C:F,4,0)</f>
        <v>0</v>
      </c>
      <c r="H3008" s="74">
        <f t="shared" si="475"/>
        <v>0</v>
      </c>
      <c r="I3008" s="74">
        <f>+VLOOKUP(D3008,'材料表 '!C:F,3,0)</f>
        <v>2.47787610619469</v>
      </c>
      <c r="J3008" s="95">
        <f t="shared" si="476"/>
        <v>0</v>
      </c>
      <c r="K3008" s="92">
        <f ca="1">H3008*K2984</f>
        <v>0</v>
      </c>
      <c r="L3008" s="69"/>
      <c r="M3008" s="70"/>
      <c r="N3008" s="34"/>
      <c r="O3008" s="34"/>
      <c r="P3008" s="34"/>
      <c r="Q3008" s="44"/>
      <c r="R3008" s="71"/>
      <c r="S3008" s="47"/>
      <c r="T3008" s="47"/>
      <c r="U3008" s="76"/>
    </row>
    <row r="3009" s="27" customFormat="1" ht="18" customHeight="1" spans="1:20">
      <c r="A3009" s="34"/>
      <c r="B3009" s="48">
        <v>12</v>
      </c>
      <c r="C3009" s="48"/>
      <c r="D3009" s="88" t="s">
        <v>624</v>
      </c>
      <c r="E3009" s="72" t="str">
        <f>+VLOOKUP(D3009,'材料表 '!C:F,2,0)</f>
        <v>m2</v>
      </c>
      <c r="F3009" s="77">
        <v>1</v>
      </c>
      <c r="G3009" s="89">
        <f>+VLOOKUP(D3009,'材料表 '!C:F,4,0)</f>
        <v>0.02</v>
      </c>
      <c r="H3009" s="74">
        <f t="shared" si="475"/>
        <v>1.02</v>
      </c>
      <c r="I3009" s="74">
        <f>+VLOOKUP(D3009,'材料表 '!C:F,3,0)</f>
        <v>253.097345132743</v>
      </c>
      <c r="J3009" s="95">
        <f t="shared" si="476"/>
        <v>258.159292035398</v>
      </c>
      <c r="K3009" s="92">
        <f ca="1">H3009*K2984</f>
        <v>208.08</v>
      </c>
      <c r="L3009" s="69"/>
      <c r="M3009" s="81"/>
      <c r="N3009" s="82"/>
      <c r="O3009" s="34"/>
      <c r="P3009" s="34"/>
      <c r="Q3009" s="44"/>
      <c r="R3009" s="71"/>
      <c r="S3009" s="47"/>
      <c r="T3009" s="47"/>
    </row>
    <row r="3010" s="27" customFormat="1" ht="18" customHeight="1" spans="1:20">
      <c r="A3010" s="34"/>
      <c r="B3010" s="48">
        <v>13</v>
      </c>
      <c r="C3010" s="48"/>
      <c r="D3010" s="125"/>
      <c r="E3010" s="72"/>
      <c r="F3010" s="77"/>
      <c r="G3010" s="89"/>
      <c r="H3010" s="74"/>
      <c r="I3010" s="74"/>
      <c r="J3010" s="95"/>
      <c r="K3010" s="92"/>
      <c r="L3010" s="69"/>
      <c r="M3010" s="81"/>
      <c r="N3010" s="82"/>
      <c r="O3010" s="34"/>
      <c r="P3010" s="34"/>
      <c r="Q3010" s="44"/>
      <c r="R3010" s="71"/>
      <c r="S3010" s="47"/>
      <c r="T3010" s="47"/>
    </row>
    <row r="3011" s="27" customFormat="1" ht="18" customHeight="1" spans="1:20">
      <c r="A3011" s="34"/>
      <c r="B3011" s="48">
        <v>14</v>
      </c>
      <c r="C3011" s="48"/>
      <c r="D3011" s="124"/>
      <c r="E3011" s="72"/>
      <c r="F3011" s="77"/>
      <c r="G3011" s="89"/>
      <c r="H3011" s="74"/>
      <c r="I3011" s="74"/>
      <c r="J3011" s="95"/>
      <c r="K3011" s="92">
        <f ca="1">H3011*K2984</f>
        <v>0</v>
      </c>
      <c r="L3011" s="69"/>
      <c r="M3011" s="70"/>
      <c r="N3011" s="83"/>
      <c r="O3011" s="34"/>
      <c r="P3011" s="34"/>
      <c r="Q3011" s="44"/>
      <c r="R3011" s="84"/>
      <c r="S3011" s="47"/>
      <c r="T3011" s="47"/>
    </row>
    <row r="3012" s="27" customFormat="1" ht="20" customHeight="1" spans="1:20">
      <c r="A3012" s="34"/>
      <c r="B3012" s="48">
        <v>15</v>
      </c>
      <c r="C3012" s="48"/>
      <c r="D3012" s="88"/>
      <c r="E3012" s="72"/>
      <c r="F3012" s="77"/>
      <c r="G3012" s="89"/>
      <c r="H3012" s="74"/>
      <c r="I3012" s="74"/>
      <c r="J3012" s="95"/>
      <c r="K3012" s="92">
        <f ca="1">H3012*K2984</f>
        <v>0</v>
      </c>
      <c r="L3012" s="69"/>
      <c r="M3012" s="81"/>
      <c r="N3012" s="82"/>
      <c r="O3012" s="44"/>
      <c r="P3012" s="34"/>
      <c r="Q3012" s="44"/>
      <c r="R3012" s="84"/>
      <c r="S3012" s="47"/>
      <c r="T3012" s="47"/>
    </row>
    <row r="3013" s="27" customFormat="1" ht="18" customHeight="1" spans="1:20">
      <c r="A3013" s="34"/>
      <c r="B3013" s="48">
        <v>16</v>
      </c>
      <c r="C3013" s="48"/>
      <c r="D3013" s="88"/>
      <c r="E3013" s="72"/>
      <c r="F3013" s="77"/>
      <c r="G3013" s="89"/>
      <c r="H3013" s="74"/>
      <c r="I3013" s="74"/>
      <c r="J3013" s="95"/>
      <c r="K3013" s="92"/>
      <c r="L3013" s="92"/>
      <c r="M3013" s="44"/>
      <c r="N3013" s="44"/>
      <c r="O3013" s="44"/>
      <c r="P3013" s="44"/>
      <c r="Q3013" s="44"/>
      <c r="R3013" s="84"/>
      <c r="S3013" s="47"/>
      <c r="T3013" s="47"/>
    </row>
    <row r="3014" s="27" customFormat="1" ht="18" customHeight="1" spans="1:20">
      <c r="A3014" s="34"/>
      <c r="B3014" s="48">
        <v>17</v>
      </c>
      <c r="C3014" s="48"/>
      <c r="D3014" s="88"/>
      <c r="E3014" s="72"/>
      <c r="F3014" s="77"/>
      <c r="G3014" s="89"/>
      <c r="H3014" s="74"/>
      <c r="I3014" s="74"/>
      <c r="J3014" s="95"/>
      <c r="K3014" s="92"/>
      <c r="L3014" s="92"/>
      <c r="M3014" s="44"/>
      <c r="N3014" s="44"/>
      <c r="O3014" s="44"/>
      <c r="P3014" s="44"/>
      <c r="Q3014" s="44"/>
      <c r="R3014" s="84"/>
      <c r="S3014" s="47"/>
      <c r="T3014" s="47"/>
    </row>
    <row r="3015" s="27" customFormat="1" ht="18" customHeight="1" spans="1:20">
      <c r="A3015" s="34"/>
      <c r="B3015" s="48">
        <v>18</v>
      </c>
      <c r="C3015" s="48"/>
      <c r="D3015" s="121"/>
      <c r="E3015" s="72"/>
      <c r="F3015" s="77"/>
      <c r="G3015" s="89"/>
      <c r="H3015" s="74"/>
      <c r="I3015" s="74"/>
      <c r="J3015" s="95"/>
      <c r="K3015" s="92"/>
      <c r="L3015" s="92"/>
      <c r="M3015" s="44"/>
      <c r="N3015" s="44"/>
      <c r="O3015" s="44"/>
      <c r="P3015" s="44"/>
      <c r="Q3015" s="101"/>
      <c r="R3015" s="84"/>
      <c r="S3015" s="47"/>
      <c r="T3015" s="47"/>
    </row>
    <row r="3016" s="27" customFormat="1" ht="18" customHeight="1" spans="1:20">
      <c r="A3016" s="34"/>
      <c r="B3016" s="48">
        <v>19</v>
      </c>
      <c r="C3016" s="48"/>
      <c r="D3016" s="88"/>
      <c r="E3016" s="72"/>
      <c r="F3016" s="77"/>
      <c r="G3016" s="89"/>
      <c r="H3016" s="74"/>
      <c r="I3016" s="74"/>
      <c r="J3016" s="95"/>
      <c r="K3016" s="92"/>
      <c r="L3016" s="92"/>
      <c r="M3016" s="44"/>
      <c r="N3016" s="44"/>
      <c r="O3016" s="44"/>
      <c r="P3016" s="44"/>
      <c r="Q3016" s="44"/>
      <c r="R3016" s="84"/>
      <c r="S3016" s="47"/>
      <c r="T3016" s="47"/>
    </row>
    <row r="3017" s="27" customFormat="1" ht="18" customHeight="1" spans="1:20">
      <c r="A3017" s="34"/>
      <c r="B3017" s="48">
        <v>20</v>
      </c>
      <c r="C3017" s="48"/>
      <c r="D3017" s="27"/>
      <c r="E3017" s="72"/>
      <c r="F3017" s="77"/>
      <c r="G3017" s="89"/>
      <c r="H3017" s="74"/>
      <c r="I3017" s="74"/>
      <c r="J3017" s="95"/>
      <c r="K3017" s="92"/>
      <c r="L3017" s="92"/>
      <c r="M3017" s="44"/>
      <c r="N3017" s="44"/>
      <c r="O3017" s="44"/>
      <c r="P3017" s="44"/>
      <c r="Q3017" s="44"/>
      <c r="R3017" s="84"/>
      <c r="S3017" s="47"/>
      <c r="T3017" s="47"/>
    </row>
    <row r="3018" s="27" customFormat="1" ht="18" customHeight="1" spans="1:20">
      <c r="A3018" s="34"/>
      <c r="B3018" s="48">
        <v>21</v>
      </c>
      <c r="C3018" s="48"/>
      <c r="D3018" s="88"/>
      <c r="E3018" s="72"/>
      <c r="F3018" s="77"/>
      <c r="G3018" s="89"/>
      <c r="H3018" s="74"/>
      <c r="I3018" s="74"/>
      <c r="J3018" s="95"/>
      <c r="K3018" s="92"/>
      <c r="L3018" s="92"/>
      <c r="M3018" s="44"/>
      <c r="N3018" s="44"/>
      <c r="O3018" s="44"/>
      <c r="P3018" s="44"/>
      <c r="Q3018" s="44"/>
      <c r="R3018" s="84"/>
      <c r="S3018" s="47"/>
      <c r="T3018" s="47"/>
    </row>
    <row r="3019" s="27" customFormat="1" ht="18" customHeight="1" spans="1:20">
      <c r="A3019" s="34"/>
      <c r="B3019" s="48">
        <v>22</v>
      </c>
      <c r="C3019" s="48"/>
      <c r="D3019" s="88"/>
      <c r="E3019" s="72"/>
      <c r="F3019" s="77"/>
      <c r="G3019" s="89"/>
      <c r="H3019" s="74"/>
      <c r="I3019" s="74"/>
      <c r="J3019" s="95"/>
      <c r="K3019" s="92"/>
      <c r="L3019" s="92"/>
      <c r="M3019" s="44"/>
      <c r="N3019" s="44"/>
      <c r="O3019" s="44"/>
      <c r="P3019" s="44"/>
      <c r="Q3019" s="44"/>
      <c r="R3019" s="84"/>
      <c r="S3019" s="47"/>
      <c r="T3019" s="47"/>
    </row>
    <row r="3020" s="27" customFormat="1" ht="18" customHeight="1" spans="1:20">
      <c r="A3020" s="34"/>
      <c r="B3020" s="48">
        <v>23</v>
      </c>
      <c r="C3020" s="48"/>
      <c r="D3020" s="27"/>
      <c r="E3020" s="72"/>
      <c r="F3020" s="77"/>
      <c r="G3020" s="72"/>
      <c r="H3020" s="74"/>
      <c r="I3020" s="74"/>
      <c r="J3020" s="95"/>
      <c r="K3020" s="92"/>
      <c r="L3020" s="92"/>
      <c r="M3020" s="44"/>
      <c r="N3020" s="44"/>
      <c r="O3020" s="44"/>
      <c r="P3020" s="44"/>
      <c r="Q3020" s="44"/>
      <c r="R3020" s="62"/>
      <c r="S3020" s="47"/>
      <c r="T3020" s="47"/>
    </row>
    <row r="3021" s="27" customFormat="1" ht="18" customHeight="1" spans="1:20">
      <c r="A3021" s="34"/>
      <c r="B3021" s="48">
        <v>24</v>
      </c>
      <c r="C3021" s="48"/>
      <c r="D3021" s="88" t="s">
        <v>478</v>
      </c>
      <c r="E3021" s="72" t="s">
        <v>43</v>
      </c>
      <c r="F3021" s="77"/>
      <c r="G3021" s="72">
        <v>1</v>
      </c>
      <c r="H3021" s="74">
        <v>1</v>
      </c>
      <c r="I3021" s="74">
        <f>+辅材及安装费!$E$4</f>
        <v>5</v>
      </c>
      <c r="J3021" s="95">
        <f>H3021*I3021</f>
        <v>5</v>
      </c>
      <c r="K3021" s="92"/>
      <c r="L3021" s="92"/>
      <c r="M3021" s="44"/>
      <c r="N3021" s="44"/>
      <c r="O3021" s="44"/>
      <c r="P3021" s="44"/>
      <c r="Q3021" s="44"/>
      <c r="R3021" s="62"/>
      <c r="S3021" s="47"/>
      <c r="T3021" s="47"/>
    </row>
    <row r="3022" s="27" customFormat="1" ht="18" customHeight="1" spans="1:20">
      <c r="A3022" s="34"/>
      <c r="B3022" s="48">
        <v>25</v>
      </c>
      <c r="C3022" s="48"/>
      <c r="D3022" s="93" t="s">
        <v>442</v>
      </c>
      <c r="E3022" s="72"/>
      <c r="F3022" s="77"/>
      <c r="G3022" s="72"/>
      <c r="H3022" s="74"/>
      <c r="I3022" s="74"/>
      <c r="J3022" s="95">
        <f>SUM(J2998:J3021)</f>
        <v>269.774336283186</v>
      </c>
      <c r="K3022" s="92"/>
      <c r="L3022" s="94"/>
      <c r="M3022" s="27"/>
      <c r="N3022" s="83"/>
      <c r="O3022" s="83"/>
      <c r="P3022" s="83"/>
      <c r="Q3022" s="83"/>
      <c r="R3022" s="87"/>
      <c r="S3022" s="47"/>
      <c r="T3022" s="47"/>
    </row>
    <row r="3023" s="27" customFormat="1" ht="18" customHeight="1" spans="1:20">
      <c r="A3023" s="34"/>
      <c r="B3023" s="48">
        <v>1</v>
      </c>
      <c r="C3023" s="48" t="s">
        <v>443</v>
      </c>
      <c r="D3023" s="48" t="s">
        <v>444</v>
      </c>
      <c r="E3023" s="72" t="s">
        <v>43</v>
      </c>
      <c r="F3023" s="50"/>
      <c r="G3023" s="48"/>
      <c r="H3023" s="51">
        <v>1</v>
      </c>
      <c r="I3023" s="74">
        <f>+辅材及安装费!$F$4</f>
        <v>5</v>
      </c>
      <c r="J3023" s="95">
        <f>H3023*I3023</f>
        <v>5</v>
      </c>
      <c r="K3023" s="118"/>
      <c r="L3023" s="96"/>
      <c r="M3023" s="97"/>
      <c r="N3023" s="98"/>
      <c r="O3023" s="98"/>
      <c r="P3023" s="98"/>
      <c r="Q3023" s="98"/>
      <c r="R3023" s="99"/>
      <c r="S3023" s="47"/>
      <c r="T3023" s="47"/>
    </row>
    <row r="3024" s="26" customFormat="1" ht="30" customHeight="1" spans="1:20">
      <c r="A3024" s="28"/>
      <c r="B3024" s="29" t="s">
        <v>386</v>
      </c>
      <c r="C3024" s="29"/>
      <c r="D3024" s="29"/>
      <c r="E3024" s="29"/>
      <c r="F3024" s="29"/>
      <c r="G3024" s="29"/>
      <c r="H3024" s="29"/>
      <c r="I3024" s="29"/>
      <c r="J3024" s="29"/>
      <c r="K3024" s="29"/>
      <c r="L3024" s="30"/>
      <c r="M3024" s="31"/>
      <c r="N3024" s="31"/>
      <c r="O3024" s="31"/>
      <c r="P3024" s="31"/>
      <c r="Q3024" s="31"/>
      <c r="R3024" s="32"/>
      <c r="S3024" s="33"/>
      <c r="T3024" s="33"/>
    </row>
    <row r="3025" s="27" customFormat="1" ht="33.75" customHeight="1" spans="1:20">
      <c r="A3025" s="34">
        <v>21</v>
      </c>
      <c r="B3025" s="35" t="s">
        <v>1</v>
      </c>
      <c r="C3025" s="35" t="s">
        <v>387</v>
      </c>
      <c r="D3025" s="36" t="str">
        <f>+A3033</f>
        <v>2㎜铝单板（背衬）</v>
      </c>
      <c r="E3025" s="37"/>
      <c r="F3025" s="38" t="s">
        <v>119</v>
      </c>
      <c r="G3025" s="39"/>
      <c r="H3025" s="35" t="s">
        <v>388</v>
      </c>
      <c r="I3025" s="40" t="s">
        <v>389</v>
      </c>
      <c r="J3025" s="41" t="s">
        <v>37</v>
      </c>
      <c r="K3025" s="122">
        <f ca="1">VLOOKUP(A3025,'商业工程量清单 '!$A$59:$D$81,4,FALSE)</f>
        <v>14.44686</v>
      </c>
      <c r="L3025" s="43"/>
      <c r="M3025" s="44"/>
      <c r="N3025" s="44"/>
      <c r="O3025" s="44"/>
      <c r="P3025" s="45"/>
      <c r="Q3025" s="44"/>
      <c r="R3025" s="46"/>
      <c r="S3025" s="47"/>
      <c r="T3025" s="47"/>
    </row>
    <row r="3026" s="27" customFormat="1" ht="25" customHeight="1" spans="1:20">
      <c r="A3026" s="34"/>
      <c r="B3026" s="48">
        <v>1</v>
      </c>
      <c r="C3026" s="49" t="s">
        <v>390</v>
      </c>
      <c r="D3026" s="48" t="s">
        <v>391</v>
      </c>
      <c r="E3026" s="48"/>
      <c r="F3026" s="50"/>
      <c r="G3026" s="48"/>
      <c r="H3026" s="51"/>
      <c r="I3026" s="52">
        <f>J3038</f>
        <v>35</v>
      </c>
      <c r="J3026" s="53" t="s">
        <v>392</v>
      </c>
      <c r="K3026" s="54"/>
      <c r="L3026" s="55"/>
      <c r="M3026" s="56"/>
      <c r="N3026" s="57"/>
      <c r="O3026" s="57"/>
      <c r="P3026" s="57"/>
      <c r="Q3026" s="57"/>
      <c r="R3026" s="58"/>
      <c r="S3026" s="47"/>
      <c r="T3026" s="47"/>
    </row>
    <row r="3027" s="27" customFormat="1" ht="18" customHeight="1" spans="1:20">
      <c r="A3027" s="34"/>
      <c r="B3027" s="48">
        <v>2</v>
      </c>
      <c r="C3027" s="59"/>
      <c r="D3027" s="48" t="s">
        <v>394</v>
      </c>
      <c r="E3027" s="48"/>
      <c r="F3027" s="50"/>
      <c r="G3027" s="48"/>
      <c r="H3027" s="51"/>
      <c r="I3027" s="52">
        <f>J3063</f>
        <v>202.075221238938</v>
      </c>
      <c r="J3027" s="53" t="s">
        <v>392</v>
      </c>
      <c r="K3027" s="60"/>
      <c r="L3027" s="61"/>
      <c r="M3027" s="44"/>
      <c r="N3027" s="44"/>
      <c r="O3027" s="44"/>
      <c r="P3027" s="44"/>
      <c r="Q3027" s="44"/>
      <c r="R3027" s="62"/>
      <c r="S3027" s="47"/>
      <c r="T3027" s="47"/>
    </row>
    <row r="3028" s="27" customFormat="1" ht="18" customHeight="1" spans="1:20">
      <c r="A3028" s="34"/>
      <c r="B3028" s="48">
        <v>3</v>
      </c>
      <c r="C3028" s="63"/>
      <c r="D3028" s="48" t="s">
        <v>395</v>
      </c>
      <c r="E3028" s="48"/>
      <c r="F3028" s="50"/>
      <c r="G3028" s="48"/>
      <c r="H3028" s="51"/>
      <c r="I3028" s="52">
        <f>J3064</f>
        <v>5</v>
      </c>
      <c r="J3028" s="53" t="s">
        <v>392</v>
      </c>
      <c r="K3028" s="60"/>
      <c r="L3028" s="60"/>
      <c r="M3028" s="65"/>
      <c r="N3028" s="65"/>
      <c r="O3028" s="65"/>
      <c r="P3028" s="65"/>
      <c r="Q3028" s="65"/>
      <c r="R3028" s="66"/>
      <c r="S3028" s="47"/>
      <c r="T3028" s="47"/>
    </row>
    <row r="3029" s="27" customFormat="1" ht="18" customHeight="1" spans="1:20">
      <c r="A3029" s="34"/>
      <c r="B3029" s="48">
        <v>4</v>
      </c>
      <c r="C3029" s="48" t="s">
        <v>402</v>
      </c>
      <c r="D3029" s="67" t="s">
        <v>403</v>
      </c>
      <c r="E3029" s="67"/>
      <c r="F3029" s="50"/>
      <c r="G3029" s="67"/>
      <c r="H3029" s="68"/>
      <c r="I3029" s="52">
        <f>SUM(I3026:I3028)</f>
        <v>242.075221238938</v>
      </c>
      <c r="J3029" s="53" t="s">
        <v>392</v>
      </c>
      <c r="K3029" s="60"/>
      <c r="L3029" s="69"/>
      <c r="M3029" s="34"/>
      <c r="N3029" s="34"/>
      <c r="O3029" s="34"/>
      <c r="P3029" s="34"/>
      <c r="Q3029" s="44"/>
      <c r="R3029" s="71"/>
      <c r="S3029" s="47"/>
      <c r="T3029" s="47"/>
    </row>
    <row r="3030" s="27" customFormat="1" ht="28" customHeight="1" spans="1:20">
      <c r="A3030" s="34"/>
      <c r="B3030" s="48">
        <v>5</v>
      </c>
      <c r="C3030" s="72" t="s">
        <v>406</v>
      </c>
      <c r="D3030" s="48" t="s">
        <v>407</v>
      </c>
      <c r="E3030" s="48"/>
      <c r="F3030" s="50"/>
      <c r="G3030" s="48"/>
      <c r="H3030" s="73">
        <f>+'材料表 '!$E$178</f>
        <v>0</v>
      </c>
      <c r="I3030" s="52">
        <f>H3030*I3029</f>
        <v>0</v>
      </c>
      <c r="J3030" s="53" t="s">
        <v>392</v>
      </c>
      <c r="K3030" s="60"/>
      <c r="L3030" s="69"/>
      <c r="M3030" s="34"/>
      <c r="N3030" s="34"/>
      <c r="O3030" s="34"/>
      <c r="P3030" s="34"/>
      <c r="Q3030" s="44"/>
      <c r="R3030" s="71"/>
      <c r="S3030" s="47"/>
      <c r="T3030" s="47"/>
    </row>
    <row r="3031" s="27" customFormat="1" ht="18" customHeight="1" spans="1:20">
      <c r="A3031" s="34"/>
      <c r="B3031" s="48">
        <v>6</v>
      </c>
      <c r="C3031" s="48" t="s">
        <v>409</v>
      </c>
      <c r="D3031" s="48" t="s">
        <v>410</v>
      </c>
      <c r="E3031" s="48"/>
      <c r="F3031" s="50"/>
      <c r="G3031" s="48"/>
      <c r="H3031" s="73">
        <f>+'材料表 '!$E$179</f>
        <v>0</v>
      </c>
      <c r="I3031" s="52">
        <f>H3031*I3029</f>
        <v>0</v>
      </c>
      <c r="J3031" s="53" t="s">
        <v>392</v>
      </c>
      <c r="K3031" s="60"/>
      <c r="L3031" s="69"/>
      <c r="M3031" s="34"/>
      <c r="N3031" s="34"/>
      <c r="O3031" s="34"/>
      <c r="P3031" s="34"/>
      <c r="Q3031" s="44"/>
      <c r="R3031" s="71"/>
      <c r="S3031" s="47"/>
      <c r="T3031" s="47"/>
    </row>
    <row r="3032" s="27" customFormat="1" ht="18" customHeight="1" spans="1:20">
      <c r="A3032" s="34"/>
      <c r="B3032" s="48">
        <v>7</v>
      </c>
      <c r="C3032" s="48" t="s">
        <v>412</v>
      </c>
      <c r="D3032" s="72" t="s">
        <v>413</v>
      </c>
      <c r="E3032" s="72"/>
      <c r="F3032" s="77"/>
      <c r="G3032" s="72"/>
      <c r="H3032" s="73">
        <f>+'材料表 '!$E$180</f>
        <v>0.09</v>
      </c>
      <c r="I3032" s="52">
        <f>(I3029+I3030+I3031)*H3032</f>
        <v>21.7867699115044</v>
      </c>
      <c r="J3032" s="53" t="s">
        <v>392</v>
      </c>
      <c r="K3032" s="60"/>
      <c r="L3032" s="69"/>
      <c r="M3032" s="34"/>
      <c r="N3032" s="34"/>
      <c r="O3032" s="34"/>
      <c r="P3032" s="34"/>
      <c r="Q3032" s="44"/>
      <c r="R3032" s="71"/>
      <c r="S3032" s="47"/>
      <c r="T3032" s="47"/>
    </row>
    <row r="3033" s="27" customFormat="1" ht="18" customHeight="1" spans="1:20">
      <c r="A3033" s="34" t="s">
        <v>338</v>
      </c>
      <c r="B3033" s="48">
        <v>8</v>
      </c>
      <c r="C3033" s="48" t="s">
        <v>363</v>
      </c>
      <c r="D3033" s="106" t="s">
        <v>415</v>
      </c>
      <c r="E3033" s="107"/>
      <c r="F3033" s="108"/>
      <c r="G3033" s="107"/>
      <c r="H3033" s="51"/>
      <c r="I3033" s="74">
        <f>SUM(I3029:I3032)</f>
        <v>263.861991150442</v>
      </c>
      <c r="J3033" s="53" t="s">
        <v>416</v>
      </c>
      <c r="K3033" s="60"/>
      <c r="L3033" s="69"/>
      <c r="M3033" s="34"/>
      <c r="N3033" s="100"/>
      <c r="O3033" s="34"/>
      <c r="P3033" s="44"/>
      <c r="Q3033" s="44"/>
      <c r="R3033" s="84"/>
      <c r="S3033" s="79"/>
      <c r="T3033" s="47"/>
    </row>
    <row r="3034" s="27" customFormat="1" ht="18" customHeight="1" spans="1:20">
      <c r="A3034" s="34"/>
      <c r="B3034" s="109" t="s">
        <v>418</v>
      </c>
      <c r="C3034" s="110"/>
      <c r="D3034" s="110"/>
      <c r="E3034" s="110"/>
      <c r="F3034" s="110"/>
      <c r="G3034" s="110"/>
      <c r="H3034" s="110"/>
      <c r="I3034" s="110"/>
      <c r="J3034" s="110"/>
      <c r="K3034" s="80"/>
      <c r="L3034" s="69"/>
      <c r="M3034" s="44"/>
      <c r="N3034" s="82"/>
      <c r="O3034" s="44"/>
      <c r="P3034" s="44"/>
      <c r="Q3034" s="44"/>
      <c r="R3034" s="84"/>
      <c r="S3034" s="47"/>
      <c r="T3034" s="47"/>
    </row>
    <row r="3035" s="27" customFormat="1" ht="18" customHeight="1" spans="1:20">
      <c r="A3035" s="34"/>
      <c r="B3035" s="48">
        <v>1</v>
      </c>
      <c r="C3035" s="48" t="s">
        <v>391</v>
      </c>
      <c r="D3035" s="48" t="s">
        <v>396</v>
      </c>
      <c r="E3035" s="48" t="s">
        <v>37</v>
      </c>
      <c r="F3035" s="50"/>
      <c r="G3035" s="48"/>
      <c r="H3035" s="51" t="s">
        <v>399</v>
      </c>
      <c r="I3035" s="51" t="s">
        <v>420</v>
      </c>
      <c r="J3035" s="95" t="s">
        <v>421</v>
      </c>
      <c r="K3035" s="92"/>
      <c r="L3035" s="69"/>
      <c r="M3035" s="44"/>
      <c r="N3035" s="82"/>
      <c r="O3035" s="44"/>
      <c r="P3035" s="44"/>
      <c r="Q3035" s="44"/>
      <c r="R3035" s="84"/>
      <c r="S3035" s="47"/>
      <c r="T3035" s="47"/>
    </row>
    <row r="3036" s="27" customFormat="1" ht="18" customHeight="1" spans="1:20">
      <c r="A3036" s="34"/>
      <c r="B3036" s="48">
        <v>2</v>
      </c>
      <c r="C3036" s="48"/>
      <c r="D3036" s="111" t="s">
        <v>491</v>
      </c>
      <c r="E3036" s="49" t="s">
        <v>423</v>
      </c>
      <c r="F3036" s="112"/>
      <c r="G3036" s="111"/>
      <c r="H3036" s="113">
        <v>1</v>
      </c>
      <c r="I3036" s="113">
        <f>+辅材及安装费!$G$21</f>
        <v>35</v>
      </c>
      <c r="J3036" s="114">
        <f t="shared" ref="J3036:J3044" si="477">H3036*I3036</f>
        <v>35</v>
      </c>
      <c r="K3036" s="92"/>
      <c r="L3036" s="69"/>
      <c r="M3036" s="34"/>
      <c r="N3036" s="34"/>
      <c r="O3036" s="34"/>
      <c r="P3036" s="34"/>
      <c r="Q3036" s="44"/>
      <c r="R3036" s="84"/>
      <c r="S3036" s="47"/>
      <c r="T3036" s="47"/>
    </row>
    <row r="3037" s="27" customFormat="1" ht="18" customHeight="1" spans="1:20">
      <c r="A3037" s="34"/>
      <c r="B3037" s="48">
        <v>3</v>
      </c>
      <c r="C3037" s="48"/>
      <c r="D3037" s="115"/>
      <c r="E3037" s="63"/>
      <c r="F3037" s="116"/>
      <c r="G3037" s="115"/>
      <c r="H3037" s="117"/>
      <c r="I3037" s="117"/>
      <c r="J3037" s="118"/>
      <c r="K3037" s="92"/>
      <c r="L3037" s="90"/>
      <c r="M3037" s="44"/>
      <c r="N3037" s="82"/>
      <c r="O3037" s="44"/>
      <c r="P3037" s="44"/>
      <c r="Q3037" s="44"/>
      <c r="R3037" s="84"/>
      <c r="S3037" s="47"/>
      <c r="T3037" s="47"/>
    </row>
    <row r="3038" s="27" customFormat="1" ht="18" customHeight="1" spans="1:20">
      <c r="A3038" s="34"/>
      <c r="B3038" s="48">
        <v>4</v>
      </c>
      <c r="C3038" s="48"/>
      <c r="D3038" s="85" t="s">
        <v>426</v>
      </c>
      <c r="E3038" s="48" t="s">
        <v>392</v>
      </c>
      <c r="F3038" s="50"/>
      <c r="G3038" s="48"/>
      <c r="H3038" s="86"/>
      <c r="I3038" s="86"/>
      <c r="J3038" s="95">
        <f>SUM(J3036:J3036)</f>
        <v>35</v>
      </c>
      <c r="K3038" s="92"/>
      <c r="L3038" s="90"/>
      <c r="M3038" s="44"/>
      <c r="N3038" s="82"/>
      <c r="O3038" s="44"/>
      <c r="P3038" s="44"/>
      <c r="Q3038" s="44"/>
      <c r="R3038" s="84"/>
      <c r="S3038" s="47"/>
      <c r="T3038" s="47"/>
    </row>
    <row r="3039" s="27" customFormat="1" ht="24" customHeight="1" spans="1:20">
      <c r="A3039" s="34"/>
      <c r="B3039" s="48">
        <v>1</v>
      </c>
      <c r="C3039" s="48" t="s">
        <v>394</v>
      </c>
      <c r="D3039" s="88" t="s">
        <v>431</v>
      </c>
      <c r="E3039" s="72" t="str">
        <f>+VLOOKUP(D3039,'材料表 '!C:F,2,0)</f>
        <v>kg</v>
      </c>
      <c r="F3039" s="77">
        <v>0</v>
      </c>
      <c r="G3039" s="89">
        <f>+VLOOKUP(D3039,'材料表 '!C:F,4,0)</f>
        <v>0.03</v>
      </c>
      <c r="H3039" s="74">
        <f t="shared" ref="H3039:H3044" si="478">F3039*(G3039+1)</f>
        <v>0</v>
      </c>
      <c r="I3039" s="74">
        <f>+VLOOKUP(D3039,'材料表 '!C:F,3,0)</f>
        <v>3.80530973451327</v>
      </c>
      <c r="J3039" s="95">
        <f t="shared" si="477"/>
        <v>0</v>
      </c>
      <c r="K3039" s="92">
        <f ca="1">H3039*K3025</f>
        <v>0</v>
      </c>
      <c r="L3039" s="90"/>
      <c r="M3039" s="44"/>
      <c r="N3039" s="82"/>
      <c r="O3039" s="44"/>
      <c r="P3039" s="44"/>
      <c r="Q3039" s="44"/>
      <c r="R3039" s="84"/>
      <c r="S3039" s="47"/>
      <c r="T3039" s="47"/>
    </row>
    <row r="3040" s="27" customFormat="1" ht="18" customHeight="1" spans="1:20">
      <c r="A3040" s="34"/>
      <c r="B3040" s="48">
        <v>2</v>
      </c>
      <c r="C3040" s="48"/>
      <c r="D3040" s="88" t="s">
        <v>461</v>
      </c>
      <c r="E3040" s="72" t="str">
        <f>+VLOOKUP(D3040,'材料表 '!C:F,2,0)</f>
        <v>kg</v>
      </c>
      <c r="F3040" s="77">
        <v>0</v>
      </c>
      <c r="G3040" s="89">
        <f>+VLOOKUP(D3040,'材料表 '!C:F,4,0)</f>
        <v>0.03</v>
      </c>
      <c r="H3040" s="74">
        <f t="shared" si="478"/>
        <v>0</v>
      </c>
      <c r="I3040" s="74">
        <f>+VLOOKUP(D3040,'材料表 '!C:F,3,0)</f>
        <v>3.53982300884956</v>
      </c>
      <c r="J3040" s="95">
        <f t="shared" si="477"/>
        <v>0</v>
      </c>
      <c r="K3040" s="92">
        <f ca="1">H3040*K3025</f>
        <v>0</v>
      </c>
      <c r="L3040" s="90"/>
      <c r="M3040" s="44"/>
      <c r="N3040" s="82"/>
      <c r="O3040" s="44"/>
      <c r="P3040" s="44"/>
      <c r="Q3040" s="44"/>
      <c r="R3040" s="84"/>
      <c r="S3040" s="47"/>
      <c r="T3040" s="47"/>
    </row>
    <row r="3041" s="27" customFormat="1" ht="18" customHeight="1" spans="1:21">
      <c r="A3041" s="34"/>
      <c r="B3041" s="48">
        <v>3</v>
      </c>
      <c r="C3041" s="48"/>
      <c r="D3041" s="88" t="s">
        <v>465</v>
      </c>
      <c r="E3041" s="72" t="str">
        <f>+VLOOKUP(D3041,'材料表 '!C:F,2,0)</f>
        <v>kg</v>
      </c>
      <c r="F3041" s="77">
        <v>0</v>
      </c>
      <c r="G3041" s="89">
        <f>+VLOOKUP(D3041,'材料表 '!C:F,4,0)</f>
        <v>0.03</v>
      </c>
      <c r="H3041" s="74">
        <f t="shared" si="478"/>
        <v>0</v>
      </c>
      <c r="I3041" s="74">
        <f>+VLOOKUP(D3041,'材料表 '!C:F,3,0)</f>
        <v>6.01769911504425</v>
      </c>
      <c r="J3041" s="95">
        <f t="shared" si="477"/>
        <v>0</v>
      </c>
      <c r="K3041" s="92">
        <f ca="1">H3041*K3025</f>
        <v>0</v>
      </c>
      <c r="L3041" s="90"/>
      <c r="M3041" s="44"/>
      <c r="N3041" s="82"/>
      <c r="O3041" s="44"/>
      <c r="P3041" s="44"/>
      <c r="Q3041" s="44"/>
      <c r="R3041" s="84"/>
      <c r="S3041" s="47"/>
      <c r="T3041" s="47"/>
    </row>
    <row r="3042" s="27" customFormat="1" ht="18" customHeight="1" spans="1:21">
      <c r="A3042" s="34"/>
      <c r="B3042" s="48">
        <v>4</v>
      </c>
      <c r="C3042" s="48"/>
      <c r="D3042" s="88" t="s">
        <v>463</v>
      </c>
      <c r="E3042" s="72" t="str">
        <f>+VLOOKUP(D3042,'材料表 '!C:F,2,0)</f>
        <v>kg</v>
      </c>
      <c r="F3042" s="77">
        <v>0</v>
      </c>
      <c r="G3042" s="89">
        <f>+VLOOKUP(D3042,'材料表 '!C:F,4,0)</f>
        <v>0.03</v>
      </c>
      <c r="H3042" s="74">
        <f t="shared" si="478"/>
        <v>0</v>
      </c>
      <c r="I3042" s="74">
        <f>+VLOOKUP(D3042,'材料表 '!C:F,3,0)</f>
        <v>6.01769911504425</v>
      </c>
      <c r="J3042" s="95">
        <f t="shared" si="477"/>
        <v>0</v>
      </c>
      <c r="K3042" s="92">
        <f ca="1">H3042*K3025</f>
        <v>0</v>
      </c>
      <c r="L3042" s="90"/>
      <c r="M3042" s="44"/>
      <c r="N3042" s="82"/>
      <c r="O3042" s="44"/>
      <c r="P3042" s="44"/>
      <c r="Q3042" s="44"/>
      <c r="R3042" s="84"/>
      <c r="S3042" s="47"/>
      <c r="T3042" s="47"/>
    </row>
    <row r="3043" s="27" customFormat="1" ht="18" customHeight="1" spans="1:21">
      <c r="A3043" s="34"/>
      <c r="B3043" s="48">
        <v>5</v>
      </c>
      <c r="C3043" s="48"/>
      <c r="D3043" s="88" t="s">
        <v>433</v>
      </c>
      <c r="E3043" s="72" t="str">
        <f>+VLOOKUP(D3043,'材料表 '!C:F,2,0)</f>
        <v>kg</v>
      </c>
      <c r="F3043" s="77">
        <v>0</v>
      </c>
      <c r="G3043" s="89">
        <f>+VLOOKUP(D3043,'材料表 '!C:F,4,0)</f>
        <v>0.03</v>
      </c>
      <c r="H3043" s="74">
        <f t="shared" si="478"/>
        <v>0</v>
      </c>
      <c r="I3043" s="74">
        <f>+VLOOKUP(D3043,'材料表 '!C:F,3,0)</f>
        <v>26.1150442477876</v>
      </c>
      <c r="J3043" s="95">
        <f t="shared" si="477"/>
        <v>0</v>
      </c>
      <c r="K3043" s="92">
        <f ca="1">H3043*K3025</f>
        <v>0</v>
      </c>
      <c r="L3043" s="92"/>
      <c r="M3043" s="44"/>
      <c r="N3043" s="82"/>
      <c r="O3043" s="44"/>
      <c r="P3043" s="44"/>
      <c r="Q3043" s="44"/>
      <c r="R3043" s="84"/>
      <c r="S3043" s="47"/>
      <c r="T3043" s="47"/>
    </row>
    <row r="3044" s="27" customFormat="1" ht="18" customHeight="1" spans="1:21">
      <c r="A3044" s="34"/>
      <c r="B3044" s="48">
        <v>6</v>
      </c>
      <c r="C3044" s="48"/>
      <c r="D3044" s="88" t="s">
        <v>427</v>
      </c>
      <c r="E3044" s="72" t="str">
        <f>+VLOOKUP(D3044,'材料表 '!C:F,2,0)</f>
        <v>kg</v>
      </c>
      <c r="F3044" s="77">
        <v>0</v>
      </c>
      <c r="G3044" s="89">
        <f>+VLOOKUP(D3044,'材料表 '!C:F,4,0)</f>
        <v>0.03</v>
      </c>
      <c r="H3044" s="74">
        <f t="shared" si="478"/>
        <v>0</v>
      </c>
      <c r="I3044" s="74">
        <f>+VLOOKUP(D3044,'材料表 '!C:F,3,0)</f>
        <v>25.8495575221239</v>
      </c>
      <c r="J3044" s="95">
        <f t="shared" si="477"/>
        <v>0</v>
      </c>
      <c r="K3044" s="92">
        <f ca="1">H3044*K3025</f>
        <v>0</v>
      </c>
      <c r="L3044" s="69"/>
      <c r="M3044" s="70"/>
      <c r="N3044" s="34"/>
      <c r="O3044" s="34"/>
      <c r="P3044" s="34"/>
      <c r="Q3044" s="44"/>
      <c r="R3044" s="71"/>
      <c r="S3044" s="47"/>
      <c r="T3044" s="47"/>
    </row>
    <row r="3045" s="27" customFormat="1" ht="18" customHeight="1" spans="1:21">
      <c r="A3045" s="34"/>
      <c r="B3045" s="48">
        <v>7</v>
      </c>
      <c r="C3045" s="48"/>
      <c r="D3045" s="88"/>
      <c r="E3045" s="72"/>
      <c r="F3045" s="77"/>
      <c r="G3045" s="89"/>
      <c r="H3045" s="74"/>
      <c r="I3045" s="74"/>
      <c r="J3045" s="95"/>
      <c r="K3045" s="92">
        <f ca="1">H3045*K3025</f>
        <v>0</v>
      </c>
      <c r="L3045" s="69"/>
      <c r="M3045" s="70"/>
      <c r="N3045" s="34"/>
      <c r="O3045" s="100"/>
      <c r="P3045" s="34"/>
      <c r="Q3045" s="44"/>
      <c r="R3045" s="71"/>
      <c r="S3045" s="47"/>
      <c r="T3045" s="47"/>
    </row>
    <row r="3046" s="27" customFormat="1" ht="18" customHeight="1" spans="1:21">
      <c r="A3046" s="34"/>
      <c r="B3046" s="48">
        <v>8</v>
      </c>
      <c r="C3046" s="48"/>
      <c r="D3046" s="88"/>
      <c r="E3046" s="72"/>
      <c r="F3046" s="77"/>
      <c r="G3046" s="89"/>
      <c r="H3046" s="74"/>
      <c r="I3046" s="74"/>
      <c r="J3046" s="95"/>
      <c r="K3046" s="92">
        <f ca="1">H3046*K3025</f>
        <v>0</v>
      </c>
      <c r="L3046" s="69"/>
      <c r="M3046" s="70"/>
      <c r="N3046" s="34"/>
      <c r="O3046" s="34"/>
      <c r="P3046" s="34"/>
      <c r="Q3046" s="44"/>
      <c r="R3046" s="71"/>
      <c r="S3046" s="47"/>
      <c r="T3046" s="47"/>
      <c r="U3046" s="76"/>
    </row>
    <row r="3047" s="27" customFormat="1" ht="18" customHeight="1" spans="1:21">
      <c r="A3047" s="34"/>
      <c r="B3047" s="48">
        <v>9</v>
      </c>
      <c r="C3047" s="48"/>
      <c r="D3047" s="88" t="s">
        <v>476</v>
      </c>
      <c r="E3047" s="72" t="str">
        <f>+VLOOKUP(D3047,'材料表 '!C:F,2,0)</f>
        <v>支</v>
      </c>
      <c r="F3047" s="77">
        <v>0.5</v>
      </c>
      <c r="G3047" s="89">
        <f>+VLOOKUP(D3047,'材料表 '!C:F,4,0)</f>
        <v>0.15</v>
      </c>
      <c r="H3047" s="74">
        <f t="shared" ref="H3047:H3050" si="479">F3047*(G3047+1)</f>
        <v>0.575</v>
      </c>
      <c r="I3047" s="74">
        <f>+VLOOKUP(D3047,'材料表 '!C:F,3,0)</f>
        <v>11.5044247787611</v>
      </c>
      <c r="J3047" s="95">
        <f t="shared" ref="J3047:J3050" si="480">H3047*I3047</f>
        <v>6.61504424778763</v>
      </c>
      <c r="K3047" s="92">
        <f ca="1">H3047*K3025</f>
        <v>8.3069445</v>
      </c>
      <c r="L3047" s="69"/>
      <c r="M3047" s="70"/>
      <c r="N3047" s="102"/>
      <c r="O3047" s="34"/>
      <c r="P3047" s="34"/>
      <c r="Q3047" s="44"/>
      <c r="R3047" s="71"/>
      <c r="S3047" s="47"/>
      <c r="T3047" s="47"/>
    </row>
    <row r="3048" s="27" customFormat="1" ht="18" customHeight="1" spans="1:21">
      <c r="A3048" s="34"/>
      <c r="B3048" s="48">
        <v>10</v>
      </c>
      <c r="C3048" s="48"/>
      <c r="D3048" s="88" t="s">
        <v>474</v>
      </c>
      <c r="E3048" s="72" t="str">
        <f>+VLOOKUP(D3048,'材料表 '!C:F,2,0)</f>
        <v>套</v>
      </c>
      <c r="F3048" s="77">
        <v>0</v>
      </c>
      <c r="G3048" s="89">
        <f>+VLOOKUP(D3048,'材料表 '!C:F,4,0)</f>
        <v>0</v>
      </c>
      <c r="H3048" s="74">
        <f t="shared" si="479"/>
        <v>0</v>
      </c>
      <c r="I3048" s="74">
        <f>+VLOOKUP(D3048,'材料表 '!C:F,3,0)</f>
        <v>2.21238938053097</v>
      </c>
      <c r="J3048" s="95">
        <f t="shared" si="480"/>
        <v>0</v>
      </c>
      <c r="K3048" s="92">
        <f ca="1">H3048*K3025</f>
        <v>0</v>
      </c>
      <c r="L3048" s="69"/>
      <c r="M3048" s="70"/>
      <c r="N3048" s="34"/>
      <c r="O3048" s="100"/>
      <c r="P3048" s="34"/>
      <c r="Q3048" s="44"/>
      <c r="R3048" s="71"/>
      <c r="S3048" s="79"/>
      <c r="T3048" s="47"/>
    </row>
    <row r="3049" s="27" customFormat="1" ht="18" customHeight="1" spans="1:21">
      <c r="A3049" s="34"/>
      <c r="B3049" s="48">
        <v>11</v>
      </c>
      <c r="C3049" s="48"/>
      <c r="D3049" s="88" t="s">
        <v>472</v>
      </c>
      <c r="E3049" s="72" t="str">
        <f>+VLOOKUP(D3049,'材料表 '!C:F,2,0)</f>
        <v>套</v>
      </c>
      <c r="F3049" s="77">
        <v>0</v>
      </c>
      <c r="G3049" s="89">
        <f>+VLOOKUP(D3049,'材料表 '!C:F,4,0)</f>
        <v>0</v>
      </c>
      <c r="H3049" s="74">
        <f t="shared" si="479"/>
        <v>0</v>
      </c>
      <c r="I3049" s="74">
        <f>+VLOOKUP(D3049,'材料表 '!C:F,3,0)</f>
        <v>2.47787610619469</v>
      </c>
      <c r="J3049" s="95">
        <f t="shared" si="480"/>
        <v>0</v>
      </c>
      <c r="K3049" s="92">
        <f ca="1">H3049*K3025</f>
        <v>0</v>
      </c>
      <c r="L3049" s="69"/>
      <c r="M3049" s="70"/>
      <c r="N3049" s="34"/>
      <c r="O3049" s="34"/>
      <c r="P3049" s="34"/>
      <c r="Q3049" s="44"/>
      <c r="R3049" s="71"/>
      <c r="S3049" s="47"/>
      <c r="T3049" s="47"/>
      <c r="U3049" s="76"/>
    </row>
    <row r="3050" s="27" customFormat="1" ht="18" customHeight="1" spans="1:21">
      <c r="A3050" s="34"/>
      <c r="B3050" s="48">
        <v>12</v>
      </c>
      <c r="C3050" s="48"/>
      <c r="D3050" s="88" t="s">
        <v>638</v>
      </c>
      <c r="E3050" s="72" t="str">
        <f>+VLOOKUP(D3050,'材料表 '!C:F,2,0)</f>
        <v>m2</v>
      </c>
      <c r="F3050" s="77">
        <v>1</v>
      </c>
      <c r="G3050" s="89">
        <f>+VLOOKUP(D3050,'材料表 '!C:F,4,0)</f>
        <v>0.02</v>
      </c>
      <c r="H3050" s="74">
        <f t="shared" si="479"/>
        <v>1.02</v>
      </c>
      <c r="I3050" s="74">
        <f>+VLOOKUP(D3050,'材料表 '!C:F,3,0)</f>
        <v>186.725663716814</v>
      </c>
      <c r="J3050" s="95">
        <f t="shared" si="480"/>
        <v>190.46017699115</v>
      </c>
      <c r="K3050" s="92">
        <f ca="1">H3050*K3025</f>
        <v>14.7357972</v>
      </c>
      <c r="L3050" s="69"/>
      <c r="M3050" s="81"/>
      <c r="N3050" s="82"/>
      <c r="O3050" s="34"/>
      <c r="P3050" s="34"/>
      <c r="Q3050" s="44"/>
      <c r="R3050" s="71"/>
      <c r="S3050" s="47"/>
      <c r="T3050" s="47"/>
    </row>
    <row r="3051" s="27" customFormat="1" ht="18" customHeight="1" spans="1:21">
      <c r="A3051" s="34"/>
      <c r="B3051" s="48">
        <v>13</v>
      </c>
      <c r="C3051" s="48"/>
      <c r="D3051" s="125"/>
      <c r="E3051" s="72"/>
      <c r="F3051" s="77"/>
      <c r="G3051" s="89"/>
      <c r="H3051" s="74"/>
      <c r="I3051" s="74"/>
      <c r="J3051" s="95"/>
      <c r="K3051" s="92"/>
      <c r="L3051" s="69"/>
      <c r="M3051" s="81"/>
      <c r="N3051" s="82"/>
      <c r="O3051" s="34"/>
      <c r="P3051" s="34"/>
      <c r="Q3051" s="44"/>
      <c r="R3051" s="71"/>
      <c r="S3051" s="47"/>
      <c r="T3051" s="47"/>
    </row>
    <row r="3052" s="27" customFormat="1" ht="18" customHeight="1" spans="1:21">
      <c r="A3052" s="34"/>
      <c r="B3052" s="48">
        <v>14</v>
      </c>
      <c r="C3052" s="48"/>
      <c r="D3052" s="124"/>
      <c r="E3052" s="72"/>
      <c r="F3052" s="77"/>
      <c r="G3052" s="89"/>
      <c r="H3052" s="74"/>
      <c r="I3052" s="74"/>
      <c r="J3052" s="95"/>
      <c r="K3052" s="92">
        <f ca="1">H3052*K3025</f>
        <v>0</v>
      </c>
      <c r="L3052" s="69"/>
      <c r="M3052" s="70"/>
      <c r="N3052" s="83"/>
      <c r="O3052" s="34"/>
      <c r="P3052" s="34"/>
      <c r="Q3052" s="44"/>
      <c r="R3052" s="84"/>
      <c r="S3052" s="47"/>
      <c r="T3052" s="47"/>
    </row>
    <row r="3053" s="27" customFormat="1" ht="20" customHeight="1" spans="1:21">
      <c r="A3053" s="34"/>
      <c r="B3053" s="48">
        <v>15</v>
      </c>
      <c r="C3053" s="48"/>
      <c r="D3053" s="88"/>
      <c r="E3053" s="72"/>
      <c r="F3053" s="77"/>
      <c r="G3053" s="89"/>
      <c r="H3053" s="74"/>
      <c r="I3053" s="74"/>
      <c r="J3053" s="95"/>
      <c r="K3053" s="92">
        <f ca="1">H3053*K3025</f>
        <v>0</v>
      </c>
      <c r="L3053" s="69"/>
      <c r="M3053" s="81"/>
      <c r="N3053" s="82"/>
      <c r="O3053" s="44"/>
      <c r="P3053" s="34"/>
      <c r="Q3053" s="44"/>
      <c r="R3053" s="84"/>
      <c r="S3053" s="47"/>
      <c r="T3053" s="47"/>
    </row>
    <row r="3054" s="27" customFormat="1" ht="18" customHeight="1" spans="1:21">
      <c r="A3054" s="34"/>
      <c r="B3054" s="48">
        <v>16</v>
      </c>
      <c r="C3054" s="48"/>
      <c r="D3054" s="88"/>
      <c r="E3054" s="72"/>
      <c r="F3054" s="77"/>
      <c r="G3054" s="89"/>
      <c r="H3054" s="74"/>
      <c r="I3054" s="74"/>
      <c r="J3054" s="95"/>
      <c r="K3054" s="92"/>
      <c r="L3054" s="92"/>
      <c r="M3054" s="44"/>
      <c r="N3054" s="44"/>
      <c r="O3054" s="44"/>
      <c r="P3054" s="44"/>
      <c r="Q3054" s="44"/>
      <c r="R3054" s="84"/>
      <c r="S3054" s="47"/>
      <c r="T3054" s="47"/>
    </row>
    <row r="3055" s="27" customFormat="1" ht="18" customHeight="1" spans="1:21">
      <c r="A3055" s="34"/>
      <c r="B3055" s="48">
        <v>17</v>
      </c>
      <c r="C3055" s="48"/>
      <c r="D3055" s="88"/>
      <c r="E3055" s="72"/>
      <c r="F3055" s="77"/>
      <c r="G3055" s="89"/>
      <c r="H3055" s="74"/>
      <c r="I3055" s="74"/>
      <c r="J3055" s="95"/>
      <c r="K3055" s="92"/>
      <c r="L3055" s="92"/>
      <c r="M3055" s="44"/>
      <c r="N3055" s="44"/>
      <c r="O3055" s="44"/>
      <c r="P3055" s="44"/>
      <c r="Q3055" s="44"/>
      <c r="R3055" s="84"/>
      <c r="S3055" s="47"/>
      <c r="T3055" s="47"/>
    </row>
    <row r="3056" s="27" customFormat="1" ht="18" customHeight="1" spans="1:21">
      <c r="A3056" s="34"/>
      <c r="B3056" s="48">
        <v>18</v>
      </c>
      <c r="C3056" s="48"/>
      <c r="D3056" s="121"/>
      <c r="E3056" s="72"/>
      <c r="F3056" s="77"/>
      <c r="G3056" s="89"/>
      <c r="H3056" s="74"/>
      <c r="I3056" s="74"/>
      <c r="J3056" s="95"/>
      <c r="K3056" s="92"/>
      <c r="L3056" s="92"/>
      <c r="M3056" s="44"/>
      <c r="N3056" s="44"/>
      <c r="O3056" s="44"/>
      <c r="P3056" s="44"/>
      <c r="Q3056" s="101"/>
      <c r="R3056" s="84"/>
      <c r="S3056" s="47"/>
      <c r="T3056" s="47"/>
    </row>
    <row r="3057" s="27" customFormat="1" ht="18" customHeight="1" spans="1:20">
      <c r="A3057" s="34"/>
      <c r="B3057" s="48">
        <v>19</v>
      </c>
      <c r="C3057" s="48"/>
      <c r="D3057" s="88"/>
      <c r="E3057" s="72"/>
      <c r="F3057" s="77"/>
      <c r="G3057" s="89"/>
      <c r="H3057" s="74"/>
      <c r="I3057" s="74"/>
      <c r="J3057" s="95"/>
      <c r="K3057" s="92"/>
      <c r="L3057" s="92"/>
      <c r="M3057" s="44"/>
      <c r="N3057" s="44"/>
      <c r="O3057" s="44"/>
      <c r="P3057" s="44"/>
      <c r="Q3057" s="44"/>
      <c r="R3057" s="84"/>
      <c r="S3057" s="47"/>
      <c r="T3057" s="47"/>
    </row>
    <row r="3058" s="27" customFormat="1" ht="18" customHeight="1" spans="1:20">
      <c r="A3058" s="34"/>
      <c r="B3058" s="48">
        <v>20</v>
      </c>
      <c r="C3058" s="48"/>
      <c r="D3058" s="27"/>
      <c r="E3058" s="72"/>
      <c r="F3058" s="77"/>
      <c r="G3058" s="89"/>
      <c r="H3058" s="74"/>
      <c r="I3058" s="74"/>
      <c r="J3058" s="95"/>
      <c r="K3058" s="92"/>
      <c r="L3058" s="92"/>
      <c r="M3058" s="44"/>
      <c r="N3058" s="44"/>
      <c r="O3058" s="44"/>
      <c r="P3058" s="44"/>
      <c r="Q3058" s="44"/>
      <c r="R3058" s="84"/>
      <c r="S3058" s="47"/>
      <c r="T3058" s="47"/>
    </row>
    <row r="3059" s="27" customFormat="1" ht="18" customHeight="1" spans="1:20">
      <c r="A3059" s="34"/>
      <c r="B3059" s="48">
        <v>21</v>
      </c>
      <c r="C3059" s="48"/>
      <c r="D3059" s="88"/>
      <c r="E3059" s="72"/>
      <c r="F3059" s="77"/>
      <c r="G3059" s="89"/>
      <c r="H3059" s="74"/>
      <c r="I3059" s="74"/>
      <c r="J3059" s="95"/>
      <c r="K3059" s="92"/>
      <c r="L3059" s="92"/>
      <c r="M3059" s="44"/>
      <c r="N3059" s="44"/>
      <c r="O3059" s="44"/>
      <c r="P3059" s="44"/>
      <c r="Q3059" s="44"/>
      <c r="R3059" s="84"/>
      <c r="S3059" s="47"/>
      <c r="T3059" s="47"/>
    </row>
    <row r="3060" s="27" customFormat="1" ht="18" customHeight="1" spans="1:20">
      <c r="A3060" s="34"/>
      <c r="B3060" s="48">
        <v>22</v>
      </c>
      <c r="C3060" s="48"/>
      <c r="D3060" s="88"/>
      <c r="E3060" s="72"/>
      <c r="F3060" s="77"/>
      <c r="G3060" s="89"/>
      <c r="H3060" s="74"/>
      <c r="I3060" s="74"/>
      <c r="J3060" s="95"/>
      <c r="K3060" s="92"/>
      <c r="L3060" s="92"/>
      <c r="M3060" s="44"/>
      <c r="N3060" s="44"/>
      <c r="O3060" s="44"/>
      <c r="P3060" s="44"/>
      <c r="Q3060" s="44"/>
      <c r="R3060" s="84"/>
      <c r="S3060" s="47"/>
      <c r="T3060" s="47"/>
    </row>
    <row r="3061" s="27" customFormat="1" ht="18" customHeight="1" spans="1:20">
      <c r="A3061" s="34"/>
      <c r="B3061" s="48">
        <v>23</v>
      </c>
      <c r="C3061" s="48"/>
      <c r="D3061" s="27"/>
      <c r="E3061" s="72"/>
      <c r="F3061" s="77"/>
      <c r="G3061" s="72"/>
      <c r="H3061" s="74"/>
      <c r="I3061" s="74"/>
      <c r="J3061" s="95"/>
      <c r="K3061" s="92"/>
      <c r="L3061" s="92"/>
      <c r="M3061" s="44"/>
      <c r="N3061" s="44"/>
      <c r="O3061" s="44"/>
      <c r="P3061" s="44"/>
      <c r="Q3061" s="44"/>
      <c r="R3061" s="62"/>
      <c r="S3061" s="47"/>
      <c r="T3061" s="47"/>
    </row>
    <row r="3062" s="27" customFormat="1" ht="18" customHeight="1" spans="1:20">
      <c r="A3062" s="34"/>
      <c r="B3062" s="48">
        <v>24</v>
      </c>
      <c r="C3062" s="48"/>
      <c r="D3062" s="88" t="s">
        <v>478</v>
      </c>
      <c r="E3062" s="72" t="s">
        <v>43</v>
      </c>
      <c r="F3062" s="77"/>
      <c r="G3062" s="72">
        <v>1</v>
      </c>
      <c r="H3062" s="74">
        <v>1</v>
      </c>
      <c r="I3062" s="74">
        <f>+辅材及安装费!$E$21</f>
        <v>5</v>
      </c>
      <c r="J3062" s="95">
        <f>H3062*I3062</f>
        <v>5</v>
      </c>
      <c r="K3062" s="92"/>
      <c r="L3062" s="92"/>
      <c r="M3062" s="44"/>
      <c r="N3062" s="44"/>
      <c r="O3062" s="44"/>
      <c r="P3062" s="44"/>
      <c r="Q3062" s="44"/>
      <c r="R3062" s="62"/>
      <c r="S3062" s="47"/>
      <c r="T3062" s="47"/>
    </row>
    <row r="3063" s="27" customFormat="1" ht="18" customHeight="1" spans="1:20">
      <c r="A3063" s="34"/>
      <c r="B3063" s="48">
        <v>25</v>
      </c>
      <c r="C3063" s="48"/>
      <c r="D3063" s="93" t="s">
        <v>442</v>
      </c>
      <c r="E3063" s="72"/>
      <c r="F3063" s="77"/>
      <c r="G3063" s="72"/>
      <c r="H3063" s="74"/>
      <c r="I3063" s="74"/>
      <c r="J3063" s="95">
        <f>SUM(J3039:J3062)</f>
        <v>202.075221238938</v>
      </c>
      <c r="K3063" s="92"/>
      <c r="L3063" s="94"/>
      <c r="M3063" s="27"/>
      <c r="N3063" s="83"/>
      <c r="O3063" s="83"/>
      <c r="P3063" s="83"/>
      <c r="Q3063" s="83"/>
      <c r="R3063" s="87"/>
      <c r="S3063" s="47"/>
      <c r="T3063" s="47"/>
    </row>
    <row r="3064" s="27" customFormat="1" ht="18" customHeight="1" spans="1:20">
      <c r="A3064" s="34"/>
      <c r="B3064" s="48">
        <v>1</v>
      </c>
      <c r="C3064" s="48" t="s">
        <v>443</v>
      </c>
      <c r="D3064" s="48" t="s">
        <v>444</v>
      </c>
      <c r="E3064" s="72" t="s">
        <v>43</v>
      </c>
      <c r="F3064" s="50"/>
      <c r="G3064" s="48"/>
      <c r="H3064" s="51">
        <v>1</v>
      </c>
      <c r="I3064" s="74">
        <f>+辅材及安装费!$F$21</f>
        <v>5</v>
      </c>
      <c r="J3064" s="95">
        <f>H3064*I3064</f>
        <v>5</v>
      </c>
      <c r="K3064" s="118"/>
      <c r="L3064" s="96"/>
      <c r="M3064" s="97"/>
      <c r="N3064" s="98"/>
      <c r="O3064" s="98"/>
      <c r="P3064" s="98"/>
      <c r="Q3064" s="98"/>
      <c r="R3064" s="99"/>
      <c r="S3064" s="47"/>
      <c r="T3064" s="47"/>
    </row>
    <row r="3065" s="26" customFormat="1" ht="30" customHeight="1" spans="1:20">
      <c r="A3065" s="28"/>
      <c r="B3065" s="29" t="s">
        <v>386</v>
      </c>
      <c r="C3065" s="29"/>
      <c r="D3065" s="29"/>
      <c r="E3065" s="29"/>
      <c r="F3065" s="29"/>
      <c r="G3065" s="29"/>
      <c r="H3065" s="29"/>
      <c r="I3065" s="29"/>
      <c r="J3065" s="29"/>
      <c r="K3065" s="29"/>
      <c r="L3065" s="30"/>
      <c r="M3065" s="31"/>
      <c r="N3065" s="31"/>
      <c r="O3065" s="31"/>
      <c r="P3065" s="31"/>
      <c r="Q3065" s="31"/>
      <c r="R3065" s="32"/>
      <c r="S3065" s="33"/>
      <c r="T3065" s="33"/>
    </row>
    <row r="3066" s="27" customFormat="1" ht="33.75" customHeight="1" spans="1:20">
      <c r="A3066" s="34">
        <v>22</v>
      </c>
      <c r="B3066" s="35" t="s">
        <v>1</v>
      </c>
      <c r="C3066" s="35" t="s">
        <v>387</v>
      </c>
      <c r="D3066" s="36" t="str">
        <f>+A3074</f>
        <v>3㎜浅灰色穿孔铝板</v>
      </c>
      <c r="E3066" s="37"/>
      <c r="F3066" s="38" t="s">
        <v>119</v>
      </c>
      <c r="G3066" s="39"/>
      <c r="H3066" s="35" t="s">
        <v>388</v>
      </c>
      <c r="I3066" s="40" t="s">
        <v>389</v>
      </c>
      <c r="J3066" s="41" t="s">
        <v>37</v>
      </c>
      <c r="K3066" s="122">
        <f ca="1">VLOOKUP(A3066,'商业工程量清单 '!$A$59:$D$81,4,FALSE)</f>
        <v>153.684252</v>
      </c>
      <c r="L3066" s="43"/>
      <c r="M3066" s="44"/>
      <c r="N3066" s="44"/>
      <c r="O3066" s="44"/>
      <c r="P3066" s="45"/>
      <c r="Q3066" s="44"/>
      <c r="R3066" s="46"/>
      <c r="S3066" s="47"/>
      <c r="T3066" s="47"/>
    </row>
    <row r="3067" s="27" customFormat="1" ht="25" customHeight="1" spans="1:20">
      <c r="A3067" s="34"/>
      <c r="B3067" s="48">
        <v>1</v>
      </c>
      <c r="C3067" s="49" t="s">
        <v>390</v>
      </c>
      <c r="D3067" s="48" t="s">
        <v>391</v>
      </c>
      <c r="E3067" s="48"/>
      <c r="F3067" s="50"/>
      <c r="G3067" s="48"/>
      <c r="H3067" s="51"/>
      <c r="I3067" s="52">
        <f>J3079</f>
        <v>35</v>
      </c>
      <c r="J3067" s="53" t="s">
        <v>392</v>
      </c>
      <c r="K3067" s="54"/>
      <c r="L3067" s="55"/>
      <c r="M3067" s="56"/>
      <c r="N3067" s="57"/>
      <c r="O3067" s="57"/>
      <c r="P3067" s="57"/>
      <c r="Q3067" s="57"/>
      <c r="R3067" s="58"/>
      <c r="S3067" s="47"/>
      <c r="T3067" s="47"/>
    </row>
    <row r="3068" s="27" customFormat="1" ht="18" customHeight="1" spans="1:20">
      <c r="A3068" s="34"/>
      <c r="B3068" s="48">
        <v>2</v>
      </c>
      <c r="C3068" s="59"/>
      <c r="D3068" s="48" t="s">
        <v>394</v>
      </c>
      <c r="E3068" s="48"/>
      <c r="F3068" s="50"/>
      <c r="G3068" s="48"/>
      <c r="H3068" s="51"/>
      <c r="I3068" s="52">
        <f>J3104</f>
        <v>281.212389380531</v>
      </c>
      <c r="J3068" s="53" t="s">
        <v>392</v>
      </c>
      <c r="K3068" s="60"/>
      <c r="L3068" s="61"/>
      <c r="M3068" s="44"/>
      <c r="N3068" s="44"/>
      <c r="O3068" s="44"/>
      <c r="P3068" s="44"/>
      <c r="Q3068" s="44"/>
      <c r="R3068" s="62"/>
      <c r="S3068" s="47"/>
      <c r="T3068" s="47"/>
    </row>
    <row r="3069" s="27" customFormat="1" ht="18" customHeight="1" spans="1:20">
      <c r="A3069" s="34"/>
      <c r="B3069" s="48">
        <v>3</v>
      </c>
      <c r="C3069" s="63"/>
      <c r="D3069" s="48" t="s">
        <v>395</v>
      </c>
      <c r="E3069" s="48"/>
      <c r="F3069" s="50"/>
      <c r="G3069" s="48"/>
      <c r="H3069" s="51"/>
      <c r="I3069" s="52">
        <f>J3105</f>
        <v>5</v>
      </c>
      <c r="J3069" s="53" t="s">
        <v>392</v>
      </c>
      <c r="K3069" s="60"/>
      <c r="L3069" s="60"/>
      <c r="M3069" s="65"/>
      <c r="N3069" s="65"/>
      <c r="O3069" s="65"/>
      <c r="P3069" s="65"/>
      <c r="Q3069" s="65"/>
      <c r="R3069" s="66"/>
      <c r="S3069" s="47"/>
      <c r="T3069" s="47"/>
    </row>
    <row r="3070" s="27" customFormat="1" ht="18" customHeight="1" spans="1:20">
      <c r="A3070" s="34"/>
      <c r="B3070" s="48">
        <v>4</v>
      </c>
      <c r="C3070" s="48" t="s">
        <v>402</v>
      </c>
      <c r="D3070" s="67" t="s">
        <v>403</v>
      </c>
      <c r="E3070" s="67"/>
      <c r="F3070" s="50"/>
      <c r="G3070" s="67"/>
      <c r="H3070" s="68"/>
      <c r="I3070" s="52">
        <f>SUM(I3067:I3069)</f>
        <v>321.212389380531</v>
      </c>
      <c r="J3070" s="53" t="s">
        <v>392</v>
      </c>
      <c r="K3070" s="60"/>
      <c r="L3070" s="69"/>
      <c r="M3070" s="34"/>
      <c r="N3070" s="34"/>
      <c r="O3070" s="34"/>
      <c r="P3070" s="34"/>
      <c r="Q3070" s="44"/>
      <c r="R3070" s="71"/>
      <c r="S3070" s="47"/>
      <c r="T3070" s="47"/>
    </row>
    <row r="3071" s="27" customFormat="1" ht="28" customHeight="1" spans="1:20">
      <c r="A3071" s="34"/>
      <c r="B3071" s="48">
        <v>5</v>
      </c>
      <c r="C3071" s="72" t="s">
        <v>406</v>
      </c>
      <c r="D3071" s="48" t="s">
        <v>407</v>
      </c>
      <c r="E3071" s="48"/>
      <c r="F3071" s="50"/>
      <c r="G3071" s="48"/>
      <c r="H3071" s="73">
        <f>+'材料表 '!$E$178</f>
        <v>0</v>
      </c>
      <c r="I3071" s="52">
        <f>H3071*I3070</f>
        <v>0</v>
      </c>
      <c r="J3071" s="53" t="s">
        <v>392</v>
      </c>
      <c r="K3071" s="60"/>
      <c r="L3071" s="69"/>
      <c r="M3071" s="34"/>
      <c r="N3071" s="34"/>
      <c r="O3071" s="34"/>
      <c r="P3071" s="34"/>
      <c r="Q3071" s="44"/>
      <c r="R3071" s="71"/>
      <c r="S3071" s="47"/>
      <c r="T3071" s="47"/>
    </row>
    <row r="3072" s="27" customFormat="1" ht="18" customHeight="1" spans="1:20">
      <c r="A3072" s="34"/>
      <c r="B3072" s="48">
        <v>6</v>
      </c>
      <c r="C3072" s="48" t="s">
        <v>409</v>
      </c>
      <c r="D3072" s="48" t="s">
        <v>410</v>
      </c>
      <c r="E3072" s="48"/>
      <c r="F3072" s="50"/>
      <c r="G3072" s="48"/>
      <c r="H3072" s="73">
        <f>+'材料表 '!$E$179</f>
        <v>0</v>
      </c>
      <c r="I3072" s="52">
        <f>H3072*I3070</f>
        <v>0</v>
      </c>
      <c r="J3072" s="53" t="s">
        <v>392</v>
      </c>
      <c r="K3072" s="60"/>
      <c r="L3072" s="69"/>
      <c r="M3072" s="34"/>
      <c r="N3072" s="34"/>
      <c r="O3072" s="34"/>
      <c r="P3072" s="34"/>
      <c r="Q3072" s="44"/>
      <c r="R3072" s="71"/>
      <c r="S3072" s="47"/>
      <c r="T3072" s="47"/>
    </row>
    <row r="3073" s="27" customFormat="1" ht="18" customHeight="1" spans="1:21">
      <c r="A3073" s="34"/>
      <c r="B3073" s="48">
        <v>7</v>
      </c>
      <c r="C3073" s="48" t="s">
        <v>412</v>
      </c>
      <c r="D3073" s="72" t="s">
        <v>413</v>
      </c>
      <c r="E3073" s="72"/>
      <c r="F3073" s="77"/>
      <c r="G3073" s="72"/>
      <c r="H3073" s="73">
        <f>+'材料表 '!$E$180</f>
        <v>0.09</v>
      </c>
      <c r="I3073" s="52">
        <f>(I3070+I3071+I3072)*H3073</f>
        <v>28.9091150442478</v>
      </c>
      <c r="J3073" s="53" t="s">
        <v>392</v>
      </c>
      <c r="K3073" s="60"/>
      <c r="L3073" s="69"/>
      <c r="M3073" s="34"/>
      <c r="N3073" s="34"/>
      <c r="O3073" s="34"/>
      <c r="P3073" s="34"/>
      <c r="Q3073" s="44"/>
      <c r="R3073" s="71"/>
      <c r="S3073" s="47"/>
      <c r="T3073" s="47"/>
    </row>
    <row r="3074" s="27" customFormat="1" ht="18" customHeight="1" spans="1:21">
      <c r="A3074" s="34" t="s">
        <v>340</v>
      </c>
      <c r="B3074" s="48">
        <v>8</v>
      </c>
      <c r="C3074" s="48" t="s">
        <v>363</v>
      </c>
      <c r="D3074" s="106" t="s">
        <v>415</v>
      </c>
      <c r="E3074" s="107"/>
      <c r="F3074" s="108"/>
      <c r="G3074" s="107"/>
      <c r="H3074" s="51"/>
      <c r="I3074" s="74">
        <f>SUM(I3070:I3073)</f>
        <v>350.121504424779</v>
      </c>
      <c r="J3074" s="53" t="s">
        <v>416</v>
      </c>
      <c r="K3074" s="60"/>
      <c r="L3074" s="69"/>
      <c r="M3074" s="34"/>
      <c r="N3074" s="100"/>
      <c r="O3074" s="34"/>
      <c r="P3074" s="44"/>
      <c r="Q3074" s="44"/>
      <c r="R3074" s="84"/>
      <c r="S3074" s="79"/>
      <c r="T3074" s="47"/>
    </row>
    <row r="3075" s="27" customFormat="1" ht="18" customHeight="1" spans="1:21">
      <c r="A3075" s="34"/>
      <c r="B3075" s="109" t="s">
        <v>418</v>
      </c>
      <c r="C3075" s="110"/>
      <c r="D3075" s="110"/>
      <c r="E3075" s="110"/>
      <c r="F3075" s="110"/>
      <c r="G3075" s="110"/>
      <c r="H3075" s="110"/>
      <c r="I3075" s="110"/>
      <c r="J3075" s="110"/>
      <c r="K3075" s="80"/>
      <c r="L3075" s="69"/>
      <c r="M3075" s="44"/>
      <c r="N3075" s="82"/>
      <c r="O3075" s="44"/>
      <c r="P3075" s="44"/>
      <c r="Q3075" s="44"/>
      <c r="R3075" s="84"/>
      <c r="S3075" s="47"/>
      <c r="T3075" s="47"/>
    </row>
    <row r="3076" s="27" customFormat="1" ht="18" customHeight="1" spans="1:21">
      <c r="A3076" s="34"/>
      <c r="B3076" s="48">
        <v>1</v>
      </c>
      <c r="C3076" s="48" t="s">
        <v>391</v>
      </c>
      <c r="D3076" s="48" t="s">
        <v>396</v>
      </c>
      <c r="E3076" s="48" t="s">
        <v>37</v>
      </c>
      <c r="F3076" s="50"/>
      <c r="G3076" s="48"/>
      <c r="H3076" s="51" t="s">
        <v>399</v>
      </c>
      <c r="I3076" s="51" t="s">
        <v>420</v>
      </c>
      <c r="J3076" s="95" t="s">
        <v>421</v>
      </c>
      <c r="K3076" s="92"/>
      <c r="L3076" s="69"/>
      <c r="M3076" s="44"/>
      <c r="N3076" s="82"/>
      <c r="O3076" s="44"/>
      <c r="P3076" s="44"/>
      <c r="Q3076" s="44"/>
      <c r="R3076" s="84"/>
      <c r="S3076" s="47"/>
      <c r="T3076" s="47"/>
    </row>
    <row r="3077" s="27" customFormat="1" ht="18" customHeight="1" spans="1:21">
      <c r="A3077" s="34"/>
      <c r="B3077" s="48">
        <v>2</v>
      </c>
      <c r="C3077" s="48"/>
      <c r="D3077" s="111" t="s">
        <v>491</v>
      </c>
      <c r="E3077" s="49" t="s">
        <v>423</v>
      </c>
      <c r="F3077" s="112"/>
      <c r="G3077" s="111"/>
      <c r="H3077" s="113">
        <v>1</v>
      </c>
      <c r="I3077" s="113">
        <f>+辅材及安装费!$G$21</f>
        <v>35</v>
      </c>
      <c r="J3077" s="114">
        <f t="shared" ref="J3077:J3085" si="481">H3077*I3077</f>
        <v>35</v>
      </c>
      <c r="K3077" s="92"/>
      <c r="L3077" s="69"/>
      <c r="M3077" s="34"/>
      <c r="N3077" s="34"/>
      <c r="O3077" s="34"/>
      <c r="P3077" s="34"/>
      <c r="Q3077" s="44"/>
      <c r="R3077" s="84"/>
      <c r="S3077" s="47"/>
      <c r="T3077" s="47"/>
    </row>
    <row r="3078" s="27" customFormat="1" ht="18" customHeight="1" spans="1:21">
      <c r="A3078" s="34"/>
      <c r="B3078" s="48">
        <v>3</v>
      </c>
      <c r="C3078" s="48"/>
      <c r="D3078" s="115"/>
      <c r="E3078" s="63"/>
      <c r="F3078" s="116"/>
      <c r="G3078" s="115"/>
      <c r="H3078" s="117"/>
      <c r="I3078" s="117"/>
      <c r="J3078" s="118"/>
      <c r="K3078" s="92"/>
      <c r="L3078" s="90"/>
      <c r="M3078" s="44"/>
      <c r="N3078" s="82"/>
      <c r="O3078" s="44"/>
      <c r="P3078" s="44"/>
      <c r="Q3078" s="44"/>
      <c r="R3078" s="84"/>
      <c r="S3078" s="47"/>
      <c r="T3078" s="47"/>
    </row>
    <row r="3079" s="27" customFormat="1" ht="18" customHeight="1" spans="1:21">
      <c r="A3079" s="34"/>
      <c r="B3079" s="48">
        <v>4</v>
      </c>
      <c r="C3079" s="48"/>
      <c r="D3079" s="85" t="s">
        <v>426</v>
      </c>
      <c r="E3079" s="48" t="s">
        <v>392</v>
      </c>
      <c r="F3079" s="50"/>
      <c r="G3079" s="48"/>
      <c r="H3079" s="86"/>
      <c r="I3079" s="86"/>
      <c r="J3079" s="95">
        <f>SUM(J3077:J3077)</f>
        <v>35</v>
      </c>
      <c r="K3079" s="92"/>
      <c r="L3079" s="90"/>
      <c r="M3079" s="44"/>
      <c r="N3079" s="82"/>
      <c r="O3079" s="44"/>
      <c r="P3079" s="44"/>
      <c r="Q3079" s="44"/>
      <c r="R3079" s="84"/>
      <c r="S3079" s="47"/>
      <c r="T3079" s="47"/>
    </row>
    <row r="3080" s="27" customFormat="1" ht="24" customHeight="1" spans="1:21">
      <c r="A3080" s="34"/>
      <c r="B3080" s="48">
        <v>1</v>
      </c>
      <c r="C3080" s="48" t="s">
        <v>394</v>
      </c>
      <c r="D3080" s="88" t="s">
        <v>431</v>
      </c>
      <c r="E3080" s="72" t="str">
        <f>+VLOOKUP(D3080,'材料表 '!C:F,2,0)</f>
        <v>kg</v>
      </c>
      <c r="F3080" s="77">
        <v>0</v>
      </c>
      <c r="G3080" s="89">
        <f>+VLOOKUP(D3080,'材料表 '!C:F,4,0)</f>
        <v>0.03</v>
      </c>
      <c r="H3080" s="74">
        <f t="shared" ref="H3080:H3085" si="482">F3080*(G3080+1)</f>
        <v>0</v>
      </c>
      <c r="I3080" s="74">
        <f>+VLOOKUP(D3080,'材料表 '!C:F,3,0)</f>
        <v>3.80530973451327</v>
      </c>
      <c r="J3080" s="95">
        <f t="shared" si="481"/>
        <v>0</v>
      </c>
      <c r="K3080" s="92">
        <f ca="1">H3080*K3066</f>
        <v>0</v>
      </c>
      <c r="L3080" s="90"/>
      <c r="M3080" s="44"/>
      <c r="N3080" s="82"/>
      <c r="O3080" s="44"/>
      <c r="P3080" s="44"/>
      <c r="Q3080" s="44"/>
      <c r="R3080" s="84"/>
      <c r="S3080" s="47"/>
      <c r="T3080" s="47"/>
    </row>
    <row r="3081" s="27" customFormat="1" ht="18" customHeight="1" spans="1:21">
      <c r="A3081" s="34"/>
      <c r="B3081" s="48">
        <v>2</v>
      </c>
      <c r="C3081" s="48"/>
      <c r="D3081" s="88" t="s">
        <v>461</v>
      </c>
      <c r="E3081" s="72" t="str">
        <f>+VLOOKUP(D3081,'材料表 '!C:F,2,0)</f>
        <v>kg</v>
      </c>
      <c r="F3081" s="77">
        <v>0</v>
      </c>
      <c r="G3081" s="89">
        <f>+VLOOKUP(D3081,'材料表 '!C:F,4,0)</f>
        <v>0.03</v>
      </c>
      <c r="H3081" s="74">
        <f t="shared" si="482"/>
        <v>0</v>
      </c>
      <c r="I3081" s="74">
        <f>+VLOOKUP(D3081,'材料表 '!C:F,3,0)</f>
        <v>3.53982300884956</v>
      </c>
      <c r="J3081" s="95">
        <f t="shared" si="481"/>
        <v>0</v>
      </c>
      <c r="K3081" s="92">
        <f ca="1">H3081*K3066</f>
        <v>0</v>
      </c>
      <c r="L3081" s="90"/>
      <c r="M3081" s="44"/>
      <c r="N3081" s="82"/>
      <c r="O3081" s="44"/>
      <c r="P3081" s="44"/>
      <c r="Q3081" s="44"/>
      <c r="R3081" s="84"/>
      <c r="S3081" s="47"/>
      <c r="T3081" s="47"/>
    </row>
    <row r="3082" s="27" customFormat="1" ht="18" customHeight="1" spans="1:21">
      <c r="A3082" s="34"/>
      <c r="B3082" s="48">
        <v>3</v>
      </c>
      <c r="C3082" s="48"/>
      <c r="D3082" s="88" t="s">
        <v>465</v>
      </c>
      <c r="E3082" s="72" t="str">
        <f>+VLOOKUP(D3082,'材料表 '!C:F,2,0)</f>
        <v>kg</v>
      </c>
      <c r="F3082" s="77">
        <v>0</v>
      </c>
      <c r="G3082" s="89">
        <f>+VLOOKUP(D3082,'材料表 '!C:F,4,0)</f>
        <v>0.03</v>
      </c>
      <c r="H3082" s="74">
        <f t="shared" si="482"/>
        <v>0</v>
      </c>
      <c r="I3082" s="74">
        <f>+VLOOKUP(D3082,'材料表 '!C:F,3,0)</f>
        <v>6.01769911504425</v>
      </c>
      <c r="J3082" s="95">
        <f t="shared" si="481"/>
        <v>0</v>
      </c>
      <c r="K3082" s="92">
        <f ca="1">H3082*K3066</f>
        <v>0</v>
      </c>
      <c r="L3082" s="90"/>
      <c r="M3082" s="44"/>
      <c r="N3082" s="82"/>
      <c r="O3082" s="44"/>
      <c r="P3082" s="44"/>
      <c r="Q3082" s="44"/>
      <c r="R3082" s="84"/>
      <c r="S3082" s="47"/>
      <c r="T3082" s="47"/>
    </row>
    <row r="3083" s="27" customFormat="1" ht="18" customHeight="1" spans="1:21">
      <c r="A3083" s="34"/>
      <c r="B3083" s="48">
        <v>4</v>
      </c>
      <c r="C3083" s="48"/>
      <c r="D3083" s="88" t="s">
        <v>463</v>
      </c>
      <c r="E3083" s="72" t="str">
        <f>+VLOOKUP(D3083,'材料表 '!C:F,2,0)</f>
        <v>kg</v>
      </c>
      <c r="F3083" s="77">
        <v>0</v>
      </c>
      <c r="G3083" s="89">
        <f>+VLOOKUP(D3083,'材料表 '!C:F,4,0)</f>
        <v>0.03</v>
      </c>
      <c r="H3083" s="74">
        <f t="shared" si="482"/>
        <v>0</v>
      </c>
      <c r="I3083" s="74">
        <f>+VLOOKUP(D3083,'材料表 '!C:F,3,0)</f>
        <v>6.01769911504425</v>
      </c>
      <c r="J3083" s="95">
        <f t="shared" si="481"/>
        <v>0</v>
      </c>
      <c r="K3083" s="92">
        <f ca="1">H3083*K3066</f>
        <v>0</v>
      </c>
      <c r="L3083" s="90"/>
      <c r="M3083" s="44"/>
      <c r="N3083" s="82"/>
      <c r="O3083" s="44"/>
      <c r="P3083" s="44"/>
      <c r="Q3083" s="44"/>
      <c r="R3083" s="84"/>
      <c r="S3083" s="47"/>
      <c r="T3083" s="47"/>
    </row>
    <row r="3084" s="27" customFormat="1" ht="18" customHeight="1" spans="1:21">
      <c r="A3084" s="34"/>
      <c r="B3084" s="48">
        <v>5</v>
      </c>
      <c r="C3084" s="48"/>
      <c r="D3084" s="88" t="s">
        <v>433</v>
      </c>
      <c r="E3084" s="72" t="str">
        <f>+VLOOKUP(D3084,'材料表 '!C:F,2,0)</f>
        <v>kg</v>
      </c>
      <c r="F3084" s="77">
        <v>0</v>
      </c>
      <c r="G3084" s="89">
        <f>+VLOOKUP(D3084,'材料表 '!C:F,4,0)</f>
        <v>0.03</v>
      </c>
      <c r="H3084" s="74">
        <f t="shared" si="482"/>
        <v>0</v>
      </c>
      <c r="I3084" s="74">
        <f>+VLOOKUP(D3084,'材料表 '!C:F,3,0)</f>
        <v>26.1150442477876</v>
      </c>
      <c r="J3084" s="95">
        <f t="shared" si="481"/>
        <v>0</v>
      </c>
      <c r="K3084" s="92">
        <f ca="1">H3084*K3066</f>
        <v>0</v>
      </c>
      <c r="L3084" s="92"/>
      <c r="M3084" s="44"/>
      <c r="N3084" s="82"/>
      <c r="O3084" s="44"/>
      <c r="P3084" s="44"/>
      <c r="Q3084" s="44"/>
      <c r="R3084" s="84"/>
      <c r="S3084" s="47"/>
      <c r="T3084" s="47"/>
    </row>
    <row r="3085" s="27" customFormat="1" ht="18" customHeight="1" spans="1:21">
      <c r="A3085" s="34"/>
      <c r="B3085" s="48">
        <v>6</v>
      </c>
      <c r="C3085" s="48"/>
      <c r="D3085" s="88" t="s">
        <v>427</v>
      </c>
      <c r="E3085" s="72" t="str">
        <f>+VLOOKUP(D3085,'材料表 '!C:F,2,0)</f>
        <v>kg</v>
      </c>
      <c r="F3085" s="77">
        <v>0</v>
      </c>
      <c r="G3085" s="89">
        <f>+VLOOKUP(D3085,'材料表 '!C:F,4,0)</f>
        <v>0.03</v>
      </c>
      <c r="H3085" s="74">
        <f t="shared" si="482"/>
        <v>0</v>
      </c>
      <c r="I3085" s="74">
        <f>+VLOOKUP(D3085,'材料表 '!C:F,3,0)</f>
        <v>25.8495575221239</v>
      </c>
      <c r="J3085" s="95">
        <f t="shared" si="481"/>
        <v>0</v>
      </c>
      <c r="K3085" s="92">
        <f ca="1">H3085*K3066</f>
        <v>0</v>
      </c>
      <c r="L3085" s="69"/>
      <c r="M3085" s="70"/>
      <c r="N3085" s="34"/>
      <c r="O3085" s="34"/>
      <c r="P3085" s="34"/>
      <c r="Q3085" s="44"/>
      <c r="R3085" s="71"/>
      <c r="S3085" s="47"/>
      <c r="T3085" s="47"/>
    </row>
    <row r="3086" s="27" customFormat="1" ht="18" customHeight="1" spans="1:21">
      <c r="A3086" s="34"/>
      <c r="B3086" s="48">
        <v>7</v>
      </c>
      <c r="C3086" s="48"/>
      <c r="D3086" s="88"/>
      <c r="E3086" s="72"/>
      <c r="F3086" s="77"/>
      <c r="G3086" s="89"/>
      <c r="H3086" s="74"/>
      <c r="I3086" s="74"/>
      <c r="J3086" s="95"/>
      <c r="K3086" s="92">
        <f ca="1">H3086*K3066</f>
        <v>0</v>
      </c>
      <c r="L3086" s="69"/>
      <c r="M3086" s="70"/>
      <c r="N3086" s="34"/>
      <c r="O3086" s="100"/>
      <c r="P3086" s="34"/>
      <c r="Q3086" s="44"/>
      <c r="R3086" s="71"/>
      <c r="S3086" s="47"/>
      <c r="T3086" s="47"/>
    </row>
    <row r="3087" s="27" customFormat="1" ht="18" customHeight="1" spans="1:21">
      <c r="A3087" s="34"/>
      <c r="B3087" s="48">
        <v>8</v>
      </c>
      <c r="C3087" s="48"/>
      <c r="D3087" s="88"/>
      <c r="E3087" s="72"/>
      <c r="F3087" s="77"/>
      <c r="G3087" s="89"/>
      <c r="H3087" s="74"/>
      <c r="I3087" s="74"/>
      <c r="J3087" s="95"/>
      <c r="K3087" s="92">
        <f ca="1">H3087*K3066</f>
        <v>0</v>
      </c>
      <c r="L3087" s="69"/>
      <c r="M3087" s="70"/>
      <c r="N3087" s="34"/>
      <c r="O3087" s="34"/>
      <c r="P3087" s="34"/>
      <c r="Q3087" s="44"/>
      <c r="R3087" s="71"/>
      <c r="S3087" s="47"/>
      <c r="T3087" s="47"/>
      <c r="U3087" s="76"/>
    </row>
    <row r="3088" s="27" customFormat="1" ht="18" customHeight="1" spans="1:21">
      <c r="A3088" s="34"/>
      <c r="B3088" s="48">
        <v>9</v>
      </c>
      <c r="C3088" s="48"/>
      <c r="D3088" s="88" t="s">
        <v>476</v>
      </c>
      <c r="E3088" s="72" t="str">
        <f>+VLOOKUP(D3088,'材料表 '!C:F,2,0)</f>
        <v>支</v>
      </c>
      <c r="F3088" s="77">
        <v>0</v>
      </c>
      <c r="G3088" s="89">
        <f>+VLOOKUP(D3088,'材料表 '!C:F,4,0)</f>
        <v>0.15</v>
      </c>
      <c r="H3088" s="74">
        <f t="shared" ref="H3088:H3091" si="483">F3088*(G3088+1)</f>
        <v>0</v>
      </c>
      <c r="I3088" s="74">
        <f>+VLOOKUP(D3088,'材料表 '!C:F,3,0)</f>
        <v>11.5044247787611</v>
      </c>
      <c r="J3088" s="95">
        <f t="shared" ref="J3088:J3091" si="484">H3088*I3088</f>
        <v>0</v>
      </c>
      <c r="K3088" s="92">
        <f ca="1">H3088*K3066</f>
        <v>0</v>
      </c>
      <c r="L3088" s="69"/>
      <c r="M3088" s="70"/>
      <c r="N3088" s="102"/>
      <c r="O3088" s="34"/>
      <c r="P3088" s="34"/>
      <c r="Q3088" s="44"/>
      <c r="R3088" s="71"/>
      <c r="S3088" s="47"/>
      <c r="T3088" s="47"/>
    </row>
    <row r="3089" s="27" customFormat="1" ht="18" customHeight="1" spans="1:21">
      <c r="A3089" s="34"/>
      <c r="B3089" s="48">
        <v>10</v>
      </c>
      <c r="C3089" s="48"/>
      <c r="D3089" s="88" t="s">
        <v>474</v>
      </c>
      <c r="E3089" s="72" t="str">
        <f>+VLOOKUP(D3089,'材料表 '!C:F,2,0)</f>
        <v>套</v>
      </c>
      <c r="F3089" s="77">
        <v>0</v>
      </c>
      <c r="G3089" s="89">
        <f>+VLOOKUP(D3089,'材料表 '!C:F,4,0)</f>
        <v>0</v>
      </c>
      <c r="H3089" s="74">
        <f t="shared" si="483"/>
        <v>0</v>
      </c>
      <c r="I3089" s="74">
        <f>+VLOOKUP(D3089,'材料表 '!C:F,3,0)</f>
        <v>2.21238938053097</v>
      </c>
      <c r="J3089" s="95">
        <f t="shared" si="484"/>
        <v>0</v>
      </c>
      <c r="K3089" s="92">
        <f ca="1">H3089*K3066</f>
        <v>0</v>
      </c>
      <c r="L3089" s="69"/>
      <c r="M3089" s="70"/>
      <c r="N3089" s="34"/>
      <c r="O3089" s="100"/>
      <c r="P3089" s="34"/>
      <c r="Q3089" s="44"/>
      <c r="R3089" s="71"/>
      <c r="S3089" s="79"/>
      <c r="T3089" s="47"/>
    </row>
    <row r="3090" s="27" customFormat="1" ht="18" customHeight="1" spans="1:21">
      <c r="A3090" s="34"/>
      <c r="B3090" s="48">
        <v>11</v>
      </c>
      <c r="C3090" s="48"/>
      <c r="D3090" s="88" t="s">
        <v>472</v>
      </c>
      <c r="E3090" s="72" t="str">
        <f>+VLOOKUP(D3090,'材料表 '!C:F,2,0)</f>
        <v>套</v>
      </c>
      <c r="F3090" s="77">
        <v>0</v>
      </c>
      <c r="G3090" s="89">
        <f>+VLOOKUP(D3090,'材料表 '!C:F,4,0)</f>
        <v>0</v>
      </c>
      <c r="H3090" s="74">
        <f t="shared" si="483"/>
        <v>0</v>
      </c>
      <c r="I3090" s="74">
        <f>+VLOOKUP(D3090,'材料表 '!C:F,3,0)</f>
        <v>2.47787610619469</v>
      </c>
      <c r="J3090" s="95">
        <f t="shared" si="484"/>
        <v>0</v>
      </c>
      <c r="K3090" s="92">
        <f ca="1">H3090*K3066</f>
        <v>0</v>
      </c>
      <c r="L3090" s="69"/>
      <c r="M3090" s="70"/>
      <c r="N3090" s="34"/>
      <c r="O3090" s="34"/>
      <c r="P3090" s="34"/>
      <c r="Q3090" s="44"/>
      <c r="R3090" s="71"/>
      <c r="S3090" s="47"/>
      <c r="T3090" s="47"/>
      <c r="U3090" s="76"/>
    </row>
    <row r="3091" s="27" customFormat="1" ht="18" customHeight="1" spans="1:21">
      <c r="A3091" s="34"/>
      <c r="B3091" s="48">
        <v>12</v>
      </c>
      <c r="C3091" s="48"/>
      <c r="D3091" s="88" t="s">
        <v>340</v>
      </c>
      <c r="E3091" s="72" t="str">
        <f>+VLOOKUP(D3091,'材料表 '!C:F,2,0)</f>
        <v>m2</v>
      </c>
      <c r="F3091" s="77">
        <v>1</v>
      </c>
      <c r="G3091" s="89">
        <f>+VLOOKUP(D3091,'材料表 '!C:F,4,0)</f>
        <v>0.02</v>
      </c>
      <c r="H3091" s="74">
        <f t="shared" si="483"/>
        <v>1.02</v>
      </c>
      <c r="I3091" s="74">
        <f>+VLOOKUP(D3091,'材料表 '!C:F,3,0)</f>
        <v>270.796460176991</v>
      </c>
      <c r="J3091" s="95">
        <f t="shared" si="484"/>
        <v>276.212389380531</v>
      </c>
      <c r="K3091" s="92">
        <f ca="1">H3091*K3066</f>
        <v>156.75793704</v>
      </c>
      <c r="L3091" s="69"/>
      <c r="M3091" s="81"/>
      <c r="N3091" s="82"/>
      <c r="O3091" s="34"/>
      <c r="P3091" s="34"/>
      <c r="Q3091" s="44"/>
      <c r="R3091" s="71"/>
      <c r="S3091" s="47"/>
      <c r="T3091" s="47"/>
    </row>
    <row r="3092" s="27" customFormat="1" ht="18" customHeight="1" spans="1:21">
      <c r="A3092" s="34"/>
      <c r="B3092" s="48">
        <v>13</v>
      </c>
      <c r="C3092" s="48"/>
      <c r="D3092" s="125"/>
      <c r="E3092" s="72"/>
      <c r="F3092" s="77"/>
      <c r="G3092" s="89"/>
      <c r="H3092" s="74"/>
      <c r="I3092" s="74"/>
      <c r="J3092" s="95"/>
      <c r="K3092" s="92"/>
      <c r="L3092" s="69"/>
      <c r="M3092" s="81"/>
      <c r="N3092" s="82"/>
      <c r="O3092" s="34"/>
      <c r="P3092" s="34"/>
      <c r="Q3092" s="44"/>
      <c r="R3092" s="71"/>
      <c r="S3092" s="47"/>
      <c r="T3092" s="47"/>
    </row>
    <row r="3093" s="27" customFormat="1" ht="18" customHeight="1" spans="1:21">
      <c r="A3093" s="34"/>
      <c r="B3093" s="48">
        <v>14</v>
      </c>
      <c r="C3093" s="48"/>
      <c r="D3093" s="124"/>
      <c r="E3093" s="72"/>
      <c r="F3093" s="77"/>
      <c r="G3093" s="89"/>
      <c r="H3093" s="74"/>
      <c r="I3093" s="74"/>
      <c r="J3093" s="95"/>
      <c r="K3093" s="92">
        <f ca="1">H3093*K3066</f>
        <v>0</v>
      </c>
      <c r="L3093" s="69"/>
      <c r="M3093" s="70"/>
      <c r="N3093" s="83"/>
      <c r="O3093" s="34"/>
      <c r="P3093" s="34"/>
      <c r="Q3093" s="44"/>
      <c r="R3093" s="84"/>
      <c r="S3093" s="47"/>
      <c r="T3093" s="47"/>
    </row>
    <row r="3094" s="27" customFormat="1" ht="20" customHeight="1" spans="1:21">
      <c r="A3094" s="34"/>
      <c r="B3094" s="48">
        <v>15</v>
      </c>
      <c r="C3094" s="48"/>
      <c r="D3094" s="88"/>
      <c r="E3094" s="72"/>
      <c r="F3094" s="77"/>
      <c r="G3094" s="89"/>
      <c r="H3094" s="74"/>
      <c r="I3094" s="74"/>
      <c r="J3094" s="95"/>
      <c r="K3094" s="92">
        <f ca="1">H3094*K3066</f>
        <v>0</v>
      </c>
      <c r="L3094" s="69"/>
      <c r="M3094" s="81"/>
      <c r="N3094" s="82"/>
      <c r="O3094" s="44"/>
      <c r="P3094" s="34"/>
      <c r="Q3094" s="44"/>
      <c r="R3094" s="84"/>
      <c r="S3094" s="47"/>
      <c r="T3094" s="47"/>
    </row>
    <row r="3095" s="27" customFormat="1" ht="18" customHeight="1" spans="1:21">
      <c r="A3095" s="34"/>
      <c r="B3095" s="48">
        <v>16</v>
      </c>
      <c r="C3095" s="48"/>
      <c r="D3095" s="88"/>
      <c r="E3095" s="72"/>
      <c r="F3095" s="77"/>
      <c r="G3095" s="89"/>
      <c r="H3095" s="74"/>
      <c r="I3095" s="74"/>
      <c r="J3095" s="95"/>
      <c r="K3095" s="92"/>
      <c r="L3095" s="92"/>
      <c r="M3095" s="44"/>
      <c r="N3095" s="44"/>
      <c r="O3095" s="44"/>
      <c r="P3095" s="44"/>
      <c r="Q3095" s="44"/>
      <c r="R3095" s="84"/>
      <c r="S3095" s="47"/>
      <c r="T3095" s="47"/>
    </row>
    <row r="3096" s="27" customFormat="1" ht="18" customHeight="1" spans="1:21">
      <c r="A3096" s="34"/>
      <c r="B3096" s="48">
        <v>17</v>
      </c>
      <c r="C3096" s="48"/>
      <c r="D3096" s="88"/>
      <c r="E3096" s="72"/>
      <c r="F3096" s="77"/>
      <c r="G3096" s="89"/>
      <c r="H3096" s="74"/>
      <c r="I3096" s="74"/>
      <c r="J3096" s="95"/>
      <c r="K3096" s="92"/>
      <c r="L3096" s="92"/>
      <c r="M3096" s="44"/>
      <c r="N3096" s="44"/>
      <c r="O3096" s="44"/>
      <c r="P3096" s="44"/>
      <c r="Q3096" s="44"/>
      <c r="R3096" s="84"/>
      <c r="S3096" s="47"/>
      <c r="T3096" s="47"/>
    </row>
    <row r="3097" s="27" customFormat="1" ht="18" customHeight="1" spans="1:21">
      <c r="A3097" s="34"/>
      <c r="B3097" s="48">
        <v>18</v>
      </c>
      <c r="C3097" s="48"/>
      <c r="D3097" s="121"/>
      <c r="E3097" s="72"/>
      <c r="F3097" s="77"/>
      <c r="G3097" s="89"/>
      <c r="H3097" s="74"/>
      <c r="I3097" s="74"/>
      <c r="J3097" s="95"/>
      <c r="K3097" s="92"/>
      <c r="L3097" s="92"/>
      <c r="M3097" s="44"/>
      <c r="N3097" s="44"/>
      <c r="O3097" s="44"/>
      <c r="P3097" s="44"/>
      <c r="Q3097" s="101"/>
      <c r="R3097" s="84"/>
      <c r="S3097" s="47"/>
      <c r="T3097" s="47"/>
    </row>
    <row r="3098" s="27" customFormat="1" ht="18" customHeight="1" spans="1:21">
      <c r="A3098" s="34"/>
      <c r="B3098" s="48">
        <v>19</v>
      </c>
      <c r="C3098" s="48"/>
      <c r="D3098" s="88"/>
      <c r="E3098" s="72"/>
      <c r="F3098" s="77"/>
      <c r="G3098" s="89"/>
      <c r="H3098" s="74"/>
      <c r="I3098" s="74"/>
      <c r="J3098" s="95"/>
      <c r="K3098" s="92"/>
      <c r="L3098" s="92"/>
      <c r="M3098" s="44"/>
      <c r="N3098" s="44"/>
      <c r="O3098" s="44"/>
      <c r="P3098" s="44"/>
      <c r="Q3098" s="44"/>
      <c r="R3098" s="84"/>
      <c r="S3098" s="47"/>
      <c r="T3098" s="47"/>
    </row>
    <row r="3099" s="27" customFormat="1" ht="18" customHeight="1" spans="1:21">
      <c r="A3099" s="34"/>
      <c r="B3099" s="48">
        <v>20</v>
      </c>
      <c r="C3099" s="48"/>
      <c r="D3099" s="27"/>
      <c r="E3099" s="72"/>
      <c r="F3099" s="77"/>
      <c r="G3099" s="89"/>
      <c r="H3099" s="74"/>
      <c r="I3099" s="74"/>
      <c r="J3099" s="95"/>
      <c r="K3099" s="92"/>
      <c r="L3099" s="92"/>
      <c r="M3099" s="44"/>
      <c r="N3099" s="44"/>
      <c r="O3099" s="44"/>
      <c r="P3099" s="44"/>
      <c r="Q3099" s="44"/>
      <c r="R3099" s="84"/>
      <c r="S3099" s="47"/>
      <c r="T3099" s="47"/>
    </row>
    <row r="3100" s="27" customFormat="1" ht="18" customHeight="1" spans="1:21">
      <c r="A3100" s="34"/>
      <c r="B3100" s="48">
        <v>21</v>
      </c>
      <c r="C3100" s="48"/>
      <c r="D3100" s="88"/>
      <c r="E3100" s="72"/>
      <c r="F3100" s="77"/>
      <c r="G3100" s="89"/>
      <c r="H3100" s="74"/>
      <c r="I3100" s="74"/>
      <c r="J3100" s="95"/>
      <c r="K3100" s="92"/>
      <c r="L3100" s="92"/>
      <c r="M3100" s="44"/>
      <c r="N3100" s="44"/>
      <c r="O3100" s="44"/>
      <c r="P3100" s="44"/>
      <c r="Q3100" s="44"/>
      <c r="R3100" s="84"/>
      <c r="S3100" s="47"/>
      <c r="T3100" s="47"/>
    </row>
    <row r="3101" s="27" customFormat="1" ht="18" customHeight="1" spans="1:21">
      <c r="A3101" s="34"/>
      <c r="B3101" s="48">
        <v>22</v>
      </c>
      <c r="C3101" s="48"/>
      <c r="D3101" s="88"/>
      <c r="E3101" s="72"/>
      <c r="F3101" s="77"/>
      <c r="G3101" s="89"/>
      <c r="H3101" s="74"/>
      <c r="I3101" s="74"/>
      <c r="J3101" s="95"/>
      <c r="K3101" s="92"/>
      <c r="L3101" s="92"/>
      <c r="M3101" s="44"/>
      <c r="N3101" s="44"/>
      <c r="O3101" s="44"/>
      <c r="P3101" s="44"/>
      <c r="Q3101" s="44"/>
      <c r="R3101" s="84"/>
      <c r="S3101" s="47"/>
      <c r="T3101" s="47"/>
    </row>
    <row r="3102" s="27" customFormat="1" ht="18" customHeight="1" spans="1:21">
      <c r="A3102" s="34"/>
      <c r="B3102" s="48">
        <v>23</v>
      </c>
      <c r="C3102" s="48"/>
      <c r="D3102" s="27"/>
      <c r="E3102" s="72"/>
      <c r="F3102" s="77"/>
      <c r="G3102" s="72"/>
      <c r="H3102" s="74"/>
      <c r="I3102" s="74"/>
      <c r="J3102" s="95"/>
      <c r="K3102" s="92"/>
      <c r="L3102" s="92"/>
      <c r="M3102" s="44"/>
      <c r="N3102" s="44"/>
      <c r="O3102" s="44"/>
      <c r="P3102" s="44"/>
      <c r="Q3102" s="44"/>
      <c r="R3102" s="62"/>
      <c r="S3102" s="47"/>
      <c r="T3102" s="47"/>
    </row>
    <row r="3103" s="27" customFormat="1" ht="18" customHeight="1" spans="1:21">
      <c r="A3103" s="34"/>
      <c r="B3103" s="48">
        <v>24</v>
      </c>
      <c r="C3103" s="48"/>
      <c r="D3103" s="88" t="s">
        <v>478</v>
      </c>
      <c r="E3103" s="72" t="s">
        <v>43</v>
      </c>
      <c r="F3103" s="77"/>
      <c r="G3103" s="72">
        <v>1</v>
      </c>
      <c r="H3103" s="74">
        <v>1</v>
      </c>
      <c r="I3103" s="74">
        <f>+辅材及安装费!$E$21</f>
        <v>5</v>
      </c>
      <c r="J3103" s="95">
        <f>H3103*I3103</f>
        <v>5</v>
      </c>
      <c r="K3103" s="92"/>
      <c r="L3103" s="92"/>
      <c r="M3103" s="44"/>
      <c r="N3103" s="44"/>
      <c r="O3103" s="44"/>
      <c r="P3103" s="44"/>
      <c r="Q3103" s="44"/>
      <c r="R3103" s="62"/>
      <c r="S3103" s="47"/>
      <c r="T3103" s="47"/>
    </row>
    <row r="3104" s="27" customFormat="1" ht="18" customHeight="1" spans="1:21">
      <c r="A3104" s="34"/>
      <c r="B3104" s="48">
        <v>25</v>
      </c>
      <c r="C3104" s="48"/>
      <c r="D3104" s="93" t="s">
        <v>442</v>
      </c>
      <c r="E3104" s="72"/>
      <c r="F3104" s="77"/>
      <c r="G3104" s="72"/>
      <c r="H3104" s="74"/>
      <c r="I3104" s="74"/>
      <c r="J3104" s="95">
        <f>SUM(J3080:J3103)</f>
        <v>281.212389380531</v>
      </c>
      <c r="K3104" s="92"/>
      <c r="L3104" s="94"/>
      <c r="M3104" s="27"/>
      <c r="N3104" s="83"/>
      <c r="O3104" s="83"/>
      <c r="P3104" s="83"/>
      <c r="Q3104" s="83"/>
      <c r="R3104" s="87"/>
      <c r="S3104" s="47"/>
      <c r="T3104" s="47"/>
    </row>
    <row r="3105" s="27" customFormat="1" ht="18" customHeight="1" spans="1:21">
      <c r="A3105" s="34"/>
      <c r="B3105" s="48">
        <v>1</v>
      </c>
      <c r="C3105" s="48" t="s">
        <v>443</v>
      </c>
      <c r="D3105" s="48" t="s">
        <v>444</v>
      </c>
      <c r="E3105" s="72" t="s">
        <v>43</v>
      </c>
      <c r="F3105" s="50"/>
      <c r="G3105" s="48"/>
      <c r="H3105" s="51">
        <v>1</v>
      </c>
      <c r="I3105" s="74">
        <f>+辅材及安装费!$F$21</f>
        <v>5</v>
      </c>
      <c r="J3105" s="95">
        <f>H3105*I3105</f>
        <v>5</v>
      </c>
      <c r="K3105" s="118"/>
      <c r="L3105" s="96"/>
      <c r="M3105" s="97"/>
      <c r="N3105" s="98"/>
      <c r="O3105" s="98"/>
      <c r="P3105" s="98"/>
      <c r="Q3105" s="98"/>
      <c r="R3105" s="99"/>
      <c r="S3105" s="47"/>
      <c r="T3105" s="47"/>
    </row>
    <row r="3106" s="26" customFormat="1" ht="30" customHeight="1" spans="1:21">
      <c r="A3106" s="28"/>
      <c r="B3106" s="29" t="s">
        <v>386</v>
      </c>
      <c r="C3106" s="29"/>
      <c r="D3106" s="29"/>
      <c r="E3106" s="29"/>
      <c r="F3106" s="29"/>
      <c r="G3106" s="29"/>
      <c r="H3106" s="29"/>
      <c r="I3106" s="29"/>
      <c r="J3106" s="29"/>
      <c r="K3106" s="29"/>
      <c r="L3106" s="30"/>
      <c r="M3106" s="31"/>
      <c r="N3106" s="31"/>
      <c r="O3106" s="31"/>
      <c r="P3106" s="31"/>
      <c r="Q3106" s="31"/>
      <c r="R3106" s="32"/>
      <c r="S3106" s="33"/>
      <c r="T3106" s="33"/>
    </row>
    <row r="3107" s="27" customFormat="1" ht="33.75" customHeight="1" spans="1:21">
      <c r="A3107" s="34">
        <v>1</v>
      </c>
      <c r="B3107" s="35" t="s">
        <v>1</v>
      </c>
      <c r="C3107" s="35" t="s">
        <v>387</v>
      </c>
      <c r="D3107" s="36" t="str">
        <f>+A3115</f>
        <v>二层金属网</v>
      </c>
      <c r="E3107" s="37"/>
      <c r="F3107" s="38" t="s">
        <v>225</v>
      </c>
      <c r="G3107" s="39"/>
      <c r="H3107" s="35" t="s">
        <v>388</v>
      </c>
      <c r="I3107" s="40" t="s">
        <v>389</v>
      </c>
      <c r="J3107" s="41" t="s">
        <v>37</v>
      </c>
      <c r="K3107" s="122">
        <f ca="1">VLOOKUP(A3107,'商业工程量清单 '!$A$82:$D$84,4,FALSE)</f>
        <v>371.924589</v>
      </c>
      <c r="L3107" s="43"/>
      <c r="M3107" s="44"/>
      <c r="N3107" s="44"/>
      <c r="O3107" s="44"/>
      <c r="P3107" s="45"/>
      <c r="Q3107" s="44"/>
      <c r="R3107" s="46"/>
      <c r="S3107" s="47"/>
      <c r="T3107" s="47"/>
    </row>
    <row r="3108" s="27" customFormat="1" ht="25" customHeight="1" spans="1:21">
      <c r="A3108" s="34"/>
      <c r="B3108" s="48">
        <v>1</v>
      </c>
      <c r="C3108" s="49" t="s">
        <v>390</v>
      </c>
      <c r="D3108" s="48" t="s">
        <v>391</v>
      </c>
      <c r="E3108" s="48"/>
      <c r="F3108" s="50"/>
      <c r="G3108" s="48"/>
      <c r="H3108" s="51"/>
      <c r="I3108" s="52">
        <f>J3120</f>
        <v>130</v>
      </c>
      <c r="J3108" s="53" t="s">
        <v>392</v>
      </c>
      <c r="K3108" s="54"/>
      <c r="L3108" s="55" t="s">
        <v>1005</v>
      </c>
      <c r="M3108" s="56"/>
      <c r="N3108" s="57"/>
      <c r="O3108" s="57">
        <f>7.2+1.65+0.985</f>
        <v>9.835</v>
      </c>
      <c r="P3108" s="57">
        <v>3.043</v>
      </c>
      <c r="Q3108" s="57">
        <v>1</v>
      </c>
      <c r="R3108" s="58">
        <f>+Q3108*P3108*O3108</f>
        <v>29.927905</v>
      </c>
      <c r="S3108" s="47"/>
      <c r="T3108" s="47"/>
    </row>
    <row r="3109" s="27" customFormat="1" ht="18" customHeight="1" spans="1:21">
      <c r="A3109" s="34"/>
      <c r="B3109" s="48">
        <v>2</v>
      </c>
      <c r="C3109" s="59"/>
      <c r="D3109" s="48" t="s">
        <v>394</v>
      </c>
      <c r="E3109" s="48"/>
      <c r="F3109" s="50"/>
      <c r="G3109" s="48"/>
      <c r="H3109" s="51"/>
      <c r="I3109" s="52">
        <f>J3147</f>
        <v>388.722752924999</v>
      </c>
      <c r="J3109" s="53" t="s">
        <v>392</v>
      </c>
      <c r="K3109" s="60"/>
      <c r="L3109" s="61"/>
      <c r="M3109" s="44"/>
      <c r="N3109" s="44"/>
      <c r="O3109" s="44"/>
      <c r="P3109" s="44"/>
      <c r="Q3109" s="44"/>
      <c r="R3109" s="62"/>
      <c r="S3109" s="47"/>
      <c r="T3109" s="47"/>
    </row>
    <row r="3110" s="27" customFormat="1" ht="18" customHeight="1" spans="1:21">
      <c r="A3110" s="34"/>
      <c r="B3110" s="48">
        <v>3</v>
      </c>
      <c r="C3110" s="63"/>
      <c r="D3110" s="48" t="s">
        <v>395</v>
      </c>
      <c r="E3110" s="48"/>
      <c r="F3110" s="50"/>
      <c r="G3110" s="48"/>
      <c r="H3110" s="51"/>
      <c r="I3110" s="52">
        <f>J3148</f>
        <v>5</v>
      </c>
      <c r="J3110" s="53" t="s">
        <v>392</v>
      </c>
      <c r="K3110" s="60"/>
      <c r="L3110" s="60"/>
      <c r="M3110" s="64" t="s">
        <v>396</v>
      </c>
      <c r="N3110" s="65" t="s">
        <v>397</v>
      </c>
      <c r="O3110" s="65" t="s">
        <v>398</v>
      </c>
      <c r="P3110" s="65" t="s">
        <v>399</v>
      </c>
      <c r="Q3110" s="65" t="s">
        <v>400</v>
      </c>
      <c r="R3110" s="66" t="s">
        <v>401</v>
      </c>
      <c r="S3110" s="47"/>
      <c r="T3110" s="47"/>
    </row>
    <row r="3111" s="27" customFormat="1" ht="18" customHeight="1" spans="1:21">
      <c r="A3111" s="34"/>
      <c r="B3111" s="48">
        <v>4</v>
      </c>
      <c r="C3111" s="48" t="s">
        <v>402</v>
      </c>
      <c r="D3111" s="67" t="s">
        <v>403</v>
      </c>
      <c r="E3111" s="67"/>
      <c r="F3111" s="50"/>
      <c r="G3111" s="67"/>
      <c r="H3111" s="68"/>
      <c r="I3111" s="52">
        <f>SUM(I3108:I3110)</f>
        <v>523.722752924999</v>
      </c>
      <c r="J3111" s="53" t="s">
        <v>392</v>
      </c>
      <c r="K3111" s="60"/>
      <c r="L3111" s="69" t="s">
        <v>447</v>
      </c>
      <c r="M3111" s="70" t="s">
        <v>1007</v>
      </c>
      <c r="N3111" s="34">
        <f>1.325+1.216</f>
        <v>2.541</v>
      </c>
      <c r="O3111" s="34">
        <f>P3108</f>
        <v>3.043</v>
      </c>
      <c r="P3111" s="34">
        <v>7</v>
      </c>
      <c r="Q3111" s="44">
        <f t="shared" ref="Q3111:Q3121" si="485">+P3111*O3111*N3111</f>
        <v>54.125841</v>
      </c>
      <c r="R3111" s="71">
        <f>+Q3111/R3108</f>
        <v>1.8085409252669</v>
      </c>
      <c r="S3111" s="47">
        <f>0.077*2+0.04</f>
        <v>0.194</v>
      </c>
      <c r="T3111" s="47">
        <f>O3111*P3111*S3111</f>
        <v>4.132394</v>
      </c>
      <c r="U3111" s="47">
        <f>T3111/R3108</f>
        <v>0.138078291814947</v>
      </c>
    </row>
    <row r="3112" s="27" customFormat="1" ht="28" customHeight="1" spans="1:21">
      <c r="A3112" s="34"/>
      <c r="B3112" s="48">
        <v>5</v>
      </c>
      <c r="C3112" s="72" t="s">
        <v>406</v>
      </c>
      <c r="D3112" s="48" t="s">
        <v>407</v>
      </c>
      <c r="E3112" s="48"/>
      <c r="F3112" s="50"/>
      <c r="G3112" s="48"/>
      <c r="H3112" s="73">
        <f>+'材料表 '!$E$178</f>
        <v>0</v>
      </c>
      <c r="I3112" s="52">
        <f>H3112*I3111</f>
        <v>0</v>
      </c>
      <c r="J3112" s="53" t="s">
        <v>392</v>
      </c>
      <c r="K3112" s="60"/>
      <c r="L3112" s="69" t="s">
        <v>447</v>
      </c>
      <c r="M3112" s="70" t="s">
        <v>1074</v>
      </c>
      <c r="N3112" s="100">
        <f>0.688*2.71</f>
        <v>1.86448</v>
      </c>
      <c r="O3112" s="34">
        <f>O3108</f>
        <v>9.835</v>
      </c>
      <c r="P3112" s="34">
        <v>1</v>
      </c>
      <c r="Q3112" s="44">
        <f t="shared" si="485"/>
        <v>18.3371608</v>
      </c>
      <c r="R3112" s="71">
        <f>+Q3112/R3108</f>
        <v>0.612711140322051</v>
      </c>
      <c r="S3112" s="47">
        <v>0.34</v>
      </c>
      <c r="T3112" s="47">
        <f>O3112*P3112*S3112</f>
        <v>3.3439</v>
      </c>
      <c r="U3112" s="76">
        <f>T3112/R3108</f>
        <v>0.111731843575419</v>
      </c>
    </row>
    <row r="3113" s="27" customFormat="1" ht="18" customHeight="1" spans="1:21">
      <c r="A3113" s="34"/>
      <c r="B3113" s="48">
        <v>6</v>
      </c>
      <c r="C3113" s="48" t="s">
        <v>409</v>
      </c>
      <c r="D3113" s="48" t="s">
        <v>410</v>
      </c>
      <c r="E3113" s="48"/>
      <c r="F3113" s="50"/>
      <c r="G3113" s="48"/>
      <c r="H3113" s="73">
        <f>+'材料表 '!$E$179</f>
        <v>0</v>
      </c>
      <c r="I3113" s="52">
        <f>H3113*I3111</f>
        <v>0</v>
      </c>
      <c r="J3113" s="74" t="s">
        <v>392</v>
      </c>
      <c r="K3113" s="75"/>
      <c r="L3113" s="69" t="s">
        <v>447</v>
      </c>
      <c r="M3113" s="70" t="s">
        <v>1075</v>
      </c>
      <c r="N3113" s="100">
        <f>0.28*2*2.71</f>
        <v>1.5176</v>
      </c>
      <c r="O3113" s="100">
        <f>O3108</f>
        <v>9.835</v>
      </c>
      <c r="P3113" s="34">
        <v>1</v>
      </c>
      <c r="Q3113" s="44">
        <f t="shared" si="485"/>
        <v>14.925596</v>
      </c>
      <c r="R3113" s="71">
        <f>+Q3113/R3108</f>
        <v>0.498718370029576</v>
      </c>
      <c r="S3113" s="47">
        <v>0.28</v>
      </c>
      <c r="T3113" s="47">
        <f>O3113*P3113*S3113</f>
        <v>2.7538</v>
      </c>
      <c r="U3113" s="76">
        <f>T3113/R3108</f>
        <v>0.0920144594150509</v>
      </c>
    </row>
    <row r="3114" s="27" customFormat="1" ht="18" customHeight="1" spans="1:21">
      <c r="A3114" s="34"/>
      <c r="B3114" s="48">
        <v>7</v>
      </c>
      <c r="C3114" s="48" t="s">
        <v>412</v>
      </c>
      <c r="D3114" s="72" t="s">
        <v>413</v>
      </c>
      <c r="E3114" s="72"/>
      <c r="F3114" s="77"/>
      <c r="G3114" s="72"/>
      <c r="H3114" s="73">
        <f>+'材料表 '!$E$180</f>
        <v>0.09</v>
      </c>
      <c r="I3114" s="52">
        <f>(I3111+I3112+I3113)*H3114</f>
        <v>47.1350477632499</v>
      </c>
      <c r="J3114" s="74" t="s">
        <v>392</v>
      </c>
      <c r="K3114" s="75"/>
      <c r="L3114" s="69" t="s">
        <v>447</v>
      </c>
      <c r="M3114" s="70" t="s">
        <v>1076</v>
      </c>
      <c r="N3114" s="34">
        <f>0.307*2</f>
        <v>0.614</v>
      </c>
      <c r="O3114" s="34">
        <f>O3111</f>
        <v>3.043</v>
      </c>
      <c r="P3114" s="34">
        <v>7</v>
      </c>
      <c r="Q3114" s="44">
        <f t="shared" si="485"/>
        <v>13.078814</v>
      </c>
      <c r="R3114" s="71">
        <f>+Q3114/R3108</f>
        <v>0.437010676156584</v>
      </c>
      <c r="S3114" s="47">
        <f>0.09*2</f>
        <v>0.18</v>
      </c>
      <c r="T3114" s="47">
        <f>O3114*P3114*S3114</f>
        <v>3.83418</v>
      </c>
      <c r="U3114" s="76">
        <f>T3114/R3108</f>
        <v>0.128113879003559</v>
      </c>
    </row>
    <row r="3115" s="27" customFormat="1" ht="18" customHeight="1" spans="1:21">
      <c r="A3115" s="78" t="s">
        <v>343</v>
      </c>
      <c r="B3115" s="48">
        <v>8</v>
      </c>
      <c r="C3115" s="48" t="s">
        <v>363</v>
      </c>
      <c r="D3115" s="72" t="s">
        <v>415</v>
      </c>
      <c r="E3115" s="72"/>
      <c r="F3115" s="77"/>
      <c r="G3115" s="72"/>
      <c r="H3115" s="51"/>
      <c r="I3115" s="74">
        <f>SUM(I3111:I3114)</f>
        <v>570.857800688248</v>
      </c>
      <c r="J3115" s="74" t="s">
        <v>416</v>
      </c>
      <c r="K3115" s="75"/>
      <c r="L3115" s="69"/>
      <c r="M3115" s="70"/>
      <c r="N3115" s="101"/>
      <c r="O3115" s="34"/>
      <c r="P3115" s="34"/>
      <c r="Q3115" s="44">
        <f t="shared" si="485"/>
        <v>0</v>
      </c>
      <c r="R3115" s="71">
        <f>+Q3115/R3108</f>
        <v>0</v>
      </c>
      <c r="S3115" s="79"/>
      <c r="T3115" s="47"/>
    </row>
    <row r="3116" s="27" customFormat="1" ht="18" customHeight="1" spans="1:21">
      <c r="A3116" s="34"/>
      <c r="B3116" s="48" t="s">
        <v>418</v>
      </c>
      <c r="C3116" s="48"/>
      <c r="D3116" s="48"/>
      <c r="E3116" s="48"/>
      <c r="F3116" s="48"/>
      <c r="G3116" s="48"/>
      <c r="H3116" s="48"/>
      <c r="I3116" s="48"/>
      <c r="J3116" s="48"/>
      <c r="K3116" s="80"/>
      <c r="L3116" s="69"/>
      <c r="M3116" s="70"/>
      <c r="N3116" s="34"/>
      <c r="O3116" s="34"/>
      <c r="P3116" s="34"/>
      <c r="Q3116" s="44">
        <f t="shared" si="485"/>
        <v>0</v>
      </c>
      <c r="R3116" s="71">
        <f>+Q3116/R3108</f>
        <v>0</v>
      </c>
      <c r="S3116" s="47"/>
      <c r="T3116" s="47"/>
      <c r="U3116" s="76"/>
    </row>
    <row r="3117" s="27" customFormat="1" ht="18" customHeight="1" spans="1:21">
      <c r="A3117" s="34"/>
      <c r="B3117" s="48">
        <v>1</v>
      </c>
      <c r="C3117" s="48" t="s">
        <v>391</v>
      </c>
      <c r="D3117" s="48" t="s">
        <v>396</v>
      </c>
      <c r="E3117" s="48" t="s">
        <v>37</v>
      </c>
      <c r="F3117" s="50"/>
      <c r="G3117" s="48"/>
      <c r="H3117" s="51" t="s">
        <v>399</v>
      </c>
      <c r="I3117" s="51" t="s">
        <v>420</v>
      </c>
      <c r="J3117" s="51" t="s">
        <v>421</v>
      </c>
      <c r="K3117" s="43"/>
      <c r="L3117" s="69"/>
      <c r="M3117" s="81"/>
      <c r="N3117" s="82"/>
      <c r="O3117" s="34"/>
      <c r="P3117" s="34"/>
      <c r="Q3117" s="44">
        <f t="shared" si="485"/>
        <v>0</v>
      </c>
      <c r="R3117" s="71">
        <f>+Q3117/R3108</f>
        <v>0</v>
      </c>
      <c r="S3117" s="47"/>
      <c r="T3117" s="47"/>
    </row>
    <row r="3118" s="27" customFormat="1" ht="18" customHeight="1" spans="1:21">
      <c r="A3118" s="34"/>
      <c r="B3118" s="48">
        <v>2</v>
      </c>
      <c r="C3118" s="48"/>
      <c r="D3118" s="48" t="s">
        <v>968</v>
      </c>
      <c r="E3118" s="72" t="s">
        <v>423</v>
      </c>
      <c r="F3118" s="50"/>
      <c r="G3118" s="48"/>
      <c r="H3118" s="51">
        <v>1</v>
      </c>
      <c r="I3118" s="51">
        <f>+辅材及安装费!$G$20</f>
        <v>130</v>
      </c>
      <c r="J3118" s="51">
        <f t="shared" ref="J3118:J3138" si="486">H3118*I3118</f>
        <v>130</v>
      </c>
      <c r="K3118" s="43"/>
      <c r="L3118" s="69"/>
      <c r="M3118" s="70"/>
      <c r="N3118" s="34"/>
      <c r="O3118" s="34"/>
      <c r="P3118" s="34"/>
      <c r="Q3118" s="44">
        <f t="shared" si="485"/>
        <v>0</v>
      </c>
      <c r="R3118" s="84">
        <f>+Q3118/R3108</f>
        <v>0</v>
      </c>
      <c r="S3118" s="47"/>
      <c r="T3118" s="47"/>
    </row>
    <row r="3119" s="27" customFormat="1" ht="18" customHeight="1" spans="1:21">
      <c r="A3119" s="34"/>
      <c r="B3119" s="48">
        <v>3</v>
      </c>
      <c r="C3119" s="48"/>
      <c r="D3119" s="48"/>
      <c r="E3119" s="72"/>
      <c r="F3119" s="50"/>
      <c r="G3119" s="48"/>
      <c r="H3119" s="51"/>
      <c r="I3119" s="51"/>
      <c r="J3119" s="51"/>
      <c r="K3119" s="43"/>
      <c r="L3119" s="69"/>
      <c r="M3119" s="70"/>
      <c r="N3119" s="82"/>
      <c r="O3119" s="82"/>
      <c r="P3119" s="34"/>
      <c r="Q3119" s="44">
        <f t="shared" si="485"/>
        <v>0</v>
      </c>
      <c r="R3119" s="84">
        <f>+Q3119/R3108</f>
        <v>0</v>
      </c>
      <c r="S3119" s="47"/>
      <c r="T3119" s="47"/>
      <c r="U3119" s="76"/>
    </row>
    <row r="3120" s="27" customFormat="1" ht="18" customHeight="1" spans="1:21">
      <c r="A3120" s="34"/>
      <c r="B3120" s="48">
        <v>4</v>
      </c>
      <c r="C3120" s="48"/>
      <c r="D3120" s="85" t="s">
        <v>426</v>
      </c>
      <c r="E3120" s="48" t="s">
        <v>392</v>
      </c>
      <c r="F3120" s="50"/>
      <c r="G3120" s="48"/>
      <c r="H3120" s="86"/>
      <c r="I3120" s="86"/>
      <c r="J3120" s="51">
        <f>SUM(J3118:J3118)</f>
        <v>130</v>
      </c>
      <c r="K3120" s="75"/>
      <c r="L3120" s="69"/>
      <c r="M3120" s="70"/>
      <c r="N3120" s="34"/>
      <c r="O3120" s="34"/>
      <c r="P3120" s="34"/>
      <c r="Q3120" s="44">
        <f t="shared" si="485"/>
        <v>0</v>
      </c>
      <c r="R3120" s="84">
        <f>+Q3120/R3108</f>
        <v>0</v>
      </c>
      <c r="S3120" s="47"/>
      <c r="T3120" s="47"/>
      <c r="U3120" s="76"/>
    </row>
    <row r="3121" s="27" customFormat="1" ht="23" customHeight="1" spans="1:20">
      <c r="A3121" s="34"/>
      <c r="B3121" s="48">
        <v>1</v>
      </c>
      <c r="C3121" s="48" t="s">
        <v>394</v>
      </c>
      <c r="D3121" s="88" t="s">
        <v>427</v>
      </c>
      <c r="E3121" s="72" t="str">
        <f>+VLOOKUP(D3121,'材料表 '!C:F,2,0)</f>
        <v>kg</v>
      </c>
      <c r="F3121" s="77">
        <f>+SUMIF($L$3108:$L$3148,D3121,$R$3108:$R$3148)</f>
        <v>0</v>
      </c>
      <c r="G3121" s="89">
        <f>+VLOOKUP(D3121,'材料表 '!C:F,4,0)</f>
        <v>0.03</v>
      </c>
      <c r="H3121" s="74">
        <f t="shared" ref="H3121:H3138" si="487">F3121*(G3121+1)</f>
        <v>0</v>
      </c>
      <c r="I3121" s="74">
        <f>+VLOOKUP(D3121,'材料表 '!C:F,3,0)</f>
        <v>25.8495575221239</v>
      </c>
      <c r="J3121" s="51">
        <f t="shared" si="486"/>
        <v>0</v>
      </c>
      <c r="K3121" s="75">
        <f ca="1">H3121*K3107</f>
        <v>0</v>
      </c>
      <c r="L3121" s="69"/>
      <c r="M3121" s="70"/>
      <c r="N3121" s="34"/>
      <c r="O3121" s="34"/>
      <c r="P3121" s="34"/>
      <c r="Q3121" s="44">
        <f t="shared" si="485"/>
        <v>0</v>
      </c>
      <c r="R3121" s="84">
        <f>+Q3121/R3108</f>
        <v>0</v>
      </c>
      <c r="S3121" s="47"/>
      <c r="T3121" s="47"/>
    </row>
    <row r="3122" s="27" customFormat="1" ht="18" customHeight="1" spans="1:20">
      <c r="A3122" s="34"/>
      <c r="B3122" s="48">
        <v>2</v>
      </c>
      <c r="C3122" s="48"/>
      <c r="D3122" s="88" t="s">
        <v>404</v>
      </c>
      <c r="E3122" s="72" t="str">
        <f>+VLOOKUP(D3122,'材料表 '!C:F,2,0)</f>
        <v>kg</v>
      </c>
      <c r="F3122" s="77">
        <f>+SUMIF($L$3108:$L$3148,D3122,$R$3108:$R$3148)</f>
        <v>0</v>
      </c>
      <c r="G3122" s="89">
        <f>+VLOOKUP(D3122,'材料表 '!C:F,4,0)</f>
        <v>0.03</v>
      </c>
      <c r="H3122" s="74">
        <f t="shared" si="487"/>
        <v>0</v>
      </c>
      <c r="I3122" s="74">
        <f>+VLOOKUP(D3122,'材料表 '!C:F,3,0)</f>
        <v>25.6725663716814</v>
      </c>
      <c r="J3122" s="51">
        <f t="shared" si="486"/>
        <v>0</v>
      </c>
      <c r="K3122" s="75">
        <f ca="1">H3122*K3107</f>
        <v>0</v>
      </c>
      <c r="L3122" s="69"/>
      <c r="M3122" s="70"/>
      <c r="N3122" s="83"/>
      <c r="O3122" s="83"/>
      <c r="P3122" s="83"/>
      <c r="Q3122" s="83"/>
      <c r="R3122" s="87"/>
      <c r="S3122" s="47"/>
      <c r="T3122" s="47"/>
    </row>
    <row r="3123" s="27" customFormat="1" ht="18" customHeight="1" spans="1:20">
      <c r="A3123" s="34"/>
      <c r="B3123" s="48">
        <v>3</v>
      </c>
      <c r="C3123" s="48"/>
      <c r="D3123" s="88" t="s">
        <v>433</v>
      </c>
      <c r="E3123" s="72" t="str">
        <f>+VLOOKUP(D3123,'材料表 '!C:F,2,0)</f>
        <v>kg</v>
      </c>
      <c r="F3123" s="77">
        <f>+SUMIF($L$3108:$L$3148,D3123,$R$3108:$R$3148)</f>
        <v>0</v>
      </c>
      <c r="G3123" s="89">
        <f>+VLOOKUP(D3123,'材料表 '!C:F,4,0)</f>
        <v>0.03</v>
      </c>
      <c r="H3123" s="74">
        <f t="shared" si="487"/>
        <v>0</v>
      </c>
      <c r="I3123" s="74">
        <f>+VLOOKUP(D3123,'材料表 '!C:F,3,0)</f>
        <v>26.1150442477876</v>
      </c>
      <c r="J3123" s="51">
        <f t="shared" si="486"/>
        <v>0</v>
      </c>
      <c r="K3123" s="75">
        <f ca="1">H3123*K3107</f>
        <v>0</v>
      </c>
      <c r="L3123" s="69"/>
      <c r="M3123" s="27"/>
      <c r="N3123" s="83"/>
      <c r="O3123" s="83"/>
      <c r="P3123" s="83"/>
      <c r="Q3123" s="83"/>
      <c r="R3123" s="87"/>
      <c r="S3123" s="47"/>
      <c r="T3123" s="47"/>
    </row>
    <row r="3124" s="27" customFormat="1" ht="18" customHeight="1" spans="1:20">
      <c r="A3124" s="34"/>
      <c r="B3124" s="48">
        <v>4</v>
      </c>
      <c r="C3124" s="48"/>
      <c r="D3124" s="88" t="s">
        <v>429</v>
      </c>
      <c r="E3124" s="72" t="str">
        <f>+VLOOKUP(D3124,'材料表 '!C:F,2,0)</f>
        <v>kg</v>
      </c>
      <c r="F3124" s="77">
        <f>+SUMIF($L$3108:$L$3148,D3124,$R$3108:$R$3148)</f>
        <v>0</v>
      </c>
      <c r="G3124" s="89">
        <f>+VLOOKUP(D3124,'材料表 '!C:F,4,0)</f>
        <v>0.03</v>
      </c>
      <c r="H3124" s="74">
        <f t="shared" si="487"/>
        <v>0</v>
      </c>
      <c r="I3124" s="74">
        <f>+VLOOKUP(D3124,'材料表 '!C:F,3,0)</f>
        <v>26.1150442477876</v>
      </c>
      <c r="J3124" s="51">
        <f t="shared" si="486"/>
        <v>0</v>
      </c>
      <c r="K3124" s="75">
        <f ca="1">H3124*K3107</f>
        <v>0</v>
      </c>
      <c r="L3124" s="90"/>
      <c r="M3124" s="44"/>
      <c r="N3124" s="82"/>
      <c r="O3124" s="44"/>
      <c r="P3124" s="44"/>
      <c r="Q3124" s="44"/>
      <c r="R3124" s="84"/>
      <c r="S3124" s="47"/>
      <c r="T3124" s="47"/>
    </row>
    <row r="3125" s="27" customFormat="1" ht="18" customHeight="1" spans="1:20">
      <c r="A3125" s="34"/>
      <c r="B3125" s="48">
        <v>5</v>
      </c>
      <c r="C3125" s="48"/>
      <c r="D3125" s="88" t="s">
        <v>447</v>
      </c>
      <c r="E3125" s="72" t="str">
        <f>+VLOOKUP(D3125,'材料表 '!C:F,2,0)</f>
        <v>kg</v>
      </c>
      <c r="F3125" s="77">
        <f>+SUMIF($L$3108:$L$3148,D3125,$R$3108:$R$3148)</f>
        <v>3.35698111177511</v>
      </c>
      <c r="G3125" s="89">
        <f>+VLOOKUP(D3125,'材料表 '!C:F,4,0)</f>
        <v>0.03</v>
      </c>
      <c r="H3125" s="74">
        <f t="shared" si="487"/>
        <v>3.45769054512836</v>
      </c>
      <c r="I3125" s="74">
        <f>+VLOOKUP(D3125,'材料表 '!C:F,3,0)</f>
        <v>24.4336283185841</v>
      </c>
      <c r="J3125" s="51">
        <f t="shared" si="486"/>
        <v>84.4839256203489</v>
      </c>
      <c r="K3125" s="43">
        <f ca="1">H3125*K3107</f>
        <v>1286.00013488605</v>
      </c>
      <c r="L3125" s="90"/>
      <c r="M3125" s="44"/>
      <c r="N3125" s="82"/>
      <c r="O3125" s="44"/>
      <c r="P3125" s="44"/>
      <c r="Q3125" s="44"/>
      <c r="R3125" s="84"/>
      <c r="S3125" s="47"/>
      <c r="T3125" s="47"/>
    </row>
    <row r="3126" s="27" customFormat="1" ht="18" customHeight="1" spans="1:20">
      <c r="A3126" s="34"/>
      <c r="B3126" s="48">
        <v>6</v>
      </c>
      <c r="C3126" s="48"/>
      <c r="D3126" s="88" t="s">
        <v>434</v>
      </c>
      <c r="E3126" s="72" t="str">
        <f>+VLOOKUP(D3126,'材料表 '!C:F,2,0)</f>
        <v>m2</v>
      </c>
      <c r="F3126" s="77">
        <f>U3111+U3112+U3113+U3114</f>
        <v>0.469938473808975</v>
      </c>
      <c r="G3126" s="89">
        <f>+VLOOKUP(D3126,'材料表 '!C:F,4,0)</f>
        <v>0</v>
      </c>
      <c r="H3126" s="74">
        <f t="shared" si="487"/>
        <v>0.469938473808975</v>
      </c>
      <c r="I3126" s="74">
        <f>+VLOOKUP(D3126,'材料表 '!C:F,3,0)+5</f>
        <v>54.5575221238938</v>
      </c>
      <c r="J3126" s="51">
        <f t="shared" si="486"/>
        <v>25.638678681702</v>
      </c>
      <c r="K3126" s="43">
        <f ca="1">H3126*K3107</f>
        <v>174.78167372669</v>
      </c>
      <c r="L3126" s="90"/>
      <c r="M3126" s="91"/>
      <c r="N3126" s="82"/>
      <c r="O3126" s="44"/>
      <c r="P3126" s="44"/>
      <c r="Q3126" s="44"/>
      <c r="R3126" s="84"/>
      <c r="S3126" s="47"/>
      <c r="T3126" s="47"/>
    </row>
    <row r="3127" s="27" customFormat="1" ht="18" customHeight="1" spans="1:20">
      <c r="A3127" s="34"/>
      <c r="B3127" s="48">
        <v>7</v>
      </c>
      <c r="C3127" s="48"/>
      <c r="D3127" s="88"/>
      <c r="E3127" s="72"/>
      <c r="F3127" s="77"/>
      <c r="G3127" s="89"/>
      <c r="H3127" s="74"/>
      <c r="I3127" s="74"/>
      <c r="J3127" s="51"/>
      <c r="K3127" s="43">
        <f ca="1">H3127*K3107</f>
        <v>0</v>
      </c>
      <c r="L3127" s="90"/>
      <c r="M3127" s="91"/>
      <c r="N3127" s="82"/>
      <c r="O3127" s="44"/>
      <c r="P3127" s="44"/>
      <c r="Q3127" s="44"/>
      <c r="R3127" s="84"/>
      <c r="S3127" s="47"/>
      <c r="T3127" s="47"/>
    </row>
    <row r="3128" s="27" customFormat="1" ht="18" customHeight="1" spans="1:20">
      <c r="A3128" s="34"/>
      <c r="B3128" s="48">
        <v>8</v>
      </c>
      <c r="C3128" s="48"/>
      <c r="D3128" s="88"/>
      <c r="E3128" s="72"/>
      <c r="F3128" s="77"/>
      <c r="G3128" s="89"/>
      <c r="H3128" s="74"/>
      <c r="I3128" s="74"/>
      <c r="J3128" s="51"/>
      <c r="K3128" s="43">
        <f ca="1">H3128*K3107</f>
        <v>0</v>
      </c>
      <c r="L3128" s="69" t="s">
        <v>465</v>
      </c>
      <c r="M3128" s="81" t="s">
        <v>1077</v>
      </c>
      <c r="N3128" s="34">
        <f>0.2*0.1*12*7.85</f>
        <v>1.884</v>
      </c>
      <c r="O3128" s="34">
        <v>3</v>
      </c>
      <c r="P3128" s="34">
        <f>P3111</f>
        <v>7</v>
      </c>
      <c r="Q3128" s="44">
        <f>+P3128*O3128*N3128</f>
        <v>39.564</v>
      </c>
      <c r="R3128" s="84">
        <f>Q3128/R3108</f>
        <v>1.32197693089443</v>
      </c>
      <c r="S3128" s="47"/>
      <c r="T3128" s="47"/>
    </row>
    <row r="3129" s="27" customFormat="1" ht="18" customHeight="1" spans="1:20">
      <c r="A3129" s="34"/>
      <c r="B3129" s="48">
        <v>9</v>
      </c>
      <c r="C3129" s="48"/>
      <c r="D3129" s="88"/>
      <c r="E3129" s="72"/>
      <c r="F3129" s="77"/>
      <c r="G3129" s="89"/>
      <c r="H3129" s="74"/>
      <c r="I3129" s="74"/>
      <c r="J3129" s="51"/>
      <c r="K3129" s="43">
        <f ca="1">H3129*K3107</f>
        <v>0</v>
      </c>
      <c r="L3129" s="90"/>
      <c r="M3129" s="44"/>
      <c r="N3129" s="82"/>
      <c r="O3129" s="44"/>
      <c r="P3129" s="44"/>
      <c r="Q3129" s="44"/>
      <c r="R3129" s="84"/>
      <c r="S3129" s="47"/>
      <c r="T3129" s="47"/>
    </row>
    <row r="3130" s="27" customFormat="1" ht="18" customHeight="1" spans="1:20">
      <c r="A3130" s="34"/>
      <c r="B3130" s="48">
        <v>10</v>
      </c>
      <c r="C3130" s="48"/>
      <c r="D3130" s="88"/>
      <c r="E3130" s="72"/>
      <c r="F3130" s="77"/>
      <c r="G3130" s="89"/>
      <c r="H3130" s="74"/>
      <c r="I3130" s="74"/>
      <c r="J3130" s="51"/>
      <c r="K3130" s="43">
        <f ca="1">H3130*K3107</f>
        <v>0</v>
      </c>
      <c r="L3130" s="90"/>
      <c r="M3130" s="91"/>
      <c r="N3130" s="82"/>
      <c r="O3130" s="44"/>
      <c r="P3130" s="44"/>
      <c r="Q3130" s="44"/>
      <c r="R3130" s="84"/>
      <c r="S3130" s="47"/>
      <c r="T3130" s="47"/>
    </row>
    <row r="3131" s="27" customFormat="1" ht="18" customHeight="1" spans="1:20">
      <c r="A3131" s="34"/>
      <c r="B3131" s="48">
        <v>11</v>
      </c>
      <c r="C3131" s="48"/>
      <c r="D3131" s="88"/>
      <c r="E3131" s="72"/>
      <c r="F3131" s="77"/>
      <c r="G3131" s="89"/>
      <c r="H3131" s="74"/>
      <c r="I3131" s="74"/>
      <c r="J3131" s="51"/>
      <c r="K3131" s="43">
        <f ca="1">H3131*K3107</f>
        <v>0</v>
      </c>
      <c r="L3131" s="69"/>
      <c r="M3131" s="91"/>
      <c r="N3131" s="82"/>
      <c r="O3131" s="44"/>
      <c r="P3131" s="44"/>
      <c r="Q3131" s="44"/>
      <c r="R3131" s="84"/>
      <c r="S3131" s="47"/>
      <c r="T3131" s="47"/>
    </row>
    <row r="3132" s="27" customFormat="1" ht="18" customHeight="1" spans="1:20">
      <c r="A3132" s="34"/>
      <c r="B3132" s="48">
        <v>12</v>
      </c>
      <c r="C3132" s="48"/>
      <c r="D3132" s="88"/>
      <c r="E3132" s="72"/>
      <c r="F3132" s="77"/>
      <c r="G3132" s="89"/>
      <c r="H3132" s="74"/>
      <c r="I3132" s="74"/>
      <c r="J3132" s="51"/>
      <c r="K3132" s="43">
        <f ca="1">H3132*K3107</f>
        <v>0</v>
      </c>
      <c r="L3132" s="69"/>
      <c r="M3132" s="27"/>
      <c r="N3132" s="83"/>
      <c r="O3132" s="83"/>
      <c r="P3132" s="83"/>
      <c r="Q3132" s="83"/>
      <c r="R3132" s="84"/>
      <c r="S3132" s="47"/>
      <c r="T3132" s="47"/>
    </row>
    <row r="3133" s="27" customFormat="1" ht="18" customHeight="1" spans="1:20">
      <c r="A3133" s="34"/>
      <c r="B3133" s="48">
        <v>13</v>
      </c>
      <c r="C3133" s="48"/>
      <c r="D3133" s="88" t="s">
        <v>465</v>
      </c>
      <c r="E3133" s="72" t="str">
        <f>+VLOOKUP(D3133,'材料表 '!C:F,2,0)</f>
        <v>kg</v>
      </c>
      <c r="F3133" s="77">
        <f>+SUMIF($L$3108:$L$3148,D3133,$R$3108:$R$3148)</f>
        <v>1.32197693089443</v>
      </c>
      <c r="G3133" s="89">
        <f>+VLOOKUP(D3133,'材料表 '!C:F,4,0)</f>
        <v>0.03</v>
      </c>
      <c r="H3133" s="74">
        <f t="shared" si="487"/>
        <v>1.36163623882126</v>
      </c>
      <c r="I3133" s="74">
        <f>+VLOOKUP(D3133,'材料表 '!C:F,3,0)</f>
        <v>6.01769911504425</v>
      </c>
      <c r="J3133" s="51">
        <f t="shared" si="486"/>
        <v>8.1939171893669</v>
      </c>
      <c r="K3133" s="43">
        <f ca="1">H3133*K3107</f>
        <v>506.425998491103</v>
      </c>
      <c r="L3133" s="90"/>
      <c r="M3133" s="44"/>
      <c r="N3133" s="82"/>
      <c r="O3133" s="44"/>
      <c r="P3133" s="44"/>
      <c r="Q3133" s="44"/>
      <c r="R3133" s="84"/>
      <c r="S3133" s="47"/>
      <c r="T3133" s="47"/>
    </row>
    <row r="3134" s="27" customFormat="1" ht="18" customHeight="1" spans="1:20">
      <c r="A3134" s="34"/>
      <c r="B3134" s="48">
        <v>14</v>
      </c>
      <c r="C3134" s="48"/>
      <c r="D3134" s="88" t="s">
        <v>517</v>
      </c>
      <c r="E3134" s="72" t="str">
        <f>+VLOOKUP(D3134,'材料表 '!C:F,2,0)</f>
        <v>m2</v>
      </c>
      <c r="F3134" s="77">
        <f>0.2*0.14*2*(O3128*P3128)/R3108</f>
        <v>0.0392944310669257</v>
      </c>
      <c r="G3134" s="89">
        <f>+VLOOKUP(D3134,'材料表 '!C:F,4,0)</f>
        <v>0</v>
      </c>
      <c r="H3134" s="74">
        <f t="shared" si="487"/>
        <v>0.0392944310669257</v>
      </c>
      <c r="I3134" s="74">
        <f>+VLOOKUP(D3134,'材料表 '!C:F,3,0)</f>
        <v>84.070796460177</v>
      </c>
      <c r="J3134" s="51">
        <f t="shared" si="486"/>
        <v>3.30351411624597</v>
      </c>
      <c r="K3134" s="43">
        <f ca="1">H3134*K3107</f>
        <v>14.6145651245552</v>
      </c>
      <c r="L3134" s="90"/>
      <c r="M3134" s="44"/>
      <c r="N3134" s="82"/>
      <c r="O3134" s="44"/>
      <c r="P3134" s="44"/>
      <c r="Q3134" s="44"/>
      <c r="R3134" s="84"/>
      <c r="S3134" s="47"/>
      <c r="T3134" s="47"/>
    </row>
    <row r="3135" s="27" customFormat="1" ht="18" customHeight="1" spans="1:20">
      <c r="A3135" s="34"/>
      <c r="B3135" s="48">
        <v>15</v>
      </c>
      <c r="C3135" s="48"/>
      <c r="D3135" s="88" t="s">
        <v>728</v>
      </c>
      <c r="E3135" s="72" t="str">
        <f>+VLOOKUP(D3135,'材料表 '!C:F,2,0)</f>
        <v>套</v>
      </c>
      <c r="F3135" s="77">
        <f>2*(O3128*P3128)/R3108</f>
        <v>1.40337253810449</v>
      </c>
      <c r="G3135" s="89">
        <f>+VLOOKUP(D3135,'材料表 '!C:F,4,0)</f>
        <v>0</v>
      </c>
      <c r="H3135" s="74">
        <f t="shared" si="487"/>
        <v>1.40337253810449</v>
      </c>
      <c r="I3135" s="74">
        <f>+VLOOKUP(D3135,'材料表 '!C:F,3,0)</f>
        <v>1.5929203539823</v>
      </c>
      <c r="J3135" s="51">
        <f t="shared" si="486"/>
        <v>2.23546068016644</v>
      </c>
      <c r="K3135" s="43">
        <f ca="1">H3135*K3107</f>
        <v>521.948754448399</v>
      </c>
      <c r="L3135" s="90"/>
      <c r="M3135" s="44"/>
      <c r="N3135" s="82"/>
      <c r="O3135" s="44"/>
      <c r="P3135" s="44"/>
      <c r="Q3135" s="44"/>
      <c r="R3135" s="84"/>
      <c r="S3135" s="47"/>
      <c r="T3135" s="47"/>
    </row>
    <row r="3136" s="27" customFormat="1" ht="18" customHeight="1" spans="1:20">
      <c r="A3136" s="34"/>
      <c r="B3136" s="48">
        <v>16</v>
      </c>
      <c r="C3136" s="48"/>
      <c r="D3136" s="88" t="s">
        <v>476</v>
      </c>
      <c r="E3136" s="72" t="str">
        <f>+VLOOKUP(D3136,'材料表 '!C:F,2,0)</f>
        <v>支</v>
      </c>
      <c r="F3136" s="77">
        <v>0</v>
      </c>
      <c r="G3136" s="89">
        <f>+VLOOKUP(D3136,'材料表 '!C:F,4,0)</f>
        <v>0.15</v>
      </c>
      <c r="H3136" s="74">
        <f t="shared" si="487"/>
        <v>0</v>
      </c>
      <c r="I3136" s="74">
        <f>+VLOOKUP(D3136,'材料表 '!C:F,3,0)</f>
        <v>11.5044247787611</v>
      </c>
      <c r="J3136" s="51">
        <f t="shared" si="486"/>
        <v>0</v>
      </c>
      <c r="K3136" s="43">
        <f ca="1">H3136*K3107</f>
        <v>0</v>
      </c>
      <c r="L3136" s="92"/>
      <c r="M3136" s="44"/>
      <c r="N3136" s="82"/>
      <c r="O3136" s="44"/>
      <c r="P3136" s="44"/>
      <c r="Q3136" s="44"/>
      <c r="R3136" s="84"/>
      <c r="S3136" s="47"/>
      <c r="T3136" s="47"/>
    </row>
    <row r="3137" s="27" customFormat="1" ht="18" customHeight="1" spans="1:20">
      <c r="A3137" s="34"/>
      <c r="B3137" s="48">
        <v>17</v>
      </c>
      <c r="C3137" s="48"/>
      <c r="D3137" s="88" t="s">
        <v>576</v>
      </c>
      <c r="E3137" s="72" t="str">
        <f>+VLOOKUP(D3137,'材料表 '!C:F,2,0)</f>
        <v>支</v>
      </c>
      <c r="F3137" s="77">
        <v>0</v>
      </c>
      <c r="G3137" s="89">
        <f>+VLOOKUP(D3137,'材料表 '!C:F,4,0)</f>
        <v>0.15</v>
      </c>
      <c r="H3137" s="74">
        <f t="shared" si="487"/>
        <v>0</v>
      </c>
      <c r="I3137" s="74">
        <f>+VLOOKUP(D3137,'材料表 '!C:F,3,0)</f>
        <v>14.1592920353982</v>
      </c>
      <c r="J3137" s="51">
        <f t="shared" si="486"/>
        <v>0</v>
      </c>
      <c r="K3137" s="43">
        <f ca="1">H3137*K3107</f>
        <v>0</v>
      </c>
      <c r="L3137" s="92"/>
      <c r="M3137" s="44"/>
      <c r="N3137" s="82"/>
      <c r="O3137" s="44"/>
      <c r="P3137" s="44"/>
      <c r="Q3137" s="44"/>
      <c r="R3137" s="84"/>
      <c r="S3137" s="47"/>
      <c r="T3137" s="47"/>
    </row>
    <row r="3138" s="27" customFormat="1" ht="18" customHeight="1" spans="1:20">
      <c r="A3138" s="34"/>
      <c r="B3138" s="48">
        <v>18</v>
      </c>
      <c r="C3138" s="48"/>
      <c r="D3138" s="88" t="s">
        <v>479</v>
      </c>
      <c r="E3138" s="72" t="str">
        <f>+VLOOKUP(D3138,'材料表 '!C:F,2,0)</f>
        <v>kg</v>
      </c>
      <c r="F3138" s="77">
        <v>0</v>
      </c>
      <c r="G3138" s="89">
        <f>+VLOOKUP(D3138,'材料表 '!C:F,4,0)</f>
        <v>0.03</v>
      </c>
      <c r="H3138" s="74">
        <f t="shared" si="487"/>
        <v>0</v>
      </c>
      <c r="I3138" s="74">
        <f>+VLOOKUP(D3138,'材料表 '!C:F,3,0)</f>
        <v>14.1592920353982</v>
      </c>
      <c r="J3138" s="51">
        <f t="shared" si="486"/>
        <v>0</v>
      </c>
      <c r="K3138" s="43">
        <f ca="1">H3138*K3107</f>
        <v>0</v>
      </c>
      <c r="L3138" s="92"/>
      <c r="M3138" s="44"/>
      <c r="N3138" s="82"/>
      <c r="O3138" s="44"/>
      <c r="P3138" s="44"/>
      <c r="Q3138" s="44"/>
      <c r="R3138" s="84"/>
      <c r="S3138" s="47"/>
      <c r="T3138" s="47"/>
    </row>
    <row r="3139" s="27" customFormat="1" ht="21" customHeight="1" spans="1:20">
      <c r="A3139" s="34"/>
      <c r="B3139" s="48">
        <v>19</v>
      </c>
      <c r="C3139" s="48"/>
      <c r="D3139" s="88" t="s">
        <v>500</v>
      </c>
      <c r="E3139" s="72" t="str">
        <f>+VLOOKUP(D3139,'材料表 '!C:F,2,0)</f>
        <v>kg</v>
      </c>
      <c r="F3139" s="77"/>
      <c r="G3139" s="89"/>
      <c r="H3139" s="74"/>
      <c r="I3139" s="74"/>
      <c r="J3139" s="51"/>
      <c r="K3139" s="43">
        <f ca="1">H3139*K3107</f>
        <v>0</v>
      </c>
      <c r="L3139" s="92"/>
      <c r="M3139" s="44"/>
      <c r="N3139" s="82"/>
      <c r="O3139" s="44"/>
      <c r="P3139" s="44"/>
      <c r="Q3139" s="44"/>
      <c r="R3139" s="84"/>
      <c r="S3139" s="47"/>
      <c r="T3139" s="47"/>
    </row>
    <row r="3140" s="27" customFormat="1" ht="27" customHeight="1" spans="1:20">
      <c r="A3140" s="34"/>
      <c r="B3140" s="48">
        <v>20</v>
      </c>
      <c r="C3140" s="48"/>
      <c r="D3140" s="88" t="s">
        <v>711</v>
      </c>
      <c r="E3140" s="72" t="str">
        <f>+VLOOKUP(D3140,'材料表 '!C:F,2,0)</f>
        <v>m2</v>
      </c>
      <c r="F3140" s="77">
        <v>0.96</v>
      </c>
      <c r="G3140" s="89">
        <f>+VLOOKUP(D3140,'材料表 '!C:F,4,0)</f>
        <v>0</v>
      </c>
      <c r="H3140" s="74">
        <f>F3140*(G3140+1)</f>
        <v>0.96</v>
      </c>
      <c r="I3140" s="74">
        <f>+VLOOKUP(D3140,'材料表 '!C:F,3,0)</f>
        <v>265.486725663717</v>
      </c>
      <c r="J3140" s="51">
        <f>H3140*I3140</f>
        <v>254.867256637168</v>
      </c>
      <c r="K3140" s="43">
        <f ca="1">H3140*K3107</f>
        <v>357.04760544</v>
      </c>
      <c r="L3140" s="90"/>
      <c r="M3140" s="44"/>
      <c r="N3140" s="82"/>
      <c r="O3140" s="44"/>
      <c r="P3140" s="44"/>
      <c r="Q3140" s="44"/>
      <c r="R3140" s="84"/>
      <c r="S3140" s="47"/>
      <c r="T3140" s="47"/>
    </row>
    <row r="3141" s="27" customFormat="1" ht="19" customHeight="1" spans="1:20">
      <c r="A3141" s="34"/>
      <c r="B3141" s="48">
        <v>21</v>
      </c>
      <c r="C3141" s="48"/>
      <c r="D3141" s="88"/>
      <c r="E3141" s="72"/>
      <c r="F3141" s="77"/>
      <c r="G3141" s="89"/>
      <c r="H3141" s="74"/>
      <c r="I3141" s="74"/>
      <c r="J3141" s="51"/>
      <c r="K3141" s="43">
        <f ca="1">H3141*K3107</f>
        <v>0</v>
      </c>
      <c r="L3141" s="90"/>
      <c r="M3141" s="44"/>
      <c r="N3141" s="82"/>
      <c r="O3141" s="44"/>
      <c r="P3141" s="44"/>
      <c r="Q3141" s="44"/>
      <c r="R3141" s="84"/>
      <c r="S3141" s="47"/>
      <c r="T3141" s="47"/>
    </row>
    <row r="3142" s="27" customFormat="1" ht="18" customHeight="1" spans="1:20">
      <c r="A3142" s="34"/>
      <c r="B3142" s="48">
        <v>22</v>
      </c>
      <c r="C3142" s="48"/>
      <c r="D3142" s="88"/>
      <c r="E3142" s="72"/>
      <c r="F3142" s="77"/>
      <c r="G3142" s="89"/>
      <c r="H3142" s="74"/>
      <c r="I3142" s="74"/>
      <c r="J3142" s="51"/>
      <c r="K3142" s="43">
        <f ca="1">H3142*K3107</f>
        <v>0</v>
      </c>
      <c r="L3142" s="92"/>
      <c r="M3142" s="44"/>
      <c r="N3142" s="82"/>
      <c r="O3142" s="44"/>
      <c r="P3142" s="44"/>
      <c r="Q3142" s="44"/>
      <c r="R3142" s="84"/>
      <c r="S3142" s="47"/>
      <c r="T3142" s="47"/>
    </row>
    <row r="3143" s="27" customFormat="1" ht="18" customHeight="1" spans="1:20">
      <c r="A3143" s="34"/>
      <c r="B3143" s="48">
        <v>23</v>
      </c>
      <c r="C3143" s="48"/>
      <c r="D3143" s="88"/>
      <c r="E3143" s="72"/>
      <c r="F3143" s="77"/>
      <c r="G3143" s="89"/>
      <c r="H3143" s="74"/>
      <c r="I3143" s="74"/>
      <c r="J3143" s="51"/>
      <c r="K3143" s="43">
        <f ca="1">H3143*K3107</f>
        <v>0</v>
      </c>
      <c r="L3143" s="92"/>
      <c r="M3143" s="44"/>
      <c r="N3143" s="44"/>
      <c r="O3143" s="44"/>
      <c r="P3143" s="44"/>
      <c r="Q3143" s="44"/>
      <c r="R3143" s="84"/>
      <c r="S3143" s="47"/>
      <c r="T3143" s="47"/>
    </row>
    <row r="3144" s="27" customFormat="1" ht="18" customHeight="1" spans="1:20">
      <c r="A3144" s="34"/>
      <c r="B3144" s="48">
        <v>24</v>
      </c>
      <c r="C3144" s="48"/>
      <c r="D3144" s="88"/>
      <c r="E3144" s="72"/>
      <c r="F3144" s="77"/>
      <c r="G3144" s="89"/>
      <c r="H3144" s="74"/>
      <c r="I3144" s="74"/>
      <c r="J3144" s="51"/>
      <c r="K3144" s="75">
        <f ca="1">H3144*K3107</f>
        <v>0</v>
      </c>
      <c r="L3144" s="92"/>
      <c r="M3144" s="44"/>
      <c r="N3144" s="44"/>
      <c r="O3144" s="44"/>
      <c r="P3144" s="44"/>
      <c r="Q3144" s="44"/>
      <c r="R3144" s="84"/>
      <c r="S3144" s="47"/>
      <c r="T3144" s="47"/>
    </row>
    <row r="3145" s="27" customFormat="1" ht="18" customHeight="1" spans="1:20">
      <c r="A3145" s="34"/>
      <c r="B3145" s="48">
        <v>25</v>
      </c>
      <c r="C3145" s="48"/>
      <c r="D3145" s="88"/>
      <c r="E3145" s="72"/>
      <c r="F3145" s="77"/>
      <c r="G3145" s="89"/>
      <c r="H3145" s="74"/>
      <c r="I3145" s="74"/>
      <c r="J3145" s="51"/>
      <c r="K3145" s="75">
        <f ca="1">H3145*K3107</f>
        <v>0</v>
      </c>
      <c r="L3145" s="92"/>
      <c r="M3145" s="44"/>
      <c r="N3145" s="44"/>
      <c r="O3145" s="44"/>
      <c r="P3145" s="44"/>
      <c r="Q3145" s="44"/>
      <c r="R3145" s="84"/>
      <c r="S3145" s="47"/>
      <c r="T3145" s="47"/>
    </row>
    <row r="3146" s="27" customFormat="1" ht="18" customHeight="1" spans="1:20">
      <c r="A3146" s="34"/>
      <c r="B3146" s="48">
        <v>26</v>
      </c>
      <c r="C3146" s="48"/>
      <c r="D3146" s="88" t="s">
        <v>441</v>
      </c>
      <c r="E3146" s="72" t="s">
        <v>43</v>
      </c>
      <c r="F3146" s="77"/>
      <c r="G3146" s="72">
        <v>1</v>
      </c>
      <c r="H3146" s="74">
        <v>1</v>
      </c>
      <c r="I3146" s="74">
        <f>+辅材及安装费!$E$20</f>
        <v>10</v>
      </c>
      <c r="J3146" s="51">
        <f>H3146*I3146</f>
        <v>10</v>
      </c>
      <c r="K3146" s="75"/>
      <c r="L3146" s="92"/>
      <c r="M3146" s="44"/>
      <c r="N3146" s="44"/>
      <c r="O3146" s="44"/>
      <c r="P3146" s="44"/>
      <c r="Q3146" s="44"/>
      <c r="R3146" s="62"/>
      <c r="S3146" s="47"/>
      <c r="T3146" s="47"/>
    </row>
    <row r="3147" s="27" customFormat="1" ht="18" customHeight="1" spans="1:20">
      <c r="A3147" s="34"/>
      <c r="B3147" s="48">
        <v>27</v>
      </c>
      <c r="C3147" s="48"/>
      <c r="D3147" s="93" t="s">
        <v>442</v>
      </c>
      <c r="E3147" s="72"/>
      <c r="F3147" s="77"/>
      <c r="G3147" s="72"/>
      <c r="H3147" s="74"/>
      <c r="I3147" s="74"/>
      <c r="J3147" s="51">
        <f>SUM(J3121:J3146)</f>
        <v>388.722752924999</v>
      </c>
      <c r="K3147" s="75"/>
      <c r="L3147" s="94"/>
      <c r="M3147" s="27"/>
      <c r="N3147" s="83"/>
      <c r="O3147" s="83"/>
      <c r="P3147" s="83"/>
      <c r="Q3147" s="83"/>
      <c r="R3147" s="87"/>
      <c r="S3147" s="47"/>
      <c r="T3147" s="47"/>
    </row>
    <row r="3148" s="27" customFormat="1" ht="18" customHeight="1" spans="1:20">
      <c r="A3148" s="34"/>
      <c r="B3148" s="48">
        <v>1</v>
      </c>
      <c r="C3148" s="48" t="s">
        <v>443</v>
      </c>
      <c r="D3148" s="48" t="s">
        <v>444</v>
      </c>
      <c r="E3148" s="72" t="s">
        <v>43</v>
      </c>
      <c r="F3148" s="50"/>
      <c r="G3148" s="48"/>
      <c r="H3148" s="51">
        <v>1</v>
      </c>
      <c r="I3148" s="74">
        <f>+辅材及安装费!$F$20</f>
        <v>5</v>
      </c>
      <c r="J3148" s="95">
        <f>H3148*I3148</f>
        <v>5</v>
      </c>
      <c r="K3148" s="60"/>
      <c r="L3148" s="96"/>
      <c r="M3148" s="97"/>
      <c r="N3148" s="98"/>
      <c r="O3148" s="98"/>
      <c r="P3148" s="98"/>
      <c r="Q3148" s="98"/>
      <c r="R3148" s="99"/>
      <c r="S3148" s="47"/>
      <c r="T3148" s="47"/>
    </row>
    <row r="3149" s="26" customFormat="1" ht="30" customHeight="1" spans="1:20">
      <c r="A3149" s="28"/>
      <c r="B3149" s="29" t="s">
        <v>386</v>
      </c>
      <c r="C3149" s="29"/>
      <c r="D3149" s="29"/>
      <c r="E3149" s="29"/>
      <c r="F3149" s="29"/>
      <c r="G3149" s="29"/>
      <c r="H3149" s="29"/>
      <c r="I3149" s="29"/>
      <c r="J3149" s="29"/>
      <c r="K3149" s="29"/>
      <c r="L3149" s="30"/>
      <c r="M3149" s="31"/>
      <c r="N3149" s="31"/>
      <c r="O3149" s="31"/>
      <c r="P3149" s="31"/>
      <c r="Q3149" s="31"/>
      <c r="R3149" s="32"/>
      <c r="S3149" s="33"/>
      <c r="T3149" s="33"/>
    </row>
    <row r="3150" s="27" customFormat="1" ht="33.75" customHeight="1" spans="1:20">
      <c r="A3150" s="34">
        <v>2</v>
      </c>
      <c r="B3150" s="35" t="s">
        <v>1</v>
      </c>
      <c r="C3150" s="35" t="s">
        <v>387</v>
      </c>
      <c r="D3150" s="36" t="str">
        <f>+A3158</f>
        <v>二层金属网（圆弧）</v>
      </c>
      <c r="E3150" s="37"/>
      <c r="F3150" s="38" t="s">
        <v>225</v>
      </c>
      <c r="G3150" s="39"/>
      <c r="H3150" s="35" t="s">
        <v>388</v>
      </c>
      <c r="I3150" s="40" t="s">
        <v>389</v>
      </c>
      <c r="J3150" s="41" t="s">
        <v>37</v>
      </c>
      <c r="K3150" s="122">
        <f ca="1">VLOOKUP(A3150,'商业工程量清单 '!$A$82:$D$84,4,FALSE)</f>
        <v>59.706703</v>
      </c>
      <c r="L3150" s="43"/>
      <c r="M3150" s="44"/>
      <c r="N3150" s="44"/>
      <c r="O3150" s="44"/>
      <c r="P3150" s="45"/>
      <c r="Q3150" s="44"/>
      <c r="R3150" s="46"/>
      <c r="S3150" s="47"/>
      <c r="T3150" s="47"/>
    </row>
    <row r="3151" s="27" customFormat="1" ht="25" customHeight="1" spans="1:20">
      <c r="A3151" s="34"/>
      <c r="B3151" s="48">
        <v>1</v>
      </c>
      <c r="C3151" s="49" t="s">
        <v>390</v>
      </c>
      <c r="D3151" s="48" t="s">
        <v>391</v>
      </c>
      <c r="E3151" s="48"/>
      <c r="F3151" s="50"/>
      <c r="G3151" s="48"/>
      <c r="H3151" s="51"/>
      <c r="I3151" s="52">
        <f>J3163</f>
        <v>130</v>
      </c>
      <c r="J3151" s="53" t="s">
        <v>392</v>
      </c>
      <c r="K3151" s="54"/>
      <c r="L3151" s="55" t="s">
        <v>1005</v>
      </c>
      <c r="M3151" s="56"/>
      <c r="N3151" s="57"/>
      <c r="O3151" s="57">
        <f>7.2+1.65+0.985</f>
        <v>9.835</v>
      </c>
      <c r="P3151" s="57">
        <v>3.043</v>
      </c>
      <c r="Q3151" s="57">
        <v>1</v>
      </c>
      <c r="R3151" s="58">
        <f>+Q3151*P3151*O3151</f>
        <v>29.927905</v>
      </c>
      <c r="S3151" s="47"/>
      <c r="T3151" s="47"/>
    </row>
    <row r="3152" s="27" customFormat="1" ht="18" customHeight="1" spans="1:20">
      <c r="A3152" s="34"/>
      <c r="B3152" s="48">
        <v>2</v>
      </c>
      <c r="C3152" s="59"/>
      <c r="D3152" s="48" t="s">
        <v>394</v>
      </c>
      <c r="E3152" s="48"/>
      <c r="F3152" s="50"/>
      <c r="G3152" s="48"/>
      <c r="H3152" s="51"/>
      <c r="I3152" s="52">
        <f>J3190</f>
        <v>437.681203121506</v>
      </c>
      <c r="J3152" s="53" t="s">
        <v>392</v>
      </c>
      <c r="K3152" s="60"/>
      <c r="L3152" s="61"/>
      <c r="M3152" s="44"/>
      <c r="N3152" s="44"/>
      <c r="O3152" s="44"/>
      <c r="P3152" s="44"/>
      <c r="Q3152" s="44"/>
      <c r="R3152" s="62"/>
      <c r="S3152" s="47"/>
      <c r="T3152" s="47"/>
    </row>
    <row r="3153" s="27" customFormat="1" ht="18" customHeight="1" spans="1:21">
      <c r="A3153" s="34"/>
      <c r="B3153" s="48">
        <v>3</v>
      </c>
      <c r="C3153" s="63"/>
      <c r="D3153" s="48" t="s">
        <v>395</v>
      </c>
      <c r="E3153" s="48"/>
      <c r="F3153" s="50"/>
      <c r="G3153" s="48"/>
      <c r="H3153" s="51"/>
      <c r="I3153" s="52">
        <f>J3191</f>
        <v>5</v>
      </c>
      <c r="J3153" s="53" t="s">
        <v>392</v>
      </c>
      <c r="K3153" s="60"/>
      <c r="L3153" s="60"/>
      <c r="M3153" s="64" t="s">
        <v>396</v>
      </c>
      <c r="N3153" s="65" t="s">
        <v>397</v>
      </c>
      <c r="O3153" s="65" t="s">
        <v>398</v>
      </c>
      <c r="P3153" s="65" t="s">
        <v>399</v>
      </c>
      <c r="Q3153" s="65" t="s">
        <v>400</v>
      </c>
      <c r="R3153" s="66" t="s">
        <v>401</v>
      </c>
      <c r="S3153" s="47"/>
      <c r="T3153" s="47"/>
    </row>
    <row r="3154" s="27" customFormat="1" ht="18" customHeight="1" spans="1:21">
      <c r="A3154" s="34"/>
      <c r="B3154" s="48">
        <v>4</v>
      </c>
      <c r="C3154" s="48" t="s">
        <v>402</v>
      </c>
      <c r="D3154" s="67" t="s">
        <v>403</v>
      </c>
      <c r="E3154" s="67"/>
      <c r="F3154" s="50"/>
      <c r="G3154" s="67"/>
      <c r="H3154" s="68"/>
      <c r="I3154" s="52">
        <f>SUM(I3151:I3153)</f>
        <v>572.681203121506</v>
      </c>
      <c r="J3154" s="53" t="s">
        <v>392</v>
      </c>
      <c r="K3154" s="60"/>
      <c r="L3154" s="69" t="s">
        <v>447</v>
      </c>
      <c r="M3154" s="70" t="s">
        <v>1007</v>
      </c>
      <c r="N3154" s="34">
        <f>1.325+1.216</f>
        <v>2.541</v>
      </c>
      <c r="O3154" s="34">
        <f>P3151</f>
        <v>3.043</v>
      </c>
      <c r="P3154" s="34">
        <v>7</v>
      </c>
      <c r="Q3154" s="44">
        <f t="shared" ref="Q3154:Q3164" si="488">+P3154*O3154*N3154</f>
        <v>54.125841</v>
      </c>
      <c r="R3154" s="71">
        <f>+Q3154/R3151</f>
        <v>1.8085409252669</v>
      </c>
      <c r="S3154" s="47">
        <f>0.077*2+0.04</f>
        <v>0.194</v>
      </c>
      <c r="T3154" s="47">
        <f t="shared" ref="T3154:T3157" si="489">O3154*P3154*S3154</f>
        <v>4.132394</v>
      </c>
      <c r="U3154" s="47">
        <f>T3154/R3151</f>
        <v>0.138078291814947</v>
      </c>
    </row>
    <row r="3155" s="27" customFormat="1" ht="28" customHeight="1" spans="1:21">
      <c r="A3155" s="34"/>
      <c r="B3155" s="48">
        <v>5</v>
      </c>
      <c r="C3155" s="72" t="s">
        <v>406</v>
      </c>
      <c r="D3155" s="48" t="s">
        <v>407</v>
      </c>
      <c r="E3155" s="48"/>
      <c r="F3155" s="50"/>
      <c r="G3155" s="48"/>
      <c r="H3155" s="73">
        <f>+'材料表 '!$E$178</f>
        <v>0</v>
      </c>
      <c r="I3155" s="52">
        <f>H3155*I3154</f>
        <v>0</v>
      </c>
      <c r="J3155" s="53" t="s">
        <v>392</v>
      </c>
      <c r="K3155" s="60"/>
      <c r="L3155" s="69" t="s">
        <v>447</v>
      </c>
      <c r="M3155" s="70" t="s">
        <v>1074</v>
      </c>
      <c r="N3155" s="100">
        <f>0.688*2.71</f>
        <v>1.86448</v>
      </c>
      <c r="O3155" s="34">
        <f>O3151</f>
        <v>9.835</v>
      </c>
      <c r="P3155" s="34">
        <v>1</v>
      </c>
      <c r="Q3155" s="44">
        <f t="shared" si="488"/>
        <v>18.3371608</v>
      </c>
      <c r="R3155" s="71">
        <f>+Q3155/R3151</f>
        <v>0.612711140322051</v>
      </c>
      <c r="S3155" s="47">
        <v>0.34</v>
      </c>
      <c r="T3155" s="47">
        <f t="shared" si="489"/>
        <v>3.3439</v>
      </c>
      <c r="U3155" s="76">
        <f>T3155/R3151</f>
        <v>0.111731843575419</v>
      </c>
    </row>
    <row r="3156" s="27" customFormat="1" ht="18" customHeight="1" spans="1:21">
      <c r="A3156" s="34"/>
      <c r="B3156" s="48">
        <v>6</v>
      </c>
      <c r="C3156" s="48" t="s">
        <v>409</v>
      </c>
      <c r="D3156" s="48" t="s">
        <v>410</v>
      </c>
      <c r="E3156" s="48"/>
      <c r="F3156" s="50"/>
      <c r="G3156" s="48"/>
      <c r="H3156" s="73">
        <f>+'材料表 '!$E$179</f>
        <v>0</v>
      </c>
      <c r="I3156" s="52">
        <f>H3156*I3154</f>
        <v>0</v>
      </c>
      <c r="J3156" s="74" t="s">
        <v>392</v>
      </c>
      <c r="K3156" s="75"/>
      <c r="L3156" s="69" t="s">
        <v>447</v>
      </c>
      <c r="M3156" s="70" t="s">
        <v>1075</v>
      </c>
      <c r="N3156" s="100">
        <f>0.28*2*2.71</f>
        <v>1.5176</v>
      </c>
      <c r="O3156" s="100">
        <f>O3151</f>
        <v>9.835</v>
      </c>
      <c r="P3156" s="34">
        <v>1</v>
      </c>
      <c r="Q3156" s="44">
        <f t="shared" si="488"/>
        <v>14.925596</v>
      </c>
      <c r="R3156" s="71">
        <f>+Q3156/R3151</f>
        <v>0.498718370029576</v>
      </c>
      <c r="S3156" s="47">
        <v>0.28</v>
      </c>
      <c r="T3156" s="47">
        <f t="shared" si="489"/>
        <v>2.7538</v>
      </c>
      <c r="U3156" s="76">
        <f>T3156/R3151</f>
        <v>0.0920144594150509</v>
      </c>
    </row>
    <row r="3157" s="27" customFormat="1" ht="18" customHeight="1" spans="1:21">
      <c r="A3157" s="34"/>
      <c r="B3157" s="48">
        <v>7</v>
      </c>
      <c r="C3157" s="48" t="s">
        <v>412</v>
      </c>
      <c r="D3157" s="72" t="s">
        <v>413</v>
      </c>
      <c r="E3157" s="72"/>
      <c r="F3157" s="77"/>
      <c r="G3157" s="72"/>
      <c r="H3157" s="73">
        <f>+'材料表 '!$E$180</f>
        <v>0.09</v>
      </c>
      <c r="I3157" s="52">
        <f>(I3154+I3155+I3156)*H3157</f>
        <v>51.5413082809356</v>
      </c>
      <c r="J3157" s="74" t="s">
        <v>392</v>
      </c>
      <c r="K3157" s="75"/>
      <c r="L3157" s="69" t="s">
        <v>447</v>
      </c>
      <c r="M3157" s="70" t="s">
        <v>1076</v>
      </c>
      <c r="N3157" s="34">
        <f>0.307*2</f>
        <v>0.614</v>
      </c>
      <c r="O3157" s="34">
        <f>O3154</f>
        <v>3.043</v>
      </c>
      <c r="P3157" s="34">
        <v>7</v>
      </c>
      <c r="Q3157" s="44">
        <f t="shared" si="488"/>
        <v>13.078814</v>
      </c>
      <c r="R3157" s="71">
        <f>+Q3157/R3151</f>
        <v>0.437010676156584</v>
      </c>
      <c r="S3157" s="47">
        <f>0.09*2</f>
        <v>0.18</v>
      </c>
      <c r="T3157" s="47">
        <f t="shared" si="489"/>
        <v>3.83418</v>
      </c>
      <c r="U3157" s="76">
        <f>T3157/R3151</f>
        <v>0.128113879003559</v>
      </c>
    </row>
    <row r="3158" s="27" customFormat="1" ht="18" customHeight="1" spans="1:21">
      <c r="A3158" s="78" t="s">
        <v>345</v>
      </c>
      <c r="B3158" s="48">
        <v>8</v>
      </c>
      <c r="C3158" s="48" t="s">
        <v>363</v>
      </c>
      <c r="D3158" s="72" t="s">
        <v>415</v>
      </c>
      <c r="E3158" s="72"/>
      <c r="F3158" s="77"/>
      <c r="G3158" s="72"/>
      <c r="H3158" s="51"/>
      <c r="I3158" s="74">
        <f>SUM(I3154:I3157)</f>
        <v>624.222511402442</v>
      </c>
      <c r="J3158" s="74" t="s">
        <v>416</v>
      </c>
      <c r="K3158" s="75"/>
      <c r="L3158" s="69"/>
      <c r="M3158" s="70"/>
      <c r="N3158" s="101"/>
      <c r="O3158" s="34"/>
      <c r="P3158" s="34"/>
      <c r="Q3158" s="44">
        <f t="shared" si="488"/>
        <v>0</v>
      </c>
      <c r="R3158" s="71">
        <f>+Q3158/R3151</f>
        <v>0</v>
      </c>
      <c r="S3158" s="79"/>
      <c r="T3158" s="47"/>
    </row>
    <row r="3159" s="27" customFormat="1" ht="18" customHeight="1" spans="1:21">
      <c r="A3159" s="34"/>
      <c r="B3159" s="48" t="s">
        <v>418</v>
      </c>
      <c r="C3159" s="48"/>
      <c r="D3159" s="48"/>
      <c r="E3159" s="48"/>
      <c r="F3159" s="48"/>
      <c r="G3159" s="48"/>
      <c r="H3159" s="48"/>
      <c r="I3159" s="48"/>
      <c r="J3159" s="48"/>
      <c r="K3159" s="80"/>
      <c r="L3159" s="69"/>
      <c r="M3159" s="70"/>
      <c r="N3159" s="34"/>
      <c r="O3159" s="34"/>
      <c r="P3159" s="34"/>
      <c r="Q3159" s="44">
        <f t="shared" si="488"/>
        <v>0</v>
      </c>
      <c r="R3159" s="71">
        <f>+Q3159/R3151</f>
        <v>0</v>
      </c>
      <c r="S3159" s="47"/>
      <c r="T3159" s="47"/>
      <c r="U3159" s="76"/>
    </row>
    <row r="3160" s="27" customFormat="1" ht="18" customHeight="1" spans="1:21">
      <c r="A3160" s="34"/>
      <c r="B3160" s="48">
        <v>1</v>
      </c>
      <c r="C3160" s="48" t="s">
        <v>391</v>
      </c>
      <c r="D3160" s="48" t="s">
        <v>396</v>
      </c>
      <c r="E3160" s="48" t="s">
        <v>37</v>
      </c>
      <c r="F3160" s="50"/>
      <c r="G3160" s="48"/>
      <c r="H3160" s="51" t="s">
        <v>399</v>
      </c>
      <c r="I3160" s="51" t="s">
        <v>420</v>
      </c>
      <c r="J3160" s="51" t="s">
        <v>421</v>
      </c>
      <c r="K3160" s="43"/>
      <c r="L3160" s="69"/>
      <c r="M3160" s="81"/>
      <c r="N3160" s="82"/>
      <c r="O3160" s="34"/>
      <c r="P3160" s="34"/>
      <c r="Q3160" s="44">
        <f t="shared" si="488"/>
        <v>0</v>
      </c>
      <c r="R3160" s="71">
        <f>+Q3160/R3151</f>
        <v>0</v>
      </c>
      <c r="S3160" s="47"/>
      <c r="T3160" s="47"/>
    </row>
    <row r="3161" s="27" customFormat="1" ht="18" customHeight="1" spans="1:21">
      <c r="A3161" s="34"/>
      <c r="B3161" s="48">
        <v>2</v>
      </c>
      <c r="C3161" s="48"/>
      <c r="D3161" s="48" t="s">
        <v>968</v>
      </c>
      <c r="E3161" s="72" t="s">
        <v>423</v>
      </c>
      <c r="F3161" s="50"/>
      <c r="G3161" s="48"/>
      <c r="H3161" s="51">
        <v>1</v>
      </c>
      <c r="I3161" s="51">
        <f>+辅材及安装费!$G$20</f>
        <v>130</v>
      </c>
      <c r="J3161" s="51">
        <f t="shared" ref="J3161:J3169" si="490">H3161*I3161</f>
        <v>130</v>
      </c>
      <c r="K3161" s="43"/>
      <c r="L3161" s="69"/>
      <c r="M3161" s="70"/>
      <c r="N3161" s="34"/>
      <c r="O3161" s="34"/>
      <c r="P3161" s="34"/>
      <c r="Q3161" s="44">
        <f t="shared" si="488"/>
        <v>0</v>
      </c>
      <c r="R3161" s="84">
        <f>+Q3161/R3151</f>
        <v>0</v>
      </c>
      <c r="S3161" s="47"/>
      <c r="T3161" s="47"/>
    </row>
    <row r="3162" s="27" customFormat="1" ht="18" customHeight="1" spans="1:21">
      <c r="A3162" s="34"/>
      <c r="B3162" s="48">
        <v>3</v>
      </c>
      <c r="C3162" s="48"/>
      <c r="D3162" s="48"/>
      <c r="E3162" s="72"/>
      <c r="F3162" s="50"/>
      <c r="G3162" s="48"/>
      <c r="H3162" s="51"/>
      <c r="I3162" s="51"/>
      <c r="J3162" s="51"/>
      <c r="K3162" s="43"/>
      <c r="L3162" s="69"/>
      <c r="M3162" s="70"/>
      <c r="N3162" s="82"/>
      <c r="O3162" s="82"/>
      <c r="P3162" s="34"/>
      <c r="Q3162" s="44">
        <f t="shared" si="488"/>
        <v>0</v>
      </c>
      <c r="R3162" s="84">
        <f>+Q3162/R3151</f>
        <v>0</v>
      </c>
      <c r="S3162" s="47"/>
      <c r="T3162" s="47"/>
      <c r="U3162" s="76"/>
    </row>
    <row r="3163" s="27" customFormat="1" ht="18" customHeight="1" spans="1:21">
      <c r="A3163" s="34"/>
      <c r="B3163" s="48">
        <v>4</v>
      </c>
      <c r="C3163" s="48"/>
      <c r="D3163" s="85" t="s">
        <v>426</v>
      </c>
      <c r="E3163" s="48" t="s">
        <v>392</v>
      </c>
      <c r="F3163" s="50"/>
      <c r="G3163" s="48"/>
      <c r="H3163" s="86"/>
      <c r="I3163" s="86"/>
      <c r="J3163" s="51">
        <f>SUM(J3161:J3161)</f>
        <v>130</v>
      </c>
      <c r="K3163" s="75"/>
      <c r="L3163" s="69"/>
      <c r="M3163" s="70"/>
      <c r="N3163" s="34"/>
      <c r="O3163" s="34"/>
      <c r="P3163" s="34"/>
      <c r="Q3163" s="44">
        <f t="shared" si="488"/>
        <v>0</v>
      </c>
      <c r="R3163" s="84">
        <f>+Q3163/R3151</f>
        <v>0</v>
      </c>
      <c r="S3163" s="47"/>
      <c r="T3163" s="47"/>
      <c r="U3163" s="76"/>
    </row>
    <row r="3164" s="27" customFormat="1" ht="23" customHeight="1" spans="1:21">
      <c r="A3164" s="34"/>
      <c r="B3164" s="48">
        <v>1</v>
      </c>
      <c r="C3164" s="48" t="s">
        <v>394</v>
      </c>
      <c r="D3164" s="88" t="s">
        <v>427</v>
      </c>
      <c r="E3164" s="72" t="str">
        <f>+VLOOKUP(D3164,'材料表 '!C:F,2,0)</f>
        <v>kg</v>
      </c>
      <c r="F3164" s="77">
        <f>+SUMIF($L$3151:$L$3191,D3164,$R$3151:$R$3191)</f>
        <v>0</v>
      </c>
      <c r="G3164" s="89">
        <f>+VLOOKUP(D3164,'材料表 '!C:F,4,0)</f>
        <v>0.03</v>
      </c>
      <c r="H3164" s="74">
        <f t="shared" ref="H3164:H3169" si="491">F3164*(G3164+1)</f>
        <v>0</v>
      </c>
      <c r="I3164" s="74">
        <f>+VLOOKUP(D3164,'材料表 '!C:F,3,0)</f>
        <v>25.8495575221239</v>
      </c>
      <c r="J3164" s="51">
        <f t="shared" si="490"/>
        <v>0</v>
      </c>
      <c r="K3164" s="75">
        <f ca="1">H3164*K3150</f>
        <v>0</v>
      </c>
      <c r="L3164" s="69"/>
      <c r="M3164" s="70"/>
      <c r="N3164" s="34"/>
      <c r="O3164" s="34"/>
      <c r="P3164" s="34"/>
      <c r="Q3164" s="44">
        <f t="shared" si="488"/>
        <v>0</v>
      </c>
      <c r="R3164" s="84">
        <f>+Q3164/R3151</f>
        <v>0</v>
      </c>
      <c r="S3164" s="47"/>
      <c r="T3164" s="47"/>
    </row>
    <row r="3165" s="27" customFormat="1" ht="18" customHeight="1" spans="1:21">
      <c r="A3165" s="34"/>
      <c r="B3165" s="48">
        <v>2</v>
      </c>
      <c r="C3165" s="48"/>
      <c r="D3165" s="88" t="s">
        <v>404</v>
      </c>
      <c r="E3165" s="72" t="str">
        <f>+VLOOKUP(D3165,'材料表 '!C:F,2,0)</f>
        <v>kg</v>
      </c>
      <c r="F3165" s="77">
        <f>+SUMIF($L$3151:$L$3191,D3165,$R$3151:$R$3191)</f>
        <v>0</v>
      </c>
      <c r="G3165" s="89">
        <f>+VLOOKUP(D3165,'材料表 '!C:F,4,0)</f>
        <v>0.03</v>
      </c>
      <c r="H3165" s="74">
        <f t="shared" si="491"/>
        <v>0</v>
      </c>
      <c r="I3165" s="74">
        <f>+VLOOKUP(D3165,'材料表 '!C:F,3,0)</f>
        <v>25.6725663716814</v>
      </c>
      <c r="J3165" s="51">
        <f t="shared" si="490"/>
        <v>0</v>
      </c>
      <c r="K3165" s="75">
        <f ca="1">H3165*K3150</f>
        <v>0</v>
      </c>
      <c r="L3165" s="69"/>
      <c r="M3165" s="70"/>
      <c r="N3165" s="83"/>
      <c r="O3165" s="83"/>
      <c r="P3165" s="83"/>
      <c r="Q3165" s="83"/>
      <c r="R3165" s="87"/>
      <c r="S3165" s="47"/>
      <c r="T3165" s="47"/>
    </row>
    <row r="3166" s="27" customFormat="1" ht="18" customHeight="1" spans="1:21">
      <c r="A3166" s="34"/>
      <c r="B3166" s="48">
        <v>3</v>
      </c>
      <c r="C3166" s="48"/>
      <c r="D3166" s="88" t="s">
        <v>433</v>
      </c>
      <c r="E3166" s="72" t="str">
        <f>+VLOOKUP(D3166,'材料表 '!C:F,2,0)</f>
        <v>kg</v>
      </c>
      <c r="F3166" s="77">
        <f>+SUMIF($L$3151:$L$3191,D3166,$R$3151:$R$3191)</f>
        <v>0</v>
      </c>
      <c r="G3166" s="89">
        <f>+VLOOKUP(D3166,'材料表 '!C:F,4,0)</f>
        <v>0.03</v>
      </c>
      <c r="H3166" s="74">
        <f t="shared" si="491"/>
        <v>0</v>
      </c>
      <c r="I3166" s="74">
        <f>+VLOOKUP(D3166,'材料表 '!C:F,3,0)</f>
        <v>26.1150442477876</v>
      </c>
      <c r="J3166" s="51">
        <f t="shared" si="490"/>
        <v>0</v>
      </c>
      <c r="K3166" s="75">
        <f ca="1">H3166*K3150</f>
        <v>0</v>
      </c>
      <c r="L3166" s="69"/>
      <c r="M3166" s="27"/>
      <c r="N3166" s="83"/>
      <c r="O3166" s="83"/>
      <c r="P3166" s="83"/>
      <c r="Q3166" s="83"/>
      <c r="R3166" s="87"/>
      <c r="S3166" s="47"/>
      <c r="T3166" s="47"/>
    </row>
    <row r="3167" s="27" customFormat="1" ht="18" customHeight="1" spans="1:21">
      <c r="A3167" s="34"/>
      <c r="B3167" s="48">
        <v>4</v>
      </c>
      <c r="C3167" s="48"/>
      <c r="D3167" s="88" t="s">
        <v>429</v>
      </c>
      <c r="E3167" s="72" t="str">
        <f>+VLOOKUP(D3167,'材料表 '!C:F,2,0)</f>
        <v>kg</v>
      </c>
      <c r="F3167" s="77">
        <f>+SUMIF($L$3151:$L$3191,D3167,$R$3151:$R$3191)</f>
        <v>0</v>
      </c>
      <c r="G3167" s="89">
        <f>+VLOOKUP(D3167,'材料表 '!C:F,4,0)</f>
        <v>0.03</v>
      </c>
      <c r="H3167" s="74">
        <f t="shared" si="491"/>
        <v>0</v>
      </c>
      <c r="I3167" s="74">
        <f>+VLOOKUP(D3167,'材料表 '!C:F,3,0)</f>
        <v>26.1150442477876</v>
      </c>
      <c r="J3167" s="51">
        <f t="shared" si="490"/>
        <v>0</v>
      </c>
      <c r="K3167" s="75">
        <f ca="1">H3167*K3150</f>
        <v>0</v>
      </c>
      <c r="L3167" s="90"/>
      <c r="M3167" s="44"/>
      <c r="N3167" s="82"/>
      <c r="O3167" s="44"/>
      <c r="P3167" s="44"/>
      <c r="Q3167" s="44"/>
      <c r="R3167" s="84"/>
      <c r="S3167" s="47"/>
      <c r="T3167" s="47"/>
    </row>
    <row r="3168" s="27" customFormat="1" ht="18" customHeight="1" spans="1:21">
      <c r="A3168" s="34"/>
      <c r="B3168" s="48">
        <v>5</v>
      </c>
      <c r="C3168" s="48"/>
      <c r="D3168" s="88" t="s">
        <v>447</v>
      </c>
      <c r="E3168" s="72" t="str">
        <f>+VLOOKUP(D3168,'材料表 '!C:F,2,0)</f>
        <v>kg</v>
      </c>
      <c r="F3168" s="77">
        <f>+SUMIF($L$3151:$L$3191,D3168,$R$3151:$R$3191)</f>
        <v>3.35698111177511</v>
      </c>
      <c r="G3168" s="89">
        <f>+VLOOKUP(D3168,'材料表 '!C:F,4,0)</f>
        <v>0.03</v>
      </c>
      <c r="H3168" s="74">
        <f t="shared" si="491"/>
        <v>3.45769054512836</v>
      </c>
      <c r="I3168" s="74">
        <f>+VLOOKUP(D3168,'材料表 '!C:F,3,0)</f>
        <v>24.4336283185841</v>
      </c>
      <c r="J3168" s="51">
        <f t="shared" si="490"/>
        <v>84.4839256203489</v>
      </c>
      <c r="K3168" s="43">
        <f ca="1">H3168*K3150</f>
        <v>206.447302443887</v>
      </c>
      <c r="L3168" s="90"/>
      <c r="M3168" s="44"/>
      <c r="N3168" s="82"/>
      <c r="O3168" s="44"/>
      <c r="P3168" s="44"/>
      <c r="Q3168" s="44"/>
      <c r="R3168" s="84"/>
      <c r="S3168" s="47"/>
      <c r="T3168" s="47"/>
    </row>
    <row r="3169" s="27" customFormat="1" ht="18" customHeight="1" spans="1:20">
      <c r="A3169" s="34"/>
      <c r="B3169" s="48">
        <v>6</v>
      </c>
      <c r="C3169" s="48"/>
      <c r="D3169" s="88" t="s">
        <v>434</v>
      </c>
      <c r="E3169" s="72" t="str">
        <f>+VLOOKUP(D3169,'材料表 '!C:F,2,0)</f>
        <v>m2</v>
      </c>
      <c r="F3169" s="77">
        <f>U3154+U3155+U3156+U3157</f>
        <v>0.469938473808975</v>
      </c>
      <c r="G3169" s="89">
        <f>+VLOOKUP(D3169,'材料表 '!C:F,4,0)</f>
        <v>0</v>
      </c>
      <c r="H3169" s="74">
        <f t="shared" si="491"/>
        <v>0.469938473808975</v>
      </c>
      <c r="I3169" s="74">
        <f>+VLOOKUP(D3169,'材料表 '!C:F,3,0)+5</f>
        <v>54.5575221238938</v>
      </c>
      <c r="J3169" s="51">
        <f t="shared" si="490"/>
        <v>25.638678681702</v>
      </c>
      <c r="K3169" s="43">
        <f ca="1">H3169*K3150</f>
        <v>28.0584768839858</v>
      </c>
      <c r="L3169" s="90"/>
      <c r="M3169" s="91"/>
      <c r="N3169" s="82"/>
      <c r="O3169" s="44"/>
      <c r="P3169" s="44"/>
      <c r="Q3169" s="44"/>
      <c r="R3169" s="84"/>
      <c r="S3169" s="47"/>
      <c r="T3169" s="47"/>
    </row>
    <row r="3170" s="27" customFormat="1" ht="18" customHeight="1" spans="1:20">
      <c r="A3170" s="34"/>
      <c r="B3170" s="48">
        <v>7</v>
      </c>
      <c r="C3170" s="48"/>
      <c r="D3170" s="88"/>
      <c r="E3170" s="72"/>
      <c r="F3170" s="77"/>
      <c r="G3170" s="89"/>
      <c r="H3170" s="74"/>
      <c r="I3170" s="74"/>
      <c r="J3170" s="51"/>
      <c r="K3170" s="43">
        <f ca="1">H3170*K3150</f>
        <v>0</v>
      </c>
      <c r="L3170" s="90"/>
      <c r="M3170" s="91"/>
      <c r="N3170" s="82"/>
      <c r="O3170" s="44"/>
      <c r="P3170" s="44"/>
      <c r="Q3170" s="44"/>
      <c r="R3170" s="84"/>
      <c r="S3170" s="47"/>
      <c r="T3170" s="47"/>
    </row>
    <row r="3171" s="27" customFormat="1" ht="18" customHeight="1" spans="1:20">
      <c r="A3171" s="34"/>
      <c r="B3171" s="48">
        <v>8</v>
      </c>
      <c r="C3171" s="48"/>
      <c r="D3171" s="88"/>
      <c r="E3171" s="72"/>
      <c r="F3171" s="77"/>
      <c r="G3171" s="89"/>
      <c r="H3171" s="74"/>
      <c r="I3171" s="74"/>
      <c r="J3171" s="51"/>
      <c r="K3171" s="43">
        <f ca="1">H3171*K3150</f>
        <v>0</v>
      </c>
      <c r="L3171" s="69" t="s">
        <v>465</v>
      </c>
      <c r="M3171" s="81" t="s">
        <v>1077</v>
      </c>
      <c r="N3171" s="34">
        <f>0.2*0.1*12*7.85</f>
        <v>1.884</v>
      </c>
      <c r="O3171" s="34">
        <v>3</v>
      </c>
      <c r="P3171" s="34">
        <f>P3154</f>
        <v>7</v>
      </c>
      <c r="Q3171" s="44">
        <f>+P3171*O3171*N3171</f>
        <v>39.564</v>
      </c>
      <c r="R3171" s="84">
        <f>Q3171/R3151</f>
        <v>1.32197693089443</v>
      </c>
      <c r="S3171" s="47"/>
      <c r="T3171" s="47"/>
    </row>
    <row r="3172" s="27" customFormat="1" ht="18" customHeight="1" spans="1:20">
      <c r="A3172" s="34"/>
      <c r="B3172" s="48">
        <v>9</v>
      </c>
      <c r="C3172" s="48"/>
      <c r="D3172" s="88"/>
      <c r="E3172" s="72"/>
      <c r="F3172" s="77"/>
      <c r="G3172" s="89"/>
      <c r="H3172" s="74"/>
      <c r="I3172" s="74"/>
      <c r="J3172" s="51"/>
      <c r="K3172" s="43">
        <f ca="1">H3172*K3150</f>
        <v>0</v>
      </c>
      <c r="L3172" s="90"/>
      <c r="M3172" s="44"/>
      <c r="N3172" s="82"/>
      <c r="O3172" s="44"/>
      <c r="P3172" s="44"/>
      <c r="Q3172" s="44"/>
      <c r="R3172" s="84"/>
      <c r="S3172" s="47"/>
      <c r="T3172" s="47"/>
    </row>
    <row r="3173" s="27" customFormat="1" ht="18" customHeight="1" spans="1:20">
      <c r="A3173" s="34"/>
      <c r="B3173" s="48">
        <v>10</v>
      </c>
      <c r="C3173" s="48"/>
      <c r="D3173" s="88"/>
      <c r="E3173" s="72"/>
      <c r="F3173" s="77"/>
      <c r="G3173" s="89"/>
      <c r="H3173" s="74"/>
      <c r="I3173" s="74"/>
      <c r="J3173" s="51"/>
      <c r="K3173" s="43">
        <f ca="1">H3173*K3150</f>
        <v>0</v>
      </c>
      <c r="L3173" s="90"/>
      <c r="M3173" s="91"/>
      <c r="N3173" s="82"/>
      <c r="O3173" s="44"/>
      <c r="P3173" s="44"/>
      <c r="Q3173" s="44"/>
      <c r="R3173" s="84"/>
      <c r="S3173" s="47"/>
      <c r="T3173" s="47"/>
    </row>
    <row r="3174" s="27" customFormat="1" ht="18" customHeight="1" spans="1:20">
      <c r="A3174" s="34"/>
      <c r="B3174" s="48">
        <v>11</v>
      </c>
      <c r="C3174" s="48"/>
      <c r="D3174" s="88"/>
      <c r="E3174" s="72"/>
      <c r="F3174" s="77"/>
      <c r="G3174" s="89"/>
      <c r="H3174" s="74"/>
      <c r="I3174" s="74"/>
      <c r="J3174" s="51"/>
      <c r="K3174" s="43">
        <f ca="1">H3174*K3150</f>
        <v>0</v>
      </c>
      <c r="L3174" s="69"/>
      <c r="M3174" s="91"/>
      <c r="N3174" s="82"/>
      <c r="O3174" s="44"/>
      <c r="P3174" s="44"/>
      <c r="Q3174" s="44"/>
      <c r="R3174" s="84"/>
      <c r="S3174" s="47"/>
      <c r="T3174" s="47"/>
    </row>
    <row r="3175" s="27" customFormat="1" ht="15" customHeight="1" spans="1:20">
      <c r="A3175" s="34"/>
      <c r="B3175" s="48">
        <v>12</v>
      </c>
      <c r="C3175" s="48"/>
      <c r="D3175" s="88"/>
      <c r="E3175" s="72"/>
      <c r="F3175" s="77"/>
      <c r="G3175" s="89"/>
      <c r="H3175" s="74"/>
      <c r="I3175" s="74"/>
      <c r="J3175" s="51"/>
      <c r="K3175" s="43">
        <f ca="1">H3175*K3150</f>
        <v>0</v>
      </c>
      <c r="L3175" s="69"/>
      <c r="M3175" s="27"/>
      <c r="N3175" s="83"/>
      <c r="O3175" s="83"/>
      <c r="P3175" s="83"/>
      <c r="Q3175" s="83"/>
      <c r="R3175" s="84"/>
      <c r="S3175" s="47"/>
      <c r="T3175" s="47"/>
    </row>
    <row r="3176" s="27" customFormat="1" ht="20" customHeight="1" spans="1:20">
      <c r="A3176" s="34"/>
      <c r="B3176" s="48">
        <v>13</v>
      </c>
      <c r="C3176" s="48"/>
      <c r="D3176" s="88" t="s">
        <v>465</v>
      </c>
      <c r="E3176" s="72" t="str">
        <f>+VLOOKUP(D3176,'材料表 '!C:F,2,0)</f>
        <v>kg</v>
      </c>
      <c r="F3176" s="77">
        <f>+SUMIF($L$3108:$L$3148,D3176,$R$3108:$R$3148)</f>
        <v>1.32197693089443</v>
      </c>
      <c r="G3176" s="89">
        <f>+VLOOKUP(D3176,'材料表 '!C:F,4,0)</f>
        <v>0.03</v>
      </c>
      <c r="H3176" s="74">
        <f t="shared" ref="H3176:H3183" si="492">F3176*(G3176+1)</f>
        <v>1.36163623882126</v>
      </c>
      <c r="I3176" s="74">
        <f>+VLOOKUP(D3176,'材料表 '!C:F,3,0)</f>
        <v>6.01769911504425</v>
      </c>
      <c r="J3176" s="51">
        <f t="shared" ref="J3176:J3183" si="493">H3176*I3176</f>
        <v>8.1939171893669</v>
      </c>
      <c r="K3176" s="43">
        <f ca="1">H3176*K3150</f>
        <v>81.298810505338</v>
      </c>
      <c r="L3176" s="90"/>
      <c r="M3176" s="44"/>
      <c r="N3176" s="82"/>
      <c r="O3176" s="44"/>
      <c r="P3176" s="44"/>
      <c r="Q3176" s="44"/>
      <c r="R3176" s="84"/>
      <c r="S3176" s="47"/>
      <c r="T3176" s="47"/>
    </row>
    <row r="3177" s="27" customFormat="1" ht="18" customHeight="1" spans="1:20">
      <c r="A3177" s="34"/>
      <c r="B3177" s="48">
        <v>14</v>
      </c>
      <c r="C3177" s="48"/>
      <c r="D3177" s="88" t="s">
        <v>517</v>
      </c>
      <c r="E3177" s="72" t="str">
        <f>+VLOOKUP(D3177,'材料表 '!C:F,2,0)</f>
        <v>m2</v>
      </c>
      <c r="F3177" s="77">
        <f>0.2*0.14*2*(O3171*P3171)/R3151</f>
        <v>0.0392944310669257</v>
      </c>
      <c r="G3177" s="89">
        <f>+VLOOKUP(D3177,'材料表 '!C:F,4,0)</f>
        <v>0</v>
      </c>
      <c r="H3177" s="74">
        <f t="shared" si="492"/>
        <v>0.0392944310669257</v>
      </c>
      <c r="I3177" s="74">
        <f>+VLOOKUP(D3177,'材料表 '!C:F,3,0)</f>
        <v>84.070796460177</v>
      </c>
      <c r="J3177" s="51">
        <f t="shared" si="493"/>
        <v>3.30351411624597</v>
      </c>
      <c r="K3177" s="43">
        <f ca="1">H3177*K3150</f>
        <v>2.34614092526691</v>
      </c>
      <c r="L3177" s="90"/>
      <c r="M3177" s="44"/>
      <c r="N3177" s="82"/>
      <c r="O3177" s="44"/>
      <c r="P3177" s="44"/>
      <c r="Q3177" s="44"/>
      <c r="R3177" s="84"/>
      <c r="S3177" s="47"/>
      <c r="T3177" s="47"/>
    </row>
    <row r="3178" s="27" customFormat="1" ht="18" customHeight="1" spans="1:20">
      <c r="A3178" s="34"/>
      <c r="B3178" s="48">
        <v>15</v>
      </c>
      <c r="C3178" s="48"/>
      <c r="D3178" s="88" t="s">
        <v>728</v>
      </c>
      <c r="E3178" s="72" t="str">
        <f>+VLOOKUP(D3178,'材料表 '!C:F,2,0)</f>
        <v>套</v>
      </c>
      <c r="F3178" s="77">
        <f>2*(O3171*P3171)/R3151</f>
        <v>1.40337253810449</v>
      </c>
      <c r="G3178" s="89">
        <f>+VLOOKUP(D3178,'材料表 '!C:F,4,0)</f>
        <v>0</v>
      </c>
      <c r="H3178" s="74">
        <f t="shared" si="492"/>
        <v>1.40337253810449</v>
      </c>
      <c r="I3178" s="74">
        <f>+VLOOKUP(D3178,'材料表 '!C:F,3,0)</f>
        <v>1.5929203539823</v>
      </c>
      <c r="J3178" s="51">
        <f t="shared" si="493"/>
        <v>2.23546068016644</v>
      </c>
      <c r="K3178" s="43">
        <f ca="1">H3178*K3150</f>
        <v>83.790747330961</v>
      </c>
      <c r="L3178" s="90"/>
      <c r="M3178" s="44"/>
      <c r="N3178" s="82"/>
      <c r="O3178" s="44"/>
      <c r="P3178" s="44"/>
      <c r="Q3178" s="44"/>
      <c r="R3178" s="84"/>
      <c r="S3178" s="47"/>
      <c r="T3178" s="47"/>
    </row>
    <row r="3179" s="27" customFormat="1" ht="18" customHeight="1" spans="1:20">
      <c r="A3179" s="34"/>
      <c r="B3179" s="48">
        <v>16</v>
      </c>
      <c r="C3179" s="48"/>
      <c r="D3179" s="88" t="s">
        <v>476</v>
      </c>
      <c r="E3179" s="72" t="str">
        <f>+VLOOKUP(D3179,'材料表 '!C:F,2,0)</f>
        <v>支</v>
      </c>
      <c r="F3179" s="77">
        <v>0</v>
      </c>
      <c r="G3179" s="89">
        <f>+VLOOKUP(D3179,'材料表 '!C:F,4,0)</f>
        <v>0.15</v>
      </c>
      <c r="H3179" s="74">
        <f t="shared" si="492"/>
        <v>0</v>
      </c>
      <c r="I3179" s="74">
        <f>+VLOOKUP(D3179,'材料表 '!C:F,3,0)</f>
        <v>11.5044247787611</v>
      </c>
      <c r="J3179" s="51">
        <f t="shared" si="493"/>
        <v>0</v>
      </c>
      <c r="K3179" s="43">
        <f ca="1">H3179*K3150</f>
        <v>0</v>
      </c>
      <c r="L3179" s="92"/>
      <c r="M3179" s="44"/>
      <c r="N3179" s="82"/>
      <c r="O3179" s="44"/>
      <c r="P3179" s="44"/>
      <c r="Q3179" s="44"/>
      <c r="R3179" s="84"/>
      <c r="S3179" s="47"/>
      <c r="T3179" s="47"/>
    </row>
    <row r="3180" s="27" customFormat="1" ht="18" customHeight="1" spans="1:20">
      <c r="A3180" s="34"/>
      <c r="B3180" s="48">
        <v>17</v>
      </c>
      <c r="C3180" s="48"/>
      <c r="D3180" s="88" t="s">
        <v>576</v>
      </c>
      <c r="E3180" s="72" t="str">
        <f>+VLOOKUP(D3180,'材料表 '!C:F,2,0)</f>
        <v>支</v>
      </c>
      <c r="F3180" s="77">
        <v>0</v>
      </c>
      <c r="G3180" s="89">
        <f>+VLOOKUP(D3180,'材料表 '!C:F,4,0)</f>
        <v>0.15</v>
      </c>
      <c r="H3180" s="74">
        <f t="shared" si="492"/>
        <v>0</v>
      </c>
      <c r="I3180" s="74">
        <f>+VLOOKUP(D3180,'材料表 '!C:F,3,0)</f>
        <v>14.1592920353982</v>
      </c>
      <c r="J3180" s="51">
        <f t="shared" si="493"/>
        <v>0</v>
      </c>
      <c r="K3180" s="43">
        <f ca="1">H3180*K3150</f>
        <v>0</v>
      </c>
      <c r="L3180" s="92"/>
      <c r="M3180" s="44"/>
      <c r="N3180" s="82"/>
      <c r="O3180" s="44"/>
      <c r="P3180" s="44"/>
      <c r="Q3180" s="44"/>
      <c r="R3180" s="84"/>
      <c r="S3180" s="47"/>
      <c r="T3180" s="47"/>
    </row>
    <row r="3181" s="27" customFormat="1" ht="18" customHeight="1" spans="1:20">
      <c r="A3181" s="34"/>
      <c r="B3181" s="48">
        <v>18</v>
      </c>
      <c r="C3181" s="48"/>
      <c r="D3181" s="88" t="s">
        <v>479</v>
      </c>
      <c r="E3181" s="72" t="str">
        <f>+VLOOKUP(D3181,'材料表 '!C:F,2,0)</f>
        <v>kg</v>
      </c>
      <c r="F3181" s="77">
        <v>0</v>
      </c>
      <c r="G3181" s="89">
        <f>+VLOOKUP(D3181,'材料表 '!C:F,4,0)</f>
        <v>0.03</v>
      </c>
      <c r="H3181" s="74">
        <f t="shared" si="492"/>
        <v>0</v>
      </c>
      <c r="I3181" s="74">
        <f>+VLOOKUP(D3181,'材料表 '!C:F,3,0)</f>
        <v>14.1592920353982</v>
      </c>
      <c r="J3181" s="51">
        <f t="shared" si="493"/>
        <v>0</v>
      </c>
      <c r="K3181" s="43">
        <f ca="1">H3181*K3150</f>
        <v>0</v>
      </c>
      <c r="L3181" s="92"/>
      <c r="M3181" s="44"/>
      <c r="N3181" s="82"/>
      <c r="O3181" s="44"/>
      <c r="P3181" s="44"/>
      <c r="Q3181" s="44"/>
      <c r="R3181" s="84"/>
      <c r="S3181" s="47"/>
      <c r="T3181" s="47"/>
    </row>
    <row r="3182" s="27" customFormat="1" ht="21" customHeight="1" spans="1:20">
      <c r="A3182" s="34"/>
      <c r="B3182" s="48">
        <v>19</v>
      </c>
      <c r="C3182" s="48"/>
      <c r="D3182" s="88" t="s">
        <v>500</v>
      </c>
      <c r="E3182" s="72" t="str">
        <f>+VLOOKUP(D3182,'材料表 '!C:F,2,0)</f>
        <v>kg</v>
      </c>
      <c r="F3182" s="77">
        <f>F3168</f>
        <v>3.35698111177511</v>
      </c>
      <c r="G3182" s="89">
        <f>+VLOOKUP(D3182,'材料表 '!C:F,4,0)</f>
        <v>0.03</v>
      </c>
      <c r="H3182" s="74">
        <f t="shared" si="492"/>
        <v>3.45769054512836</v>
      </c>
      <c r="I3182" s="74">
        <f>+VLOOKUP(D3182,'材料表 '!C:F,3,0)</f>
        <v>14.1592920353982</v>
      </c>
      <c r="J3182" s="51">
        <f t="shared" si="493"/>
        <v>48.9584501965077</v>
      </c>
      <c r="K3182" s="43">
        <f ca="1">H3182*K3150</f>
        <v>206.447302443887</v>
      </c>
      <c r="L3182" s="92"/>
      <c r="M3182" s="44"/>
      <c r="N3182" s="82"/>
      <c r="O3182" s="44"/>
      <c r="P3182" s="44"/>
      <c r="Q3182" s="44"/>
      <c r="R3182" s="84"/>
      <c r="S3182" s="47"/>
      <c r="T3182" s="47"/>
    </row>
    <row r="3183" s="27" customFormat="1" ht="20" customHeight="1" spans="1:20">
      <c r="A3183" s="34"/>
      <c r="B3183" s="48">
        <v>20</v>
      </c>
      <c r="C3183" s="48"/>
      <c r="D3183" s="88" t="s">
        <v>712</v>
      </c>
      <c r="E3183" s="72" t="str">
        <f>+VLOOKUP(D3183,'材料表 '!C:F,2,0)</f>
        <v>m2</v>
      </c>
      <c r="F3183" s="77">
        <v>0.96</v>
      </c>
      <c r="G3183" s="89">
        <f>+VLOOKUP(D3183,'材料表 '!C:F,4,0)</f>
        <v>0</v>
      </c>
      <c r="H3183" s="74">
        <f t="shared" si="492"/>
        <v>0.96</v>
      </c>
      <c r="I3183" s="74">
        <f>+VLOOKUP(D3183,'材料表 '!C:F,3,0)</f>
        <v>265.486725663717</v>
      </c>
      <c r="J3183" s="51">
        <f t="shared" si="493"/>
        <v>254.867256637168</v>
      </c>
      <c r="K3183" s="43">
        <f ca="1">H3183*K3150</f>
        <v>57.31843488</v>
      </c>
      <c r="L3183" s="90"/>
      <c r="M3183" s="44"/>
      <c r="N3183" s="82"/>
      <c r="O3183" s="44"/>
      <c r="P3183" s="44"/>
      <c r="Q3183" s="44"/>
      <c r="R3183" s="84"/>
      <c r="S3183" s="47"/>
      <c r="T3183" s="47"/>
    </row>
    <row r="3184" s="27" customFormat="1" ht="19" customHeight="1" spans="1:20">
      <c r="A3184" s="34"/>
      <c r="B3184" s="48">
        <v>21</v>
      </c>
      <c r="C3184" s="48"/>
      <c r="D3184" s="88"/>
      <c r="E3184" s="72"/>
      <c r="F3184" s="77"/>
      <c r="G3184" s="89"/>
      <c r="H3184" s="74"/>
      <c r="I3184" s="74"/>
      <c r="J3184" s="51"/>
      <c r="K3184" s="43">
        <f ca="1">H3184*K3150</f>
        <v>0</v>
      </c>
      <c r="L3184" s="90"/>
      <c r="M3184" s="44"/>
      <c r="N3184" s="82"/>
      <c r="O3184" s="44"/>
      <c r="P3184" s="44"/>
      <c r="Q3184" s="44"/>
      <c r="R3184" s="84"/>
      <c r="S3184" s="47"/>
      <c r="T3184" s="47"/>
    </row>
    <row r="3185" s="27" customFormat="1" ht="18" customHeight="1" spans="1:20">
      <c r="A3185" s="34"/>
      <c r="B3185" s="48">
        <v>22</v>
      </c>
      <c r="C3185" s="48"/>
      <c r="D3185" s="88"/>
      <c r="E3185" s="72"/>
      <c r="F3185" s="77"/>
      <c r="G3185" s="89"/>
      <c r="H3185" s="74"/>
      <c r="I3185" s="74"/>
      <c r="J3185" s="51"/>
      <c r="K3185" s="43">
        <f ca="1">H3185*K3150</f>
        <v>0</v>
      </c>
      <c r="L3185" s="92"/>
      <c r="M3185" s="44"/>
      <c r="N3185" s="82"/>
      <c r="O3185" s="44"/>
      <c r="P3185" s="44"/>
      <c r="Q3185" s="44"/>
      <c r="R3185" s="84"/>
      <c r="S3185" s="47"/>
      <c r="T3185" s="47"/>
    </row>
    <row r="3186" s="27" customFormat="1" ht="18" customHeight="1" spans="1:20">
      <c r="A3186" s="34"/>
      <c r="B3186" s="48">
        <v>23</v>
      </c>
      <c r="C3186" s="48"/>
      <c r="D3186" s="88"/>
      <c r="E3186" s="72"/>
      <c r="F3186" s="77"/>
      <c r="G3186" s="89"/>
      <c r="H3186" s="74"/>
      <c r="I3186" s="74"/>
      <c r="J3186" s="51"/>
      <c r="K3186" s="43">
        <f ca="1">H3186*K3150</f>
        <v>0</v>
      </c>
      <c r="L3186" s="92"/>
      <c r="M3186" s="44"/>
      <c r="N3186" s="44"/>
      <c r="O3186" s="44"/>
      <c r="P3186" s="44"/>
      <c r="Q3186" s="44"/>
      <c r="R3186" s="84"/>
      <c r="S3186" s="47"/>
      <c r="T3186" s="47"/>
    </row>
    <row r="3187" s="27" customFormat="1" ht="18" customHeight="1" spans="1:20">
      <c r="A3187" s="34"/>
      <c r="B3187" s="48">
        <v>24</v>
      </c>
      <c r="C3187" s="48"/>
      <c r="D3187" s="88"/>
      <c r="E3187" s="72"/>
      <c r="F3187" s="77"/>
      <c r="G3187" s="89"/>
      <c r="H3187" s="74"/>
      <c r="I3187" s="74"/>
      <c r="J3187" s="51"/>
      <c r="K3187" s="75">
        <f ca="1">H3187*K3150</f>
        <v>0</v>
      </c>
      <c r="L3187" s="92"/>
      <c r="M3187" s="44"/>
      <c r="N3187" s="44"/>
      <c r="O3187" s="44"/>
      <c r="P3187" s="44"/>
      <c r="Q3187" s="44"/>
      <c r="R3187" s="84"/>
      <c r="S3187" s="47"/>
      <c r="T3187" s="47"/>
    </row>
    <row r="3188" s="27" customFormat="1" ht="18" customHeight="1" spans="1:20">
      <c r="A3188" s="34"/>
      <c r="B3188" s="48">
        <v>25</v>
      </c>
      <c r="C3188" s="48"/>
      <c r="D3188" s="88"/>
      <c r="E3188" s="72"/>
      <c r="F3188" s="77"/>
      <c r="G3188" s="89"/>
      <c r="H3188" s="74"/>
      <c r="I3188" s="74"/>
      <c r="J3188" s="51"/>
      <c r="K3188" s="75">
        <f ca="1">H3188*K3150</f>
        <v>0</v>
      </c>
      <c r="L3188" s="92"/>
      <c r="M3188" s="44"/>
      <c r="N3188" s="44"/>
      <c r="O3188" s="44"/>
      <c r="P3188" s="44"/>
      <c r="Q3188" s="44"/>
      <c r="R3188" s="84"/>
      <c r="S3188" s="47"/>
      <c r="T3188" s="47"/>
    </row>
    <row r="3189" s="27" customFormat="1" ht="18" customHeight="1" spans="1:20">
      <c r="A3189" s="34"/>
      <c r="B3189" s="48">
        <v>26</v>
      </c>
      <c r="C3189" s="48"/>
      <c r="D3189" s="88" t="s">
        <v>441</v>
      </c>
      <c r="E3189" s="72" t="s">
        <v>43</v>
      </c>
      <c r="F3189" s="77"/>
      <c r="G3189" s="72">
        <v>1</v>
      </c>
      <c r="H3189" s="74">
        <v>1</v>
      </c>
      <c r="I3189" s="74">
        <f>+辅材及安装费!$E$20</f>
        <v>10</v>
      </c>
      <c r="J3189" s="51">
        <f>H3189*I3189</f>
        <v>10</v>
      </c>
      <c r="K3189" s="75"/>
      <c r="L3189" s="92"/>
      <c r="M3189" s="44"/>
      <c r="N3189" s="44"/>
      <c r="O3189" s="44"/>
      <c r="P3189" s="44"/>
      <c r="Q3189" s="44"/>
      <c r="R3189" s="62"/>
      <c r="S3189" s="47"/>
      <c r="T3189" s="47"/>
    </row>
    <row r="3190" s="27" customFormat="1" ht="18" customHeight="1" spans="1:20">
      <c r="A3190" s="34"/>
      <c r="B3190" s="48">
        <v>27</v>
      </c>
      <c r="C3190" s="48"/>
      <c r="D3190" s="93" t="s">
        <v>442</v>
      </c>
      <c r="E3190" s="72"/>
      <c r="F3190" s="77"/>
      <c r="G3190" s="72"/>
      <c r="H3190" s="74"/>
      <c r="I3190" s="74"/>
      <c r="J3190" s="51">
        <f>SUM(J3164:J3189)</f>
        <v>437.681203121506</v>
      </c>
      <c r="K3190" s="75"/>
      <c r="L3190" s="94"/>
      <c r="M3190" s="27"/>
      <c r="N3190" s="83"/>
      <c r="O3190" s="83"/>
      <c r="P3190" s="83"/>
      <c r="Q3190" s="83"/>
      <c r="R3190" s="87"/>
      <c r="S3190" s="47"/>
      <c r="T3190" s="47"/>
    </row>
    <row r="3191" s="27" customFormat="1" ht="18" customHeight="1" spans="1:20">
      <c r="A3191" s="34"/>
      <c r="B3191" s="48">
        <v>1</v>
      </c>
      <c r="C3191" s="48" t="s">
        <v>443</v>
      </c>
      <c r="D3191" s="48" t="s">
        <v>444</v>
      </c>
      <c r="E3191" s="72" t="s">
        <v>43</v>
      </c>
      <c r="F3191" s="50"/>
      <c r="G3191" s="48"/>
      <c r="H3191" s="51">
        <v>1</v>
      </c>
      <c r="I3191" s="74">
        <f>+辅材及安装费!$F$20</f>
        <v>5</v>
      </c>
      <c r="J3191" s="95">
        <f>H3191*I3191</f>
        <v>5</v>
      </c>
      <c r="K3191" s="60"/>
      <c r="L3191" s="96"/>
      <c r="M3191" s="97"/>
      <c r="N3191" s="98"/>
      <c r="O3191" s="98"/>
      <c r="P3191" s="98"/>
      <c r="Q3191" s="98"/>
      <c r="R3191" s="99"/>
      <c r="S3191" s="47"/>
      <c r="T3191" s="47"/>
    </row>
    <row r="3192" s="26" customFormat="1" ht="30" customHeight="1" spans="1:20">
      <c r="A3192" s="28"/>
      <c r="B3192" s="29" t="s">
        <v>386</v>
      </c>
      <c r="C3192" s="29"/>
      <c r="D3192" s="29"/>
      <c r="E3192" s="29"/>
      <c r="F3192" s="29"/>
      <c r="G3192" s="29"/>
      <c r="H3192" s="29"/>
      <c r="I3192" s="29"/>
      <c r="J3192" s="29"/>
      <c r="K3192" s="29"/>
      <c r="L3192" s="30"/>
      <c r="M3192" s="31"/>
      <c r="N3192" s="31"/>
      <c r="O3192" s="31"/>
      <c r="P3192" s="31"/>
      <c r="Q3192" s="31"/>
      <c r="R3192" s="32"/>
      <c r="S3192" s="33"/>
      <c r="T3192" s="33"/>
    </row>
    <row r="3193" s="27" customFormat="1" ht="33.75" customHeight="1" spans="1:20">
      <c r="A3193" s="34">
        <v>1</v>
      </c>
      <c r="B3193" s="35" t="s">
        <v>1</v>
      </c>
      <c r="C3193" s="35" t="s">
        <v>387</v>
      </c>
      <c r="D3193" s="36" t="str">
        <f>+A3201</f>
        <v>铝合金格栅</v>
      </c>
      <c r="E3193" s="37"/>
      <c r="F3193" s="38"/>
      <c r="G3193" s="39"/>
      <c r="H3193" s="35" t="s">
        <v>388</v>
      </c>
      <c r="I3193" s="40" t="s">
        <v>389</v>
      </c>
      <c r="J3193" s="41" t="s">
        <v>37</v>
      </c>
      <c r="K3193" s="122">
        <f ca="1">VLOOKUP(A3193,'商业工程量清单 '!$A$85:$D$87,4,FALSE)</f>
        <v>32.41</v>
      </c>
      <c r="L3193" s="43"/>
      <c r="M3193" s="44"/>
      <c r="N3193" s="44"/>
      <c r="O3193" s="44"/>
      <c r="P3193" s="45"/>
      <c r="Q3193" s="44"/>
      <c r="R3193" s="46"/>
      <c r="S3193" s="47"/>
      <c r="T3193" s="47"/>
    </row>
    <row r="3194" s="27" customFormat="1" ht="25" customHeight="1" spans="1:20">
      <c r="A3194" s="34"/>
      <c r="B3194" s="48">
        <v>1</v>
      </c>
      <c r="C3194" s="49" t="s">
        <v>390</v>
      </c>
      <c r="D3194" s="48" t="s">
        <v>391</v>
      </c>
      <c r="E3194" s="48"/>
      <c r="F3194" s="50"/>
      <c r="G3194" s="48"/>
      <c r="H3194" s="51"/>
      <c r="I3194" s="52">
        <f>J3206</f>
        <v>155</v>
      </c>
      <c r="J3194" s="53" t="s">
        <v>392</v>
      </c>
      <c r="K3194" s="54"/>
      <c r="L3194" s="55" t="s">
        <v>313</v>
      </c>
      <c r="M3194" s="56" t="s">
        <v>552</v>
      </c>
      <c r="N3194" s="57"/>
      <c r="O3194" s="57">
        <v>1.94</v>
      </c>
      <c r="P3194" s="57">
        <v>5.49</v>
      </c>
      <c r="Q3194" s="57">
        <v>1</v>
      </c>
      <c r="R3194" s="58">
        <f>+Q3194*P3194*O3194</f>
        <v>10.6506</v>
      </c>
      <c r="S3194" s="47"/>
      <c r="T3194" s="47"/>
    </row>
    <row r="3195" s="27" customFormat="1" ht="18" customHeight="1" spans="1:20">
      <c r="A3195" s="34"/>
      <c r="B3195" s="48">
        <v>2</v>
      </c>
      <c r="C3195" s="59"/>
      <c r="D3195" s="48" t="s">
        <v>394</v>
      </c>
      <c r="E3195" s="48"/>
      <c r="F3195" s="50"/>
      <c r="G3195" s="48"/>
      <c r="H3195" s="51"/>
      <c r="I3195" s="52">
        <f>J3231</f>
        <v>320.132128018897</v>
      </c>
      <c r="J3195" s="53" t="s">
        <v>392</v>
      </c>
      <c r="K3195" s="60"/>
      <c r="L3195" s="61"/>
      <c r="M3195" s="44"/>
      <c r="N3195" s="44"/>
      <c r="O3195" s="44"/>
      <c r="P3195" s="44"/>
      <c r="Q3195" s="44"/>
      <c r="R3195" s="62"/>
      <c r="S3195" s="47"/>
      <c r="T3195" s="47"/>
    </row>
    <row r="3196" s="27" customFormat="1" ht="18" customHeight="1" spans="1:20">
      <c r="A3196" s="34"/>
      <c r="B3196" s="48">
        <v>3</v>
      </c>
      <c r="C3196" s="63"/>
      <c r="D3196" s="48" t="s">
        <v>395</v>
      </c>
      <c r="E3196" s="48"/>
      <c r="F3196" s="50"/>
      <c r="G3196" s="48"/>
      <c r="H3196" s="51"/>
      <c r="I3196" s="52">
        <f>J3232</f>
        <v>5</v>
      </c>
      <c r="J3196" s="53" t="s">
        <v>392</v>
      </c>
      <c r="K3196" s="60"/>
      <c r="L3196" s="60"/>
      <c r="M3196" s="65" t="s">
        <v>396</v>
      </c>
      <c r="N3196" s="65" t="s">
        <v>397</v>
      </c>
      <c r="O3196" s="65" t="s">
        <v>398</v>
      </c>
      <c r="P3196" s="65" t="s">
        <v>399</v>
      </c>
      <c r="Q3196" s="65" t="s">
        <v>400</v>
      </c>
      <c r="R3196" s="66" t="s">
        <v>401</v>
      </c>
      <c r="S3196" s="47"/>
      <c r="T3196" s="47"/>
    </row>
    <row r="3197" s="27" customFormat="1" ht="18" customHeight="1" spans="1:20">
      <c r="A3197" s="34"/>
      <c r="B3197" s="48">
        <v>4</v>
      </c>
      <c r="C3197" s="48" t="s">
        <v>402</v>
      </c>
      <c r="D3197" s="67" t="s">
        <v>403</v>
      </c>
      <c r="E3197" s="67"/>
      <c r="F3197" s="50"/>
      <c r="G3197" s="67"/>
      <c r="H3197" s="68"/>
      <c r="I3197" s="52">
        <f>SUM(I3194:I3196)</f>
        <v>480.132128018897</v>
      </c>
      <c r="J3197" s="53" t="s">
        <v>392</v>
      </c>
      <c r="K3197" s="60"/>
      <c r="L3197" s="69" t="s">
        <v>431</v>
      </c>
      <c r="M3197" s="34" t="s">
        <v>553</v>
      </c>
      <c r="N3197" s="34">
        <v>13.35</v>
      </c>
      <c r="O3197" s="34">
        <f>O3194</f>
        <v>1.94</v>
      </c>
      <c r="P3197" s="34">
        <v>3</v>
      </c>
      <c r="Q3197" s="44">
        <f t="shared" ref="Q3197:Q3207" si="494">+P3197*O3197*N3197</f>
        <v>77.697</v>
      </c>
      <c r="R3197" s="71">
        <f>+Q3197/R3194</f>
        <v>7.29508196721311</v>
      </c>
      <c r="S3197" s="47"/>
      <c r="T3197" s="47"/>
    </row>
    <row r="3198" s="27" customFormat="1" ht="28" customHeight="1" spans="1:20">
      <c r="A3198" s="34"/>
      <c r="B3198" s="48">
        <v>5</v>
      </c>
      <c r="C3198" s="72" t="s">
        <v>406</v>
      </c>
      <c r="D3198" s="48" t="s">
        <v>407</v>
      </c>
      <c r="E3198" s="48"/>
      <c r="F3198" s="50"/>
      <c r="G3198" s="48"/>
      <c r="H3198" s="73">
        <f>+'材料表 '!$E$178</f>
        <v>0</v>
      </c>
      <c r="I3198" s="52">
        <f>H3198*I3197</f>
        <v>0</v>
      </c>
      <c r="J3198" s="53" t="s">
        <v>392</v>
      </c>
      <c r="K3198" s="60"/>
      <c r="L3198" s="69" t="s">
        <v>431</v>
      </c>
      <c r="M3198" s="34" t="s">
        <v>523</v>
      </c>
      <c r="N3198" s="102">
        <v>4.52</v>
      </c>
      <c r="O3198" s="34"/>
      <c r="P3198" s="34">
        <v>0</v>
      </c>
      <c r="Q3198" s="44">
        <f t="shared" si="494"/>
        <v>0</v>
      </c>
      <c r="R3198" s="71">
        <f>+Q3198/R3194</f>
        <v>0</v>
      </c>
      <c r="S3198" s="47"/>
      <c r="T3198" s="47"/>
    </row>
    <row r="3199" s="27" customFormat="1" ht="18" customHeight="1" spans="1:20">
      <c r="A3199" s="34"/>
      <c r="B3199" s="48">
        <v>6</v>
      </c>
      <c r="C3199" s="48" t="s">
        <v>409</v>
      </c>
      <c r="D3199" s="48" t="s">
        <v>410</v>
      </c>
      <c r="E3199" s="48"/>
      <c r="F3199" s="50"/>
      <c r="G3199" s="48"/>
      <c r="H3199" s="73">
        <f>+'材料表 '!$E$179</f>
        <v>0</v>
      </c>
      <c r="I3199" s="52">
        <f>H3199*I3197</f>
        <v>0</v>
      </c>
      <c r="J3199" s="53" t="s">
        <v>392</v>
      </c>
      <c r="K3199" s="60"/>
      <c r="L3199" s="69" t="s">
        <v>461</v>
      </c>
      <c r="M3199" s="34" t="s">
        <v>546</v>
      </c>
      <c r="N3199" s="34">
        <v>4.81</v>
      </c>
      <c r="O3199" s="34">
        <f>O3194</f>
        <v>1.94</v>
      </c>
      <c r="P3199" s="34">
        <v>0</v>
      </c>
      <c r="Q3199" s="44">
        <f t="shared" si="494"/>
        <v>0</v>
      </c>
      <c r="R3199" s="71">
        <f>+Q3199/R3194</f>
        <v>0</v>
      </c>
      <c r="S3199" s="47"/>
      <c r="T3199" s="47"/>
    </row>
    <row r="3200" s="27" customFormat="1" ht="18" customHeight="1" spans="1:20">
      <c r="A3200" s="34"/>
      <c r="B3200" s="48">
        <v>7</v>
      </c>
      <c r="C3200" s="48" t="s">
        <v>412</v>
      </c>
      <c r="D3200" s="72" t="s">
        <v>413</v>
      </c>
      <c r="E3200" s="72"/>
      <c r="F3200" s="77"/>
      <c r="G3200" s="72"/>
      <c r="H3200" s="73">
        <f>+'材料表 '!$E$180</f>
        <v>0.09</v>
      </c>
      <c r="I3200" s="52">
        <f>(I3197+I3198+I3199)*H3200</f>
        <v>43.2118915217007</v>
      </c>
      <c r="J3200" s="53" t="s">
        <v>392</v>
      </c>
      <c r="K3200" s="60"/>
      <c r="L3200" s="69" t="s">
        <v>463</v>
      </c>
      <c r="M3200" s="34" t="s">
        <v>464</v>
      </c>
      <c r="N3200" s="34">
        <f>0.15*0.2*7.85*10</f>
        <v>2.355</v>
      </c>
      <c r="O3200" s="34">
        <v>5</v>
      </c>
      <c r="P3200" s="34">
        <v>0</v>
      </c>
      <c r="Q3200" s="44">
        <f t="shared" si="494"/>
        <v>0</v>
      </c>
      <c r="R3200" s="71">
        <f>+Q3200/R3194</f>
        <v>0</v>
      </c>
      <c r="S3200" s="47"/>
      <c r="T3200" s="47"/>
    </row>
    <row r="3201" s="27" customFormat="1" ht="18" customHeight="1" spans="1:20">
      <c r="A3201" s="105" t="s">
        <v>168</v>
      </c>
      <c r="B3201" s="48">
        <v>8</v>
      </c>
      <c r="C3201" s="48" t="s">
        <v>363</v>
      </c>
      <c r="D3201" s="106" t="s">
        <v>415</v>
      </c>
      <c r="E3201" s="107"/>
      <c r="F3201" s="108"/>
      <c r="G3201" s="107"/>
      <c r="H3201" s="51"/>
      <c r="I3201" s="74">
        <f>SUM(I3197:I3200)</f>
        <v>523.344019540597</v>
      </c>
      <c r="J3201" s="53" t="s">
        <v>416</v>
      </c>
      <c r="K3201" s="60"/>
      <c r="L3201" s="69" t="s">
        <v>465</v>
      </c>
      <c r="M3201" s="34" t="s">
        <v>503</v>
      </c>
      <c r="N3201" s="126">
        <v>7.034</v>
      </c>
      <c r="O3201" s="34">
        <f>85/1000</f>
        <v>0.085</v>
      </c>
      <c r="P3201" s="44">
        <f>2*P3197</f>
        <v>6</v>
      </c>
      <c r="Q3201" s="44">
        <f t="shared" si="494"/>
        <v>3.58734</v>
      </c>
      <c r="R3201" s="84">
        <f>+Q3201/R3194</f>
        <v>0.336820460819109</v>
      </c>
      <c r="S3201" s="79"/>
      <c r="T3201" s="47"/>
    </row>
    <row r="3202" s="27" customFormat="1" ht="18" customHeight="1" spans="1:20">
      <c r="A3202" s="34"/>
      <c r="B3202" s="109" t="s">
        <v>418</v>
      </c>
      <c r="C3202" s="110"/>
      <c r="D3202" s="110"/>
      <c r="E3202" s="110"/>
      <c r="F3202" s="110"/>
      <c r="G3202" s="110"/>
      <c r="H3202" s="110"/>
      <c r="I3202" s="110"/>
      <c r="J3202" s="110"/>
      <c r="K3202" s="80"/>
      <c r="L3202" s="69" t="s">
        <v>433</v>
      </c>
      <c r="M3202" s="44" t="s">
        <v>505</v>
      </c>
      <c r="N3202" s="82">
        <f>0.056*3*2.71+0.0675*3*2.71</f>
        <v>1.004055</v>
      </c>
      <c r="O3202" s="44">
        <f>P3194</f>
        <v>5.49</v>
      </c>
      <c r="P3202" s="44">
        <v>0</v>
      </c>
      <c r="Q3202" s="44">
        <f t="shared" si="494"/>
        <v>0</v>
      </c>
      <c r="R3202" s="84">
        <f>+Q3202/R3194</f>
        <v>0</v>
      </c>
      <c r="S3202" s="47"/>
      <c r="T3202" s="47"/>
    </row>
    <row r="3203" s="27" customFormat="1" ht="18" customHeight="1" spans="1:20">
      <c r="A3203" s="34"/>
      <c r="B3203" s="48">
        <v>1</v>
      </c>
      <c r="C3203" s="48" t="s">
        <v>391</v>
      </c>
      <c r="D3203" s="48" t="s">
        <v>396</v>
      </c>
      <c r="E3203" s="48" t="s">
        <v>37</v>
      </c>
      <c r="F3203" s="50"/>
      <c r="G3203" s="48"/>
      <c r="H3203" s="51" t="s">
        <v>399</v>
      </c>
      <c r="I3203" s="51" t="s">
        <v>420</v>
      </c>
      <c r="J3203" s="95" t="s">
        <v>421</v>
      </c>
      <c r="K3203" s="92"/>
      <c r="L3203" s="69" t="s">
        <v>433</v>
      </c>
      <c r="M3203" s="44" t="s">
        <v>504</v>
      </c>
      <c r="N3203" s="82">
        <f>0.056*3*2.71+0.0675*3*2.71</f>
        <v>1.004055</v>
      </c>
      <c r="O3203" s="44">
        <f>O3194</f>
        <v>1.94</v>
      </c>
      <c r="P3203" s="44">
        <v>0</v>
      </c>
      <c r="Q3203" s="44">
        <f t="shared" si="494"/>
        <v>0</v>
      </c>
      <c r="R3203" s="84">
        <f>+Q3203/R3194</f>
        <v>0</v>
      </c>
      <c r="S3203" s="47"/>
      <c r="T3203" s="47"/>
    </row>
    <row r="3204" s="27" customFormat="1" ht="18" customHeight="1" spans="1:20">
      <c r="A3204" s="34"/>
      <c r="B3204" s="48">
        <v>2</v>
      </c>
      <c r="C3204" s="48"/>
      <c r="D3204" s="111" t="s">
        <v>554</v>
      </c>
      <c r="E3204" s="49" t="s">
        <v>423</v>
      </c>
      <c r="F3204" s="112"/>
      <c r="G3204" s="111"/>
      <c r="H3204" s="113">
        <v>1</v>
      </c>
      <c r="I3204" s="113">
        <f>+辅材及安装费!$G$7</f>
        <v>155</v>
      </c>
      <c r="J3204" s="114">
        <f t="shared" ref="J3204:J3216" si="495">H3204*I3204</f>
        <v>155</v>
      </c>
      <c r="K3204" s="92"/>
      <c r="L3204" s="69" t="s">
        <v>433</v>
      </c>
      <c r="M3204" s="44" t="s">
        <v>498</v>
      </c>
      <c r="N3204" s="82">
        <f>0.045*3*2.71</f>
        <v>0.36585</v>
      </c>
      <c r="O3204" s="44">
        <f>O3194</f>
        <v>1.94</v>
      </c>
      <c r="P3204" s="44">
        <v>0</v>
      </c>
      <c r="Q3204" s="44">
        <f t="shared" si="494"/>
        <v>0</v>
      </c>
      <c r="R3204" s="84">
        <f>Q3204/R3194</f>
        <v>0</v>
      </c>
      <c r="S3204" s="47"/>
      <c r="T3204" s="47"/>
    </row>
    <row r="3205" s="27" customFormat="1" ht="18" customHeight="1" spans="1:20">
      <c r="A3205" s="34"/>
      <c r="B3205" s="48">
        <v>3</v>
      </c>
      <c r="C3205" s="48"/>
      <c r="D3205" s="115"/>
      <c r="E3205" s="63"/>
      <c r="F3205" s="116"/>
      <c r="G3205" s="115"/>
      <c r="H3205" s="117"/>
      <c r="I3205" s="117"/>
      <c r="J3205" s="118"/>
      <c r="K3205" s="92"/>
      <c r="L3205" s="90" t="s">
        <v>447</v>
      </c>
      <c r="M3205" s="44" t="s">
        <v>555</v>
      </c>
      <c r="N3205" s="82">
        <f>0.4*3*2.71</f>
        <v>3.252</v>
      </c>
      <c r="O3205" s="44">
        <f>O3197</f>
        <v>1.94</v>
      </c>
      <c r="P3205" s="44">
        <f>P3197</f>
        <v>3</v>
      </c>
      <c r="Q3205" s="44">
        <f t="shared" si="494"/>
        <v>18.92664</v>
      </c>
      <c r="R3205" s="84">
        <f>Q3205/R3194</f>
        <v>1.77704918032787</v>
      </c>
      <c r="S3205" s="47">
        <f>0.4</f>
        <v>0.4</v>
      </c>
      <c r="T3205" s="47">
        <f t="shared" ref="T3205:T3207" si="496">S3205*O3205*P3205</f>
        <v>2.328</v>
      </c>
    </row>
    <row r="3206" s="27" customFormat="1" ht="18" customHeight="1" spans="1:20">
      <c r="A3206" s="34"/>
      <c r="B3206" s="48">
        <v>4</v>
      </c>
      <c r="C3206" s="48"/>
      <c r="D3206" s="85" t="s">
        <v>426</v>
      </c>
      <c r="E3206" s="48" t="s">
        <v>392</v>
      </c>
      <c r="F3206" s="50"/>
      <c r="G3206" s="48"/>
      <c r="H3206" s="86"/>
      <c r="I3206" s="86"/>
      <c r="J3206" s="95">
        <f>SUM(J3204:J3204)</f>
        <v>155</v>
      </c>
      <c r="K3206" s="92"/>
      <c r="L3206" s="90" t="s">
        <v>447</v>
      </c>
      <c r="M3206" s="44" t="s">
        <v>556</v>
      </c>
      <c r="N3206" s="82">
        <f>0.24*2*2.71</f>
        <v>1.3008</v>
      </c>
      <c r="O3206" s="44">
        <f>P3194</f>
        <v>5.49</v>
      </c>
      <c r="P3206" s="44">
        <v>2</v>
      </c>
      <c r="Q3206" s="44">
        <f t="shared" si="494"/>
        <v>14.282784</v>
      </c>
      <c r="R3206" s="84">
        <f>Q3206/R3194</f>
        <v>1.34103092783505</v>
      </c>
      <c r="S3206" s="47">
        <f>0.24</f>
        <v>0.24</v>
      </c>
      <c r="T3206" s="47">
        <f t="shared" si="496"/>
        <v>2.6352</v>
      </c>
    </row>
    <row r="3207" s="27" customFormat="1" ht="22" customHeight="1" spans="1:20">
      <c r="A3207" s="34"/>
      <c r="B3207" s="48">
        <v>1</v>
      </c>
      <c r="C3207" s="48" t="s">
        <v>394</v>
      </c>
      <c r="D3207" s="88" t="s">
        <v>431</v>
      </c>
      <c r="E3207" s="72" t="str">
        <f>+VLOOKUP(D3207,'材料表 '!C:F,2,0)</f>
        <v>kg</v>
      </c>
      <c r="F3207" s="77">
        <f>+SUMIF($L$3194:$L$3232,D3207,$R$3194:$R$3232)</f>
        <v>7.29508196721311</v>
      </c>
      <c r="G3207" s="89">
        <f>+VLOOKUP(D3207,'材料表 '!C:F,4,0)</f>
        <v>0.03</v>
      </c>
      <c r="H3207" s="74">
        <f t="shared" ref="H3207:H3216" si="497">F3207*(G3207+1)</f>
        <v>7.5139344262295</v>
      </c>
      <c r="I3207" s="74">
        <f>+VLOOKUP(D3207,'材料表 '!C:F,3,0)</f>
        <v>3.80530973451327</v>
      </c>
      <c r="J3207" s="95">
        <f t="shared" si="495"/>
        <v>28.5928478166255</v>
      </c>
      <c r="K3207" s="92">
        <f ca="1">H3207*K3193</f>
        <v>243.526614754098</v>
      </c>
      <c r="L3207" s="90" t="s">
        <v>447</v>
      </c>
      <c r="M3207" s="44" t="s">
        <v>557</v>
      </c>
      <c r="N3207" s="82">
        <v>0.799</v>
      </c>
      <c r="O3207" s="44">
        <f>P3194</f>
        <v>5.49</v>
      </c>
      <c r="P3207" s="44">
        <v>19</v>
      </c>
      <c r="Q3207" s="44">
        <f t="shared" si="494"/>
        <v>83.34369</v>
      </c>
      <c r="R3207" s="84">
        <f>Q3207/R3194</f>
        <v>7.82525773195876</v>
      </c>
      <c r="S3207" s="47">
        <f>0.24</f>
        <v>0.24</v>
      </c>
      <c r="T3207" s="47">
        <f t="shared" si="496"/>
        <v>25.0344</v>
      </c>
    </row>
    <row r="3208" s="27" customFormat="1" ht="18" customHeight="1" spans="1:20">
      <c r="A3208" s="34"/>
      <c r="B3208" s="48">
        <v>2</v>
      </c>
      <c r="C3208" s="48"/>
      <c r="D3208" s="88" t="s">
        <v>461</v>
      </c>
      <c r="E3208" s="72" t="str">
        <f>+VLOOKUP(D3208,'材料表 '!C:F,2,0)</f>
        <v>kg</v>
      </c>
      <c r="F3208" s="77">
        <f t="shared" ref="F3208:F3216" si="498">+SUMIF($L$3194:$L$3232,D3208,$R$3194:$R$3232)</f>
        <v>0</v>
      </c>
      <c r="G3208" s="89">
        <f>+VLOOKUP(D3208,'材料表 '!C:F,4,0)</f>
        <v>0.03</v>
      </c>
      <c r="H3208" s="74">
        <f t="shared" si="497"/>
        <v>0</v>
      </c>
      <c r="I3208" s="74">
        <f>+VLOOKUP(D3208,'材料表 '!C:F,3,0)</f>
        <v>3.53982300884956</v>
      </c>
      <c r="J3208" s="95">
        <f t="shared" si="495"/>
        <v>0</v>
      </c>
      <c r="K3208" s="92">
        <f ca="1">H3208*K3193</f>
        <v>0</v>
      </c>
      <c r="L3208" s="90"/>
      <c r="M3208" s="44"/>
      <c r="N3208" s="82"/>
      <c r="O3208" s="44"/>
      <c r="P3208" s="44"/>
      <c r="Q3208" s="44"/>
      <c r="R3208" s="84"/>
      <c r="S3208" s="47"/>
      <c r="T3208" s="47">
        <f>SUM(T3205:T3207)</f>
        <v>29.9976</v>
      </c>
    </row>
    <row r="3209" s="27" customFormat="1" ht="18" customHeight="1" spans="1:20">
      <c r="A3209" s="34"/>
      <c r="B3209" s="48">
        <v>3</v>
      </c>
      <c r="C3209" s="48"/>
      <c r="D3209" s="88" t="s">
        <v>465</v>
      </c>
      <c r="E3209" s="72" t="str">
        <f>+VLOOKUP(D3209,'材料表 '!C:F,2,0)</f>
        <v>kg</v>
      </c>
      <c r="F3209" s="77">
        <f t="shared" si="498"/>
        <v>0.336820460819109</v>
      </c>
      <c r="G3209" s="89">
        <f>+VLOOKUP(D3209,'材料表 '!C:F,4,0)</f>
        <v>0.03</v>
      </c>
      <c r="H3209" s="74">
        <f t="shared" si="497"/>
        <v>0.346925074643682</v>
      </c>
      <c r="I3209" s="74">
        <f>+VLOOKUP(D3209,'材料表 '!C:F,3,0)</f>
        <v>6.01769911504425</v>
      </c>
      <c r="J3209" s="95">
        <f t="shared" si="495"/>
        <v>2.08769071466995</v>
      </c>
      <c r="K3209" s="92">
        <f ca="1">H3209*K3193</f>
        <v>11.2438416692017</v>
      </c>
      <c r="L3209" s="90"/>
      <c r="M3209" s="44"/>
      <c r="N3209" s="82"/>
      <c r="O3209" s="44"/>
      <c r="P3209" s="44"/>
      <c r="Q3209" s="44">
        <f>+P3209*O3209</f>
        <v>0</v>
      </c>
      <c r="R3209" s="84">
        <f>+Q3209/R3194</f>
        <v>0</v>
      </c>
      <c r="S3209" s="47"/>
      <c r="T3209" s="47"/>
    </row>
    <row r="3210" s="27" customFormat="1" ht="18" customHeight="1" spans="1:20">
      <c r="A3210" s="34"/>
      <c r="B3210" s="48">
        <v>4</v>
      </c>
      <c r="C3210" s="48"/>
      <c r="D3210" s="88" t="s">
        <v>463</v>
      </c>
      <c r="E3210" s="72" t="str">
        <f>+VLOOKUP(D3210,'材料表 '!C:F,2,0)</f>
        <v>kg</v>
      </c>
      <c r="F3210" s="77">
        <f t="shared" si="498"/>
        <v>0</v>
      </c>
      <c r="G3210" s="89">
        <f>+VLOOKUP(D3210,'材料表 '!C:F,4,0)</f>
        <v>0.03</v>
      </c>
      <c r="H3210" s="74">
        <f t="shared" si="497"/>
        <v>0</v>
      </c>
      <c r="I3210" s="74">
        <f>+VLOOKUP(D3210,'材料表 '!C:F,3,0)</f>
        <v>6.01769911504425</v>
      </c>
      <c r="J3210" s="95">
        <f t="shared" si="495"/>
        <v>0</v>
      </c>
      <c r="K3210" s="92">
        <f ca="1">H3210*K3193</f>
        <v>0</v>
      </c>
      <c r="L3210" s="90" t="s">
        <v>474</v>
      </c>
      <c r="M3210" s="44"/>
      <c r="N3210" s="82"/>
      <c r="O3210" s="44"/>
      <c r="P3210" s="44"/>
      <c r="Q3210" s="44">
        <f>+O3200*P3200*4</f>
        <v>0</v>
      </c>
      <c r="R3210" s="84">
        <f>+Q3210/R3194</f>
        <v>0</v>
      </c>
      <c r="S3210" s="47"/>
      <c r="T3210" s="47"/>
    </row>
    <row r="3211" s="27" customFormat="1" ht="18" customHeight="1" spans="1:20">
      <c r="A3211" s="34"/>
      <c r="B3211" s="48">
        <v>5</v>
      </c>
      <c r="C3211" s="48"/>
      <c r="D3211" s="88" t="s">
        <v>447</v>
      </c>
      <c r="E3211" s="72" t="str">
        <f>+VLOOKUP(D3211,'材料表 '!C:F,2,0)</f>
        <v>kg</v>
      </c>
      <c r="F3211" s="77">
        <f t="shared" si="498"/>
        <v>10.9433378401217</v>
      </c>
      <c r="G3211" s="89">
        <f>+VLOOKUP(D3211,'材料表 '!C:F,4,0)</f>
        <v>0.03</v>
      </c>
      <c r="H3211" s="74">
        <f t="shared" si="497"/>
        <v>11.2716379753254</v>
      </c>
      <c r="I3211" s="74">
        <f>+VLOOKUP(D3211,'材料表 '!C:F,3,0)</f>
        <v>24.4336283185841</v>
      </c>
      <c r="J3211" s="95">
        <f t="shared" si="495"/>
        <v>275.407012830737</v>
      </c>
      <c r="K3211" s="92">
        <f ca="1">H3211*K3193</f>
        <v>365.313786780296</v>
      </c>
      <c r="L3211" s="92" t="s">
        <v>476</v>
      </c>
      <c r="M3211" s="44"/>
      <c r="N3211" s="82"/>
      <c r="O3211" s="44"/>
      <c r="P3211" s="44"/>
      <c r="Q3211" s="44">
        <f>10*8*(O3194*2+P3194*3)/500</f>
        <v>3.256</v>
      </c>
      <c r="R3211" s="84">
        <f>+Q3211/R3194</f>
        <v>0.305710476405085</v>
      </c>
      <c r="S3211" s="47"/>
      <c r="T3211" s="47"/>
    </row>
    <row r="3212" s="27" customFormat="1" ht="18" customHeight="1" spans="1:20">
      <c r="A3212" s="34"/>
      <c r="B3212" s="48">
        <v>6</v>
      </c>
      <c r="C3212" s="48"/>
      <c r="D3212" s="88" t="s">
        <v>434</v>
      </c>
      <c r="E3212" s="72" t="str">
        <f>+VLOOKUP(D3212,'材料表 '!C:F,2,0)</f>
        <v>m2</v>
      </c>
      <c r="F3212" s="77">
        <f t="shared" si="498"/>
        <v>0</v>
      </c>
      <c r="G3212" s="89">
        <f>+VLOOKUP(D3212,'材料表 '!C:F,4,0)</f>
        <v>0</v>
      </c>
      <c r="H3212" s="74">
        <f t="shared" si="497"/>
        <v>0</v>
      </c>
      <c r="I3212" s="74">
        <f>+VLOOKUP(D3212,'材料表 '!C:F,3,0)</f>
        <v>49.5575221238938</v>
      </c>
      <c r="J3212" s="95">
        <f t="shared" si="495"/>
        <v>0</v>
      </c>
      <c r="K3212" s="92">
        <f ca="1">H3212*K3193</f>
        <v>0</v>
      </c>
      <c r="L3212" s="92" t="s">
        <v>499</v>
      </c>
      <c r="M3212" s="44"/>
      <c r="N3212" s="82"/>
      <c r="O3212" s="44"/>
      <c r="P3212" s="44"/>
      <c r="Q3212" s="44">
        <v>0</v>
      </c>
      <c r="R3212" s="84">
        <f>Q3212/R3194</f>
        <v>0</v>
      </c>
      <c r="S3212" s="47"/>
      <c r="T3212" s="47"/>
    </row>
    <row r="3213" s="27" customFormat="1" ht="18" customHeight="1" spans="1:20">
      <c r="A3213" s="34"/>
      <c r="B3213" s="48">
        <v>7</v>
      </c>
      <c r="C3213" s="48"/>
      <c r="D3213" s="88" t="s">
        <v>472</v>
      </c>
      <c r="E3213" s="72" t="str">
        <f>+VLOOKUP(D3213,'材料表 '!C:F,2,0)</f>
        <v>套</v>
      </c>
      <c r="F3213" s="77">
        <f t="shared" si="498"/>
        <v>0</v>
      </c>
      <c r="G3213" s="89">
        <f>+VLOOKUP(D3213,'材料表 '!C:F,4,0)</f>
        <v>0</v>
      </c>
      <c r="H3213" s="74">
        <f t="shared" si="497"/>
        <v>0</v>
      </c>
      <c r="I3213" s="74">
        <f>+VLOOKUP(D3213,'材料表 '!C:F,3,0)</f>
        <v>2.47787610619469</v>
      </c>
      <c r="J3213" s="95">
        <f t="shared" si="495"/>
        <v>0</v>
      </c>
      <c r="K3213" s="92">
        <f ca="1">H3213*K3193</f>
        <v>0</v>
      </c>
      <c r="L3213" s="92"/>
      <c r="M3213" s="44"/>
      <c r="N3213" s="82"/>
      <c r="O3213" s="44"/>
      <c r="P3213" s="44"/>
      <c r="Q3213" s="44"/>
      <c r="R3213" s="84"/>
      <c r="S3213" s="47"/>
      <c r="T3213" s="47"/>
    </row>
    <row r="3214" s="27" customFormat="1" ht="18" customHeight="1" spans="1:20">
      <c r="A3214" s="34"/>
      <c r="B3214" s="48">
        <v>8</v>
      </c>
      <c r="C3214" s="48"/>
      <c r="D3214" s="88" t="s">
        <v>474</v>
      </c>
      <c r="E3214" s="72" t="str">
        <f>+VLOOKUP(D3214,'材料表 '!C:F,2,0)</f>
        <v>套</v>
      </c>
      <c r="F3214" s="77">
        <f t="shared" si="498"/>
        <v>0</v>
      </c>
      <c r="G3214" s="89">
        <f>+VLOOKUP(D3214,'材料表 '!C:F,4,0)</f>
        <v>0</v>
      </c>
      <c r="H3214" s="74">
        <f t="shared" si="497"/>
        <v>0</v>
      </c>
      <c r="I3214" s="74">
        <f>+VLOOKUP(D3214,'材料表 '!C:F,3,0)</f>
        <v>2.21238938053097</v>
      </c>
      <c r="J3214" s="95">
        <f t="shared" si="495"/>
        <v>0</v>
      </c>
      <c r="K3214" s="92">
        <f ca="1">H3214*K3193</f>
        <v>0</v>
      </c>
      <c r="L3214" s="92"/>
      <c r="M3214" s="44"/>
      <c r="N3214" s="82"/>
      <c r="O3214" s="44"/>
      <c r="P3214" s="44"/>
      <c r="Q3214" s="44"/>
      <c r="R3214" s="84"/>
      <c r="S3214" s="47"/>
      <c r="T3214" s="47"/>
    </row>
    <row r="3215" s="27" customFormat="1" ht="18" customHeight="1" spans="1:20">
      <c r="A3215" s="34"/>
      <c r="B3215" s="48">
        <v>9</v>
      </c>
      <c r="C3215" s="48"/>
      <c r="D3215" s="88" t="s">
        <v>476</v>
      </c>
      <c r="E3215" s="72" t="str">
        <f>+VLOOKUP(D3215,'材料表 '!C:F,2,0)</f>
        <v>支</v>
      </c>
      <c r="F3215" s="77">
        <f t="shared" si="498"/>
        <v>0.305710476405085</v>
      </c>
      <c r="G3215" s="89">
        <f>+VLOOKUP(D3215,'材料表 '!C:F,4,0)</f>
        <v>0.15</v>
      </c>
      <c r="H3215" s="74">
        <f t="shared" si="497"/>
        <v>0.351567047865848</v>
      </c>
      <c r="I3215" s="74">
        <f>+VLOOKUP(D3215,'材料表 '!C:F,3,0)</f>
        <v>11.5044247787611</v>
      </c>
      <c r="J3215" s="95">
        <f t="shared" si="495"/>
        <v>4.04457665686375</v>
      </c>
      <c r="K3215" s="92">
        <f ca="1">H3215*K3193</f>
        <v>11.3942880213321</v>
      </c>
      <c r="L3215" s="90"/>
      <c r="M3215" s="44"/>
      <c r="N3215" s="82"/>
      <c r="O3215" s="34"/>
      <c r="P3215" s="44"/>
      <c r="Q3215" s="44"/>
      <c r="R3215" s="119"/>
      <c r="S3215" s="47"/>
      <c r="T3215" s="47"/>
    </row>
    <row r="3216" s="27" customFormat="1" ht="23" customHeight="1" spans="1:20">
      <c r="A3216" s="34"/>
      <c r="B3216" s="48">
        <v>10</v>
      </c>
      <c r="C3216" s="48"/>
      <c r="D3216" s="88" t="s">
        <v>499</v>
      </c>
      <c r="E3216" s="72" t="str">
        <f>+VLOOKUP(D3216,'材料表 '!C:F,2,0)</f>
        <v>套</v>
      </c>
      <c r="F3216" s="77">
        <f t="shared" si="498"/>
        <v>0</v>
      </c>
      <c r="G3216" s="89">
        <f>+VLOOKUP(D3216,'材料表 '!C:F,4,0)</f>
        <v>0</v>
      </c>
      <c r="H3216" s="74">
        <f t="shared" si="497"/>
        <v>0</v>
      </c>
      <c r="I3216" s="74">
        <f>+VLOOKUP(D3216,'材料表 '!C:F,3,0)</f>
        <v>1.32743362831858</v>
      </c>
      <c r="J3216" s="95">
        <f t="shared" si="495"/>
        <v>0</v>
      </c>
      <c r="K3216" s="92">
        <f ca="1">H3216*K3193</f>
        <v>0</v>
      </c>
      <c r="L3216" s="92"/>
      <c r="M3216" s="120"/>
      <c r="N3216" s="82"/>
      <c r="O3216" s="44"/>
      <c r="P3216" s="44"/>
      <c r="Q3216" s="44"/>
      <c r="R3216" s="84"/>
      <c r="S3216" s="47"/>
      <c r="T3216" s="47"/>
    </row>
    <row r="3217" s="27" customFormat="1" ht="20" customHeight="1" spans="1:20">
      <c r="A3217" s="34"/>
      <c r="B3217" s="48">
        <v>11</v>
      </c>
      <c r="C3217" s="48"/>
      <c r="D3217" s="88"/>
      <c r="E3217" s="72"/>
      <c r="F3217" s="77"/>
      <c r="G3217" s="89"/>
      <c r="H3217" s="74"/>
      <c r="I3217" s="74"/>
      <c r="J3217" s="95"/>
      <c r="K3217" s="92">
        <f ca="1">H3217*K3193</f>
        <v>0</v>
      </c>
      <c r="L3217" s="92"/>
      <c r="M3217" s="44"/>
      <c r="N3217" s="82"/>
      <c r="O3217" s="44"/>
      <c r="P3217" s="44"/>
      <c r="Q3217" s="44"/>
      <c r="R3217" s="84"/>
      <c r="S3217" s="47"/>
      <c r="T3217" s="47"/>
    </row>
    <row r="3218" s="27" customFormat="1" ht="24" customHeight="1" spans="1:20">
      <c r="A3218" s="34"/>
      <c r="B3218" s="48">
        <v>12</v>
      </c>
      <c r="C3218" s="48"/>
      <c r="D3218" s="127"/>
      <c r="E3218" s="72"/>
      <c r="F3218" s="128"/>
      <c r="G3218" s="89"/>
      <c r="H3218" s="74"/>
      <c r="I3218" s="74"/>
      <c r="J3218" s="95"/>
      <c r="K3218" s="92">
        <f ca="1">H3218*K3193</f>
        <v>0</v>
      </c>
      <c r="L3218" s="92"/>
      <c r="M3218" s="44"/>
      <c r="N3218" s="44"/>
      <c r="O3218" s="44"/>
      <c r="P3218" s="44"/>
      <c r="Q3218" s="44"/>
      <c r="R3218" s="84"/>
      <c r="S3218" s="47"/>
      <c r="T3218" s="47"/>
    </row>
    <row r="3219" s="27" customFormat="1" ht="18" customHeight="1" spans="1:20">
      <c r="A3219" s="34"/>
      <c r="B3219" s="48">
        <v>13</v>
      </c>
      <c r="C3219" s="48"/>
      <c r="D3219" s="88"/>
      <c r="E3219" s="72"/>
      <c r="F3219" s="77"/>
      <c r="G3219" s="89"/>
      <c r="H3219" s="74"/>
      <c r="I3219" s="74"/>
      <c r="J3219" s="95"/>
      <c r="K3219" s="92">
        <f ca="1">H3219*K3193</f>
        <v>0</v>
      </c>
      <c r="L3219" s="92"/>
      <c r="M3219" s="44"/>
      <c r="N3219" s="44"/>
      <c r="O3219" s="44"/>
      <c r="P3219" s="44"/>
      <c r="Q3219" s="44"/>
      <c r="R3219" s="84"/>
      <c r="S3219" s="47"/>
      <c r="T3219" s="47"/>
    </row>
    <row r="3220" s="27" customFormat="1" ht="24" customHeight="1" spans="1:20">
      <c r="A3220" s="34"/>
      <c r="B3220" s="48">
        <v>14</v>
      </c>
      <c r="C3220" s="48"/>
      <c r="D3220" s="88"/>
      <c r="E3220" s="72"/>
      <c r="F3220" s="77"/>
      <c r="G3220" s="89"/>
      <c r="H3220" s="74"/>
      <c r="I3220" s="74"/>
      <c r="J3220" s="95"/>
      <c r="K3220" s="92">
        <f ca="1">H3220*K3193</f>
        <v>0</v>
      </c>
      <c r="L3220" s="92"/>
      <c r="M3220" s="44"/>
      <c r="N3220" s="44"/>
      <c r="O3220" s="44"/>
      <c r="P3220" s="44"/>
      <c r="Q3220" s="44"/>
      <c r="R3220" s="84"/>
      <c r="S3220" s="47"/>
      <c r="T3220" s="47"/>
    </row>
    <row r="3221" s="27" customFormat="1" ht="18" customHeight="1" spans="1:20">
      <c r="A3221" s="34"/>
      <c r="B3221" s="48">
        <v>15</v>
      </c>
      <c r="C3221" s="48"/>
      <c r="D3221" s="88"/>
      <c r="E3221" s="72"/>
      <c r="F3221" s="77"/>
      <c r="G3221" s="89"/>
      <c r="H3221" s="74"/>
      <c r="I3221" s="74"/>
      <c r="J3221" s="95"/>
      <c r="K3221" s="92"/>
      <c r="L3221" s="92"/>
      <c r="M3221" s="44"/>
      <c r="N3221" s="44"/>
      <c r="O3221" s="44"/>
      <c r="P3221" s="44"/>
      <c r="Q3221" s="44"/>
      <c r="R3221" s="84"/>
      <c r="S3221" s="47"/>
      <c r="T3221" s="47"/>
    </row>
    <row r="3222" s="27" customFormat="1" ht="18" customHeight="1" spans="1:20">
      <c r="A3222" s="34"/>
      <c r="B3222" s="48">
        <v>16</v>
      </c>
      <c r="C3222" s="48"/>
      <c r="D3222" s="88"/>
      <c r="E3222" s="72"/>
      <c r="F3222" s="77"/>
      <c r="G3222" s="89"/>
      <c r="H3222" s="74"/>
      <c r="I3222" s="74"/>
      <c r="J3222" s="95"/>
      <c r="K3222" s="92"/>
      <c r="L3222" s="92"/>
      <c r="M3222" s="44"/>
      <c r="N3222" s="44"/>
      <c r="O3222" s="44"/>
      <c r="P3222" s="44"/>
      <c r="Q3222" s="44"/>
      <c r="R3222" s="84"/>
      <c r="S3222" s="47"/>
      <c r="T3222" s="47"/>
    </row>
    <row r="3223" s="27" customFormat="1" ht="18" customHeight="1" spans="1:20">
      <c r="A3223" s="34"/>
      <c r="B3223" s="48">
        <v>17</v>
      </c>
      <c r="C3223" s="48"/>
      <c r="D3223" s="121"/>
      <c r="E3223" s="72"/>
      <c r="F3223" s="77"/>
      <c r="G3223" s="89"/>
      <c r="H3223" s="74"/>
      <c r="I3223" s="74"/>
      <c r="J3223" s="95"/>
      <c r="K3223" s="92"/>
      <c r="L3223" s="92"/>
      <c r="M3223" s="44"/>
      <c r="N3223" s="44"/>
      <c r="O3223" s="44"/>
      <c r="P3223" s="44"/>
      <c r="Q3223" s="101"/>
      <c r="R3223" s="84"/>
      <c r="S3223" s="47"/>
      <c r="T3223" s="47"/>
    </row>
    <row r="3224" s="27" customFormat="1" ht="18" customHeight="1" spans="1:20">
      <c r="A3224" s="34"/>
      <c r="B3224" s="48">
        <v>18</v>
      </c>
      <c r="C3224" s="48"/>
      <c r="D3224" s="88"/>
      <c r="E3224" s="72"/>
      <c r="F3224" s="77"/>
      <c r="G3224" s="89"/>
      <c r="H3224" s="74"/>
      <c r="I3224" s="74"/>
      <c r="J3224" s="95"/>
      <c r="K3224" s="92"/>
      <c r="L3224" s="92"/>
      <c r="M3224" s="44"/>
      <c r="N3224" s="44"/>
      <c r="O3224" s="44"/>
      <c r="P3224" s="44"/>
      <c r="Q3224" s="44"/>
      <c r="R3224" s="84"/>
      <c r="S3224" s="47"/>
      <c r="T3224" s="47"/>
    </row>
    <row r="3225" s="27" customFormat="1" ht="18" customHeight="1" spans="1:20">
      <c r="A3225" s="34"/>
      <c r="B3225" s="48">
        <v>19</v>
      </c>
      <c r="C3225" s="48"/>
      <c r="D3225" s="27"/>
      <c r="E3225" s="72"/>
      <c r="F3225" s="77"/>
      <c r="G3225" s="89"/>
      <c r="H3225" s="74"/>
      <c r="I3225" s="74"/>
      <c r="J3225" s="95"/>
      <c r="K3225" s="92"/>
      <c r="L3225" s="92"/>
      <c r="M3225" s="44"/>
      <c r="N3225" s="44"/>
      <c r="O3225" s="44"/>
      <c r="P3225" s="44"/>
      <c r="Q3225" s="44"/>
      <c r="R3225" s="84"/>
      <c r="S3225" s="47"/>
      <c r="T3225" s="47"/>
    </row>
    <row r="3226" s="27" customFormat="1" ht="18" customHeight="1" spans="1:20">
      <c r="A3226" s="34"/>
      <c r="B3226" s="48">
        <v>20</v>
      </c>
      <c r="C3226" s="48"/>
      <c r="D3226" s="88"/>
      <c r="E3226" s="72"/>
      <c r="F3226" s="77"/>
      <c r="G3226" s="89"/>
      <c r="H3226" s="74"/>
      <c r="I3226" s="74"/>
      <c r="J3226" s="95"/>
      <c r="K3226" s="92"/>
      <c r="L3226" s="92"/>
      <c r="M3226" s="44"/>
      <c r="N3226" s="44"/>
      <c r="O3226" s="44"/>
      <c r="P3226" s="44"/>
      <c r="Q3226" s="44"/>
      <c r="R3226" s="84"/>
      <c r="S3226" s="47"/>
      <c r="T3226" s="47"/>
    </row>
    <row r="3227" s="27" customFormat="1" ht="18" customHeight="1" spans="1:20">
      <c r="A3227" s="34"/>
      <c r="B3227" s="48">
        <v>21</v>
      </c>
      <c r="C3227" s="48"/>
      <c r="D3227" s="88"/>
      <c r="E3227" s="72"/>
      <c r="F3227" s="77"/>
      <c r="G3227" s="89"/>
      <c r="H3227" s="74"/>
      <c r="I3227" s="74"/>
      <c r="J3227" s="95"/>
      <c r="K3227" s="92"/>
      <c r="L3227" s="92"/>
      <c r="M3227" s="44"/>
      <c r="N3227" s="44"/>
      <c r="O3227" s="44"/>
      <c r="P3227" s="44"/>
      <c r="Q3227" s="44"/>
      <c r="R3227" s="84"/>
      <c r="S3227" s="47"/>
      <c r="T3227" s="47"/>
    </row>
    <row r="3228" s="27" customFormat="1" ht="18" customHeight="1" spans="1:20">
      <c r="A3228" s="34"/>
      <c r="B3228" s="48">
        <v>22</v>
      </c>
      <c r="C3228" s="48"/>
      <c r="D3228" s="27"/>
      <c r="E3228" s="72"/>
      <c r="F3228" s="77"/>
      <c r="G3228" s="72"/>
      <c r="H3228" s="74"/>
      <c r="I3228" s="74"/>
      <c r="J3228" s="95"/>
      <c r="K3228" s="92"/>
      <c r="L3228" s="92"/>
      <c r="M3228" s="44"/>
      <c r="N3228" s="44"/>
      <c r="O3228" s="44"/>
      <c r="P3228" s="44"/>
      <c r="Q3228" s="44"/>
      <c r="R3228" s="62"/>
      <c r="S3228" s="47"/>
      <c r="T3228" s="47"/>
    </row>
    <row r="3229" s="27" customFormat="1" ht="18" customHeight="1" spans="1:20">
      <c r="A3229" s="34"/>
      <c r="B3229" s="48">
        <v>23</v>
      </c>
      <c r="C3229" s="48"/>
      <c r="D3229" s="88"/>
      <c r="E3229" s="72"/>
      <c r="F3229" s="77"/>
      <c r="G3229" s="89"/>
      <c r="H3229" s="74"/>
      <c r="I3229" s="74"/>
      <c r="J3229" s="95"/>
      <c r="K3229" s="92"/>
      <c r="L3229" s="92"/>
      <c r="M3229" s="44"/>
      <c r="N3229" s="44"/>
      <c r="O3229" s="44"/>
      <c r="P3229" s="44"/>
      <c r="Q3229" s="44"/>
      <c r="R3229" s="62"/>
      <c r="S3229" s="47"/>
      <c r="T3229" s="47"/>
    </row>
    <row r="3230" s="27" customFormat="1" ht="18" customHeight="1" spans="1:20">
      <c r="A3230" s="34"/>
      <c r="B3230" s="48">
        <v>24</v>
      </c>
      <c r="C3230" s="48"/>
      <c r="D3230" s="88" t="s">
        <v>478</v>
      </c>
      <c r="E3230" s="72" t="s">
        <v>43</v>
      </c>
      <c r="F3230" s="77"/>
      <c r="G3230" s="72">
        <v>1</v>
      </c>
      <c r="H3230" s="74">
        <v>1</v>
      </c>
      <c r="I3230" s="74">
        <f>+辅材及安装费!$E$7</f>
        <v>10</v>
      </c>
      <c r="J3230" s="95">
        <f>H3230*I3230</f>
        <v>10</v>
      </c>
      <c r="K3230" s="92"/>
      <c r="L3230" s="92"/>
      <c r="M3230" s="44"/>
      <c r="N3230" s="44"/>
      <c r="O3230" s="44"/>
      <c r="P3230" s="44"/>
      <c r="Q3230" s="44"/>
      <c r="R3230" s="62"/>
      <c r="S3230" s="47"/>
      <c r="T3230" s="47"/>
    </row>
    <row r="3231" s="27" customFormat="1" ht="18" customHeight="1" spans="1:20">
      <c r="A3231" s="34"/>
      <c r="B3231" s="48">
        <v>25</v>
      </c>
      <c r="C3231" s="48"/>
      <c r="D3231" s="93" t="s">
        <v>442</v>
      </c>
      <c r="E3231" s="72"/>
      <c r="F3231" s="77"/>
      <c r="G3231" s="72"/>
      <c r="H3231" s="74"/>
      <c r="I3231" s="74"/>
      <c r="J3231" s="95">
        <f>SUM(J3207:J3230)</f>
        <v>320.132128018897</v>
      </c>
      <c r="K3231" s="92"/>
      <c r="L3231" s="94"/>
      <c r="M3231" s="27"/>
      <c r="N3231" s="83"/>
      <c r="O3231" s="83"/>
      <c r="P3231" s="83"/>
      <c r="Q3231" s="83"/>
      <c r="R3231" s="87"/>
      <c r="S3231" s="47"/>
      <c r="T3231" s="47"/>
    </row>
    <row r="3232" s="27" customFormat="1" ht="18" customHeight="1" spans="1:20">
      <c r="A3232" s="34"/>
      <c r="B3232" s="48">
        <v>1</v>
      </c>
      <c r="C3232" s="48" t="s">
        <v>443</v>
      </c>
      <c r="D3232" s="48" t="s">
        <v>444</v>
      </c>
      <c r="E3232" s="72" t="s">
        <v>43</v>
      </c>
      <c r="F3232" s="50"/>
      <c r="G3232" s="48"/>
      <c r="H3232" s="51">
        <v>1</v>
      </c>
      <c r="I3232" s="74">
        <f>+辅材及安装费!$F$7</f>
        <v>5</v>
      </c>
      <c r="J3232" s="95">
        <f>H3232*I3232</f>
        <v>5</v>
      </c>
      <c r="K3232" s="118"/>
      <c r="L3232" s="96"/>
      <c r="M3232" s="97"/>
      <c r="N3232" s="98"/>
      <c r="O3232" s="98"/>
      <c r="P3232" s="98"/>
      <c r="Q3232" s="98"/>
      <c r="R3232" s="99"/>
      <c r="S3232" s="47"/>
      <c r="T3232" s="47"/>
    </row>
    <row r="3233" s="26" customFormat="1" ht="30" customHeight="1" spans="1:20">
      <c r="A3233" s="28"/>
      <c r="B3233" s="29" t="s">
        <v>386</v>
      </c>
      <c r="C3233" s="29"/>
      <c r="D3233" s="29"/>
      <c r="E3233" s="29"/>
      <c r="F3233" s="29"/>
      <c r="G3233" s="29"/>
      <c r="H3233" s="29"/>
      <c r="I3233" s="29"/>
      <c r="J3233" s="29"/>
      <c r="K3233" s="29"/>
      <c r="L3233" s="30"/>
      <c r="M3233" s="31"/>
      <c r="N3233" s="31"/>
      <c r="O3233" s="31"/>
      <c r="P3233" s="31"/>
      <c r="Q3233" s="31"/>
      <c r="R3233" s="32"/>
      <c r="S3233" s="33"/>
      <c r="T3233" s="33"/>
    </row>
    <row r="3234" s="27" customFormat="1" ht="33.75" customHeight="1" spans="1:20">
      <c r="A3234" s="34">
        <v>2</v>
      </c>
      <c r="B3234" s="35" t="s">
        <v>1</v>
      </c>
      <c r="C3234" s="35" t="s">
        <v>387</v>
      </c>
      <c r="D3234" s="36" t="str">
        <f>+A3242</f>
        <v>铝合金百叶</v>
      </c>
      <c r="E3234" s="37"/>
      <c r="F3234" s="38"/>
      <c r="G3234" s="39"/>
      <c r="H3234" s="35" t="s">
        <v>388</v>
      </c>
      <c r="I3234" s="40" t="s">
        <v>389</v>
      </c>
      <c r="J3234" s="41" t="s">
        <v>37</v>
      </c>
      <c r="K3234" s="122">
        <f ca="1">VLOOKUP(A3234,'商业工程量清单 '!$A$85:$D$87,4,FALSE)</f>
        <v>107.886</v>
      </c>
      <c r="L3234" s="43"/>
      <c r="M3234" s="44"/>
      <c r="N3234" s="44"/>
      <c r="O3234" s="44"/>
      <c r="P3234" s="45"/>
      <c r="Q3234" s="44"/>
      <c r="R3234" s="46"/>
      <c r="S3234" s="47"/>
      <c r="T3234" s="47"/>
    </row>
    <row r="3235" s="27" customFormat="1" ht="25" customHeight="1" spans="1:20">
      <c r="A3235" s="34"/>
      <c r="B3235" s="48">
        <v>1</v>
      </c>
      <c r="C3235" s="49" t="s">
        <v>390</v>
      </c>
      <c r="D3235" s="48" t="s">
        <v>391</v>
      </c>
      <c r="E3235" s="48"/>
      <c r="F3235" s="50"/>
      <c r="G3235" s="48"/>
      <c r="H3235" s="51"/>
      <c r="I3235" s="52">
        <f>J3247</f>
        <v>65</v>
      </c>
      <c r="J3235" s="53" t="s">
        <v>392</v>
      </c>
      <c r="K3235" s="54"/>
      <c r="L3235" s="55" t="s">
        <v>1078</v>
      </c>
      <c r="M3235" s="56" t="s">
        <v>1079</v>
      </c>
      <c r="N3235" s="57"/>
      <c r="O3235" s="57">
        <v>4.6</v>
      </c>
      <c r="P3235" s="57">
        <v>6.3</v>
      </c>
      <c r="Q3235" s="57">
        <v>1</v>
      </c>
      <c r="R3235" s="58">
        <f>+Q3235*P3235*O3235</f>
        <v>28.98</v>
      </c>
      <c r="S3235" s="47"/>
      <c r="T3235" s="47"/>
    </row>
    <row r="3236" s="27" customFormat="1" ht="18" customHeight="1" spans="1:20">
      <c r="A3236" s="34"/>
      <c r="B3236" s="48">
        <v>2</v>
      </c>
      <c r="C3236" s="59"/>
      <c r="D3236" s="48" t="s">
        <v>394</v>
      </c>
      <c r="E3236" s="48"/>
      <c r="F3236" s="50"/>
      <c r="G3236" s="48"/>
      <c r="H3236" s="51"/>
      <c r="I3236" s="52">
        <f>J3272</f>
        <v>230.955282030994</v>
      </c>
      <c r="J3236" s="53" t="s">
        <v>392</v>
      </c>
      <c r="K3236" s="60"/>
      <c r="L3236" s="61"/>
      <c r="M3236" s="44"/>
      <c r="N3236" s="44"/>
      <c r="O3236" s="44"/>
      <c r="P3236" s="44"/>
      <c r="Q3236" s="44"/>
      <c r="R3236" s="62"/>
      <c r="S3236" s="47"/>
      <c r="T3236" s="47"/>
    </row>
    <row r="3237" s="27" customFormat="1" ht="18" customHeight="1" spans="1:20">
      <c r="A3237" s="34"/>
      <c r="B3237" s="48">
        <v>3</v>
      </c>
      <c r="C3237" s="63"/>
      <c r="D3237" s="48" t="s">
        <v>395</v>
      </c>
      <c r="E3237" s="48"/>
      <c r="F3237" s="50"/>
      <c r="G3237" s="48"/>
      <c r="H3237" s="51"/>
      <c r="I3237" s="52">
        <f>J3273</f>
        <v>5</v>
      </c>
      <c r="J3237" s="53" t="s">
        <v>392</v>
      </c>
      <c r="K3237" s="60"/>
      <c r="L3237" s="60"/>
      <c r="M3237" s="65" t="s">
        <v>396</v>
      </c>
      <c r="N3237" s="65" t="s">
        <v>397</v>
      </c>
      <c r="O3237" s="65" t="s">
        <v>398</v>
      </c>
      <c r="P3237" s="65" t="s">
        <v>399</v>
      </c>
      <c r="Q3237" s="65" t="s">
        <v>400</v>
      </c>
      <c r="R3237" s="66" t="s">
        <v>401</v>
      </c>
      <c r="S3237" s="47"/>
      <c r="T3237" s="47"/>
    </row>
    <row r="3238" s="27" customFormat="1" ht="18" customHeight="1" spans="1:20">
      <c r="A3238" s="34"/>
      <c r="B3238" s="48">
        <v>4</v>
      </c>
      <c r="C3238" s="48" t="s">
        <v>402</v>
      </c>
      <c r="D3238" s="67" t="s">
        <v>403</v>
      </c>
      <c r="E3238" s="67"/>
      <c r="F3238" s="50"/>
      <c r="G3238" s="67"/>
      <c r="H3238" s="68"/>
      <c r="I3238" s="52">
        <f>SUM(I3235:I3237)</f>
        <v>300.955282030994</v>
      </c>
      <c r="J3238" s="53" t="s">
        <v>392</v>
      </c>
      <c r="K3238" s="60"/>
      <c r="L3238" s="69" t="s">
        <v>431</v>
      </c>
      <c r="M3238" s="34" t="s">
        <v>553</v>
      </c>
      <c r="N3238" s="34">
        <v>13.35</v>
      </c>
      <c r="O3238" s="34">
        <f>O3235</f>
        <v>4.6</v>
      </c>
      <c r="P3238" s="34">
        <v>0</v>
      </c>
      <c r="Q3238" s="44">
        <f t="shared" ref="Q3238:Q3246" si="499">+P3238*O3238*N3238</f>
        <v>0</v>
      </c>
      <c r="R3238" s="71">
        <f>+Q3238/R3235</f>
        <v>0</v>
      </c>
      <c r="S3238" s="47"/>
      <c r="T3238" s="47"/>
    </row>
    <row r="3239" s="27" customFormat="1" ht="28" customHeight="1" spans="1:20">
      <c r="A3239" s="34"/>
      <c r="B3239" s="48">
        <v>5</v>
      </c>
      <c r="C3239" s="72" t="s">
        <v>406</v>
      </c>
      <c r="D3239" s="48" t="s">
        <v>407</v>
      </c>
      <c r="E3239" s="48"/>
      <c r="F3239" s="50"/>
      <c r="G3239" s="48"/>
      <c r="H3239" s="73">
        <f>+'材料表 '!$E$178</f>
        <v>0</v>
      </c>
      <c r="I3239" s="52">
        <f>H3239*I3238</f>
        <v>0</v>
      </c>
      <c r="J3239" s="53" t="s">
        <v>392</v>
      </c>
      <c r="K3239" s="60"/>
      <c r="L3239" s="69" t="s">
        <v>431</v>
      </c>
      <c r="M3239" s="34" t="s">
        <v>523</v>
      </c>
      <c r="N3239" s="102">
        <v>4.52</v>
      </c>
      <c r="O3239" s="34"/>
      <c r="P3239" s="34">
        <v>0</v>
      </c>
      <c r="Q3239" s="44">
        <f t="shared" si="499"/>
        <v>0</v>
      </c>
      <c r="R3239" s="71">
        <f>+Q3239/R3235</f>
        <v>0</v>
      </c>
      <c r="S3239" s="47"/>
      <c r="T3239" s="47"/>
    </row>
    <row r="3240" s="27" customFormat="1" ht="18" customHeight="1" spans="1:20">
      <c r="A3240" s="34"/>
      <c r="B3240" s="48">
        <v>6</v>
      </c>
      <c r="C3240" s="48" t="s">
        <v>409</v>
      </c>
      <c r="D3240" s="48" t="s">
        <v>410</v>
      </c>
      <c r="E3240" s="48"/>
      <c r="F3240" s="50"/>
      <c r="G3240" s="48"/>
      <c r="H3240" s="73">
        <f>+'材料表 '!$E$179</f>
        <v>0</v>
      </c>
      <c r="I3240" s="52">
        <f>H3240*I3238</f>
        <v>0</v>
      </c>
      <c r="J3240" s="53" t="s">
        <v>392</v>
      </c>
      <c r="K3240" s="60"/>
      <c r="L3240" s="69" t="s">
        <v>461</v>
      </c>
      <c r="M3240" s="34" t="s">
        <v>546</v>
      </c>
      <c r="N3240" s="34">
        <v>4.81</v>
      </c>
      <c r="O3240" s="34">
        <f>O3235</f>
        <v>4.6</v>
      </c>
      <c r="P3240" s="34">
        <v>0</v>
      </c>
      <c r="Q3240" s="44">
        <f t="shared" si="499"/>
        <v>0</v>
      </c>
      <c r="R3240" s="71">
        <f>+Q3240/R3235</f>
        <v>0</v>
      </c>
      <c r="S3240" s="47"/>
      <c r="T3240" s="47"/>
    </row>
    <row r="3241" s="27" customFormat="1" ht="18" customHeight="1" spans="1:20">
      <c r="A3241" s="34"/>
      <c r="B3241" s="48">
        <v>7</v>
      </c>
      <c r="C3241" s="48" t="s">
        <v>412</v>
      </c>
      <c r="D3241" s="72" t="s">
        <v>413</v>
      </c>
      <c r="E3241" s="72"/>
      <c r="F3241" s="77"/>
      <c r="G3241" s="72"/>
      <c r="H3241" s="73">
        <f>+'材料表 '!$E$180</f>
        <v>0.09</v>
      </c>
      <c r="I3241" s="52">
        <f>(I3238+I3239+I3240)*H3241</f>
        <v>27.0859753827895</v>
      </c>
      <c r="J3241" s="53" t="s">
        <v>392</v>
      </c>
      <c r="K3241" s="60"/>
      <c r="L3241" s="69" t="s">
        <v>463</v>
      </c>
      <c r="M3241" s="34" t="s">
        <v>464</v>
      </c>
      <c r="N3241" s="34">
        <f>0.15*0.2*7.85*10</f>
        <v>2.355</v>
      </c>
      <c r="O3241" s="34">
        <v>5</v>
      </c>
      <c r="P3241" s="34">
        <v>0</v>
      </c>
      <c r="Q3241" s="44">
        <f t="shared" si="499"/>
        <v>0</v>
      </c>
      <c r="R3241" s="71">
        <f>+Q3241/R3235</f>
        <v>0</v>
      </c>
      <c r="S3241" s="47"/>
      <c r="T3241" s="47"/>
    </row>
    <row r="3242" s="27" customFormat="1" ht="18" customHeight="1" spans="1:20">
      <c r="A3242" s="105" t="s">
        <v>173</v>
      </c>
      <c r="B3242" s="48">
        <v>8</v>
      </c>
      <c r="C3242" s="48" t="s">
        <v>363</v>
      </c>
      <c r="D3242" s="106" t="s">
        <v>415</v>
      </c>
      <c r="E3242" s="107"/>
      <c r="F3242" s="108"/>
      <c r="G3242" s="107"/>
      <c r="H3242" s="51"/>
      <c r="I3242" s="74">
        <f>SUM(I3238:I3241)</f>
        <v>328.041257413784</v>
      </c>
      <c r="J3242" s="53" t="s">
        <v>416</v>
      </c>
      <c r="K3242" s="60"/>
      <c r="L3242" s="69" t="s">
        <v>465</v>
      </c>
      <c r="M3242" s="34" t="s">
        <v>559</v>
      </c>
      <c r="N3242" s="126">
        <v>7.034</v>
      </c>
      <c r="O3242" s="34">
        <f>120/1000</f>
        <v>0.12</v>
      </c>
      <c r="P3242" s="44">
        <f>2*3</f>
        <v>6</v>
      </c>
      <c r="Q3242" s="44">
        <f t="shared" si="499"/>
        <v>5.06448</v>
      </c>
      <c r="R3242" s="84">
        <f>+Q3242/R3235</f>
        <v>0.174757763975155</v>
      </c>
      <c r="S3242" s="79"/>
      <c r="T3242" s="47"/>
    </row>
    <row r="3243" s="27" customFormat="1" ht="18" customHeight="1" spans="1:20">
      <c r="A3243" s="34"/>
      <c r="B3243" s="109" t="s">
        <v>418</v>
      </c>
      <c r="C3243" s="110"/>
      <c r="D3243" s="110"/>
      <c r="E3243" s="110"/>
      <c r="F3243" s="110"/>
      <c r="G3243" s="110"/>
      <c r="H3243" s="110"/>
      <c r="I3243" s="110"/>
      <c r="J3243" s="110"/>
      <c r="K3243" s="80"/>
      <c r="L3243" s="69" t="s">
        <v>404</v>
      </c>
      <c r="M3243" s="70" t="s">
        <v>445</v>
      </c>
      <c r="N3243" s="34">
        <v>2.513</v>
      </c>
      <c r="O3243" s="34">
        <f>P3235*2+O3235</f>
        <v>17.2</v>
      </c>
      <c r="P3243" s="34">
        <v>0</v>
      </c>
      <c r="Q3243" s="44">
        <f t="shared" si="499"/>
        <v>0</v>
      </c>
      <c r="R3243" s="71">
        <f>+Q3243/R3235</f>
        <v>0</v>
      </c>
      <c r="S3243" s="47"/>
      <c r="T3243" s="47"/>
    </row>
    <row r="3244" s="27" customFormat="1" ht="18" customHeight="1" spans="1:20">
      <c r="A3244" s="34"/>
      <c r="B3244" s="48">
        <v>1</v>
      </c>
      <c r="C3244" s="48" t="s">
        <v>391</v>
      </c>
      <c r="D3244" s="48" t="s">
        <v>396</v>
      </c>
      <c r="E3244" s="48" t="s">
        <v>37</v>
      </c>
      <c r="F3244" s="50"/>
      <c r="G3244" s="48"/>
      <c r="H3244" s="51" t="s">
        <v>399</v>
      </c>
      <c r="I3244" s="51" t="s">
        <v>420</v>
      </c>
      <c r="J3244" s="95" t="s">
        <v>421</v>
      </c>
      <c r="K3244" s="92"/>
      <c r="L3244" s="69" t="s">
        <v>429</v>
      </c>
      <c r="M3244" s="70" t="s">
        <v>446</v>
      </c>
      <c r="N3244" s="34">
        <v>0.424</v>
      </c>
      <c r="O3244" s="34">
        <f>O3243</f>
        <v>17.2</v>
      </c>
      <c r="P3244" s="34">
        <v>0</v>
      </c>
      <c r="Q3244" s="44">
        <f t="shared" si="499"/>
        <v>0</v>
      </c>
      <c r="R3244" s="71">
        <f>+Q3244/R3235</f>
        <v>0</v>
      </c>
      <c r="S3244" s="47"/>
      <c r="T3244" s="47"/>
    </row>
    <row r="3245" s="27" customFormat="1" ht="18" customHeight="1" spans="1:20">
      <c r="A3245" s="34"/>
      <c r="B3245" s="48">
        <v>2</v>
      </c>
      <c r="C3245" s="48"/>
      <c r="D3245" s="111" t="s">
        <v>563</v>
      </c>
      <c r="E3245" s="49" t="s">
        <v>423</v>
      </c>
      <c r="F3245" s="112"/>
      <c r="G3245" s="111"/>
      <c r="H3245" s="113">
        <v>1</v>
      </c>
      <c r="I3245" s="113">
        <f>+辅材及安装费!$G$11</f>
        <v>65</v>
      </c>
      <c r="J3245" s="114">
        <f t="shared" ref="J3245:J3257" si="500">H3245*I3245</f>
        <v>65</v>
      </c>
      <c r="K3245" s="92"/>
      <c r="L3245" s="34" t="s">
        <v>447</v>
      </c>
      <c r="M3245" s="70" t="s">
        <v>448</v>
      </c>
      <c r="N3245" s="34">
        <v>0.484</v>
      </c>
      <c r="O3245" s="34">
        <f>O3243</f>
        <v>17.2</v>
      </c>
      <c r="P3245" s="34">
        <v>0</v>
      </c>
      <c r="Q3245" s="44">
        <f t="shared" si="499"/>
        <v>0</v>
      </c>
      <c r="R3245" s="71">
        <f>+Q3245/R3235</f>
        <v>0</v>
      </c>
      <c r="S3245" s="47">
        <f>0.05+0.046+0.015</f>
        <v>0.111</v>
      </c>
      <c r="T3245" s="47">
        <f>O3245*S3245*P3245</f>
        <v>0</v>
      </c>
    </row>
    <row r="3246" s="27" customFormat="1" ht="18" customHeight="1" spans="1:20">
      <c r="A3246" s="34"/>
      <c r="B3246" s="48">
        <v>3</v>
      </c>
      <c r="C3246" s="48"/>
      <c r="D3246" s="115"/>
      <c r="E3246" s="63"/>
      <c r="F3246" s="116"/>
      <c r="G3246" s="115"/>
      <c r="H3246" s="117"/>
      <c r="I3246" s="117"/>
      <c r="J3246" s="118"/>
      <c r="K3246" s="92"/>
      <c r="L3246" s="90" t="s">
        <v>447</v>
      </c>
      <c r="M3246" s="70" t="s">
        <v>564</v>
      </c>
      <c r="N3246" s="82">
        <f>0.165*2.71</f>
        <v>0.44715</v>
      </c>
      <c r="O3246" s="44">
        <f>O3235*2+P3235*10</f>
        <v>72.2</v>
      </c>
      <c r="P3246" s="44">
        <v>1</v>
      </c>
      <c r="Q3246" s="44">
        <f t="shared" si="499"/>
        <v>32.28423</v>
      </c>
      <c r="R3246" s="84">
        <f>Q3246/R3235</f>
        <v>1.11401759834369</v>
      </c>
      <c r="S3246" s="47">
        <v>0.201</v>
      </c>
      <c r="T3246" s="47">
        <f>S3246*O3246*P3246</f>
        <v>14.5122</v>
      </c>
    </row>
    <row r="3247" s="27" customFormat="1" ht="18" customHeight="1" spans="1:20">
      <c r="A3247" s="34"/>
      <c r="B3247" s="48">
        <v>4</v>
      </c>
      <c r="C3247" s="48"/>
      <c r="D3247" s="85" t="s">
        <v>426</v>
      </c>
      <c r="E3247" s="48" t="s">
        <v>392</v>
      </c>
      <c r="F3247" s="50"/>
      <c r="G3247" s="48"/>
      <c r="H3247" s="86"/>
      <c r="I3247" s="86"/>
      <c r="J3247" s="95">
        <f>SUM(J3245:J3245)</f>
        <v>65</v>
      </c>
      <c r="K3247" s="92"/>
      <c r="L3247" s="90"/>
      <c r="M3247" s="44"/>
      <c r="N3247" s="82"/>
      <c r="O3247" s="44"/>
      <c r="P3247" s="44"/>
      <c r="Q3247" s="44"/>
      <c r="R3247" s="84"/>
      <c r="S3247" s="47"/>
      <c r="T3247" s="47"/>
    </row>
    <row r="3248" s="27" customFormat="1" ht="22" customHeight="1" spans="1:20">
      <c r="A3248" s="34"/>
      <c r="B3248" s="48">
        <v>1</v>
      </c>
      <c r="C3248" s="48" t="s">
        <v>394</v>
      </c>
      <c r="D3248" s="88" t="s">
        <v>431</v>
      </c>
      <c r="E3248" s="72" t="str">
        <f>+VLOOKUP(D3248,'材料表 '!C:F,2,0)</f>
        <v>kg</v>
      </c>
      <c r="F3248" s="77">
        <f>+SUMIF($L$3235:$L$3273,D3248,$R$3235:$R$3273)</f>
        <v>0</v>
      </c>
      <c r="G3248" s="89">
        <f>+VLOOKUP(D3248,'材料表 '!C:F,4,0)</f>
        <v>0.03</v>
      </c>
      <c r="H3248" s="74">
        <f t="shared" ref="H3248:H3257" si="501">F3248*(G3248+1)</f>
        <v>0</v>
      </c>
      <c r="I3248" s="74">
        <f>+VLOOKUP(D3248,'材料表 '!C:F,3,0)</f>
        <v>3.80530973451327</v>
      </c>
      <c r="J3248" s="95">
        <f t="shared" si="500"/>
        <v>0</v>
      </c>
      <c r="K3248" s="92">
        <f ca="1">H3248*K3234</f>
        <v>0</v>
      </c>
      <c r="L3248" s="90" t="s">
        <v>447</v>
      </c>
      <c r="M3248" s="44" t="s">
        <v>557</v>
      </c>
      <c r="N3248" s="82">
        <v>0.799</v>
      </c>
      <c r="O3248" s="44">
        <f>P3235</f>
        <v>6.3</v>
      </c>
      <c r="P3248" s="44">
        <v>5</v>
      </c>
      <c r="Q3248" s="44">
        <f>+P3248*O3248*N3248</f>
        <v>25.1685</v>
      </c>
      <c r="R3248" s="84">
        <f>Q3248/R3235</f>
        <v>0.868478260869565</v>
      </c>
      <c r="S3248" s="47">
        <f>0.24</f>
        <v>0.24</v>
      </c>
      <c r="T3248" s="47">
        <f t="shared" ref="T3246:T3249" si="502">S3248*O3248*P3248</f>
        <v>7.56</v>
      </c>
    </row>
    <row r="3249" s="27" customFormat="1" ht="18" customHeight="1" spans="1:20">
      <c r="A3249" s="34"/>
      <c r="B3249" s="48">
        <v>2</v>
      </c>
      <c r="C3249" s="48"/>
      <c r="D3249" s="88" t="s">
        <v>461</v>
      </c>
      <c r="E3249" s="72" t="str">
        <f>+VLOOKUP(D3249,'材料表 '!C:F,2,0)</f>
        <v>kg</v>
      </c>
      <c r="F3249" s="77">
        <f t="shared" ref="F3249:F3257" si="503">+SUMIF($L$3235:$L$3273,D3249,$R$3235:$R$3273)</f>
        <v>0</v>
      </c>
      <c r="G3249" s="89">
        <f>+VLOOKUP(D3249,'材料表 '!C:F,4,0)</f>
        <v>0.03</v>
      </c>
      <c r="H3249" s="74">
        <f t="shared" si="501"/>
        <v>0</v>
      </c>
      <c r="I3249" s="74">
        <f>+VLOOKUP(D3249,'材料表 '!C:F,3,0)</f>
        <v>3.53982300884956</v>
      </c>
      <c r="J3249" s="95">
        <f t="shared" si="500"/>
        <v>0</v>
      </c>
      <c r="K3249" s="92">
        <f ca="1">H3249*K3234</f>
        <v>0</v>
      </c>
      <c r="L3249" s="90" t="s">
        <v>447</v>
      </c>
      <c r="M3249" s="44" t="s">
        <v>565</v>
      </c>
      <c r="N3249" s="82">
        <f>0.162*2.71</f>
        <v>0.43902</v>
      </c>
      <c r="O3249" s="44">
        <f>O3235</f>
        <v>4.6</v>
      </c>
      <c r="P3249" s="44">
        <f>P3235/0.065</f>
        <v>96.9230769230769</v>
      </c>
      <c r="Q3249" s="44">
        <f>+P3249*O3249*N3249</f>
        <v>195.735378461538</v>
      </c>
      <c r="R3249" s="84">
        <f>Q3249/R3235</f>
        <v>6.75415384615385</v>
      </c>
      <c r="S3249" s="47">
        <v>0.197</v>
      </c>
      <c r="T3249" s="47">
        <f t="shared" si="502"/>
        <v>87.8316923076923</v>
      </c>
    </row>
    <row r="3250" s="27" customFormat="1" ht="18" customHeight="1" spans="1:20">
      <c r="A3250" s="34"/>
      <c r="B3250" s="48">
        <v>3</v>
      </c>
      <c r="C3250" s="48"/>
      <c r="D3250" s="88" t="s">
        <v>465</v>
      </c>
      <c r="E3250" s="72" t="str">
        <f>+VLOOKUP(D3250,'材料表 '!C:F,2,0)</f>
        <v>kg</v>
      </c>
      <c r="F3250" s="77">
        <f t="shared" si="503"/>
        <v>0.174757763975155</v>
      </c>
      <c r="G3250" s="89">
        <f>+VLOOKUP(D3250,'材料表 '!C:F,4,0)</f>
        <v>0.03</v>
      </c>
      <c r="H3250" s="74">
        <f t="shared" si="501"/>
        <v>0.18000049689441</v>
      </c>
      <c r="I3250" s="74">
        <f>+VLOOKUP(D3250,'材料表 '!C:F,3,0)</f>
        <v>6.01769911504425</v>
      </c>
      <c r="J3250" s="95">
        <f t="shared" si="500"/>
        <v>1.08318883086901</v>
      </c>
      <c r="K3250" s="92">
        <f ca="1">H3250*K3234</f>
        <v>19.4195336079503</v>
      </c>
      <c r="L3250" s="90"/>
      <c r="M3250" s="44"/>
      <c r="N3250" s="82"/>
      <c r="O3250" s="44"/>
      <c r="P3250" s="44"/>
      <c r="Q3250" s="44">
        <f>+P3250*O3250</f>
        <v>0</v>
      </c>
      <c r="R3250" s="84">
        <f>+Q3250/R3235</f>
        <v>0</v>
      </c>
      <c r="S3250" s="47"/>
      <c r="T3250" s="47"/>
    </row>
    <row r="3251" s="27" customFormat="1" ht="18" customHeight="1" spans="1:20">
      <c r="A3251" s="34"/>
      <c r="B3251" s="48">
        <v>4</v>
      </c>
      <c r="C3251" s="48"/>
      <c r="D3251" s="88" t="s">
        <v>463</v>
      </c>
      <c r="E3251" s="72" t="str">
        <f>+VLOOKUP(D3251,'材料表 '!C:F,2,0)</f>
        <v>kg</v>
      </c>
      <c r="F3251" s="77">
        <f t="shared" si="503"/>
        <v>0</v>
      </c>
      <c r="G3251" s="89">
        <f>+VLOOKUP(D3251,'材料表 '!C:F,4,0)</f>
        <v>0.03</v>
      </c>
      <c r="H3251" s="74">
        <f t="shared" si="501"/>
        <v>0</v>
      </c>
      <c r="I3251" s="74">
        <f>+VLOOKUP(D3251,'材料表 '!C:F,3,0)</f>
        <v>6.01769911504425</v>
      </c>
      <c r="J3251" s="95">
        <f t="shared" si="500"/>
        <v>0</v>
      </c>
      <c r="K3251" s="92">
        <f ca="1">H3251*K3234</f>
        <v>0</v>
      </c>
      <c r="L3251" s="90" t="s">
        <v>474</v>
      </c>
      <c r="M3251" s="44"/>
      <c r="N3251" s="82"/>
      <c r="O3251" s="44"/>
      <c r="P3251" s="44"/>
      <c r="Q3251" s="44">
        <f>+O3241*P3241*4</f>
        <v>0</v>
      </c>
      <c r="R3251" s="84">
        <f>+Q3251/R3235</f>
        <v>0</v>
      </c>
      <c r="S3251" s="47"/>
      <c r="T3251" s="47">
        <f>SUM(T3245:T3250)</f>
        <v>109.903892307692</v>
      </c>
    </row>
    <row r="3252" s="27" customFormat="1" ht="18" customHeight="1" spans="1:20">
      <c r="A3252" s="34"/>
      <c r="B3252" s="48">
        <v>5</v>
      </c>
      <c r="C3252" s="48"/>
      <c r="D3252" s="88" t="s">
        <v>447</v>
      </c>
      <c r="E3252" s="72" t="str">
        <f>+VLOOKUP(D3252,'材料表 '!C:F,2,0)</f>
        <v>kg</v>
      </c>
      <c r="F3252" s="77">
        <f t="shared" si="503"/>
        <v>8.7366497053671</v>
      </c>
      <c r="G3252" s="89">
        <f>+VLOOKUP(D3252,'材料表 '!C:F,4,0)</f>
        <v>0.03</v>
      </c>
      <c r="H3252" s="74">
        <f t="shared" si="501"/>
        <v>8.99874919652811</v>
      </c>
      <c r="I3252" s="74">
        <f>+VLOOKUP(D3252,'材料表 '!C:F,3,0)</f>
        <v>24.4336283185841</v>
      </c>
      <c r="J3252" s="95">
        <f t="shared" si="500"/>
        <v>219.872093200125</v>
      </c>
      <c r="K3252" s="92">
        <f ca="1">H3252*K3234</f>
        <v>970.839055816632</v>
      </c>
      <c r="L3252" s="92" t="s">
        <v>476</v>
      </c>
      <c r="M3252" s="44"/>
      <c r="N3252" s="82"/>
      <c r="O3252" s="44"/>
      <c r="P3252" s="44"/>
      <c r="Q3252" s="44">
        <f>10*8*(O3235*0+P3235*0)/500</f>
        <v>0</v>
      </c>
      <c r="R3252" s="84">
        <f>+Q3252/R3235</f>
        <v>0</v>
      </c>
      <c r="S3252" s="47"/>
      <c r="T3252" s="47"/>
    </row>
    <row r="3253" s="27" customFormat="1" ht="18" customHeight="1" spans="1:20">
      <c r="A3253" s="34"/>
      <c r="B3253" s="48">
        <v>6</v>
      </c>
      <c r="C3253" s="48"/>
      <c r="D3253" s="88" t="s">
        <v>434</v>
      </c>
      <c r="E3253" s="72" t="str">
        <f>+VLOOKUP(D3253,'材料表 '!C:F,2,0)</f>
        <v>m2</v>
      </c>
      <c r="F3253" s="77">
        <f t="shared" si="503"/>
        <v>0</v>
      </c>
      <c r="G3253" s="89">
        <f>+VLOOKUP(D3253,'材料表 '!C:F,4,0)</f>
        <v>0</v>
      </c>
      <c r="H3253" s="74">
        <f t="shared" si="501"/>
        <v>0</v>
      </c>
      <c r="I3253" s="74">
        <f>+VLOOKUP(D3253,'材料表 '!C:F,3,0)</f>
        <v>49.5575221238938</v>
      </c>
      <c r="J3253" s="95">
        <f t="shared" si="500"/>
        <v>0</v>
      </c>
      <c r="K3253" s="92">
        <f ca="1">H3253*K3234</f>
        <v>0</v>
      </c>
      <c r="L3253" s="92" t="s">
        <v>499</v>
      </c>
      <c r="M3253" s="44"/>
      <c r="N3253" s="82"/>
      <c r="O3253" s="44"/>
      <c r="P3253" s="44"/>
      <c r="Q3253" s="44">
        <v>0</v>
      </c>
      <c r="R3253" s="84">
        <f>Q3253/R3235</f>
        <v>0</v>
      </c>
      <c r="S3253" s="47"/>
      <c r="T3253" s="47"/>
    </row>
    <row r="3254" s="27" customFormat="1" ht="18" customHeight="1" spans="1:20">
      <c r="A3254" s="34"/>
      <c r="B3254" s="48">
        <v>7</v>
      </c>
      <c r="C3254" s="48"/>
      <c r="D3254" s="88" t="s">
        <v>472</v>
      </c>
      <c r="E3254" s="72" t="str">
        <f>+VLOOKUP(D3254,'材料表 '!C:F,2,0)</f>
        <v>套</v>
      </c>
      <c r="F3254" s="77">
        <f t="shared" si="503"/>
        <v>0</v>
      </c>
      <c r="G3254" s="89">
        <f>+VLOOKUP(D3254,'材料表 '!C:F,4,0)</f>
        <v>0</v>
      </c>
      <c r="H3254" s="74">
        <f t="shared" si="501"/>
        <v>0</v>
      </c>
      <c r="I3254" s="74">
        <f>+VLOOKUP(D3254,'材料表 '!C:F,3,0)</f>
        <v>2.47787610619469</v>
      </c>
      <c r="J3254" s="95">
        <f t="shared" si="500"/>
        <v>0</v>
      </c>
      <c r="K3254" s="92">
        <f ca="1">H3254*K3234</f>
        <v>0</v>
      </c>
      <c r="L3254" s="92"/>
      <c r="M3254" s="44"/>
      <c r="N3254" s="82"/>
      <c r="O3254" s="44"/>
      <c r="P3254" s="44"/>
      <c r="Q3254" s="44"/>
      <c r="R3254" s="84"/>
      <c r="S3254" s="47"/>
      <c r="T3254" s="47"/>
    </row>
    <row r="3255" s="27" customFormat="1" ht="18" customHeight="1" spans="1:20">
      <c r="A3255" s="34"/>
      <c r="B3255" s="48">
        <v>8</v>
      </c>
      <c r="C3255" s="48"/>
      <c r="D3255" s="88" t="s">
        <v>474</v>
      </c>
      <c r="E3255" s="72" t="str">
        <f>+VLOOKUP(D3255,'材料表 '!C:F,2,0)</f>
        <v>套</v>
      </c>
      <c r="F3255" s="77">
        <f t="shared" si="503"/>
        <v>0</v>
      </c>
      <c r="G3255" s="89">
        <f>+VLOOKUP(D3255,'材料表 '!C:F,4,0)</f>
        <v>0</v>
      </c>
      <c r="H3255" s="74">
        <f t="shared" si="501"/>
        <v>0</v>
      </c>
      <c r="I3255" s="74">
        <f>+VLOOKUP(D3255,'材料表 '!C:F,3,0)</f>
        <v>2.21238938053097</v>
      </c>
      <c r="J3255" s="95">
        <f t="shared" si="500"/>
        <v>0</v>
      </c>
      <c r="K3255" s="92">
        <f ca="1">H3255*K3234</f>
        <v>0</v>
      </c>
      <c r="L3255" s="92"/>
      <c r="M3255" s="44"/>
      <c r="N3255" s="82"/>
      <c r="O3255" s="44"/>
      <c r="P3255" s="44"/>
      <c r="Q3255" s="44"/>
      <c r="R3255" s="84"/>
      <c r="S3255" s="47"/>
      <c r="T3255" s="47"/>
    </row>
    <row r="3256" s="27" customFormat="1" ht="18" customHeight="1" spans="1:20">
      <c r="A3256" s="34"/>
      <c r="B3256" s="48">
        <v>9</v>
      </c>
      <c r="C3256" s="48"/>
      <c r="D3256" s="88" t="s">
        <v>476</v>
      </c>
      <c r="E3256" s="72" t="str">
        <f>+VLOOKUP(D3256,'材料表 '!C:F,2,0)</f>
        <v>支</v>
      </c>
      <c r="F3256" s="77">
        <f t="shared" si="503"/>
        <v>0</v>
      </c>
      <c r="G3256" s="89">
        <f>+VLOOKUP(D3256,'材料表 '!C:F,4,0)</f>
        <v>0.15</v>
      </c>
      <c r="H3256" s="74">
        <f t="shared" si="501"/>
        <v>0</v>
      </c>
      <c r="I3256" s="74">
        <f>+VLOOKUP(D3256,'材料表 '!C:F,3,0)</f>
        <v>11.5044247787611</v>
      </c>
      <c r="J3256" s="95">
        <f t="shared" si="500"/>
        <v>0</v>
      </c>
      <c r="K3256" s="92">
        <f ca="1">H3256*K3234</f>
        <v>0</v>
      </c>
      <c r="L3256" s="90"/>
      <c r="M3256" s="44"/>
      <c r="N3256" s="82"/>
      <c r="O3256" s="34"/>
      <c r="P3256" s="44"/>
      <c r="Q3256" s="44"/>
      <c r="R3256" s="119"/>
      <c r="S3256" s="47"/>
      <c r="T3256" s="47"/>
    </row>
    <row r="3257" s="27" customFormat="1" ht="23" customHeight="1" spans="1:20">
      <c r="A3257" s="34"/>
      <c r="B3257" s="48">
        <v>10</v>
      </c>
      <c r="C3257" s="48"/>
      <c r="D3257" s="88" t="s">
        <v>499</v>
      </c>
      <c r="E3257" s="72" t="str">
        <f>+VLOOKUP(D3257,'材料表 '!C:F,2,0)</f>
        <v>套</v>
      </c>
      <c r="F3257" s="77">
        <f t="shared" si="503"/>
        <v>0</v>
      </c>
      <c r="G3257" s="89">
        <f>+VLOOKUP(D3257,'材料表 '!C:F,4,0)</f>
        <v>0</v>
      </c>
      <c r="H3257" s="74">
        <f t="shared" si="501"/>
        <v>0</v>
      </c>
      <c r="I3257" s="74">
        <f>+VLOOKUP(D3257,'材料表 '!C:F,3,0)</f>
        <v>1.32743362831858</v>
      </c>
      <c r="J3257" s="95">
        <f t="shared" si="500"/>
        <v>0</v>
      </c>
      <c r="K3257" s="92">
        <f ca="1">H3257*K3234</f>
        <v>0</v>
      </c>
      <c r="L3257" s="92"/>
      <c r="M3257" s="120"/>
      <c r="N3257" s="82"/>
      <c r="O3257" s="44"/>
      <c r="P3257" s="44"/>
      <c r="Q3257" s="44"/>
      <c r="R3257" s="84"/>
      <c r="S3257" s="47"/>
      <c r="T3257" s="47"/>
    </row>
    <row r="3258" s="27" customFormat="1" ht="20" customHeight="1" spans="1:20">
      <c r="A3258" s="34"/>
      <c r="B3258" s="48">
        <v>11</v>
      </c>
      <c r="C3258" s="48"/>
      <c r="D3258" s="88"/>
      <c r="E3258" s="72"/>
      <c r="F3258" s="77"/>
      <c r="G3258" s="89"/>
      <c r="H3258" s="74"/>
      <c r="I3258" s="74"/>
      <c r="J3258" s="95"/>
      <c r="K3258" s="92">
        <f ca="1">H3258*K3234</f>
        <v>0</v>
      </c>
      <c r="L3258" s="92"/>
      <c r="M3258" s="44"/>
      <c r="N3258" s="82"/>
      <c r="O3258" s="44"/>
      <c r="P3258" s="44"/>
      <c r="Q3258" s="44"/>
      <c r="R3258" s="84"/>
      <c r="S3258" s="47"/>
      <c r="T3258" s="47"/>
    </row>
    <row r="3259" s="27" customFormat="1" ht="24" customHeight="1" spans="1:20">
      <c r="A3259" s="34"/>
      <c r="B3259" s="48">
        <v>12</v>
      </c>
      <c r="C3259" s="48"/>
      <c r="D3259" s="127"/>
      <c r="E3259" s="72"/>
      <c r="F3259" s="128"/>
      <c r="G3259" s="89"/>
      <c r="H3259" s="74"/>
      <c r="I3259" s="74"/>
      <c r="J3259" s="95"/>
      <c r="K3259" s="92">
        <f ca="1">H3259*K3234</f>
        <v>0</v>
      </c>
      <c r="L3259" s="92"/>
      <c r="M3259" s="44"/>
      <c r="N3259" s="44"/>
      <c r="O3259" s="44"/>
      <c r="P3259" s="44"/>
      <c r="Q3259" s="44"/>
      <c r="R3259" s="84"/>
      <c r="S3259" s="47"/>
      <c r="T3259" s="47"/>
    </row>
    <row r="3260" s="27" customFormat="1" ht="18" customHeight="1" spans="1:20">
      <c r="A3260" s="34"/>
      <c r="B3260" s="48">
        <v>13</v>
      </c>
      <c r="C3260" s="48"/>
      <c r="D3260" s="88"/>
      <c r="E3260" s="72"/>
      <c r="F3260" s="77"/>
      <c r="G3260" s="89"/>
      <c r="H3260" s="74"/>
      <c r="I3260" s="74"/>
      <c r="J3260" s="95"/>
      <c r="K3260" s="92">
        <f ca="1">H3260*K3234</f>
        <v>0</v>
      </c>
      <c r="L3260" s="92"/>
      <c r="M3260" s="44"/>
      <c r="N3260" s="44"/>
      <c r="O3260" s="44"/>
      <c r="P3260" s="44"/>
      <c r="Q3260" s="44"/>
      <c r="R3260" s="84"/>
      <c r="S3260" s="47"/>
      <c r="T3260" s="47"/>
    </row>
    <row r="3261" s="27" customFormat="1" ht="24" customHeight="1" spans="1:20">
      <c r="A3261" s="34"/>
      <c r="B3261" s="48">
        <v>14</v>
      </c>
      <c r="C3261" s="48"/>
      <c r="D3261" s="88"/>
      <c r="E3261" s="72"/>
      <c r="F3261" s="77"/>
      <c r="G3261" s="89"/>
      <c r="H3261" s="74"/>
      <c r="I3261" s="74"/>
      <c r="J3261" s="95"/>
      <c r="K3261" s="92">
        <f ca="1">H3261*K3234</f>
        <v>0</v>
      </c>
      <c r="L3261" s="92"/>
      <c r="M3261" s="44"/>
      <c r="N3261" s="44"/>
      <c r="O3261" s="44"/>
      <c r="P3261" s="44"/>
      <c r="Q3261" s="44"/>
      <c r="R3261" s="84"/>
      <c r="S3261" s="47"/>
      <c r="T3261" s="47"/>
    </row>
    <row r="3262" s="27" customFormat="1" ht="18" customHeight="1" spans="1:20">
      <c r="A3262" s="34"/>
      <c r="B3262" s="48">
        <v>15</v>
      </c>
      <c r="C3262" s="48"/>
      <c r="D3262" s="88"/>
      <c r="E3262" s="72"/>
      <c r="F3262" s="77"/>
      <c r="G3262" s="89"/>
      <c r="H3262" s="74"/>
      <c r="I3262" s="74"/>
      <c r="J3262" s="95"/>
      <c r="K3262" s="92"/>
      <c r="L3262" s="92"/>
      <c r="M3262" s="44"/>
      <c r="N3262" s="44"/>
      <c r="O3262" s="44"/>
      <c r="P3262" s="44"/>
      <c r="Q3262" s="44"/>
      <c r="R3262" s="84"/>
      <c r="S3262" s="47"/>
      <c r="T3262" s="47"/>
    </row>
    <row r="3263" s="27" customFormat="1" ht="18" customHeight="1" spans="1:20">
      <c r="A3263" s="34"/>
      <c r="B3263" s="48">
        <v>16</v>
      </c>
      <c r="C3263" s="48"/>
      <c r="D3263" s="88"/>
      <c r="E3263" s="72"/>
      <c r="F3263" s="77"/>
      <c r="G3263" s="89"/>
      <c r="H3263" s="74"/>
      <c r="I3263" s="74"/>
      <c r="J3263" s="95"/>
      <c r="K3263" s="92"/>
      <c r="L3263" s="92"/>
      <c r="M3263" s="44"/>
      <c r="N3263" s="44"/>
      <c r="O3263" s="44"/>
      <c r="P3263" s="44"/>
      <c r="Q3263" s="44"/>
      <c r="R3263" s="84"/>
      <c r="S3263" s="47"/>
      <c r="T3263" s="47"/>
    </row>
    <row r="3264" s="27" customFormat="1" ht="18" customHeight="1" spans="1:20">
      <c r="A3264" s="34"/>
      <c r="B3264" s="48">
        <v>17</v>
      </c>
      <c r="C3264" s="48"/>
      <c r="D3264" s="121"/>
      <c r="E3264" s="72"/>
      <c r="F3264" s="77"/>
      <c r="G3264" s="89"/>
      <c r="H3264" s="74"/>
      <c r="I3264" s="74"/>
      <c r="J3264" s="95"/>
      <c r="K3264" s="92"/>
      <c r="L3264" s="92"/>
      <c r="M3264" s="44"/>
      <c r="N3264" s="44"/>
      <c r="O3264" s="44"/>
      <c r="P3264" s="44"/>
      <c r="Q3264" s="101"/>
      <c r="R3264" s="84"/>
      <c r="S3264" s="47"/>
      <c r="T3264" s="47"/>
    </row>
    <row r="3265" s="27" customFormat="1" ht="18" customHeight="1" spans="1:20">
      <c r="A3265" s="34"/>
      <c r="B3265" s="48">
        <v>18</v>
      </c>
      <c r="C3265" s="48"/>
      <c r="D3265" s="88"/>
      <c r="E3265" s="72"/>
      <c r="F3265" s="77"/>
      <c r="G3265" s="89"/>
      <c r="H3265" s="74"/>
      <c r="I3265" s="74"/>
      <c r="J3265" s="95"/>
      <c r="K3265" s="92"/>
      <c r="L3265" s="92"/>
      <c r="M3265" s="44"/>
      <c r="N3265" s="44"/>
      <c r="O3265" s="44"/>
      <c r="P3265" s="44"/>
      <c r="Q3265" s="44"/>
      <c r="R3265" s="84"/>
      <c r="S3265" s="47"/>
      <c r="T3265" s="47"/>
    </row>
    <row r="3266" s="27" customFormat="1" ht="18" customHeight="1" spans="1:20">
      <c r="A3266" s="34"/>
      <c r="B3266" s="48">
        <v>19</v>
      </c>
      <c r="C3266" s="48"/>
      <c r="D3266" s="27"/>
      <c r="E3266" s="72"/>
      <c r="F3266" s="77"/>
      <c r="G3266" s="89"/>
      <c r="H3266" s="74"/>
      <c r="I3266" s="74"/>
      <c r="J3266" s="95"/>
      <c r="K3266" s="92"/>
      <c r="L3266" s="92"/>
      <c r="M3266" s="44"/>
      <c r="N3266" s="44"/>
      <c r="O3266" s="44"/>
      <c r="P3266" s="44"/>
      <c r="Q3266" s="44"/>
      <c r="R3266" s="84"/>
      <c r="S3266" s="47"/>
      <c r="T3266" s="47"/>
    </row>
    <row r="3267" s="27" customFormat="1" ht="18" customHeight="1" spans="1:20">
      <c r="A3267" s="34"/>
      <c r="B3267" s="48">
        <v>20</v>
      </c>
      <c r="C3267" s="48"/>
      <c r="D3267" s="88"/>
      <c r="E3267" s="72"/>
      <c r="F3267" s="77"/>
      <c r="G3267" s="89"/>
      <c r="H3267" s="74"/>
      <c r="I3267" s="74"/>
      <c r="J3267" s="95"/>
      <c r="K3267" s="92"/>
      <c r="L3267" s="92"/>
      <c r="M3267" s="44"/>
      <c r="N3267" s="44"/>
      <c r="O3267" s="44"/>
      <c r="P3267" s="44"/>
      <c r="Q3267" s="44"/>
      <c r="R3267" s="84"/>
      <c r="S3267" s="47"/>
      <c r="T3267" s="47"/>
    </row>
    <row r="3268" s="27" customFormat="1" ht="18" customHeight="1" spans="1:20">
      <c r="A3268" s="34"/>
      <c r="B3268" s="48">
        <v>21</v>
      </c>
      <c r="C3268" s="48"/>
      <c r="D3268" s="88"/>
      <c r="E3268" s="72"/>
      <c r="F3268" s="77"/>
      <c r="G3268" s="89"/>
      <c r="H3268" s="74"/>
      <c r="I3268" s="74"/>
      <c r="J3268" s="95"/>
      <c r="K3268" s="92"/>
      <c r="L3268" s="92"/>
      <c r="M3268" s="44"/>
      <c r="N3268" s="44"/>
      <c r="O3268" s="44"/>
      <c r="P3268" s="44"/>
      <c r="Q3268" s="44"/>
      <c r="R3268" s="84"/>
      <c r="S3268" s="47"/>
      <c r="T3268" s="47"/>
    </row>
    <row r="3269" s="27" customFormat="1" ht="18" customHeight="1" spans="1:20">
      <c r="A3269" s="34"/>
      <c r="B3269" s="48">
        <v>22</v>
      </c>
      <c r="C3269" s="48"/>
      <c r="D3269" s="27"/>
      <c r="E3269" s="72"/>
      <c r="F3269" s="77"/>
      <c r="G3269" s="72"/>
      <c r="H3269" s="74"/>
      <c r="I3269" s="74"/>
      <c r="J3269" s="95"/>
      <c r="K3269" s="92"/>
      <c r="L3269" s="92"/>
      <c r="M3269" s="44"/>
      <c r="N3269" s="44"/>
      <c r="O3269" s="44"/>
      <c r="P3269" s="44"/>
      <c r="Q3269" s="44"/>
      <c r="R3269" s="62"/>
      <c r="S3269" s="47"/>
      <c r="T3269" s="47"/>
    </row>
    <row r="3270" s="27" customFormat="1" ht="18" customHeight="1" spans="1:20">
      <c r="A3270" s="34"/>
      <c r="B3270" s="48">
        <v>23</v>
      </c>
      <c r="C3270" s="48"/>
      <c r="D3270" s="88"/>
      <c r="E3270" s="72"/>
      <c r="F3270" s="77"/>
      <c r="G3270" s="89"/>
      <c r="H3270" s="74"/>
      <c r="I3270" s="74"/>
      <c r="J3270" s="95"/>
      <c r="K3270" s="92"/>
      <c r="L3270" s="92"/>
      <c r="M3270" s="44"/>
      <c r="N3270" s="44"/>
      <c r="O3270" s="44"/>
      <c r="P3270" s="44"/>
      <c r="Q3270" s="44"/>
      <c r="R3270" s="62"/>
      <c r="S3270" s="47"/>
      <c r="T3270" s="47"/>
    </row>
    <row r="3271" s="27" customFormat="1" ht="18" customHeight="1" spans="1:20">
      <c r="A3271" s="34"/>
      <c r="B3271" s="48">
        <v>24</v>
      </c>
      <c r="C3271" s="48"/>
      <c r="D3271" s="88" t="s">
        <v>478</v>
      </c>
      <c r="E3271" s="72" t="s">
        <v>43</v>
      </c>
      <c r="F3271" s="77"/>
      <c r="G3271" s="72">
        <v>1</v>
      </c>
      <c r="H3271" s="74">
        <v>1</v>
      </c>
      <c r="I3271" s="74">
        <f>+辅材及安装费!$E$11</f>
        <v>10</v>
      </c>
      <c r="J3271" s="95">
        <f>H3271*I3271</f>
        <v>10</v>
      </c>
      <c r="K3271" s="92"/>
      <c r="L3271" s="92"/>
      <c r="M3271" s="44"/>
      <c r="N3271" s="44"/>
      <c r="O3271" s="44"/>
      <c r="P3271" s="44"/>
      <c r="Q3271" s="44"/>
      <c r="R3271" s="62"/>
      <c r="S3271" s="47"/>
      <c r="T3271" s="47"/>
    </row>
    <row r="3272" s="27" customFormat="1" ht="18" customHeight="1" spans="1:20">
      <c r="A3272" s="34"/>
      <c r="B3272" s="48">
        <v>25</v>
      </c>
      <c r="C3272" s="48"/>
      <c r="D3272" s="93" t="s">
        <v>442</v>
      </c>
      <c r="E3272" s="72"/>
      <c r="F3272" s="77"/>
      <c r="G3272" s="72"/>
      <c r="H3272" s="74"/>
      <c r="I3272" s="74"/>
      <c r="J3272" s="95">
        <f>SUM(J3248:J3271)</f>
        <v>230.955282030994</v>
      </c>
      <c r="K3272" s="92"/>
      <c r="L3272" s="94"/>
      <c r="M3272" s="27"/>
      <c r="N3272" s="83"/>
      <c r="O3272" s="83"/>
      <c r="P3272" s="83"/>
      <c r="Q3272" s="83"/>
      <c r="R3272" s="87"/>
      <c r="S3272" s="47"/>
      <c r="T3272" s="47"/>
    </row>
    <row r="3273" s="27" customFormat="1" ht="18" customHeight="1" spans="1:20">
      <c r="A3273" s="34"/>
      <c r="B3273" s="48">
        <v>1</v>
      </c>
      <c r="C3273" s="48" t="s">
        <v>443</v>
      </c>
      <c r="D3273" s="48" t="s">
        <v>444</v>
      </c>
      <c r="E3273" s="72" t="s">
        <v>43</v>
      </c>
      <c r="F3273" s="50"/>
      <c r="G3273" s="48"/>
      <c r="H3273" s="51">
        <v>1</v>
      </c>
      <c r="I3273" s="74">
        <f>+辅材及安装费!$F$11</f>
        <v>5</v>
      </c>
      <c r="J3273" s="95">
        <f>H3273*I3273</f>
        <v>5</v>
      </c>
      <c r="K3273" s="118"/>
      <c r="L3273" s="96"/>
      <c r="M3273" s="97"/>
      <c r="N3273" s="98"/>
      <c r="O3273" s="98"/>
      <c r="P3273" s="98"/>
      <c r="Q3273" s="98"/>
      <c r="R3273" s="99"/>
      <c r="S3273" s="47"/>
      <c r="T3273" s="47"/>
    </row>
    <row r="3274" s="26" customFormat="1" ht="30" customHeight="1" spans="1:20">
      <c r="A3274" s="28"/>
      <c r="B3274" s="29" t="s">
        <v>386</v>
      </c>
      <c r="C3274" s="29"/>
      <c r="D3274" s="29"/>
      <c r="E3274" s="29"/>
      <c r="F3274" s="29"/>
      <c r="G3274" s="29"/>
      <c r="H3274" s="29"/>
      <c r="I3274" s="29"/>
      <c r="J3274" s="29"/>
      <c r="K3274" s="29"/>
      <c r="L3274" s="30"/>
      <c r="M3274" s="31"/>
      <c r="N3274" s="31"/>
      <c r="O3274" s="31"/>
      <c r="P3274" s="31"/>
      <c r="Q3274" s="31"/>
      <c r="R3274" s="32"/>
      <c r="S3274" s="33"/>
      <c r="T3274" s="33"/>
    </row>
    <row r="3275" s="27" customFormat="1" ht="33.75" customHeight="1" spans="1:20">
      <c r="A3275" s="34">
        <v>1</v>
      </c>
      <c r="B3275" s="35" t="s">
        <v>1</v>
      </c>
      <c r="C3275" s="35" t="s">
        <v>387</v>
      </c>
      <c r="D3275" s="36" t="str">
        <f>+A3283</f>
        <v>香槟色格栅线条（40*50）</v>
      </c>
      <c r="E3275" s="37"/>
      <c r="F3275" s="38"/>
      <c r="G3275" s="39"/>
      <c r="H3275" s="35" t="s">
        <v>388</v>
      </c>
      <c r="I3275" s="40" t="s">
        <v>389</v>
      </c>
      <c r="J3275" s="41" t="s">
        <v>37</v>
      </c>
      <c r="K3275" s="42">
        <f ca="1">VLOOKUP(A3275,'商业工程量清单 '!$A$88:$D$93,4,FALSE)</f>
        <v>5432.62</v>
      </c>
      <c r="L3275" s="43"/>
      <c r="M3275" s="44"/>
      <c r="N3275" s="44"/>
      <c r="O3275" s="44"/>
      <c r="P3275" s="45"/>
      <c r="Q3275" s="44"/>
      <c r="R3275" s="46"/>
      <c r="S3275" s="47"/>
      <c r="T3275" s="47"/>
    </row>
    <row r="3276" s="27" customFormat="1" ht="25" customHeight="1" spans="1:20">
      <c r="A3276" s="34"/>
      <c r="B3276" s="48">
        <v>1</v>
      </c>
      <c r="C3276" s="49" t="s">
        <v>390</v>
      </c>
      <c r="D3276" s="48" t="s">
        <v>391</v>
      </c>
      <c r="E3276" s="48"/>
      <c r="F3276" s="50"/>
      <c r="G3276" s="48"/>
      <c r="H3276" s="51"/>
      <c r="I3276" s="52">
        <f>J3288</f>
        <v>15</v>
      </c>
      <c r="J3276" s="53" t="s">
        <v>392</v>
      </c>
      <c r="K3276" s="54"/>
      <c r="L3276" s="55"/>
      <c r="M3276" s="56"/>
      <c r="N3276" s="57"/>
      <c r="O3276" s="57">
        <v>1</v>
      </c>
      <c r="P3276" s="57">
        <v>1</v>
      </c>
      <c r="Q3276" s="57">
        <v>1</v>
      </c>
      <c r="R3276" s="58">
        <f>+Q3276*P3276*O3276</f>
        <v>1</v>
      </c>
      <c r="S3276" s="47"/>
      <c r="T3276" s="47"/>
    </row>
    <row r="3277" s="27" customFormat="1" ht="18" customHeight="1" spans="1:20">
      <c r="A3277" s="34"/>
      <c r="B3277" s="48">
        <v>2</v>
      </c>
      <c r="C3277" s="59"/>
      <c r="D3277" s="48" t="s">
        <v>394</v>
      </c>
      <c r="E3277" s="48"/>
      <c r="F3277" s="50"/>
      <c r="G3277" s="48"/>
      <c r="H3277" s="51"/>
      <c r="I3277" s="52">
        <f>J3313</f>
        <v>29.0956440619469</v>
      </c>
      <c r="J3277" s="53" t="s">
        <v>392</v>
      </c>
      <c r="K3277" s="60"/>
      <c r="L3277" s="61"/>
      <c r="M3277" s="44"/>
      <c r="N3277" s="44"/>
      <c r="O3277" s="44"/>
      <c r="P3277" s="44"/>
      <c r="Q3277" s="44"/>
      <c r="R3277" s="62"/>
      <c r="S3277" s="47"/>
      <c r="T3277" s="47"/>
    </row>
    <row r="3278" s="27" customFormat="1" ht="18" customHeight="1" spans="1:20">
      <c r="A3278" s="34"/>
      <c r="B3278" s="48">
        <v>3</v>
      </c>
      <c r="C3278" s="63"/>
      <c r="D3278" s="48" t="s">
        <v>395</v>
      </c>
      <c r="E3278" s="48"/>
      <c r="F3278" s="50"/>
      <c r="G3278" s="48"/>
      <c r="H3278" s="51"/>
      <c r="I3278" s="52">
        <f>J3314</f>
        <v>1</v>
      </c>
      <c r="J3278" s="53" t="s">
        <v>392</v>
      </c>
      <c r="K3278" s="60"/>
      <c r="L3278" s="60"/>
      <c r="M3278" s="65" t="s">
        <v>396</v>
      </c>
      <c r="N3278" s="65" t="s">
        <v>397</v>
      </c>
      <c r="O3278" s="65" t="s">
        <v>398</v>
      </c>
      <c r="P3278" s="65" t="s">
        <v>399</v>
      </c>
      <c r="Q3278" s="65" t="s">
        <v>400</v>
      </c>
      <c r="R3278" s="66" t="s">
        <v>401</v>
      </c>
      <c r="S3278" s="47"/>
      <c r="T3278" s="47"/>
    </row>
    <row r="3279" s="27" customFormat="1" ht="18" customHeight="1" spans="1:20">
      <c r="A3279" s="34"/>
      <c r="B3279" s="48">
        <v>4</v>
      </c>
      <c r="C3279" s="48" t="s">
        <v>402</v>
      </c>
      <c r="D3279" s="67" t="s">
        <v>403</v>
      </c>
      <c r="E3279" s="67"/>
      <c r="F3279" s="50"/>
      <c r="G3279" s="67"/>
      <c r="H3279" s="68"/>
      <c r="I3279" s="52">
        <f>SUM(I3276:I3278)</f>
        <v>45.0956440619469</v>
      </c>
      <c r="J3279" s="53" t="s">
        <v>392</v>
      </c>
      <c r="K3279" s="60"/>
      <c r="L3279" s="69"/>
      <c r="M3279" s="34"/>
      <c r="N3279" s="34"/>
      <c r="O3279" s="34"/>
      <c r="P3279" s="34"/>
      <c r="Q3279" s="44"/>
      <c r="R3279" s="71"/>
      <c r="S3279" s="47"/>
      <c r="T3279" s="47"/>
    </row>
    <row r="3280" s="27" customFormat="1" ht="28" customHeight="1" spans="1:20">
      <c r="A3280" s="34"/>
      <c r="B3280" s="48">
        <v>5</v>
      </c>
      <c r="C3280" s="72" t="s">
        <v>406</v>
      </c>
      <c r="D3280" s="48" t="s">
        <v>407</v>
      </c>
      <c r="E3280" s="48"/>
      <c r="F3280" s="50"/>
      <c r="G3280" s="48"/>
      <c r="H3280" s="73">
        <f>+'材料表 '!$E$178</f>
        <v>0</v>
      </c>
      <c r="I3280" s="52">
        <f>H3280*I3279</f>
        <v>0</v>
      </c>
      <c r="J3280" s="53" t="s">
        <v>392</v>
      </c>
      <c r="K3280" s="60"/>
      <c r="L3280" s="69"/>
      <c r="M3280" s="34"/>
      <c r="N3280" s="102"/>
      <c r="O3280" s="34"/>
      <c r="P3280" s="34"/>
      <c r="Q3280" s="44"/>
      <c r="R3280" s="71"/>
      <c r="S3280" s="47"/>
      <c r="T3280" s="47"/>
    </row>
    <row r="3281" s="27" customFormat="1" ht="18" customHeight="1" spans="1:20">
      <c r="A3281" s="34"/>
      <c r="B3281" s="48">
        <v>6</v>
      </c>
      <c r="C3281" s="48" t="s">
        <v>409</v>
      </c>
      <c r="D3281" s="48" t="s">
        <v>410</v>
      </c>
      <c r="E3281" s="48"/>
      <c r="F3281" s="50"/>
      <c r="G3281" s="48"/>
      <c r="H3281" s="73">
        <f>+'材料表 '!$E$179</f>
        <v>0</v>
      </c>
      <c r="I3281" s="52">
        <f>H3281*I3279</f>
        <v>0</v>
      </c>
      <c r="J3281" s="53" t="s">
        <v>392</v>
      </c>
      <c r="K3281" s="60"/>
      <c r="L3281" s="69"/>
      <c r="M3281" s="34"/>
      <c r="N3281" s="34"/>
      <c r="O3281" s="34"/>
      <c r="P3281" s="34"/>
      <c r="Q3281" s="44"/>
      <c r="R3281" s="71"/>
      <c r="S3281" s="47"/>
      <c r="T3281" s="47"/>
    </row>
    <row r="3282" s="27" customFormat="1" ht="18" customHeight="1" spans="1:20">
      <c r="A3282" s="34"/>
      <c r="B3282" s="48">
        <v>7</v>
      </c>
      <c r="C3282" s="48" t="s">
        <v>412</v>
      </c>
      <c r="D3282" s="72" t="s">
        <v>413</v>
      </c>
      <c r="E3282" s="72"/>
      <c r="F3282" s="77"/>
      <c r="G3282" s="72"/>
      <c r="H3282" s="73">
        <f>+'材料表 '!$E$180</f>
        <v>0.09</v>
      </c>
      <c r="I3282" s="52">
        <f>(I3279+I3280+I3281)*H3282</f>
        <v>4.05860796557522</v>
      </c>
      <c r="J3282" s="53" t="s">
        <v>392</v>
      </c>
      <c r="K3282" s="60"/>
      <c r="L3282" s="69"/>
      <c r="M3282" s="34"/>
      <c r="N3282" s="34"/>
      <c r="O3282" s="34"/>
      <c r="P3282" s="34"/>
      <c r="Q3282" s="44"/>
      <c r="R3282" s="71"/>
      <c r="S3282" s="47"/>
      <c r="T3282" s="47"/>
    </row>
    <row r="3283" s="27" customFormat="1" ht="18" customHeight="1" spans="1:20">
      <c r="A3283" s="105" t="s">
        <v>348</v>
      </c>
      <c r="B3283" s="48">
        <v>8</v>
      </c>
      <c r="C3283" s="48" t="s">
        <v>363</v>
      </c>
      <c r="D3283" s="106" t="s">
        <v>415</v>
      </c>
      <c r="E3283" s="107"/>
      <c r="F3283" s="108"/>
      <c r="G3283" s="107"/>
      <c r="H3283" s="51"/>
      <c r="I3283" s="74">
        <f>SUM(I3279:I3282)</f>
        <v>49.1542520275221</v>
      </c>
      <c r="J3283" s="53" t="s">
        <v>484</v>
      </c>
      <c r="K3283" s="60"/>
      <c r="L3283" s="69"/>
      <c r="M3283" s="34"/>
      <c r="N3283" s="126"/>
      <c r="O3283" s="34"/>
      <c r="P3283" s="44"/>
      <c r="Q3283" s="44"/>
      <c r="R3283" s="84"/>
      <c r="S3283" s="79"/>
      <c r="T3283" s="47"/>
    </row>
    <row r="3284" s="27" customFormat="1" ht="18" customHeight="1" spans="1:20">
      <c r="A3284" s="34"/>
      <c r="B3284" s="109" t="s">
        <v>418</v>
      </c>
      <c r="C3284" s="110"/>
      <c r="D3284" s="110"/>
      <c r="E3284" s="110"/>
      <c r="F3284" s="110"/>
      <c r="G3284" s="110"/>
      <c r="H3284" s="110"/>
      <c r="I3284" s="110"/>
      <c r="J3284" s="110"/>
      <c r="K3284" s="80"/>
      <c r="L3284" s="69"/>
      <c r="M3284" s="70"/>
      <c r="N3284" s="34"/>
      <c r="O3284" s="34"/>
      <c r="P3284" s="34"/>
      <c r="Q3284" s="44"/>
      <c r="R3284" s="71"/>
      <c r="S3284" s="47"/>
      <c r="T3284" s="47"/>
    </row>
    <row r="3285" s="27" customFormat="1" ht="18" customHeight="1" spans="1:20">
      <c r="A3285" s="34"/>
      <c r="B3285" s="48">
        <v>1</v>
      </c>
      <c r="C3285" s="48" t="s">
        <v>391</v>
      </c>
      <c r="D3285" s="48" t="s">
        <v>396</v>
      </c>
      <c r="E3285" s="48" t="s">
        <v>37</v>
      </c>
      <c r="F3285" s="50"/>
      <c r="G3285" s="48"/>
      <c r="H3285" s="51" t="s">
        <v>399</v>
      </c>
      <c r="I3285" s="51" t="s">
        <v>420</v>
      </c>
      <c r="J3285" s="95" t="s">
        <v>421</v>
      </c>
      <c r="K3285" s="92"/>
      <c r="L3285" s="69" t="s">
        <v>433</v>
      </c>
      <c r="M3285" s="70" t="s">
        <v>567</v>
      </c>
      <c r="N3285" s="34">
        <f>0.106*2.71</f>
        <v>0.28726</v>
      </c>
      <c r="O3285" s="34">
        <v>1</v>
      </c>
      <c r="P3285" s="34">
        <v>1</v>
      </c>
      <c r="Q3285" s="44">
        <f t="shared" ref="Q3285:Q3287" si="504">+P3285*O3285*N3285</f>
        <v>0.28726</v>
      </c>
      <c r="R3285" s="71">
        <f>+Q3285/R3276</f>
        <v>0.28726</v>
      </c>
      <c r="S3285" s="47"/>
      <c r="T3285" s="47"/>
    </row>
    <row r="3286" s="27" customFormat="1" ht="18" customHeight="1" spans="1:20">
      <c r="A3286" s="34"/>
      <c r="B3286" s="48">
        <v>2</v>
      </c>
      <c r="C3286" s="48"/>
      <c r="D3286" s="111" t="s">
        <v>568</v>
      </c>
      <c r="E3286" s="49" t="s">
        <v>423</v>
      </c>
      <c r="F3286" s="112"/>
      <c r="G3286" s="111"/>
      <c r="H3286" s="113">
        <v>1</v>
      </c>
      <c r="I3286" s="113">
        <f>+辅材及安装费!$G$12</f>
        <v>15</v>
      </c>
      <c r="J3286" s="114">
        <f>H3286*I3286</f>
        <v>15</v>
      </c>
      <c r="K3286" s="92"/>
      <c r="L3286" s="34" t="s">
        <v>447</v>
      </c>
      <c r="M3286" s="70" t="s">
        <v>569</v>
      </c>
      <c r="N3286" s="34">
        <f>0.184*2.71</f>
        <v>0.49864</v>
      </c>
      <c r="O3286" s="34">
        <v>1</v>
      </c>
      <c r="P3286" s="34">
        <v>1</v>
      </c>
      <c r="Q3286" s="44">
        <f t="shared" si="504"/>
        <v>0.49864</v>
      </c>
      <c r="R3286" s="71">
        <f>+Q3286/R3276</f>
        <v>0.49864</v>
      </c>
      <c r="S3286" s="47">
        <v>0.125</v>
      </c>
      <c r="T3286" s="47">
        <f>O3286*S3286</f>
        <v>0.125</v>
      </c>
    </row>
    <row r="3287" s="27" customFormat="1" ht="18" customHeight="1" spans="1:20">
      <c r="A3287" s="34"/>
      <c r="B3287" s="48">
        <v>3</v>
      </c>
      <c r="C3287" s="48"/>
      <c r="D3287" s="115"/>
      <c r="E3287" s="63"/>
      <c r="F3287" s="116"/>
      <c r="G3287" s="115"/>
      <c r="H3287" s="117"/>
      <c r="I3287" s="117"/>
      <c r="J3287" s="118"/>
      <c r="K3287" s="92"/>
      <c r="L3287" s="90" t="s">
        <v>447</v>
      </c>
      <c r="M3287" s="70"/>
      <c r="N3287" s="82"/>
      <c r="O3287" s="44"/>
      <c r="P3287" s="44">
        <v>1</v>
      </c>
      <c r="Q3287" s="44">
        <f t="shared" si="504"/>
        <v>0</v>
      </c>
      <c r="R3287" s="84">
        <f>Q3287/R3276</f>
        <v>0</v>
      </c>
      <c r="S3287" s="47"/>
      <c r="T3287" s="47">
        <f>S3287*O3287*P3287</f>
        <v>0</v>
      </c>
    </row>
    <row r="3288" s="27" customFormat="1" ht="18" customHeight="1" spans="1:20">
      <c r="A3288" s="34"/>
      <c r="B3288" s="48">
        <v>4</v>
      </c>
      <c r="C3288" s="48"/>
      <c r="D3288" s="85" t="s">
        <v>426</v>
      </c>
      <c r="E3288" s="48" t="s">
        <v>392</v>
      </c>
      <c r="F3288" s="50"/>
      <c r="G3288" s="48"/>
      <c r="H3288" s="86"/>
      <c r="I3288" s="86"/>
      <c r="J3288" s="95">
        <f>SUM(J3286:J3286)</f>
        <v>15</v>
      </c>
      <c r="K3288" s="92"/>
      <c r="L3288" s="90"/>
      <c r="M3288" s="44"/>
      <c r="N3288" s="82"/>
      <c r="O3288" s="44"/>
      <c r="P3288" s="44"/>
      <c r="Q3288" s="44"/>
      <c r="R3288" s="84"/>
      <c r="S3288" s="47"/>
      <c r="T3288" s="47"/>
    </row>
    <row r="3289" s="27" customFormat="1" ht="22" customHeight="1" spans="1:20">
      <c r="A3289" s="34"/>
      <c r="B3289" s="48">
        <v>1</v>
      </c>
      <c r="C3289" s="48" t="s">
        <v>394</v>
      </c>
      <c r="D3289" s="88"/>
      <c r="E3289" s="72"/>
      <c r="F3289" s="77"/>
      <c r="G3289" s="89"/>
      <c r="H3289" s="74"/>
      <c r="I3289" s="74"/>
      <c r="J3289" s="95"/>
      <c r="K3289" s="92">
        <f ca="1">H3289*K3275</f>
        <v>0</v>
      </c>
      <c r="L3289" s="90"/>
      <c r="M3289" s="44"/>
      <c r="N3289" s="82"/>
      <c r="O3289" s="44"/>
      <c r="P3289" s="44"/>
      <c r="Q3289" s="44"/>
      <c r="R3289" s="84"/>
      <c r="S3289" s="47"/>
      <c r="T3289" s="47"/>
    </row>
    <row r="3290" s="27" customFormat="1" ht="18" customHeight="1" spans="1:20">
      <c r="A3290" s="34"/>
      <c r="B3290" s="48">
        <v>2</v>
      </c>
      <c r="C3290" s="48"/>
      <c r="D3290" s="88"/>
      <c r="E3290" s="72"/>
      <c r="F3290" s="77"/>
      <c r="G3290" s="89"/>
      <c r="H3290" s="74"/>
      <c r="I3290" s="74"/>
      <c r="J3290" s="95"/>
      <c r="K3290" s="92">
        <f ca="1">H3290*K3275</f>
        <v>0</v>
      </c>
      <c r="L3290" s="90"/>
      <c r="M3290" s="44"/>
      <c r="N3290" s="82"/>
      <c r="O3290" s="44"/>
      <c r="P3290" s="44"/>
      <c r="Q3290" s="44"/>
      <c r="R3290" s="84"/>
      <c r="S3290" s="47"/>
      <c r="T3290" s="47"/>
    </row>
    <row r="3291" s="27" customFormat="1" ht="18" customHeight="1" spans="1:20">
      <c r="A3291" s="34"/>
      <c r="B3291" s="48">
        <v>3</v>
      </c>
      <c r="C3291" s="48"/>
      <c r="D3291" s="88"/>
      <c r="E3291" s="72"/>
      <c r="F3291" s="77"/>
      <c r="G3291" s="89"/>
      <c r="H3291" s="74"/>
      <c r="I3291" s="74"/>
      <c r="J3291" s="95"/>
      <c r="K3291" s="92">
        <f ca="1">H3291*K3275</f>
        <v>0</v>
      </c>
      <c r="L3291" s="90"/>
      <c r="M3291" s="44"/>
      <c r="N3291" s="82"/>
      <c r="O3291" s="44"/>
      <c r="P3291" s="44"/>
      <c r="Q3291" s="44"/>
      <c r="R3291" s="84"/>
      <c r="S3291" s="47"/>
      <c r="T3291" s="47"/>
    </row>
    <row r="3292" s="27" customFormat="1" ht="18" customHeight="1" spans="1:20">
      <c r="A3292" s="34"/>
      <c r="B3292" s="48">
        <v>4</v>
      </c>
      <c r="C3292" s="48"/>
      <c r="D3292" s="88" t="s">
        <v>433</v>
      </c>
      <c r="E3292" s="72" t="str">
        <f>+VLOOKUP(D3292,'材料表 '!C:F,2,0)</f>
        <v>kg</v>
      </c>
      <c r="F3292" s="77">
        <f>R3285</f>
        <v>0.28726</v>
      </c>
      <c r="G3292" s="89">
        <f>+VLOOKUP(D3292,'材料表 '!C:F,4,0)</f>
        <v>0.03</v>
      </c>
      <c r="H3292" s="74">
        <f t="shared" ref="H3292:H3295" si="505">F3292*(G3292+1)</f>
        <v>0.2958778</v>
      </c>
      <c r="I3292" s="74">
        <f>+VLOOKUP(D3292,'材料表 '!C:F,3,0)</f>
        <v>26.1150442477876</v>
      </c>
      <c r="J3292" s="95">
        <f t="shared" ref="J3292:J3295" si="506">H3292*I3292</f>
        <v>7.72686183893805</v>
      </c>
      <c r="K3292" s="92">
        <f ca="1">H3292*K3275</f>
        <v>1607.391653836</v>
      </c>
      <c r="L3292" s="90"/>
      <c r="M3292" s="44"/>
      <c r="N3292" s="82"/>
      <c r="O3292" s="44"/>
      <c r="P3292" s="44"/>
      <c r="Q3292" s="44"/>
      <c r="R3292" s="84"/>
      <c r="S3292" s="47"/>
      <c r="T3292" s="47">
        <f>SUM(T3286:T3291)</f>
        <v>0.125</v>
      </c>
    </row>
    <row r="3293" s="27" customFormat="1" ht="18" customHeight="1" spans="1:20">
      <c r="A3293" s="34"/>
      <c r="B3293" s="48">
        <v>5</v>
      </c>
      <c r="C3293" s="48"/>
      <c r="D3293" s="88" t="s">
        <v>447</v>
      </c>
      <c r="E3293" s="72" t="str">
        <f>+VLOOKUP(D3293,'材料表 '!C:F,2,0)</f>
        <v>kg</v>
      </c>
      <c r="F3293" s="77">
        <f>R3286</f>
        <v>0.49864</v>
      </c>
      <c r="G3293" s="89">
        <f>+VLOOKUP(D3293,'材料表 '!C:F,4,0)</f>
        <v>0.03</v>
      </c>
      <c r="H3293" s="74">
        <f t="shared" si="505"/>
        <v>0.5135992</v>
      </c>
      <c r="I3293" s="74">
        <f>+VLOOKUP(D3293,'材料表 '!C:F,3,0)</f>
        <v>24.4336283185841</v>
      </c>
      <c r="J3293" s="95">
        <f t="shared" si="506"/>
        <v>12.5490919575221</v>
      </c>
      <c r="K3293" s="92">
        <f ca="1">H3293*K3275</f>
        <v>2790.189285904</v>
      </c>
      <c r="L3293" s="92" t="s">
        <v>476</v>
      </c>
      <c r="M3293" s="44"/>
      <c r="N3293" s="82"/>
      <c r="O3293" s="44"/>
      <c r="P3293" s="44"/>
      <c r="Q3293" s="44">
        <f>10*8*(O3276*0+P3276*0)/500</f>
        <v>0</v>
      </c>
      <c r="R3293" s="84">
        <f>+Q3293/R3276</f>
        <v>0</v>
      </c>
      <c r="S3293" s="47"/>
      <c r="T3293" s="47"/>
    </row>
    <row r="3294" s="27" customFormat="1" ht="18" customHeight="1" spans="1:20">
      <c r="A3294" s="34"/>
      <c r="B3294" s="48">
        <v>6</v>
      </c>
      <c r="C3294" s="48"/>
      <c r="D3294" s="88" t="s">
        <v>434</v>
      </c>
      <c r="E3294" s="72" t="str">
        <f>+VLOOKUP(D3294,'材料表 '!C:F,2,0)</f>
        <v>m2</v>
      </c>
      <c r="F3294" s="77">
        <f>T3286</f>
        <v>0.125</v>
      </c>
      <c r="G3294" s="89">
        <f>+VLOOKUP(D3294,'材料表 '!C:F,4,0)</f>
        <v>0</v>
      </c>
      <c r="H3294" s="74">
        <f t="shared" si="505"/>
        <v>0.125</v>
      </c>
      <c r="I3294" s="74">
        <f>+VLOOKUP(D3294,'材料表 '!C:F,3,0)+5</f>
        <v>54.5575221238938</v>
      </c>
      <c r="J3294" s="95">
        <f t="shared" si="506"/>
        <v>6.81969026548672</v>
      </c>
      <c r="K3294" s="92">
        <f ca="1">H3294*K3275</f>
        <v>679.0775</v>
      </c>
      <c r="L3294" s="92"/>
      <c r="M3294" s="44"/>
      <c r="N3294" s="82"/>
      <c r="O3294" s="44"/>
      <c r="P3294" s="44"/>
      <c r="Q3294" s="44"/>
      <c r="R3294" s="84"/>
      <c r="S3294" s="47"/>
      <c r="T3294" s="47"/>
    </row>
    <row r="3295" s="27" customFormat="1" ht="18" customHeight="1" spans="1:20">
      <c r="A3295" s="34"/>
      <c r="B3295" s="48">
        <v>7</v>
      </c>
      <c r="C3295" s="48"/>
      <c r="D3295" s="88" t="s">
        <v>500</v>
      </c>
      <c r="E3295" s="72" t="str">
        <f>+VLOOKUP(D3295,'材料表 '!C:F,2,0)</f>
        <v>kg</v>
      </c>
      <c r="F3295" s="77">
        <f>0</f>
        <v>0</v>
      </c>
      <c r="G3295" s="89">
        <f>+VLOOKUP(D3295,'材料表 '!C:F,4,0)</f>
        <v>0.03</v>
      </c>
      <c r="H3295" s="74">
        <f t="shared" si="505"/>
        <v>0</v>
      </c>
      <c r="I3295" s="74">
        <f>+VLOOKUP(D3295,'材料表 '!C:F,3,0)</f>
        <v>14.1592920353982</v>
      </c>
      <c r="J3295" s="95">
        <f t="shared" si="506"/>
        <v>0</v>
      </c>
      <c r="K3295" s="92">
        <f ca="1">H3295*K3275</f>
        <v>0</v>
      </c>
      <c r="L3295" s="92"/>
      <c r="M3295" s="44"/>
      <c r="N3295" s="82"/>
      <c r="O3295" s="44"/>
      <c r="P3295" s="44"/>
      <c r="Q3295" s="44"/>
      <c r="R3295" s="84"/>
      <c r="S3295" s="47"/>
      <c r="T3295" s="47"/>
    </row>
    <row r="3296" s="27" customFormat="1" ht="18" customHeight="1" spans="1:20">
      <c r="A3296" s="34"/>
      <c r="B3296" s="48">
        <v>8</v>
      </c>
      <c r="C3296" s="48"/>
      <c r="D3296" s="88"/>
      <c r="E3296" s="72"/>
      <c r="F3296" s="77"/>
      <c r="G3296" s="89"/>
      <c r="H3296" s="74"/>
      <c r="I3296" s="74"/>
      <c r="J3296" s="95"/>
      <c r="K3296" s="92">
        <f ca="1">H3296*K3275</f>
        <v>0</v>
      </c>
      <c r="L3296" s="92"/>
      <c r="M3296" s="44"/>
      <c r="N3296" s="82"/>
      <c r="O3296" s="44"/>
      <c r="P3296" s="44"/>
      <c r="Q3296" s="44"/>
      <c r="R3296" s="84"/>
      <c r="S3296" s="47"/>
      <c r="T3296" s="47"/>
    </row>
    <row r="3297" s="27" customFormat="1" ht="18" customHeight="1" spans="1:20">
      <c r="A3297" s="34"/>
      <c r="B3297" s="48">
        <v>9</v>
      </c>
      <c r="C3297" s="48"/>
      <c r="D3297" s="88" t="s">
        <v>476</v>
      </c>
      <c r="E3297" s="72" t="str">
        <f>+VLOOKUP(D3297,'材料表 '!C:F,2,0)</f>
        <v>支</v>
      </c>
      <c r="F3297" s="77">
        <v>0</v>
      </c>
      <c r="G3297" s="89">
        <f>+VLOOKUP(D3297,'材料表 '!C:F,4,0)</f>
        <v>0.15</v>
      </c>
      <c r="H3297" s="74">
        <f>F3297*(G3297+1)</f>
        <v>0</v>
      </c>
      <c r="I3297" s="74">
        <f>+VLOOKUP(D3297,'材料表 '!C:F,3,0)</f>
        <v>11.5044247787611</v>
      </c>
      <c r="J3297" s="95">
        <f>H3297*I3297</f>
        <v>0</v>
      </c>
      <c r="K3297" s="92">
        <f ca="1">H3297*K3275</f>
        <v>0</v>
      </c>
      <c r="L3297" s="90"/>
      <c r="M3297" s="44"/>
      <c r="N3297" s="82"/>
      <c r="O3297" s="34"/>
      <c r="P3297" s="44"/>
      <c r="Q3297" s="44"/>
      <c r="R3297" s="119"/>
      <c r="S3297" s="47"/>
      <c r="T3297" s="47"/>
    </row>
    <row r="3298" s="27" customFormat="1" ht="23" customHeight="1" spans="1:20">
      <c r="A3298" s="34"/>
      <c r="B3298" s="48">
        <v>10</v>
      </c>
      <c r="C3298" s="48"/>
      <c r="D3298" s="88"/>
      <c r="E3298" s="72"/>
      <c r="F3298" s="77"/>
      <c r="G3298" s="89"/>
      <c r="H3298" s="74"/>
      <c r="I3298" s="74"/>
      <c r="J3298" s="95"/>
      <c r="K3298" s="92">
        <f ca="1">H3298*K3275</f>
        <v>0</v>
      </c>
      <c r="L3298" s="92"/>
      <c r="M3298" s="120"/>
      <c r="N3298" s="82"/>
      <c r="O3298" s="44"/>
      <c r="P3298" s="44"/>
      <c r="Q3298" s="44"/>
      <c r="R3298" s="84"/>
      <c r="S3298" s="47"/>
      <c r="T3298" s="47"/>
    </row>
    <row r="3299" s="27" customFormat="1" ht="20" customHeight="1" spans="1:20">
      <c r="A3299" s="34"/>
      <c r="B3299" s="48">
        <v>11</v>
      </c>
      <c r="C3299" s="48"/>
      <c r="D3299" s="88"/>
      <c r="E3299" s="72"/>
      <c r="F3299" s="77"/>
      <c r="G3299" s="89"/>
      <c r="H3299" s="74"/>
      <c r="I3299" s="74"/>
      <c r="J3299" s="95"/>
      <c r="K3299" s="92">
        <f ca="1">H3299*K3275</f>
        <v>0</v>
      </c>
      <c r="L3299" s="92"/>
      <c r="M3299" s="44"/>
      <c r="N3299" s="82"/>
      <c r="O3299" s="44"/>
      <c r="P3299" s="44"/>
      <c r="Q3299" s="44"/>
      <c r="R3299" s="84"/>
      <c r="S3299" s="47"/>
      <c r="T3299" s="47"/>
    </row>
    <row r="3300" s="27" customFormat="1" ht="24" customHeight="1" spans="1:20">
      <c r="A3300" s="34"/>
      <c r="B3300" s="48">
        <v>12</v>
      </c>
      <c r="C3300" s="48"/>
      <c r="D3300" s="127"/>
      <c r="E3300" s="72"/>
      <c r="F3300" s="128"/>
      <c r="G3300" s="89"/>
      <c r="H3300" s="74"/>
      <c r="I3300" s="74"/>
      <c r="J3300" s="95"/>
      <c r="K3300" s="92">
        <f ca="1">H3300*K3275</f>
        <v>0</v>
      </c>
      <c r="L3300" s="92"/>
      <c r="M3300" s="44"/>
      <c r="N3300" s="44"/>
      <c r="O3300" s="44"/>
      <c r="P3300" s="44"/>
      <c r="Q3300" s="44"/>
      <c r="R3300" s="84"/>
      <c r="S3300" s="47"/>
      <c r="T3300" s="47"/>
    </row>
    <row r="3301" s="27" customFormat="1" ht="18" customHeight="1" spans="1:20">
      <c r="A3301" s="34"/>
      <c r="B3301" s="48">
        <v>13</v>
      </c>
      <c r="C3301" s="48"/>
      <c r="D3301" s="88"/>
      <c r="E3301" s="72"/>
      <c r="F3301" s="77"/>
      <c r="G3301" s="89"/>
      <c r="H3301" s="74"/>
      <c r="I3301" s="74"/>
      <c r="J3301" s="95"/>
      <c r="K3301" s="92">
        <f ca="1">H3301*K3275</f>
        <v>0</v>
      </c>
      <c r="L3301" s="92"/>
      <c r="M3301" s="44"/>
      <c r="N3301" s="44"/>
      <c r="O3301" s="44"/>
      <c r="P3301" s="44"/>
      <c r="Q3301" s="44"/>
      <c r="R3301" s="84"/>
      <c r="S3301" s="47"/>
      <c r="T3301" s="47"/>
    </row>
    <row r="3302" s="27" customFormat="1" ht="24" customHeight="1" spans="1:20">
      <c r="A3302" s="34"/>
      <c r="B3302" s="48">
        <v>14</v>
      </c>
      <c r="C3302" s="48"/>
      <c r="D3302" s="88"/>
      <c r="E3302" s="72"/>
      <c r="F3302" s="77"/>
      <c r="G3302" s="89"/>
      <c r="H3302" s="74"/>
      <c r="I3302" s="74"/>
      <c r="J3302" s="95"/>
      <c r="K3302" s="92">
        <f ca="1">H3302*K3275</f>
        <v>0</v>
      </c>
      <c r="L3302" s="92"/>
      <c r="M3302" s="44"/>
      <c r="N3302" s="44"/>
      <c r="O3302" s="44"/>
      <c r="P3302" s="44"/>
      <c r="Q3302" s="44"/>
      <c r="R3302" s="84"/>
      <c r="S3302" s="47"/>
      <c r="T3302" s="47"/>
    </row>
    <row r="3303" s="27" customFormat="1" ht="18" customHeight="1" spans="1:20">
      <c r="A3303" s="34"/>
      <c r="B3303" s="48">
        <v>15</v>
      </c>
      <c r="C3303" s="48"/>
      <c r="D3303" s="88"/>
      <c r="E3303" s="72"/>
      <c r="F3303" s="77"/>
      <c r="G3303" s="89"/>
      <c r="H3303" s="74"/>
      <c r="I3303" s="74"/>
      <c r="J3303" s="95"/>
      <c r="K3303" s="92"/>
      <c r="L3303" s="92"/>
      <c r="M3303" s="44"/>
      <c r="N3303" s="44"/>
      <c r="O3303" s="44"/>
      <c r="P3303" s="44"/>
      <c r="Q3303" s="44"/>
      <c r="R3303" s="84"/>
      <c r="S3303" s="47"/>
      <c r="T3303" s="47"/>
    </row>
    <row r="3304" s="27" customFormat="1" ht="18" customHeight="1" spans="1:20">
      <c r="A3304" s="34"/>
      <c r="B3304" s="48">
        <v>16</v>
      </c>
      <c r="C3304" s="48"/>
      <c r="D3304" s="88"/>
      <c r="E3304" s="72"/>
      <c r="F3304" s="77"/>
      <c r="G3304" s="89"/>
      <c r="H3304" s="74"/>
      <c r="I3304" s="74"/>
      <c r="J3304" s="95"/>
      <c r="K3304" s="92"/>
      <c r="L3304" s="92"/>
      <c r="M3304" s="44"/>
      <c r="N3304" s="44"/>
      <c r="O3304" s="44"/>
      <c r="P3304" s="44"/>
      <c r="Q3304" s="44"/>
      <c r="R3304" s="84"/>
      <c r="S3304" s="47"/>
      <c r="T3304" s="47"/>
    </row>
    <row r="3305" s="27" customFormat="1" ht="18" customHeight="1" spans="1:20">
      <c r="A3305" s="34"/>
      <c r="B3305" s="48">
        <v>17</v>
      </c>
      <c r="C3305" s="48"/>
      <c r="D3305" s="121"/>
      <c r="E3305" s="72"/>
      <c r="F3305" s="77"/>
      <c r="G3305" s="89"/>
      <c r="H3305" s="74"/>
      <c r="I3305" s="74"/>
      <c r="J3305" s="95"/>
      <c r="K3305" s="92"/>
      <c r="L3305" s="92"/>
      <c r="M3305" s="44"/>
      <c r="N3305" s="44"/>
      <c r="O3305" s="44"/>
      <c r="P3305" s="44"/>
      <c r="Q3305" s="101"/>
      <c r="R3305" s="84"/>
      <c r="S3305" s="47"/>
      <c r="T3305" s="47"/>
    </row>
    <row r="3306" s="27" customFormat="1" ht="18" customHeight="1" spans="1:20">
      <c r="A3306" s="34"/>
      <c r="B3306" s="48">
        <v>18</v>
      </c>
      <c r="C3306" s="48"/>
      <c r="D3306" s="88"/>
      <c r="E3306" s="72"/>
      <c r="F3306" s="77"/>
      <c r="G3306" s="89"/>
      <c r="H3306" s="74"/>
      <c r="I3306" s="74"/>
      <c r="J3306" s="95"/>
      <c r="K3306" s="92"/>
      <c r="L3306" s="92"/>
      <c r="M3306" s="44"/>
      <c r="N3306" s="44"/>
      <c r="O3306" s="44"/>
      <c r="P3306" s="44"/>
      <c r="Q3306" s="44"/>
      <c r="R3306" s="84"/>
      <c r="S3306" s="47"/>
      <c r="T3306" s="47"/>
    </row>
    <row r="3307" s="27" customFormat="1" ht="18" customHeight="1" spans="1:20">
      <c r="A3307" s="34"/>
      <c r="B3307" s="48">
        <v>19</v>
      </c>
      <c r="C3307" s="48"/>
      <c r="D3307" s="27"/>
      <c r="E3307" s="72"/>
      <c r="F3307" s="77"/>
      <c r="G3307" s="89"/>
      <c r="H3307" s="74"/>
      <c r="I3307" s="74"/>
      <c r="J3307" s="95"/>
      <c r="K3307" s="92"/>
      <c r="L3307" s="92"/>
      <c r="M3307" s="44"/>
      <c r="N3307" s="44"/>
      <c r="O3307" s="44"/>
      <c r="P3307" s="44"/>
      <c r="Q3307" s="44"/>
      <c r="R3307" s="84"/>
      <c r="S3307" s="47"/>
      <c r="T3307" s="47"/>
    </row>
    <row r="3308" s="27" customFormat="1" ht="18" customHeight="1" spans="1:20">
      <c r="A3308" s="34"/>
      <c r="B3308" s="48">
        <v>20</v>
      </c>
      <c r="C3308" s="48"/>
      <c r="D3308" s="88"/>
      <c r="E3308" s="72"/>
      <c r="F3308" s="77"/>
      <c r="G3308" s="89"/>
      <c r="H3308" s="74"/>
      <c r="I3308" s="74"/>
      <c r="J3308" s="95"/>
      <c r="K3308" s="92"/>
      <c r="L3308" s="92"/>
      <c r="M3308" s="44"/>
      <c r="N3308" s="44"/>
      <c r="O3308" s="44"/>
      <c r="P3308" s="44"/>
      <c r="Q3308" s="44"/>
      <c r="R3308" s="84"/>
      <c r="S3308" s="47"/>
      <c r="T3308" s="47"/>
    </row>
    <row r="3309" s="27" customFormat="1" ht="18" customHeight="1" spans="1:20">
      <c r="A3309" s="34"/>
      <c r="B3309" s="48">
        <v>21</v>
      </c>
      <c r="C3309" s="48"/>
      <c r="D3309" s="88"/>
      <c r="E3309" s="72"/>
      <c r="F3309" s="77"/>
      <c r="G3309" s="89"/>
      <c r="H3309" s="74"/>
      <c r="I3309" s="74"/>
      <c r="J3309" s="95"/>
      <c r="K3309" s="92"/>
      <c r="L3309" s="92"/>
      <c r="M3309" s="44"/>
      <c r="N3309" s="44"/>
      <c r="O3309" s="44"/>
      <c r="P3309" s="44"/>
      <c r="Q3309" s="44"/>
      <c r="R3309" s="84"/>
      <c r="S3309" s="47"/>
      <c r="T3309" s="47"/>
    </row>
    <row r="3310" s="27" customFormat="1" ht="18" customHeight="1" spans="1:20">
      <c r="A3310" s="34"/>
      <c r="B3310" s="48">
        <v>22</v>
      </c>
      <c r="C3310" s="48"/>
      <c r="D3310" s="27"/>
      <c r="E3310" s="72"/>
      <c r="F3310" s="77"/>
      <c r="G3310" s="72"/>
      <c r="H3310" s="74"/>
      <c r="I3310" s="74"/>
      <c r="J3310" s="95"/>
      <c r="K3310" s="92"/>
      <c r="L3310" s="92"/>
      <c r="M3310" s="44"/>
      <c r="N3310" s="44"/>
      <c r="O3310" s="44"/>
      <c r="P3310" s="44"/>
      <c r="Q3310" s="44"/>
      <c r="R3310" s="62"/>
      <c r="S3310" s="47"/>
      <c r="T3310" s="47"/>
    </row>
    <row r="3311" s="27" customFormat="1" ht="18" customHeight="1" spans="1:20">
      <c r="A3311" s="34"/>
      <c r="B3311" s="48">
        <v>23</v>
      </c>
      <c r="C3311" s="48"/>
      <c r="D3311" s="88"/>
      <c r="E3311" s="72"/>
      <c r="F3311" s="77"/>
      <c r="G3311" s="89"/>
      <c r="H3311" s="74"/>
      <c r="I3311" s="74"/>
      <c r="J3311" s="95"/>
      <c r="K3311" s="92"/>
      <c r="L3311" s="92"/>
      <c r="M3311" s="44"/>
      <c r="N3311" s="44"/>
      <c r="O3311" s="44"/>
      <c r="P3311" s="44"/>
      <c r="Q3311" s="44"/>
      <c r="R3311" s="62"/>
      <c r="S3311" s="47"/>
      <c r="T3311" s="47"/>
    </row>
    <row r="3312" s="27" customFormat="1" ht="18" customHeight="1" spans="1:20">
      <c r="A3312" s="34"/>
      <c r="B3312" s="48">
        <v>24</v>
      </c>
      <c r="C3312" s="48"/>
      <c r="D3312" s="88" t="s">
        <v>478</v>
      </c>
      <c r="E3312" s="72" t="s">
        <v>43</v>
      </c>
      <c r="F3312" s="77"/>
      <c r="G3312" s="72">
        <v>1</v>
      </c>
      <c r="H3312" s="74">
        <v>1</v>
      </c>
      <c r="I3312" s="74">
        <f>+辅材及安装费!$E$12</f>
        <v>2</v>
      </c>
      <c r="J3312" s="95">
        <f>H3312*I3312</f>
        <v>2</v>
      </c>
      <c r="K3312" s="92"/>
      <c r="L3312" s="92"/>
      <c r="M3312" s="44"/>
      <c r="N3312" s="44"/>
      <c r="O3312" s="44"/>
      <c r="P3312" s="44"/>
      <c r="Q3312" s="44"/>
      <c r="R3312" s="62"/>
      <c r="S3312" s="47"/>
      <c r="T3312" s="47"/>
    </row>
    <row r="3313" s="27" customFormat="1" ht="18" customHeight="1" spans="1:20">
      <c r="A3313" s="34"/>
      <c r="B3313" s="48">
        <v>25</v>
      </c>
      <c r="C3313" s="48"/>
      <c r="D3313" s="93" t="s">
        <v>442</v>
      </c>
      <c r="E3313" s="72"/>
      <c r="F3313" s="77"/>
      <c r="G3313" s="72"/>
      <c r="H3313" s="74"/>
      <c r="I3313" s="74"/>
      <c r="J3313" s="95">
        <f>SUM(J3289:J3312)</f>
        <v>29.0956440619469</v>
      </c>
      <c r="K3313" s="92"/>
      <c r="L3313" s="94"/>
      <c r="N3313" s="83"/>
      <c r="O3313" s="83"/>
      <c r="P3313" s="83"/>
      <c r="Q3313" s="83"/>
      <c r="R3313" s="87"/>
      <c r="S3313" s="47"/>
      <c r="T3313" s="47"/>
    </row>
    <row r="3314" s="27" customFormat="1" ht="18" customHeight="1" spans="1:20">
      <c r="A3314" s="34"/>
      <c r="B3314" s="48">
        <v>1</v>
      </c>
      <c r="C3314" s="48" t="s">
        <v>443</v>
      </c>
      <c r="D3314" s="48" t="s">
        <v>444</v>
      </c>
      <c r="E3314" s="72" t="s">
        <v>43</v>
      </c>
      <c r="F3314" s="50"/>
      <c r="G3314" s="48"/>
      <c r="H3314" s="51">
        <v>1</v>
      </c>
      <c r="I3314" s="74">
        <f>+辅材及安装费!$F$12</f>
        <v>1</v>
      </c>
      <c r="J3314" s="95">
        <f>H3314*I3314</f>
        <v>1</v>
      </c>
      <c r="K3314" s="118"/>
      <c r="L3314" s="96"/>
      <c r="M3314" s="97"/>
      <c r="N3314" s="98"/>
      <c r="O3314" s="98"/>
      <c r="P3314" s="98"/>
      <c r="Q3314" s="98"/>
      <c r="R3314" s="99"/>
      <c r="S3314" s="47"/>
      <c r="T3314" s="47"/>
    </row>
    <row r="3315" s="26" customFormat="1" ht="30" customHeight="1" spans="1:20">
      <c r="A3315" s="28"/>
      <c r="B3315" s="29" t="s">
        <v>386</v>
      </c>
      <c r="C3315" s="29"/>
      <c r="D3315" s="29"/>
      <c r="E3315" s="29"/>
      <c r="F3315" s="29"/>
      <c r="G3315" s="29"/>
      <c r="H3315" s="29"/>
      <c r="I3315" s="29"/>
      <c r="J3315" s="29"/>
      <c r="K3315" s="29"/>
      <c r="L3315" s="30"/>
      <c r="M3315" s="31"/>
      <c r="N3315" s="31"/>
      <c r="O3315" s="31"/>
      <c r="P3315" s="31"/>
      <c r="Q3315" s="31"/>
      <c r="R3315" s="32"/>
      <c r="S3315" s="33"/>
      <c r="T3315" s="33"/>
    </row>
    <row r="3316" s="27" customFormat="1" ht="33.75" customHeight="1" spans="1:20">
      <c r="A3316" s="34">
        <v>2</v>
      </c>
      <c r="B3316" s="35" t="s">
        <v>1</v>
      </c>
      <c r="C3316" s="35" t="s">
        <v>387</v>
      </c>
      <c r="D3316" s="36" t="str">
        <f>+A3324</f>
        <v>香槟色铝合金线条（169*100）</v>
      </c>
      <c r="E3316" s="37"/>
      <c r="F3316" s="38"/>
      <c r="G3316" s="39"/>
      <c r="H3316" s="35" t="s">
        <v>388</v>
      </c>
      <c r="I3316" s="40" t="s">
        <v>389</v>
      </c>
      <c r="J3316" s="41" t="s">
        <v>37</v>
      </c>
      <c r="K3316" s="42">
        <f ca="1">VLOOKUP(A3316,'商业工程量清单 '!$A$88:$D$93,4,FALSE)</f>
        <v>341.661</v>
      </c>
      <c r="L3316" s="43"/>
      <c r="M3316" s="44"/>
      <c r="N3316" s="44"/>
      <c r="O3316" s="44"/>
      <c r="P3316" s="45"/>
      <c r="Q3316" s="44"/>
      <c r="R3316" s="46"/>
      <c r="S3316" s="47"/>
      <c r="T3316" s="47"/>
    </row>
    <row r="3317" s="27" customFormat="1" ht="25" customHeight="1" spans="1:20">
      <c r="A3317" s="34"/>
      <c r="B3317" s="48">
        <v>1</v>
      </c>
      <c r="C3317" s="49" t="s">
        <v>390</v>
      </c>
      <c r="D3317" s="48" t="s">
        <v>391</v>
      </c>
      <c r="E3317" s="48"/>
      <c r="F3317" s="50"/>
      <c r="G3317" s="48"/>
      <c r="H3317" s="51"/>
      <c r="I3317" s="52">
        <f>J3329</f>
        <v>15</v>
      </c>
      <c r="J3317" s="53" t="s">
        <v>392</v>
      </c>
      <c r="K3317" s="54"/>
      <c r="L3317" s="55"/>
      <c r="M3317" s="56"/>
      <c r="N3317" s="57"/>
      <c r="O3317" s="57">
        <v>1</v>
      </c>
      <c r="P3317" s="57">
        <v>1</v>
      </c>
      <c r="Q3317" s="57">
        <v>1</v>
      </c>
      <c r="R3317" s="58">
        <f>+Q3317*P3317*O3317</f>
        <v>1</v>
      </c>
      <c r="S3317" s="47"/>
      <c r="T3317" s="47"/>
    </row>
    <row r="3318" s="27" customFormat="1" ht="18" customHeight="1" spans="1:20">
      <c r="A3318" s="34"/>
      <c r="B3318" s="48">
        <v>2</v>
      </c>
      <c r="C3318" s="59"/>
      <c r="D3318" s="48" t="s">
        <v>394</v>
      </c>
      <c r="E3318" s="48"/>
      <c r="F3318" s="50"/>
      <c r="G3318" s="48"/>
      <c r="H3318" s="51"/>
      <c r="I3318" s="52">
        <f>J3354</f>
        <v>136.763906979646</v>
      </c>
      <c r="J3318" s="53" t="s">
        <v>392</v>
      </c>
      <c r="K3318" s="60"/>
      <c r="L3318" s="61"/>
      <c r="M3318" s="44"/>
      <c r="N3318" s="44"/>
      <c r="O3318" s="44"/>
      <c r="P3318" s="44"/>
      <c r="Q3318" s="44"/>
      <c r="R3318" s="62"/>
      <c r="S3318" s="47"/>
      <c r="T3318" s="47"/>
    </row>
    <row r="3319" s="27" customFormat="1" ht="18" customHeight="1" spans="1:20">
      <c r="A3319" s="34"/>
      <c r="B3319" s="48">
        <v>3</v>
      </c>
      <c r="C3319" s="63"/>
      <c r="D3319" s="48" t="s">
        <v>395</v>
      </c>
      <c r="E3319" s="48"/>
      <c r="F3319" s="50"/>
      <c r="G3319" s="48"/>
      <c r="H3319" s="51"/>
      <c r="I3319" s="52">
        <f>J3355</f>
        <v>1</v>
      </c>
      <c r="J3319" s="53" t="s">
        <v>392</v>
      </c>
      <c r="K3319" s="60"/>
      <c r="L3319" s="60"/>
      <c r="M3319" s="65" t="s">
        <v>396</v>
      </c>
      <c r="N3319" s="65" t="s">
        <v>397</v>
      </c>
      <c r="O3319" s="65" t="s">
        <v>398</v>
      </c>
      <c r="P3319" s="65" t="s">
        <v>399</v>
      </c>
      <c r="Q3319" s="65" t="s">
        <v>400</v>
      </c>
      <c r="R3319" s="66" t="s">
        <v>401</v>
      </c>
      <c r="S3319" s="47"/>
      <c r="T3319" s="47"/>
    </row>
    <row r="3320" s="27" customFormat="1" ht="18" customHeight="1" spans="1:20">
      <c r="A3320" s="34"/>
      <c r="B3320" s="48">
        <v>4</v>
      </c>
      <c r="C3320" s="48" t="s">
        <v>402</v>
      </c>
      <c r="D3320" s="67" t="s">
        <v>403</v>
      </c>
      <c r="E3320" s="67"/>
      <c r="F3320" s="50"/>
      <c r="G3320" s="67"/>
      <c r="H3320" s="68"/>
      <c r="I3320" s="52">
        <f>SUM(I3317:I3319)</f>
        <v>152.763906979646</v>
      </c>
      <c r="J3320" s="53" t="s">
        <v>392</v>
      </c>
      <c r="K3320" s="60"/>
      <c r="L3320" s="69"/>
      <c r="M3320" s="34"/>
      <c r="N3320" s="34"/>
      <c r="O3320" s="34"/>
      <c r="P3320" s="34"/>
      <c r="Q3320" s="44"/>
      <c r="R3320" s="71"/>
      <c r="S3320" s="47"/>
      <c r="T3320" s="47"/>
    </row>
    <row r="3321" s="27" customFormat="1" ht="28" customHeight="1" spans="1:20">
      <c r="A3321" s="34"/>
      <c r="B3321" s="48">
        <v>5</v>
      </c>
      <c r="C3321" s="72" t="s">
        <v>406</v>
      </c>
      <c r="D3321" s="48" t="s">
        <v>407</v>
      </c>
      <c r="E3321" s="48"/>
      <c r="F3321" s="50"/>
      <c r="G3321" s="48"/>
      <c r="H3321" s="73">
        <f>+'材料表 '!$E$178</f>
        <v>0</v>
      </c>
      <c r="I3321" s="52">
        <f>H3321*I3320</f>
        <v>0</v>
      </c>
      <c r="J3321" s="53" t="s">
        <v>392</v>
      </c>
      <c r="K3321" s="60"/>
      <c r="L3321" s="69"/>
      <c r="M3321" s="34"/>
      <c r="N3321" s="102"/>
      <c r="O3321" s="34"/>
      <c r="P3321" s="34"/>
      <c r="Q3321" s="44"/>
      <c r="R3321" s="71"/>
      <c r="S3321" s="47"/>
      <c r="T3321" s="47"/>
    </row>
    <row r="3322" s="27" customFormat="1" ht="18" customHeight="1" spans="1:20">
      <c r="A3322" s="34"/>
      <c r="B3322" s="48">
        <v>6</v>
      </c>
      <c r="C3322" s="48" t="s">
        <v>409</v>
      </c>
      <c r="D3322" s="48" t="s">
        <v>410</v>
      </c>
      <c r="E3322" s="48"/>
      <c r="F3322" s="50"/>
      <c r="G3322" s="48"/>
      <c r="H3322" s="73">
        <f>+'材料表 '!$E$179</f>
        <v>0</v>
      </c>
      <c r="I3322" s="52">
        <f>H3322*I3320</f>
        <v>0</v>
      </c>
      <c r="J3322" s="53" t="s">
        <v>392</v>
      </c>
      <c r="K3322" s="60"/>
      <c r="L3322" s="69"/>
      <c r="M3322" s="34"/>
      <c r="N3322" s="34"/>
      <c r="O3322" s="34"/>
      <c r="P3322" s="34"/>
      <c r="Q3322" s="44"/>
      <c r="R3322" s="71"/>
      <c r="S3322" s="47"/>
      <c r="T3322" s="47"/>
    </row>
    <row r="3323" s="27" customFormat="1" ht="18" customHeight="1" spans="1:20">
      <c r="A3323" s="34"/>
      <c r="B3323" s="48">
        <v>7</v>
      </c>
      <c r="C3323" s="48" t="s">
        <v>412</v>
      </c>
      <c r="D3323" s="72" t="s">
        <v>413</v>
      </c>
      <c r="E3323" s="72"/>
      <c r="F3323" s="77"/>
      <c r="G3323" s="72"/>
      <c r="H3323" s="73">
        <f>+'材料表 '!$E$180</f>
        <v>0.09</v>
      </c>
      <c r="I3323" s="52">
        <f>(I3320+I3321+I3322)*H3323</f>
        <v>13.7487516281681</v>
      </c>
      <c r="J3323" s="53" t="s">
        <v>392</v>
      </c>
      <c r="K3323" s="60"/>
      <c r="L3323" s="69"/>
      <c r="M3323" s="34"/>
      <c r="N3323" s="34"/>
      <c r="O3323" s="34"/>
      <c r="P3323" s="34"/>
      <c r="Q3323" s="44"/>
      <c r="R3323" s="71"/>
      <c r="S3323" s="47"/>
      <c r="T3323" s="47"/>
    </row>
    <row r="3324" s="27" customFormat="1" ht="18" customHeight="1" spans="1:20">
      <c r="A3324" s="105" t="s">
        <v>349</v>
      </c>
      <c r="B3324" s="48">
        <v>8</v>
      </c>
      <c r="C3324" s="48" t="s">
        <v>363</v>
      </c>
      <c r="D3324" s="106" t="s">
        <v>415</v>
      </c>
      <c r="E3324" s="107"/>
      <c r="F3324" s="108"/>
      <c r="G3324" s="107"/>
      <c r="H3324" s="51"/>
      <c r="I3324" s="74">
        <f>SUM(I3320:I3323)</f>
        <v>166.512658607814</v>
      </c>
      <c r="J3324" s="53" t="s">
        <v>484</v>
      </c>
      <c r="K3324" s="60"/>
      <c r="L3324" s="69"/>
      <c r="M3324" s="34"/>
      <c r="N3324" s="126"/>
      <c r="O3324" s="34"/>
      <c r="P3324" s="44"/>
      <c r="Q3324" s="44"/>
      <c r="R3324" s="84"/>
      <c r="S3324" s="79"/>
      <c r="T3324" s="47"/>
    </row>
    <row r="3325" s="27" customFormat="1" ht="18" customHeight="1" spans="1:20">
      <c r="A3325" s="34"/>
      <c r="B3325" s="109" t="s">
        <v>418</v>
      </c>
      <c r="C3325" s="110"/>
      <c r="D3325" s="110"/>
      <c r="E3325" s="110"/>
      <c r="F3325" s="110"/>
      <c r="G3325" s="110"/>
      <c r="H3325" s="110"/>
      <c r="I3325" s="110"/>
      <c r="J3325" s="110"/>
      <c r="K3325" s="80"/>
      <c r="L3325" s="69"/>
      <c r="M3325" s="70"/>
      <c r="N3325" s="34"/>
      <c r="O3325" s="34"/>
      <c r="P3325" s="34"/>
      <c r="Q3325" s="44"/>
      <c r="R3325" s="71"/>
      <c r="S3325" s="47"/>
      <c r="T3325" s="47"/>
    </row>
    <row r="3326" s="27" customFormat="1" ht="18" customHeight="1" spans="1:20">
      <c r="A3326" s="34"/>
      <c r="B3326" s="48">
        <v>1</v>
      </c>
      <c r="C3326" s="48" t="s">
        <v>391</v>
      </c>
      <c r="D3326" s="48" t="s">
        <v>396</v>
      </c>
      <c r="E3326" s="48" t="s">
        <v>37</v>
      </c>
      <c r="F3326" s="50"/>
      <c r="G3326" s="48"/>
      <c r="H3326" s="51" t="s">
        <v>399</v>
      </c>
      <c r="I3326" s="51" t="s">
        <v>420</v>
      </c>
      <c r="J3326" s="95" t="s">
        <v>421</v>
      </c>
      <c r="K3326" s="92"/>
      <c r="L3326" s="69" t="s">
        <v>433</v>
      </c>
      <c r="M3326" s="70" t="s">
        <v>567</v>
      </c>
      <c r="N3326" s="34">
        <f>0.106*2.71</f>
        <v>0.28726</v>
      </c>
      <c r="O3326" s="34">
        <v>0</v>
      </c>
      <c r="P3326" s="34">
        <v>1</v>
      </c>
      <c r="Q3326" s="44">
        <f t="shared" ref="Q3326:Q3328" si="507">+P3326*O3326*N3326</f>
        <v>0</v>
      </c>
      <c r="R3326" s="71">
        <f>+Q3326/R3317</f>
        <v>0</v>
      </c>
      <c r="S3326" s="47"/>
      <c r="T3326" s="47"/>
    </row>
    <row r="3327" s="27" customFormat="1" ht="18" customHeight="1" spans="1:20">
      <c r="A3327" s="34"/>
      <c r="B3327" s="48">
        <v>2</v>
      </c>
      <c r="C3327" s="48"/>
      <c r="D3327" s="111" t="s">
        <v>568</v>
      </c>
      <c r="E3327" s="49" t="s">
        <v>423</v>
      </c>
      <c r="F3327" s="112"/>
      <c r="G3327" s="111"/>
      <c r="H3327" s="113">
        <v>1</v>
      </c>
      <c r="I3327" s="113">
        <f>+辅材及安装费!$G$12</f>
        <v>15</v>
      </c>
      <c r="J3327" s="114">
        <f>H3327*I3327</f>
        <v>15</v>
      </c>
      <c r="K3327" s="92"/>
      <c r="L3327" s="34" t="s">
        <v>447</v>
      </c>
      <c r="M3327" s="70" t="s">
        <v>569</v>
      </c>
      <c r="N3327" s="34">
        <f>1.089*2.71</f>
        <v>2.95119</v>
      </c>
      <c r="O3327" s="34">
        <v>1</v>
      </c>
      <c r="P3327" s="34">
        <v>1</v>
      </c>
      <c r="Q3327" s="44">
        <f t="shared" si="507"/>
        <v>2.95119</v>
      </c>
      <c r="R3327" s="71">
        <f>+Q3327/R3317</f>
        <v>2.95119</v>
      </c>
      <c r="S3327" s="47">
        <v>0.502</v>
      </c>
      <c r="T3327" s="47">
        <f>O3327*S3327</f>
        <v>0.502</v>
      </c>
    </row>
    <row r="3328" s="27" customFormat="1" ht="18" customHeight="1" spans="1:20">
      <c r="A3328" s="34"/>
      <c r="B3328" s="48">
        <v>3</v>
      </c>
      <c r="C3328" s="48"/>
      <c r="D3328" s="115"/>
      <c r="E3328" s="63"/>
      <c r="F3328" s="116"/>
      <c r="G3328" s="115"/>
      <c r="H3328" s="117"/>
      <c r="I3328" s="117"/>
      <c r="J3328" s="118"/>
      <c r="K3328" s="92"/>
      <c r="L3328" s="90" t="s">
        <v>447</v>
      </c>
      <c r="M3328" s="70"/>
      <c r="N3328" s="82">
        <f>0.15*2.71</f>
        <v>0.4065</v>
      </c>
      <c r="O3328" s="44">
        <v>1</v>
      </c>
      <c r="P3328" s="44">
        <v>1</v>
      </c>
      <c r="Q3328" s="44">
        <f t="shared" si="507"/>
        <v>0.4065</v>
      </c>
      <c r="R3328" s="84">
        <f>Q3328/R3317</f>
        <v>0.4065</v>
      </c>
      <c r="S3328" s="47">
        <v>0.15</v>
      </c>
      <c r="T3328" s="47">
        <f>S3328*O3328*P3328</f>
        <v>0.15</v>
      </c>
    </row>
    <row r="3329" s="27" customFormat="1" ht="18" customHeight="1" spans="1:20">
      <c r="A3329" s="34"/>
      <c r="B3329" s="48">
        <v>4</v>
      </c>
      <c r="C3329" s="48"/>
      <c r="D3329" s="85" t="s">
        <v>426</v>
      </c>
      <c r="E3329" s="48" t="s">
        <v>392</v>
      </c>
      <c r="F3329" s="50"/>
      <c r="G3329" s="48"/>
      <c r="H3329" s="86"/>
      <c r="I3329" s="86"/>
      <c r="J3329" s="95">
        <f>SUM(J3327:J3327)</f>
        <v>15</v>
      </c>
      <c r="K3329" s="92"/>
      <c r="L3329" s="90"/>
      <c r="M3329" s="44"/>
      <c r="N3329" s="82"/>
      <c r="O3329" s="44"/>
      <c r="P3329" s="44"/>
      <c r="Q3329" s="44"/>
      <c r="R3329" s="84"/>
      <c r="S3329" s="47"/>
      <c r="T3329" s="47"/>
    </row>
    <row r="3330" s="27" customFormat="1" ht="22" customHeight="1" spans="1:20">
      <c r="A3330" s="34"/>
      <c r="B3330" s="48">
        <v>1</v>
      </c>
      <c r="C3330" s="48" t="s">
        <v>394</v>
      </c>
      <c r="D3330" s="88"/>
      <c r="E3330" s="72"/>
      <c r="F3330" s="77"/>
      <c r="G3330" s="89"/>
      <c r="H3330" s="74"/>
      <c r="I3330" s="74"/>
      <c r="J3330" s="95"/>
      <c r="K3330" s="92">
        <f ca="1">H3330*K3316</f>
        <v>0</v>
      </c>
      <c r="L3330" s="90"/>
      <c r="M3330" s="44"/>
      <c r="N3330" s="82"/>
      <c r="O3330" s="44"/>
      <c r="P3330" s="44"/>
      <c r="Q3330" s="44"/>
      <c r="R3330" s="84"/>
      <c r="S3330" s="47"/>
      <c r="T3330" s="47"/>
    </row>
    <row r="3331" s="27" customFormat="1" ht="18" customHeight="1" spans="1:20">
      <c r="A3331" s="34"/>
      <c r="B3331" s="48">
        <v>2</v>
      </c>
      <c r="C3331" s="48"/>
      <c r="D3331" s="88"/>
      <c r="E3331" s="72"/>
      <c r="F3331" s="77"/>
      <c r="G3331" s="89"/>
      <c r="H3331" s="74"/>
      <c r="I3331" s="74"/>
      <c r="J3331" s="95"/>
      <c r="K3331" s="92">
        <f ca="1">H3331*K3316</f>
        <v>0</v>
      </c>
      <c r="L3331" s="90"/>
      <c r="M3331" s="44"/>
      <c r="N3331" s="82"/>
      <c r="O3331" s="44"/>
      <c r="P3331" s="44"/>
      <c r="Q3331" s="44"/>
      <c r="R3331" s="84"/>
      <c r="S3331" s="47"/>
      <c r="T3331" s="47"/>
    </row>
    <row r="3332" s="27" customFormat="1" ht="18" customHeight="1" spans="1:20">
      <c r="A3332" s="34"/>
      <c r="B3332" s="48">
        <v>3</v>
      </c>
      <c r="C3332" s="48"/>
      <c r="D3332" s="88"/>
      <c r="E3332" s="72"/>
      <c r="F3332" s="77"/>
      <c r="G3332" s="89"/>
      <c r="H3332" s="74"/>
      <c r="I3332" s="74"/>
      <c r="J3332" s="95"/>
      <c r="K3332" s="92">
        <f ca="1">H3332*K3316</f>
        <v>0</v>
      </c>
      <c r="L3332" s="90"/>
      <c r="M3332" s="44"/>
      <c r="N3332" s="82"/>
      <c r="O3332" s="44"/>
      <c r="P3332" s="44"/>
      <c r="Q3332" s="44"/>
      <c r="R3332" s="84"/>
      <c r="S3332" s="47"/>
      <c r="T3332" s="47"/>
    </row>
    <row r="3333" s="27" customFormat="1" ht="18" customHeight="1" spans="1:20">
      <c r="A3333" s="34"/>
      <c r="B3333" s="48">
        <v>4</v>
      </c>
      <c r="C3333" s="48"/>
      <c r="D3333" s="88" t="s">
        <v>433</v>
      </c>
      <c r="E3333" s="72" t="str">
        <f>+VLOOKUP(D3333,'材料表 '!C:F,2,0)</f>
        <v>kg</v>
      </c>
      <c r="F3333" s="77">
        <f>R3326</f>
        <v>0</v>
      </c>
      <c r="G3333" s="89">
        <f>+VLOOKUP(D3333,'材料表 '!C:F,4,0)</f>
        <v>0.03</v>
      </c>
      <c r="H3333" s="74">
        <f t="shared" ref="H3333:H3336" si="508">F3333*(G3333+1)</f>
        <v>0</v>
      </c>
      <c r="I3333" s="74">
        <f>+VLOOKUP(D3333,'材料表 '!C:F,3,0)</f>
        <v>26.1150442477876</v>
      </c>
      <c r="J3333" s="95">
        <f t="shared" ref="J3333:J3336" si="509">H3333*I3333</f>
        <v>0</v>
      </c>
      <c r="K3333" s="92">
        <f ca="1">H3333*K3316</f>
        <v>0</v>
      </c>
      <c r="L3333" s="90"/>
      <c r="M3333" s="44"/>
      <c r="N3333" s="82"/>
      <c r="O3333" s="44"/>
      <c r="P3333" s="44"/>
      <c r="Q3333" s="44"/>
      <c r="R3333" s="84"/>
      <c r="S3333" s="47"/>
      <c r="T3333" s="47"/>
    </row>
    <row r="3334" s="27" customFormat="1" ht="18" customHeight="1" spans="1:20">
      <c r="A3334" s="34"/>
      <c r="B3334" s="48">
        <v>5</v>
      </c>
      <c r="C3334" s="48"/>
      <c r="D3334" s="88" t="s">
        <v>447</v>
      </c>
      <c r="E3334" s="72" t="str">
        <f>+VLOOKUP(D3334,'材料表 '!C:F,2,0)</f>
        <v>kg</v>
      </c>
      <c r="F3334" s="77">
        <f>R3327+R3328</f>
        <v>3.35769</v>
      </c>
      <c r="G3334" s="89">
        <f>+VLOOKUP(D3334,'材料表 '!C:F,4,0)</f>
        <v>0.03</v>
      </c>
      <c r="H3334" s="74">
        <f t="shared" si="508"/>
        <v>3.4584207</v>
      </c>
      <c r="I3334" s="74">
        <f>+VLOOKUP(D3334,'材料表 '!C:F,3,0)</f>
        <v>24.4336283185841</v>
      </c>
      <c r="J3334" s="95">
        <f t="shared" si="509"/>
        <v>84.5017659530974</v>
      </c>
      <c r="K3334" s="92">
        <f ca="1">H3334*K3316</f>
        <v>1181.6074747827</v>
      </c>
      <c r="L3334" s="92" t="s">
        <v>476</v>
      </c>
      <c r="M3334" s="44"/>
      <c r="N3334" s="82"/>
      <c r="O3334" s="44"/>
      <c r="P3334" s="44"/>
      <c r="Q3334" s="44">
        <f>10*8*(O3317*0+P3317*0)/500</f>
        <v>0</v>
      </c>
      <c r="R3334" s="84">
        <f>+Q3334/R3317</f>
        <v>0</v>
      </c>
      <c r="S3334" s="47"/>
      <c r="T3334" s="47"/>
    </row>
    <row r="3335" s="27" customFormat="1" ht="18" customHeight="1" spans="1:20">
      <c r="A3335" s="34"/>
      <c r="B3335" s="48">
        <v>6</v>
      </c>
      <c r="C3335" s="48"/>
      <c r="D3335" s="88" t="s">
        <v>434</v>
      </c>
      <c r="E3335" s="72" t="str">
        <f>+VLOOKUP(D3335,'材料表 '!C:F,2,0)</f>
        <v>m2</v>
      </c>
      <c r="F3335" s="77">
        <f>T3327+T3328</f>
        <v>0.652</v>
      </c>
      <c r="G3335" s="89">
        <f>+VLOOKUP(D3335,'材料表 '!C:F,4,0)</f>
        <v>0</v>
      </c>
      <c r="H3335" s="74">
        <f t="shared" si="508"/>
        <v>0.652</v>
      </c>
      <c r="I3335" s="74">
        <f>+VLOOKUP(D3335,'材料表 '!C:F,3,0)+5</f>
        <v>54.5575221238938</v>
      </c>
      <c r="J3335" s="95">
        <f t="shared" si="509"/>
        <v>35.5715044247788</v>
      </c>
      <c r="K3335" s="92">
        <f ca="1">H3335*K3316</f>
        <v>222.762972</v>
      </c>
      <c r="L3335" s="92"/>
      <c r="M3335" s="44"/>
      <c r="N3335" s="82"/>
      <c r="O3335" s="44"/>
      <c r="P3335" s="44"/>
      <c r="Q3335" s="44"/>
      <c r="R3335" s="84"/>
      <c r="S3335" s="47"/>
      <c r="T3335" s="47"/>
    </row>
    <row r="3336" s="27" customFormat="1" ht="18" customHeight="1" spans="1:20">
      <c r="A3336" s="34"/>
      <c r="B3336" s="48">
        <v>7</v>
      </c>
      <c r="C3336" s="48"/>
      <c r="D3336" s="88" t="s">
        <v>500</v>
      </c>
      <c r="E3336" s="72" t="str">
        <f>+VLOOKUP(D3336,'材料表 '!C:F,2,0)</f>
        <v>kg</v>
      </c>
      <c r="F3336" s="77">
        <f>(R3326+R3327+R3328)*0.3</f>
        <v>1.007307</v>
      </c>
      <c r="G3336" s="89">
        <f>+VLOOKUP(D3336,'材料表 '!C:F,4,0)</f>
        <v>0.03</v>
      </c>
      <c r="H3336" s="74">
        <f t="shared" si="508"/>
        <v>1.03752621</v>
      </c>
      <c r="I3336" s="74">
        <f>+VLOOKUP(D3336,'材料表 '!C:F,3,0)</f>
        <v>14.1592920353982</v>
      </c>
      <c r="J3336" s="95">
        <f t="shared" si="509"/>
        <v>14.6906366017699</v>
      </c>
      <c r="K3336" s="92">
        <f ca="1">H3336*K3316</f>
        <v>354.48224243481</v>
      </c>
      <c r="L3336" s="92"/>
      <c r="M3336" s="44"/>
      <c r="N3336" s="82"/>
      <c r="O3336" s="44"/>
      <c r="P3336" s="44"/>
      <c r="Q3336" s="44"/>
      <c r="R3336" s="84"/>
      <c r="S3336" s="47"/>
      <c r="T3336" s="47"/>
    </row>
    <row r="3337" s="27" customFormat="1" ht="18" customHeight="1" spans="1:20">
      <c r="A3337" s="34"/>
      <c r="B3337" s="48">
        <v>8</v>
      </c>
      <c r="C3337" s="48"/>
      <c r="D3337" s="88"/>
      <c r="E3337" s="72"/>
      <c r="F3337" s="77"/>
      <c r="G3337" s="89"/>
      <c r="H3337" s="74"/>
      <c r="I3337" s="74"/>
      <c r="J3337" s="95"/>
      <c r="K3337" s="92">
        <f ca="1">H3337*K3316</f>
        <v>0</v>
      </c>
      <c r="L3337" s="92"/>
      <c r="M3337" s="44"/>
      <c r="N3337" s="82"/>
      <c r="O3337" s="44"/>
      <c r="P3337" s="44"/>
      <c r="Q3337" s="44"/>
      <c r="R3337" s="84"/>
      <c r="S3337" s="47"/>
      <c r="T3337" s="47"/>
    </row>
    <row r="3338" s="27" customFormat="1" ht="18" customHeight="1" spans="1:20">
      <c r="A3338" s="34"/>
      <c r="B3338" s="48">
        <v>9</v>
      </c>
      <c r="C3338" s="48"/>
      <c r="D3338" s="88" t="s">
        <v>476</v>
      </c>
      <c r="E3338" s="72" t="str">
        <f>+VLOOKUP(D3338,'材料表 '!C:F,2,0)</f>
        <v>支</v>
      </c>
      <c r="F3338" s="77">
        <v>0</v>
      </c>
      <c r="G3338" s="89">
        <f>+VLOOKUP(D3338,'材料表 '!C:F,4,0)</f>
        <v>0.15</v>
      </c>
      <c r="H3338" s="74">
        <f>F3338*(G3338+1)</f>
        <v>0</v>
      </c>
      <c r="I3338" s="74">
        <f>+VLOOKUP(D3338,'材料表 '!C:F,3,0)</f>
        <v>11.5044247787611</v>
      </c>
      <c r="J3338" s="95">
        <f>H3338*I3338</f>
        <v>0</v>
      </c>
      <c r="K3338" s="92">
        <f ca="1">H3338*K3316</f>
        <v>0</v>
      </c>
      <c r="L3338" s="90"/>
      <c r="M3338" s="44"/>
      <c r="N3338" s="82"/>
      <c r="O3338" s="34"/>
      <c r="P3338" s="44"/>
      <c r="Q3338" s="44"/>
      <c r="R3338" s="119"/>
      <c r="S3338" s="47"/>
      <c r="T3338" s="47"/>
    </row>
    <row r="3339" s="27" customFormat="1" ht="23" customHeight="1" spans="1:20">
      <c r="A3339" s="34"/>
      <c r="B3339" s="48">
        <v>10</v>
      </c>
      <c r="C3339" s="48"/>
      <c r="D3339" s="88"/>
      <c r="E3339" s="72"/>
      <c r="F3339" s="77"/>
      <c r="G3339" s="89"/>
      <c r="H3339" s="74"/>
      <c r="I3339" s="74"/>
      <c r="J3339" s="95"/>
      <c r="K3339" s="92">
        <f ca="1">H3339*K3316</f>
        <v>0</v>
      </c>
      <c r="L3339" s="92"/>
      <c r="M3339" s="120"/>
      <c r="N3339" s="82"/>
      <c r="O3339" s="44"/>
      <c r="P3339" s="44"/>
      <c r="Q3339" s="44"/>
      <c r="R3339" s="84"/>
      <c r="S3339" s="47"/>
      <c r="T3339" s="47"/>
    </row>
    <row r="3340" s="27" customFormat="1" ht="20" customHeight="1" spans="1:20">
      <c r="A3340" s="34"/>
      <c r="B3340" s="48">
        <v>11</v>
      </c>
      <c r="C3340" s="48"/>
      <c r="D3340" s="88"/>
      <c r="E3340" s="72"/>
      <c r="F3340" s="77"/>
      <c r="G3340" s="89"/>
      <c r="H3340" s="74"/>
      <c r="I3340" s="74"/>
      <c r="J3340" s="95"/>
      <c r="K3340" s="92">
        <f ca="1">H3340*K3316</f>
        <v>0</v>
      </c>
      <c r="L3340" s="92"/>
      <c r="M3340" s="44"/>
      <c r="N3340" s="82"/>
      <c r="O3340" s="44"/>
      <c r="P3340" s="44"/>
      <c r="Q3340" s="44"/>
      <c r="R3340" s="84"/>
      <c r="S3340" s="47"/>
      <c r="T3340" s="47"/>
    </row>
    <row r="3341" s="27" customFormat="1" ht="24" customHeight="1" spans="1:20">
      <c r="A3341" s="34"/>
      <c r="B3341" s="48">
        <v>12</v>
      </c>
      <c r="C3341" s="48"/>
      <c r="D3341" s="127"/>
      <c r="E3341" s="72"/>
      <c r="F3341" s="128"/>
      <c r="G3341" s="89"/>
      <c r="H3341" s="74"/>
      <c r="I3341" s="74"/>
      <c r="J3341" s="95"/>
      <c r="K3341" s="92">
        <f ca="1">H3341*K3316</f>
        <v>0</v>
      </c>
      <c r="L3341" s="92"/>
      <c r="M3341" s="44"/>
      <c r="N3341" s="44"/>
      <c r="O3341" s="44"/>
      <c r="P3341" s="44"/>
      <c r="Q3341" s="44"/>
      <c r="R3341" s="84"/>
      <c r="S3341" s="47"/>
      <c r="T3341" s="47"/>
    </row>
    <row r="3342" s="27" customFormat="1" ht="18" customHeight="1" spans="1:20">
      <c r="A3342" s="34"/>
      <c r="B3342" s="48">
        <v>13</v>
      </c>
      <c r="C3342" s="48"/>
      <c r="D3342" s="88"/>
      <c r="E3342" s="72"/>
      <c r="F3342" s="77"/>
      <c r="G3342" s="89"/>
      <c r="H3342" s="74"/>
      <c r="I3342" s="74"/>
      <c r="J3342" s="95"/>
      <c r="K3342" s="92">
        <f ca="1">H3342*K3316</f>
        <v>0</v>
      </c>
      <c r="L3342" s="92"/>
      <c r="M3342" s="44"/>
      <c r="N3342" s="44"/>
      <c r="O3342" s="44"/>
      <c r="P3342" s="44"/>
      <c r="Q3342" s="44"/>
      <c r="R3342" s="84"/>
      <c r="S3342" s="47"/>
      <c r="T3342" s="47"/>
    </row>
    <row r="3343" s="27" customFormat="1" ht="24" customHeight="1" spans="1:20">
      <c r="A3343" s="34"/>
      <c r="B3343" s="48">
        <v>14</v>
      </c>
      <c r="C3343" s="48"/>
      <c r="D3343" s="88"/>
      <c r="E3343" s="72"/>
      <c r="F3343" s="77"/>
      <c r="G3343" s="89"/>
      <c r="H3343" s="74"/>
      <c r="I3343" s="74"/>
      <c r="J3343" s="95"/>
      <c r="K3343" s="92">
        <f ca="1">H3343*K3316</f>
        <v>0</v>
      </c>
      <c r="L3343" s="92"/>
      <c r="M3343" s="44"/>
      <c r="N3343" s="44"/>
      <c r="O3343" s="44"/>
      <c r="P3343" s="44"/>
      <c r="Q3343" s="44"/>
      <c r="R3343" s="84"/>
      <c r="S3343" s="47"/>
      <c r="T3343" s="47"/>
    </row>
    <row r="3344" s="27" customFormat="1" ht="18" customHeight="1" spans="1:20">
      <c r="A3344" s="34"/>
      <c r="B3344" s="48">
        <v>15</v>
      </c>
      <c r="C3344" s="48"/>
      <c r="D3344" s="88"/>
      <c r="E3344" s="72"/>
      <c r="F3344" s="77"/>
      <c r="G3344" s="89"/>
      <c r="H3344" s="74"/>
      <c r="I3344" s="74"/>
      <c r="J3344" s="95"/>
      <c r="K3344" s="92"/>
      <c r="L3344" s="92"/>
      <c r="M3344" s="44"/>
      <c r="N3344" s="44"/>
      <c r="O3344" s="44"/>
      <c r="P3344" s="44"/>
      <c r="Q3344" s="44"/>
      <c r="R3344" s="84"/>
      <c r="S3344" s="47"/>
      <c r="T3344" s="47"/>
    </row>
    <row r="3345" s="27" customFormat="1" ht="18" customHeight="1" spans="1:20">
      <c r="A3345" s="34"/>
      <c r="B3345" s="48">
        <v>16</v>
      </c>
      <c r="C3345" s="48"/>
      <c r="D3345" s="88"/>
      <c r="E3345" s="72"/>
      <c r="F3345" s="77"/>
      <c r="G3345" s="89"/>
      <c r="H3345" s="74"/>
      <c r="I3345" s="74"/>
      <c r="J3345" s="95"/>
      <c r="K3345" s="92"/>
      <c r="L3345" s="92"/>
      <c r="M3345" s="44"/>
      <c r="N3345" s="44"/>
      <c r="O3345" s="44"/>
      <c r="P3345" s="44"/>
      <c r="Q3345" s="44"/>
      <c r="R3345" s="84"/>
      <c r="S3345" s="47"/>
      <c r="T3345" s="47"/>
    </row>
    <row r="3346" s="27" customFormat="1" ht="18" customHeight="1" spans="1:20">
      <c r="A3346" s="34"/>
      <c r="B3346" s="48">
        <v>17</v>
      </c>
      <c r="C3346" s="48"/>
      <c r="D3346" s="121"/>
      <c r="E3346" s="72"/>
      <c r="F3346" s="77"/>
      <c r="G3346" s="89"/>
      <c r="H3346" s="74"/>
      <c r="I3346" s="74"/>
      <c r="J3346" s="95"/>
      <c r="K3346" s="92"/>
      <c r="L3346" s="92"/>
      <c r="M3346" s="44"/>
      <c r="N3346" s="44"/>
      <c r="O3346" s="44"/>
      <c r="P3346" s="44"/>
      <c r="Q3346" s="101"/>
      <c r="R3346" s="84"/>
      <c r="S3346" s="47"/>
      <c r="T3346" s="47"/>
    </row>
    <row r="3347" s="27" customFormat="1" ht="18" customHeight="1" spans="1:20">
      <c r="A3347" s="34"/>
      <c r="B3347" s="48">
        <v>18</v>
      </c>
      <c r="C3347" s="48"/>
      <c r="D3347" s="88"/>
      <c r="E3347" s="72"/>
      <c r="F3347" s="77"/>
      <c r="G3347" s="89"/>
      <c r="H3347" s="74"/>
      <c r="I3347" s="74"/>
      <c r="J3347" s="95"/>
      <c r="K3347" s="92"/>
      <c r="L3347" s="92"/>
      <c r="M3347" s="44"/>
      <c r="N3347" s="44"/>
      <c r="O3347" s="44"/>
      <c r="P3347" s="44"/>
      <c r="Q3347" s="44"/>
      <c r="R3347" s="84"/>
      <c r="S3347" s="47"/>
      <c r="T3347" s="47"/>
    </row>
    <row r="3348" s="27" customFormat="1" ht="18" customHeight="1" spans="1:20">
      <c r="A3348" s="34"/>
      <c r="B3348" s="48">
        <v>19</v>
      </c>
      <c r="C3348" s="48"/>
      <c r="D3348" s="27"/>
      <c r="E3348" s="72"/>
      <c r="F3348" s="77"/>
      <c r="G3348" s="89"/>
      <c r="H3348" s="74"/>
      <c r="I3348" s="74"/>
      <c r="J3348" s="95"/>
      <c r="K3348" s="92"/>
      <c r="L3348" s="92"/>
      <c r="M3348" s="44"/>
      <c r="N3348" s="44"/>
      <c r="O3348" s="44"/>
      <c r="P3348" s="44"/>
      <c r="Q3348" s="44"/>
      <c r="R3348" s="84"/>
      <c r="S3348" s="47"/>
      <c r="T3348" s="47"/>
    </row>
    <row r="3349" s="27" customFormat="1" ht="18" customHeight="1" spans="1:20">
      <c r="A3349" s="34"/>
      <c r="B3349" s="48">
        <v>20</v>
      </c>
      <c r="C3349" s="48"/>
      <c r="D3349" s="88"/>
      <c r="E3349" s="72"/>
      <c r="F3349" s="77"/>
      <c r="G3349" s="89"/>
      <c r="H3349" s="74"/>
      <c r="I3349" s="74"/>
      <c r="J3349" s="95"/>
      <c r="K3349" s="92"/>
      <c r="L3349" s="92"/>
      <c r="M3349" s="44"/>
      <c r="N3349" s="44"/>
      <c r="O3349" s="44"/>
      <c r="P3349" s="44"/>
      <c r="Q3349" s="44"/>
      <c r="R3349" s="84"/>
      <c r="S3349" s="47"/>
      <c r="T3349" s="47"/>
    </row>
    <row r="3350" s="27" customFormat="1" ht="18" customHeight="1" spans="1:20">
      <c r="A3350" s="34"/>
      <c r="B3350" s="48">
        <v>21</v>
      </c>
      <c r="C3350" s="48"/>
      <c r="D3350" s="88"/>
      <c r="E3350" s="72"/>
      <c r="F3350" s="77"/>
      <c r="G3350" s="89"/>
      <c r="H3350" s="74"/>
      <c r="I3350" s="74"/>
      <c r="J3350" s="95"/>
      <c r="K3350" s="92"/>
      <c r="L3350" s="92"/>
      <c r="M3350" s="44"/>
      <c r="N3350" s="44"/>
      <c r="O3350" s="44"/>
      <c r="P3350" s="44"/>
      <c r="Q3350" s="44"/>
      <c r="R3350" s="84"/>
      <c r="S3350" s="47"/>
      <c r="T3350" s="47"/>
    </row>
    <row r="3351" s="27" customFormat="1" ht="18" customHeight="1" spans="1:20">
      <c r="A3351" s="34"/>
      <c r="B3351" s="48">
        <v>22</v>
      </c>
      <c r="C3351" s="48"/>
      <c r="D3351" s="27"/>
      <c r="E3351" s="72"/>
      <c r="F3351" s="77"/>
      <c r="G3351" s="72"/>
      <c r="H3351" s="74"/>
      <c r="I3351" s="74"/>
      <c r="J3351" s="95"/>
      <c r="K3351" s="92"/>
      <c r="L3351" s="92"/>
      <c r="M3351" s="44"/>
      <c r="N3351" s="44"/>
      <c r="O3351" s="44"/>
      <c r="P3351" s="44"/>
      <c r="Q3351" s="44"/>
      <c r="R3351" s="62"/>
      <c r="S3351" s="47"/>
      <c r="T3351" s="47"/>
    </row>
    <row r="3352" s="27" customFormat="1" ht="18" customHeight="1" spans="1:20">
      <c r="A3352" s="34"/>
      <c r="B3352" s="48">
        <v>23</v>
      </c>
      <c r="C3352" s="48"/>
      <c r="D3352" s="88"/>
      <c r="E3352" s="72"/>
      <c r="F3352" s="77"/>
      <c r="G3352" s="89"/>
      <c r="H3352" s="74"/>
      <c r="I3352" s="74"/>
      <c r="J3352" s="95"/>
      <c r="K3352" s="92"/>
      <c r="L3352" s="92"/>
      <c r="M3352" s="44"/>
      <c r="N3352" s="44"/>
      <c r="O3352" s="44"/>
      <c r="P3352" s="44"/>
      <c r="Q3352" s="44"/>
      <c r="R3352" s="62"/>
      <c r="S3352" s="47"/>
      <c r="T3352" s="47"/>
    </row>
    <row r="3353" s="27" customFormat="1" ht="18" customHeight="1" spans="1:20">
      <c r="A3353" s="34"/>
      <c r="B3353" s="48">
        <v>24</v>
      </c>
      <c r="C3353" s="48"/>
      <c r="D3353" s="88" t="s">
        <v>478</v>
      </c>
      <c r="E3353" s="72" t="s">
        <v>43</v>
      </c>
      <c r="F3353" s="77"/>
      <c r="G3353" s="72">
        <v>1</v>
      </c>
      <c r="H3353" s="74">
        <v>1</v>
      </c>
      <c r="I3353" s="74">
        <f>+辅材及安装费!$E$12</f>
        <v>2</v>
      </c>
      <c r="J3353" s="95">
        <f>H3353*I3353</f>
        <v>2</v>
      </c>
      <c r="K3353" s="92"/>
      <c r="L3353" s="92"/>
      <c r="M3353" s="44"/>
      <c r="N3353" s="44"/>
      <c r="O3353" s="44"/>
      <c r="P3353" s="44"/>
      <c r="Q3353" s="44"/>
      <c r="R3353" s="62"/>
      <c r="S3353" s="47"/>
      <c r="T3353" s="47"/>
    </row>
    <row r="3354" s="27" customFormat="1" ht="18" customHeight="1" spans="1:20">
      <c r="A3354" s="34"/>
      <c r="B3354" s="48">
        <v>25</v>
      </c>
      <c r="C3354" s="48"/>
      <c r="D3354" s="93" t="s">
        <v>442</v>
      </c>
      <c r="E3354" s="72"/>
      <c r="F3354" s="77"/>
      <c r="G3354" s="72"/>
      <c r="H3354" s="74"/>
      <c r="I3354" s="74"/>
      <c r="J3354" s="95">
        <f>SUM(J3330:J3353)</f>
        <v>136.763906979646</v>
      </c>
      <c r="K3354" s="92"/>
      <c r="L3354" s="94"/>
      <c r="N3354" s="83"/>
      <c r="O3354" s="83"/>
      <c r="P3354" s="83"/>
      <c r="Q3354" s="83"/>
      <c r="R3354" s="87"/>
      <c r="S3354" s="47"/>
      <c r="T3354" s="47"/>
    </row>
    <row r="3355" s="27" customFormat="1" ht="18" customHeight="1" spans="1:20">
      <c r="A3355" s="34"/>
      <c r="B3355" s="48">
        <v>1</v>
      </c>
      <c r="C3355" s="48" t="s">
        <v>443</v>
      </c>
      <c r="D3355" s="48" t="s">
        <v>444</v>
      </c>
      <c r="E3355" s="72" t="s">
        <v>43</v>
      </c>
      <c r="F3355" s="50"/>
      <c r="G3355" s="48"/>
      <c r="H3355" s="51">
        <v>1</v>
      </c>
      <c r="I3355" s="74">
        <f>+辅材及安装费!$F$12</f>
        <v>1</v>
      </c>
      <c r="J3355" s="95">
        <f>H3355*I3355</f>
        <v>1</v>
      </c>
      <c r="K3355" s="118"/>
      <c r="L3355" s="96"/>
      <c r="M3355" s="97"/>
      <c r="N3355" s="98"/>
      <c r="O3355" s="98"/>
      <c r="P3355" s="98"/>
      <c r="Q3355" s="98"/>
      <c r="R3355" s="99"/>
      <c r="S3355" s="47"/>
      <c r="T3355" s="47"/>
    </row>
    <row r="3356" s="26" customFormat="1" ht="30" customHeight="1" spans="1:20">
      <c r="A3356" s="28"/>
      <c r="B3356" s="29" t="s">
        <v>386</v>
      </c>
      <c r="C3356" s="29"/>
      <c r="D3356" s="29"/>
      <c r="E3356" s="29"/>
      <c r="F3356" s="29"/>
      <c r="G3356" s="29"/>
      <c r="H3356" s="29"/>
      <c r="I3356" s="29"/>
      <c r="J3356" s="29"/>
      <c r="K3356" s="29"/>
      <c r="L3356" s="30"/>
      <c r="M3356" s="31"/>
      <c r="N3356" s="31"/>
      <c r="O3356" s="31"/>
      <c r="P3356" s="31"/>
      <c r="Q3356" s="31"/>
      <c r="R3356" s="32"/>
      <c r="S3356" s="33"/>
      <c r="T3356" s="33"/>
    </row>
    <row r="3357" s="27" customFormat="1" ht="33.75" customHeight="1" spans="1:20">
      <c r="A3357" s="34">
        <v>3</v>
      </c>
      <c r="B3357" s="35" t="s">
        <v>1</v>
      </c>
      <c r="C3357" s="35" t="s">
        <v>387</v>
      </c>
      <c r="D3357" s="36" t="str">
        <f>+A3365</f>
        <v>铝合金线条（80*160）</v>
      </c>
      <c r="E3357" s="37"/>
      <c r="F3357" s="38"/>
      <c r="G3357" s="39"/>
      <c r="H3357" s="35" t="s">
        <v>388</v>
      </c>
      <c r="I3357" s="40" t="s">
        <v>389</v>
      </c>
      <c r="J3357" s="41" t="s">
        <v>37</v>
      </c>
      <c r="K3357" s="42">
        <f ca="1">VLOOKUP(A3357,'商业工程量清单 '!$A$88:$D$93,4,FALSE)</f>
        <v>27.6</v>
      </c>
      <c r="L3357" s="43"/>
      <c r="M3357" s="44"/>
      <c r="N3357" s="44"/>
      <c r="O3357" s="44"/>
      <c r="P3357" s="45"/>
      <c r="Q3357" s="44"/>
      <c r="R3357" s="46"/>
      <c r="S3357" s="47"/>
      <c r="T3357" s="47"/>
    </row>
    <row r="3358" s="27" customFormat="1" ht="25" customHeight="1" spans="1:20">
      <c r="A3358" s="34"/>
      <c r="B3358" s="48">
        <v>1</v>
      </c>
      <c r="C3358" s="49" t="s">
        <v>390</v>
      </c>
      <c r="D3358" s="48" t="s">
        <v>391</v>
      </c>
      <c r="E3358" s="48"/>
      <c r="F3358" s="50"/>
      <c r="G3358" s="48"/>
      <c r="H3358" s="51"/>
      <c r="I3358" s="52">
        <f>J3370</f>
        <v>15</v>
      </c>
      <c r="J3358" s="53" t="s">
        <v>392</v>
      </c>
      <c r="K3358" s="54"/>
      <c r="L3358" s="55"/>
      <c r="M3358" s="56"/>
      <c r="N3358" s="57"/>
      <c r="O3358" s="57">
        <v>1</v>
      </c>
      <c r="P3358" s="57">
        <v>1</v>
      </c>
      <c r="Q3358" s="57">
        <v>1</v>
      </c>
      <c r="R3358" s="58">
        <f>+Q3358*P3358*O3358</f>
        <v>1</v>
      </c>
      <c r="S3358" s="47"/>
      <c r="T3358" s="47"/>
    </row>
    <row r="3359" s="27" customFormat="1" ht="18" customHeight="1" spans="1:20">
      <c r="A3359" s="34"/>
      <c r="B3359" s="48">
        <v>2</v>
      </c>
      <c r="C3359" s="59"/>
      <c r="D3359" s="48" t="s">
        <v>394</v>
      </c>
      <c r="E3359" s="48"/>
      <c r="F3359" s="50"/>
      <c r="G3359" s="48"/>
      <c r="H3359" s="51"/>
      <c r="I3359" s="52">
        <f>J3395</f>
        <v>128.178402438938</v>
      </c>
      <c r="J3359" s="53" t="s">
        <v>392</v>
      </c>
      <c r="K3359" s="60"/>
      <c r="L3359" s="61"/>
      <c r="M3359" s="44"/>
      <c r="N3359" s="44"/>
      <c r="O3359" s="44"/>
      <c r="P3359" s="44"/>
      <c r="Q3359" s="44"/>
      <c r="R3359" s="62"/>
      <c r="S3359" s="47"/>
      <c r="T3359" s="47"/>
    </row>
    <row r="3360" s="27" customFormat="1" ht="18" customHeight="1" spans="1:20">
      <c r="A3360" s="34"/>
      <c r="B3360" s="48">
        <v>3</v>
      </c>
      <c r="C3360" s="63"/>
      <c r="D3360" s="48" t="s">
        <v>395</v>
      </c>
      <c r="E3360" s="48"/>
      <c r="F3360" s="50"/>
      <c r="G3360" s="48"/>
      <c r="H3360" s="51"/>
      <c r="I3360" s="52">
        <f>J3396</f>
        <v>1</v>
      </c>
      <c r="J3360" s="53" t="s">
        <v>392</v>
      </c>
      <c r="K3360" s="60"/>
      <c r="L3360" s="60"/>
      <c r="M3360" s="65" t="s">
        <v>396</v>
      </c>
      <c r="N3360" s="65" t="s">
        <v>397</v>
      </c>
      <c r="O3360" s="65" t="s">
        <v>398</v>
      </c>
      <c r="P3360" s="65" t="s">
        <v>399</v>
      </c>
      <c r="Q3360" s="65" t="s">
        <v>400</v>
      </c>
      <c r="R3360" s="66" t="s">
        <v>401</v>
      </c>
      <c r="S3360" s="47"/>
      <c r="T3360" s="47"/>
    </row>
    <row r="3361" s="27" customFormat="1" ht="18" customHeight="1" spans="1:20">
      <c r="A3361" s="34"/>
      <c r="B3361" s="48">
        <v>4</v>
      </c>
      <c r="C3361" s="48" t="s">
        <v>402</v>
      </c>
      <c r="D3361" s="67" t="s">
        <v>403</v>
      </c>
      <c r="E3361" s="67"/>
      <c r="F3361" s="50"/>
      <c r="G3361" s="67"/>
      <c r="H3361" s="68"/>
      <c r="I3361" s="52">
        <f>SUM(I3358:I3360)</f>
        <v>144.178402438938</v>
      </c>
      <c r="J3361" s="53" t="s">
        <v>392</v>
      </c>
      <c r="K3361" s="60"/>
      <c r="L3361" s="69"/>
      <c r="M3361" s="34"/>
      <c r="N3361" s="34"/>
      <c r="O3361" s="34"/>
      <c r="P3361" s="34"/>
      <c r="Q3361" s="44"/>
      <c r="R3361" s="71"/>
      <c r="S3361" s="47"/>
      <c r="T3361" s="47"/>
    </row>
    <row r="3362" s="27" customFormat="1" ht="28" customHeight="1" spans="1:20">
      <c r="A3362" s="34"/>
      <c r="B3362" s="48">
        <v>5</v>
      </c>
      <c r="C3362" s="72" t="s">
        <v>406</v>
      </c>
      <c r="D3362" s="48" t="s">
        <v>407</v>
      </c>
      <c r="E3362" s="48"/>
      <c r="F3362" s="50"/>
      <c r="G3362" s="48"/>
      <c r="H3362" s="73">
        <f>+'材料表 '!$E$178</f>
        <v>0</v>
      </c>
      <c r="I3362" s="52">
        <f>H3362*I3361</f>
        <v>0</v>
      </c>
      <c r="J3362" s="53" t="s">
        <v>392</v>
      </c>
      <c r="K3362" s="60"/>
      <c r="L3362" s="69"/>
      <c r="M3362" s="34"/>
      <c r="N3362" s="102"/>
      <c r="O3362" s="34"/>
      <c r="P3362" s="34"/>
      <c r="Q3362" s="44"/>
      <c r="R3362" s="71"/>
      <c r="S3362" s="47"/>
      <c r="T3362" s="47"/>
    </row>
    <row r="3363" s="27" customFormat="1" ht="18" customHeight="1" spans="1:20">
      <c r="A3363" s="34"/>
      <c r="B3363" s="48">
        <v>6</v>
      </c>
      <c r="C3363" s="48" t="s">
        <v>409</v>
      </c>
      <c r="D3363" s="48" t="s">
        <v>410</v>
      </c>
      <c r="E3363" s="48"/>
      <c r="F3363" s="50"/>
      <c r="G3363" s="48"/>
      <c r="H3363" s="73">
        <f>+'材料表 '!$E$179</f>
        <v>0</v>
      </c>
      <c r="I3363" s="52">
        <f>H3363*I3361</f>
        <v>0</v>
      </c>
      <c r="J3363" s="53" t="s">
        <v>392</v>
      </c>
      <c r="K3363" s="60"/>
      <c r="L3363" s="69"/>
      <c r="M3363" s="34"/>
      <c r="N3363" s="34"/>
      <c r="O3363" s="34"/>
      <c r="P3363" s="34"/>
      <c r="Q3363" s="44"/>
      <c r="R3363" s="71"/>
      <c r="S3363" s="47"/>
      <c r="T3363" s="47"/>
    </row>
    <row r="3364" s="27" customFormat="1" ht="18" customHeight="1" spans="1:20">
      <c r="A3364" s="34"/>
      <c r="B3364" s="48">
        <v>7</v>
      </c>
      <c r="C3364" s="48" t="s">
        <v>412</v>
      </c>
      <c r="D3364" s="72" t="s">
        <v>413</v>
      </c>
      <c r="E3364" s="72"/>
      <c r="F3364" s="77"/>
      <c r="G3364" s="72"/>
      <c r="H3364" s="73">
        <f>+'材料表 '!$E$180</f>
        <v>0.09</v>
      </c>
      <c r="I3364" s="52">
        <f>(I3361+I3362+I3363)*H3364</f>
        <v>12.9760562195044</v>
      </c>
      <c r="J3364" s="53" t="s">
        <v>392</v>
      </c>
      <c r="K3364" s="60"/>
      <c r="L3364" s="69"/>
      <c r="M3364" s="34"/>
      <c r="N3364" s="34"/>
      <c r="O3364" s="34"/>
      <c r="P3364" s="34"/>
      <c r="Q3364" s="44"/>
      <c r="R3364" s="71"/>
      <c r="S3364" s="47"/>
      <c r="T3364" s="47"/>
    </row>
    <row r="3365" s="27" customFormat="1" ht="18" customHeight="1" spans="1:20">
      <c r="A3365" s="105" t="s">
        <v>351</v>
      </c>
      <c r="B3365" s="48">
        <v>8</v>
      </c>
      <c r="C3365" s="48" t="s">
        <v>363</v>
      </c>
      <c r="D3365" s="106" t="s">
        <v>415</v>
      </c>
      <c r="E3365" s="107"/>
      <c r="F3365" s="108"/>
      <c r="G3365" s="107"/>
      <c r="H3365" s="51"/>
      <c r="I3365" s="74">
        <f>SUM(I3361:I3364)</f>
        <v>157.154458658443</v>
      </c>
      <c r="J3365" s="53" t="s">
        <v>484</v>
      </c>
      <c r="K3365" s="60"/>
      <c r="L3365" s="69"/>
      <c r="M3365" s="34"/>
      <c r="N3365" s="126"/>
      <c r="O3365" s="34"/>
      <c r="P3365" s="44"/>
      <c r="Q3365" s="44"/>
      <c r="R3365" s="84"/>
      <c r="S3365" s="79"/>
      <c r="T3365" s="47"/>
    </row>
    <row r="3366" s="27" customFormat="1" ht="18" customHeight="1" spans="1:20">
      <c r="A3366" s="34"/>
      <c r="B3366" s="109" t="s">
        <v>418</v>
      </c>
      <c r="C3366" s="110"/>
      <c r="D3366" s="110"/>
      <c r="E3366" s="110"/>
      <c r="F3366" s="110"/>
      <c r="G3366" s="110"/>
      <c r="H3366" s="110"/>
      <c r="I3366" s="110"/>
      <c r="J3366" s="110"/>
      <c r="K3366" s="80"/>
      <c r="L3366" s="69"/>
      <c r="M3366" s="70"/>
      <c r="N3366" s="34"/>
      <c r="O3366" s="34"/>
      <c r="P3366" s="34"/>
      <c r="Q3366" s="44"/>
      <c r="R3366" s="71"/>
      <c r="S3366" s="47"/>
      <c r="T3366" s="47"/>
    </row>
    <row r="3367" s="27" customFormat="1" ht="18" customHeight="1" spans="1:20">
      <c r="A3367" s="34"/>
      <c r="B3367" s="48">
        <v>1</v>
      </c>
      <c r="C3367" s="48" t="s">
        <v>391</v>
      </c>
      <c r="D3367" s="48" t="s">
        <v>396</v>
      </c>
      <c r="E3367" s="48" t="s">
        <v>37</v>
      </c>
      <c r="F3367" s="50"/>
      <c r="G3367" s="48"/>
      <c r="H3367" s="51" t="s">
        <v>399</v>
      </c>
      <c r="I3367" s="51" t="s">
        <v>420</v>
      </c>
      <c r="J3367" s="95" t="s">
        <v>421</v>
      </c>
      <c r="K3367" s="92"/>
      <c r="L3367" s="69" t="s">
        <v>433</v>
      </c>
      <c r="M3367" s="70" t="s">
        <v>567</v>
      </c>
      <c r="N3367" s="34">
        <f>0.196*2.71</f>
        <v>0.53116</v>
      </c>
      <c r="O3367" s="34">
        <v>1</v>
      </c>
      <c r="P3367" s="34">
        <v>1</v>
      </c>
      <c r="Q3367" s="44">
        <f t="shared" ref="Q3367:Q3369" si="510">+P3367*O3367*N3367</f>
        <v>0.53116</v>
      </c>
      <c r="R3367" s="71">
        <f>+Q3367/R3358</f>
        <v>0.53116</v>
      </c>
      <c r="S3367" s="47"/>
      <c r="T3367" s="47"/>
    </row>
    <row r="3368" s="27" customFormat="1" ht="18" customHeight="1" spans="1:20">
      <c r="A3368" s="34"/>
      <c r="B3368" s="48">
        <v>2</v>
      </c>
      <c r="C3368" s="48"/>
      <c r="D3368" s="111" t="s">
        <v>568</v>
      </c>
      <c r="E3368" s="49" t="s">
        <v>423</v>
      </c>
      <c r="F3368" s="112"/>
      <c r="G3368" s="111"/>
      <c r="H3368" s="113">
        <v>1</v>
      </c>
      <c r="I3368" s="113">
        <f>+辅材及安装费!$G$12</f>
        <v>15</v>
      </c>
      <c r="J3368" s="114">
        <f>H3368*I3368</f>
        <v>15</v>
      </c>
      <c r="K3368" s="92"/>
      <c r="L3368" s="34" t="s">
        <v>447</v>
      </c>
      <c r="M3368" s="70" t="s">
        <v>569</v>
      </c>
      <c r="N3368" s="34">
        <f>1.096*2.71</f>
        <v>2.97016</v>
      </c>
      <c r="O3368" s="34">
        <v>1</v>
      </c>
      <c r="P3368" s="34">
        <v>1</v>
      </c>
      <c r="Q3368" s="44">
        <f t="shared" si="510"/>
        <v>2.97016</v>
      </c>
      <c r="R3368" s="71">
        <f>+Q3368/R3358</f>
        <v>2.97016</v>
      </c>
      <c r="S3368" s="47">
        <v>0.4</v>
      </c>
      <c r="T3368" s="47">
        <f>O3368*S3368</f>
        <v>0.4</v>
      </c>
    </row>
    <row r="3369" s="27" customFormat="1" ht="18" customHeight="1" spans="1:20">
      <c r="A3369" s="34"/>
      <c r="B3369" s="48">
        <v>3</v>
      </c>
      <c r="C3369" s="48"/>
      <c r="D3369" s="115"/>
      <c r="E3369" s="63"/>
      <c r="F3369" s="116"/>
      <c r="G3369" s="115"/>
      <c r="H3369" s="117"/>
      <c r="I3369" s="117"/>
      <c r="J3369" s="118"/>
      <c r="K3369" s="92"/>
      <c r="L3369" s="90" t="s">
        <v>447</v>
      </c>
      <c r="M3369" s="70"/>
      <c r="N3369" s="82">
        <v>0</v>
      </c>
      <c r="O3369" s="44">
        <v>1</v>
      </c>
      <c r="P3369" s="44">
        <v>1</v>
      </c>
      <c r="Q3369" s="44">
        <f t="shared" si="510"/>
        <v>0</v>
      </c>
      <c r="R3369" s="84">
        <f>Q3369/R3358</f>
        <v>0</v>
      </c>
      <c r="S3369" s="47">
        <v>0</v>
      </c>
      <c r="T3369" s="47">
        <f>S3369*O3369*P3369</f>
        <v>0</v>
      </c>
    </row>
    <row r="3370" s="27" customFormat="1" ht="18" customHeight="1" spans="1:20">
      <c r="A3370" s="34"/>
      <c r="B3370" s="48">
        <v>4</v>
      </c>
      <c r="C3370" s="48"/>
      <c r="D3370" s="85" t="s">
        <v>426</v>
      </c>
      <c r="E3370" s="48" t="s">
        <v>392</v>
      </c>
      <c r="F3370" s="50"/>
      <c r="G3370" s="48"/>
      <c r="H3370" s="86"/>
      <c r="I3370" s="86"/>
      <c r="J3370" s="95">
        <f>SUM(J3368:J3368)</f>
        <v>15</v>
      </c>
      <c r="K3370" s="92"/>
      <c r="L3370" s="90"/>
      <c r="M3370" s="44"/>
      <c r="N3370" s="82"/>
      <c r="O3370" s="44"/>
      <c r="P3370" s="44"/>
      <c r="Q3370" s="44"/>
      <c r="R3370" s="84"/>
      <c r="S3370" s="47"/>
      <c r="T3370" s="47"/>
    </row>
    <row r="3371" s="27" customFormat="1" ht="22" customHeight="1" spans="1:20">
      <c r="A3371" s="34"/>
      <c r="B3371" s="48">
        <v>1</v>
      </c>
      <c r="C3371" s="48" t="s">
        <v>394</v>
      </c>
      <c r="D3371" s="88"/>
      <c r="E3371" s="72"/>
      <c r="F3371" s="77"/>
      <c r="G3371" s="89"/>
      <c r="H3371" s="74"/>
      <c r="I3371" s="74"/>
      <c r="J3371" s="95"/>
      <c r="K3371" s="92">
        <f ca="1">H3371*K3357</f>
        <v>0</v>
      </c>
      <c r="L3371" s="90"/>
      <c r="M3371" s="44"/>
      <c r="N3371" s="82"/>
      <c r="O3371" s="44"/>
      <c r="P3371" s="44"/>
      <c r="Q3371" s="44"/>
      <c r="R3371" s="84"/>
      <c r="S3371" s="47"/>
      <c r="T3371" s="47"/>
    </row>
    <row r="3372" s="27" customFormat="1" ht="18" customHeight="1" spans="1:20">
      <c r="A3372" s="34"/>
      <c r="B3372" s="48">
        <v>2</v>
      </c>
      <c r="C3372" s="48"/>
      <c r="D3372" s="88"/>
      <c r="E3372" s="72"/>
      <c r="F3372" s="77"/>
      <c r="G3372" s="89"/>
      <c r="H3372" s="74"/>
      <c r="I3372" s="74"/>
      <c r="J3372" s="95"/>
      <c r="K3372" s="92">
        <f ca="1">H3372*K3357</f>
        <v>0</v>
      </c>
      <c r="L3372" s="90"/>
      <c r="M3372" s="44"/>
      <c r="N3372" s="82"/>
      <c r="O3372" s="44"/>
      <c r="P3372" s="44"/>
      <c r="Q3372" s="44"/>
      <c r="R3372" s="84"/>
      <c r="S3372" s="47"/>
      <c r="T3372" s="47"/>
    </row>
    <row r="3373" s="27" customFormat="1" ht="18" customHeight="1" spans="1:20">
      <c r="A3373" s="34"/>
      <c r="B3373" s="48">
        <v>3</v>
      </c>
      <c r="C3373" s="48"/>
      <c r="D3373" s="88"/>
      <c r="E3373" s="72"/>
      <c r="F3373" s="77"/>
      <c r="G3373" s="89"/>
      <c r="H3373" s="74"/>
      <c r="I3373" s="74"/>
      <c r="J3373" s="95"/>
      <c r="K3373" s="92">
        <f ca="1">H3373*K3357</f>
        <v>0</v>
      </c>
      <c r="L3373" s="90"/>
      <c r="M3373" s="44"/>
      <c r="N3373" s="82"/>
      <c r="O3373" s="44"/>
      <c r="P3373" s="44"/>
      <c r="Q3373" s="44"/>
      <c r="R3373" s="84"/>
      <c r="S3373" s="47"/>
      <c r="T3373" s="47"/>
    </row>
    <row r="3374" s="27" customFormat="1" ht="18" customHeight="1" spans="1:20">
      <c r="A3374" s="34"/>
      <c r="B3374" s="48">
        <v>4</v>
      </c>
      <c r="C3374" s="48"/>
      <c r="D3374" s="88" t="s">
        <v>433</v>
      </c>
      <c r="E3374" s="72" t="str">
        <f>+VLOOKUP(D3374,'材料表 '!C:F,2,0)</f>
        <v>kg</v>
      </c>
      <c r="F3374" s="77">
        <f>R3367</f>
        <v>0.53116</v>
      </c>
      <c r="G3374" s="89">
        <f>+VLOOKUP(D3374,'材料表 '!C:F,4,0)</f>
        <v>0.03</v>
      </c>
      <c r="H3374" s="74">
        <f t="shared" ref="H3374:H3377" si="511">F3374*(G3374+1)</f>
        <v>0.5470948</v>
      </c>
      <c r="I3374" s="74">
        <f>+VLOOKUP(D3374,'材料表 '!C:F,3,0)</f>
        <v>26.1150442477876</v>
      </c>
      <c r="J3374" s="95">
        <f t="shared" ref="J3374:J3377" si="512">H3374*I3374</f>
        <v>14.2874049097345</v>
      </c>
      <c r="K3374" s="92">
        <f ca="1">H3374*K3357</f>
        <v>15.09981648</v>
      </c>
      <c r="L3374" s="90"/>
      <c r="M3374" s="44"/>
      <c r="N3374" s="82"/>
      <c r="O3374" s="44"/>
      <c r="P3374" s="44"/>
      <c r="Q3374" s="44"/>
      <c r="R3374" s="84"/>
      <c r="S3374" s="47"/>
      <c r="T3374" s="47"/>
    </row>
    <row r="3375" s="27" customFormat="1" ht="18" customHeight="1" spans="1:20">
      <c r="A3375" s="34"/>
      <c r="B3375" s="48">
        <v>5</v>
      </c>
      <c r="C3375" s="48"/>
      <c r="D3375" s="88" t="s">
        <v>447</v>
      </c>
      <c r="E3375" s="72" t="str">
        <f>+VLOOKUP(D3375,'材料表 '!C:F,2,0)</f>
        <v>kg</v>
      </c>
      <c r="F3375" s="77">
        <f>R3368+R3369</f>
        <v>2.97016</v>
      </c>
      <c r="G3375" s="89">
        <f>+VLOOKUP(D3375,'材料表 '!C:F,4,0)</f>
        <v>0.03</v>
      </c>
      <c r="H3375" s="74">
        <f t="shared" si="511"/>
        <v>3.0592648</v>
      </c>
      <c r="I3375" s="74">
        <f>+VLOOKUP(D3375,'材料表 '!C:F,3,0)</f>
        <v>24.4336283185841</v>
      </c>
      <c r="J3375" s="95">
        <f t="shared" si="512"/>
        <v>74.7489390513275</v>
      </c>
      <c r="K3375" s="92">
        <f ca="1">H3375*K3357</f>
        <v>84.43570848</v>
      </c>
      <c r="L3375" s="92" t="s">
        <v>476</v>
      </c>
      <c r="M3375" s="44"/>
      <c r="N3375" s="82"/>
      <c r="O3375" s="44"/>
      <c r="P3375" s="44"/>
      <c r="Q3375" s="44">
        <f>10*8*(O3358*0+P3358*0)/500</f>
        <v>0</v>
      </c>
      <c r="R3375" s="84">
        <f>+Q3375/R3358</f>
        <v>0</v>
      </c>
      <c r="S3375" s="47"/>
      <c r="T3375" s="47"/>
    </row>
    <row r="3376" s="27" customFormat="1" ht="18" customHeight="1" spans="1:20">
      <c r="A3376" s="34"/>
      <c r="B3376" s="48">
        <v>6</v>
      </c>
      <c r="C3376" s="48"/>
      <c r="D3376" s="88" t="s">
        <v>434</v>
      </c>
      <c r="E3376" s="72" t="str">
        <f>+VLOOKUP(D3376,'材料表 '!C:F,2,0)</f>
        <v>m2</v>
      </c>
      <c r="F3376" s="77">
        <f>T3368+T3369</f>
        <v>0.4</v>
      </c>
      <c r="G3376" s="89">
        <f>+VLOOKUP(D3376,'材料表 '!C:F,4,0)</f>
        <v>0</v>
      </c>
      <c r="H3376" s="74">
        <f t="shared" si="511"/>
        <v>0.4</v>
      </c>
      <c r="I3376" s="74">
        <f>+VLOOKUP(D3376,'材料表 '!C:F,3,0)+5</f>
        <v>54.5575221238938</v>
      </c>
      <c r="J3376" s="95">
        <f t="shared" si="512"/>
        <v>21.8230088495575</v>
      </c>
      <c r="K3376" s="92">
        <f ca="1">H3376*K3357</f>
        <v>11.04</v>
      </c>
      <c r="L3376" s="92"/>
      <c r="M3376" s="44"/>
      <c r="N3376" s="82"/>
      <c r="O3376" s="44"/>
      <c r="P3376" s="44"/>
      <c r="Q3376" s="44"/>
      <c r="R3376" s="84"/>
      <c r="S3376" s="47"/>
      <c r="T3376" s="47"/>
    </row>
    <row r="3377" s="27" customFormat="1" ht="18" customHeight="1" spans="1:20">
      <c r="A3377" s="34"/>
      <c r="B3377" s="48">
        <v>7</v>
      </c>
      <c r="C3377" s="48"/>
      <c r="D3377" s="88" t="s">
        <v>500</v>
      </c>
      <c r="E3377" s="72" t="str">
        <f>+VLOOKUP(D3377,'材料表 '!C:F,2,0)</f>
        <v>kg</v>
      </c>
      <c r="F3377" s="77">
        <f>(R3367+R3368+R3369)*0.3</f>
        <v>1.050396</v>
      </c>
      <c r="G3377" s="89">
        <f>+VLOOKUP(D3377,'材料表 '!C:F,4,0)</f>
        <v>0.03</v>
      </c>
      <c r="H3377" s="74">
        <f t="shared" si="511"/>
        <v>1.08190788</v>
      </c>
      <c r="I3377" s="74">
        <f>+VLOOKUP(D3377,'材料表 '!C:F,3,0)</f>
        <v>14.1592920353982</v>
      </c>
      <c r="J3377" s="95">
        <f t="shared" si="512"/>
        <v>15.3190496283186</v>
      </c>
      <c r="K3377" s="92">
        <f ca="1">H3377*K3357</f>
        <v>29.860657488</v>
      </c>
      <c r="L3377" s="92"/>
      <c r="M3377" s="44"/>
      <c r="N3377" s="82"/>
      <c r="O3377" s="44"/>
      <c r="P3377" s="44"/>
      <c r="Q3377" s="44"/>
      <c r="R3377" s="84"/>
      <c r="S3377" s="47"/>
      <c r="T3377" s="47"/>
    </row>
    <row r="3378" s="27" customFormat="1" ht="18" customHeight="1" spans="1:20">
      <c r="A3378" s="34"/>
      <c r="B3378" s="48">
        <v>8</v>
      </c>
      <c r="C3378" s="48"/>
      <c r="D3378" s="88"/>
      <c r="E3378" s="72"/>
      <c r="F3378" s="77"/>
      <c r="G3378" s="89"/>
      <c r="H3378" s="74"/>
      <c r="I3378" s="74"/>
      <c r="J3378" s="95"/>
      <c r="K3378" s="92">
        <f ca="1">H3378*K3357</f>
        <v>0</v>
      </c>
      <c r="L3378" s="92"/>
      <c r="M3378" s="44"/>
      <c r="N3378" s="82"/>
      <c r="O3378" s="44"/>
      <c r="P3378" s="44"/>
      <c r="Q3378" s="44"/>
      <c r="R3378" s="84"/>
      <c r="S3378" s="47"/>
      <c r="T3378" s="47"/>
    </row>
    <row r="3379" s="27" customFormat="1" ht="18" customHeight="1" spans="1:20">
      <c r="A3379" s="34"/>
      <c r="B3379" s="48">
        <v>9</v>
      </c>
      <c r="C3379" s="48"/>
      <c r="D3379" s="88" t="s">
        <v>476</v>
      </c>
      <c r="E3379" s="72" t="str">
        <f>+VLOOKUP(D3379,'材料表 '!C:F,2,0)</f>
        <v>支</v>
      </c>
      <c r="F3379" s="77">
        <v>0</v>
      </c>
      <c r="G3379" s="89">
        <f>+VLOOKUP(D3379,'材料表 '!C:F,4,0)</f>
        <v>0.15</v>
      </c>
      <c r="H3379" s="74">
        <f>F3379*(G3379+1)</f>
        <v>0</v>
      </c>
      <c r="I3379" s="74">
        <f>+VLOOKUP(D3379,'材料表 '!C:F,3,0)</f>
        <v>11.5044247787611</v>
      </c>
      <c r="J3379" s="95">
        <f>H3379*I3379</f>
        <v>0</v>
      </c>
      <c r="K3379" s="92">
        <f ca="1">H3379*K3357</f>
        <v>0</v>
      </c>
      <c r="L3379" s="90"/>
      <c r="M3379" s="44"/>
      <c r="N3379" s="82"/>
      <c r="O3379" s="34"/>
      <c r="P3379" s="44"/>
      <c r="Q3379" s="44"/>
      <c r="R3379" s="119"/>
      <c r="S3379" s="47"/>
      <c r="T3379" s="47"/>
    </row>
    <row r="3380" s="27" customFormat="1" ht="23" customHeight="1" spans="1:20">
      <c r="A3380" s="34"/>
      <c r="B3380" s="48">
        <v>10</v>
      </c>
      <c r="C3380" s="48"/>
      <c r="D3380" s="88"/>
      <c r="E3380" s="72"/>
      <c r="F3380" s="77"/>
      <c r="G3380" s="89"/>
      <c r="H3380" s="74"/>
      <c r="I3380" s="74"/>
      <c r="J3380" s="95"/>
      <c r="K3380" s="92">
        <f ca="1">H3380*K3357</f>
        <v>0</v>
      </c>
      <c r="L3380" s="92"/>
      <c r="M3380" s="120"/>
      <c r="N3380" s="82"/>
      <c r="O3380" s="44"/>
      <c r="P3380" s="44"/>
      <c r="Q3380" s="44"/>
      <c r="R3380" s="84"/>
      <c r="S3380" s="47"/>
      <c r="T3380" s="47"/>
    </row>
    <row r="3381" s="27" customFormat="1" ht="20" customHeight="1" spans="1:20">
      <c r="A3381" s="34"/>
      <c r="B3381" s="48">
        <v>11</v>
      </c>
      <c r="C3381" s="48"/>
      <c r="D3381" s="88"/>
      <c r="E3381" s="72"/>
      <c r="F3381" s="77"/>
      <c r="G3381" s="89"/>
      <c r="H3381" s="74"/>
      <c r="I3381" s="74"/>
      <c r="J3381" s="95"/>
      <c r="K3381" s="92">
        <f ca="1">H3381*K3357</f>
        <v>0</v>
      </c>
      <c r="L3381" s="92"/>
      <c r="M3381" s="44"/>
      <c r="N3381" s="82"/>
      <c r="O3381" s="44"/>
      <c r="P3381" s="44"/>
      <c r="Q3381" s="44"/>
      <c r="R3381" s="84"/>
      <c r="S3381" s="47"/>
      <c r="T3381" s="47"/>
    </row>
    <row r="3382" s="27" customFormat="1" ht="24" customHeight="1" spans="1:20">
      <c r="A3382" s="34"/>
      <c r="B3382" s="48">
        <v>12</v>
      </c>
      <c r="C3382" s="48"/>
      <c r="D3382" s="127"/>
      <c r="E3382" s="72"/>
      <c r="F3382" s="128"/>
      <c r="G3382" s="89"/>
      <c r="H3382" s="74"/>
      <c r="I3382" s="74"/>
      <c r="J3382" s="95"/>
      <c r="K3382" s="92">
        <f ca="1">H3382*K3357</f>
        <v>0</v>
      </c>
      <c r="L3382" s="92"/>
      <c r="M3382" s="44"/>
      <c r="N3382" s="44"/>
      <c r="O3382" s="44"/>
      <c r="P3382" s="44"/>
      <c r="Q3382" s="44"/>
      <c r="R3382" s="84"/>
      <c r="S3382" s="47"/>
      <c r="T3382" s="47"/>
    </row>
    <row r="3383" s="27" customFormat="1" ht="18" customHeight="1" spans="1:20">
      <c r="A3383" s="34"/>
      <c r="B3383" s="48">
        <v>13</v>
      </c>
      <c r="C3383" s="48"/>
      <c r="D3383" s="88"/>
      <c r="E3383" s="72"/>
      <c r="F3383" s="77"/>
      <c r="G3383" s="89"/>
      <c r="H3383" s="74"/>
      <c r="I3383" s="74"/>
      <c r="J3383" s="95"/>
      <c r="K3383" s="92">
        <f ca="1">H3383*K3357</f>
        <v>0</v>
      </c>
      <c r="L3383" s="92"/>
      <c r="M3383" s="44"/>
      <c r="N3383" s="44"/>
      <c r="O3383" s="44"/>
      <c r="P3383" s="44"/>
      <c r="Q3383" s="44"/>
      <c r="R3383" s="84"/>
      <c r="S3383" s="47"/>
      <c r="T3383" s="47"/>
    </row>
    <row r="3384" s="27" customFormat="1" ht="24" customHeight="1" spans="1:20">
      <c r="A3384" s="34"/>
      <c r="B3384" s="48">
        <v>14</v>
      </c>
      <c r="C3384" s="48"/>
      <c r="D3384" s="88"/>
      <c r="E3384" s="72"/>
      <c r="F3384" s="77"/>
      <c r="G3384" s="89"/>
      <c r="H3384" s="74"/>
      <c r="I3384" s="74"/>
      <c r="J3384" s="95"/>
      <c r="K3384" s="92">
        <f ca="1">H3384*K3357</f>
        <v>0</v>
      </c>
      <c r="L3384" s="92"/>
      <c r="M3384" s="44"/>
      <c r="N3384" s="44"/>
      <c r="O3384" s="44"/>
      <c r="P3384" s="44"/>
      <c r="Q3384" s="44"/>
      <c r="R3384" s="84"/>
      <c r="S3384" s="47"/>
      <c r="T3384" s="47"/>
    </row>
    <row r="3385" s="27" customFormat="1" ht="18" customHeight="1" spans="1:20">
      <c r="A3385" s="34"/>
      <c r="B3385" s="48">
        <v>15</v>
      </c>
      <c r="C3385" s="48"/>
      <c r="D3385" s="88"/>
      <c r="E3385" s="72"/>
      <c r="F3385" s="77"/>
      <c r="G3385" s="89"/>
      <c r="H3385" s="74"/>
      <c r="I3385" s="74"/>
      <c r="J3385" s="95"/>
      <c r="K3385" s="92"/>
      <c r="L3385" s="92"/>
      <c r="M3385" s="44"/>
      <c r="N3385" s="44"/>
      <c r="O3385" s="44"/>
      <c r="P3385" s="44"/>
      <c r="Q3385" s="44"/>
      <c r="R3385" s="84"/>
      <c r="S3385" s="47"/>
      <c r="T3385" s="47"/>
    </row>
    <row r="3386" s="27" customFormat="1" ht="18" customHeight="1" spans="1:20">
      <c r="A3386" s="34"/>
      <c r="B3386" s="48">
        <v>16</v>
      </c>
      <c r="C3386" s="48"/>
      <c r="D3386" s="88"/>
      <c r="E3386" s="72"/>
      <c r="F3386" s="77"/>
      <c r="G3386" s="89"/>
      <c r="H3386" s="74"/>
      <c r="I3386" s="74"/>
      <c r="J3386" s="95"/>
      <c r="K3386" s="92"/>
      <c r="L3386" s="92"/>
      <c r="M3386" s="44"/>
      <c r="N3386" s="44"/>
      <c r="O3386" s="44"/>
      <c r="P3386" s="44"/>
      <c r="Q3386" s="44"/>
      <c r="R3386" s="84"/>
      <c r="S3386" s="47"/>
      <c r="T3386" s="47"/>
    </row>
    <row r="3387" s="27" customFormat="1" ht="18" customHeight="1" spans="1:20">
      <c r="A3387" s="34"/>
      <c r="B3387" s="48">
        <v>17</v>
      </c>
      <c r="C3387" s="48"/>
      <c r="D3387" s="121"/>
      <c r="E3387" s="72"/>
      <c r="F3387" s="77"/>
      <c r="G3387" s="89"/>
      <c r="H3387" s="74"/>
      <c r="I3387" s="74"/>
      <c r="J3387" s="95"/>
      <c r="K3387" s="92"/>
      <c r="L3387" s="92"/>
      <c r="M3387" s="44"/>
      <c r="N3387" s="44"/>
      <c r="O3387" s="44"/>
      <c r="P3387" s="44"/>
      <c r="Q3387" s="101"/>
      <c r="R3387" s="84"/>
      <c r="S3387" s="47"/>
      <c r="T3387" s="47"/>
    </row>
    <row r="3388" s="27" customFormat="1" ht="18" customHeight="1" spans="1:20">
      <c r="A3388" s="34"/>
      <c r="B3388" s="48">
        <v>18</v>
      </c>
      <c r="C3388" s="48"/>
      <c r="D3388" s="88"/>
      <c r="E3388" s="72"/>
      <c r="F3388" s="77"/>
      <c r="G3388" s="89"/>
      <c r="H3388" s="74"/>
      <c r="I3388" s="74"/>
      <c r="J3388" s="95"/>
      <c r="K3388" s="92"/>
      <c r="L3388" s="92"/>
      <c r="M3388" s="44"/>
      <c r="N3388" s="44"/>
      <c r="O3388" s="44"/>
      <c r="P3388" s="44"/>
      <c r="Q3388" s="44"/>
      <c r="R3388" s="84"/>
      <c r="S3388" s="47"/>
      <c r="T3388" s="47"/>
    </row>
    <row r="3389" s="27" customFormat="1" ht="18" customHeight="1" spans="1:20">
      <c r="A3389" s="34"/>
      <c r="B3389" s="48">
        <v>19</v>
      </c>
      <c r="C3389" s="48"/>
      <c r="D3389" s="27"/>
      <c r="E3389" s="72"/>
      <c r="F3389" s="77"/>
      <c r="G3389" s="89"/>
      <c r="H3389" s="74"/>
      <c r="I3389" s="74"/>
      <c r="J3389" s="95"/>
      <c r="K3389" s="92"/>
      <c r="L3389" s="92"/>
      <c r="M3389" s="44"/>
      <c r="N3389" s="44"/>
      <c r="O3389" s="44"/>
      <c r="P3389" s="44"/>
      <c r="Q3389" s="44"/>
      <c r="R3389" s="84"/>
      <c r="S3389" s="47"/>
      <c r="T3389" s="47"/>
    </row>
    <row r="3390" s="27" customFormat="1" ht="18" customHeight="1" spans="1:20">
      <c r="A3390" s="34"/>
      <c r="B3390" s="48">
        <v>20</v>
      </c>
      <c r="C3390" s="48"/>
      <c r="D3390" s="88"/>
      <c r="E3390" s="72"/>
      <c r="F3390" s="77"/>
      <c r="G3390" s="89"/>
      <c r="H3390" s="74"/>
      <c r="I3390" s="74"/>
      <c r="J3390" s="95"/>
      <c r="K3390" s="92"/>
      <c r="L3390" s="92"/>
      <c r="M3390" s="44"/>
      <c r="N3390" s="44"/>
      <c r="O3390" s="44"/>
      <c r="P3390" s="44"/>
      <c r="Q3390" s="44"/>
      <c r="R3390" s="84"/>
      <c r="S3390" s="47"/>
      <c r="T3390" s="47"/>
    </row>
    <row r="3391" s="27" customFormat="1" ht="18" customHeight="1" spans="1:20">
      <c r="A3391" s="34"/>
      <c r="B3391" s="48">
        <v>21</v>
      </c>
      <c r="C3391" s="48"/>
      <c r="D3391" s="88"/>
      <c r="E3391" s="72"/>
      <c r="F3391" s="77"/>
      <c r="G3391" s="89"/>
      <c r="H3391" s="74"/>
      <c r="I3391" s="74"/>
      <c r="J3391" s="95"/>
      <c r="K3391" s="92"/>
      <c r="L3391" s="92"/>
      <c r="M3391" s="44"/>
      <c r="N3391" s="44"/>
      <c r="O3391" s="44"/>
      <c r="P3391" s="44"/>
      <c r="Q3391" s="44"/>
      <c r="R3391" s="84"/>
      <c r="S3391" s="47"/>
      <c r="T3391" s="47"/>
    </row>
    <row r="3392" s="27" customFormat="1" ht="18" customHeight="1" spans="1:20">
      <c r="A3392" s="34"/>
      <c r="B3392" s="48">
        <v>22</v>
      </c>
      <c r="C3392" s="48"/>
      <c r="D3392" s="27"/>
      <c r="E3392" s="72"/>
      <c r="F3392" s="77"/>
      <c r="G3392" s="72"/>
      <c r="H3392" s="74"/>
      <c r="I3392" s="74"/>
      <c r="J3392" s="95"/>
      <c r="K3392" s="92"/>
      <c r="L3392" s="92"/>
      <c r="M3392" s="44"/>
      <c r="N3392" s="44"/>
      <c r="O3392" s="44"/>
      <c r="P3392" s="44"/>
      <c r="Q3392" s="44"/>
      <c r="R3392" s="62"/>
      <c r="S3392" s="47"/>
      <c r="T3392" s="47"/>
    </row>
    <row r="3393" s="27" customFormat="1" ht="18" customHeight="1" spans="1:20">
      <c r="A3393" s="34"/>
      <c r="B3393" s="48">
        <v>23</v>
      </c>
      <c r="C3393" s="48"/>
      <c r="D3393" s="88"/>
      <c r="E3393" s="72"/>
      <c r="F3393" s="77"/>
      <c r="G3393" s="89"/>
      <c r="H3393" s="74"/>
      <c r="I3393" s="74"/>
      <c r="J3393" s="95"/>
      <c r="K3393" s="92"/>
      <c r="L3393" s="92"/>
      <c r="M3393" s="44"/>
      <c r="N3393" s="44"/>
      <c r="O3393" s="44"/>
      <c r="P3393" s="44"/>
      <c r="Q3393" s="44"/>
      <c r="R3393" s="62"/>
      <c r="S3393" s="47"/>
      <c r="T3393" s="47"/>
    </row>
    <row r="3394" s="27" customFormat="1" ht="18" customHeight="1" spans="1:20">
      <c r="A3394" s="34"/>
      <c r="B3394" s="48">
        <v>24</v>
      </c>
      <c r="C3394" s="48"/>
      <c r="D3394" s="88" t="s">
        <v>478</v>
      </c>
      <c r="E3394" s="72" t="s">
        <v>43</v>
      </c>
      <c r="F3394" s="77"/>
      <c r="G3394" s="72">
        <v>1</v>
      </c>
      <c r="H3394" s="74">
        <v>1</v>
      </c>
      <c r="I3394" s="74">
        <f>+辅材及安装费!$E$12</f>
        <v>2</v>
      </c>
      <c r="J3394" s="95">
        <f>H3394*I3394</f>
        <v>2</v>
      </c>
      <c r="K3394" s="92"/>
      <c r="L3394" s="92"/>
      <c r="M3394" s="44"/>
      <c r="N3394" s="44"/>
      <c r="O3394" s="44"/>
      <c r="P3394" s="44"/>
      <c r="Q3394" s="44"/>
      <c r="R3394" s="62"/>
      <c r="S3394" s="47"/>
      <c r="T3394" s="47"/>
    </row>
    <row r="3395" s="27" customFormat="1" ht="18" customHeight="1" spans="1:20">
      <c r="A3395" s="34"/>
      <c r="B3395" s="48">
        <v>25</v>
      </c>
      <c r="C3395" s="48"/>
      <c r="D3395" s="93" t="s">
        <v>442</v>
      </c>
      <c r="E3395" s="72"/>
      <c r="F3395" s="77"/>
      <c r="G3395" s="72"/>
      <c r="H3395" s="74"/>
      <c r="I3395" s="74"/>
      <c r="J3395" s="95">
        <f>SUM(J3371:J3394)</f>
        <v>128.178402438938</v>
      </c>
      <c r="K3395" s="92"/>
      <c r="L3395" s="94"/>
      <c r="N3395" s="83"/>
      <c r="O3395" s="83"/>
      <c r="P3395" s="83"/>
      <c r="Q3395" s="83"/>
      <c r="R3395" s="87"/>
      <c r="S3395" s="47"/>
      <c r="T3395" s="47"/>
    </row>
    <row r="3396" s="27" customFormat="1" ht="18" customHeight="1" spans="1:20">
      <c r="A3396" s="34"/>
      <c r="B3396" s="48">
        <v>1</v>
      </c>
      <c r="C3396" s="48" t="s">
        <v>443</v>
      </c>
      <c r="D3396" s="48" t="s">
        <v>444</v>
      </c>
      <c r="E3396" s="72" t="s">
        <v>43</v>
      </c>
      <c r="F3396" s="50"/>
      <c r="G3396" s="48"/>
      <c r="H3396" s="51">
        <v>1</v>
      </c>
      <c r="I3396" s="74">
        <f>+辅材及安装费!$F$12</f>
        <v>1</v>
      </c>
      <c r="J3396" s="95">
        <f>H3396*I3396</f>
        <v>1</v>
      </c>
      <c r="K3396" s="118"/>
      <c r="L3396" s="96"/>
      <c r="M3396" s="97"/>
      <c r="N3396" s="98"/>
      <c r="O3396" s="98"/>
      <c r="P3396" s="98"/>
      <c r="Q3396" s="98"/>
      <c r="R3396" s="99"/>
      <c r="S3396" s="47"/>
      <c r="T3396" s="47"/>
    </row>
    <row r="3397" s="26" customFormat="1" ht="30" customHeight="1" spans="1:20">
      <c r="A3397" s="28"/>
      <c r="B3397" s="29" t="s">
        <v>386</v>
      </c>
      <c r="C3397" s="29"/>
      <c r="D3397" s="29"/>
      <c r="E3397" s="29"/>
      <c r="F3397" s="29"/>
      <c r="G3397" s="29"/>
      <c r="H3397" s="29"/>
      <c r="I3397" s="29"/>
      <c r="J3397" s="29"/>
      <c r="K3397" s="29"/>
      <c r="L3397" s="30"/>
      <c r="M3397" s="31"/>
      <c r="N3397" s="31"/>
      <c r="O3397" s="31"/>
      <c r="P3397" s="31"/>
      <c r="Q3397" s="31"/>
      <c r="R3397" s="32"/>
      <c r="S3397" s="33"/>
      <c r="T3397" s="33"/>
    </row>
    <row r="3398" s="27" customFormat="1" ht="33.75" customHeight="1" spans="1:20">
      <c r="A3398" s="34">
        <v>4</v>
      </c>
      <c r="B3398" s="35" t="s">
        <v>1</v>
      </c>
      <c r="C3398" s="35" t="s">
        <v>387</v>
      </c>
      <c r="D3398" s="36" t="str">
        <f>+A3406</f>
        <v>浅灰色铝合金线条（200*50）</v>
      </c>
      <c r="E3398" s="37"/>
      <c r="F3398" s="38"/>
      <c r="G3398" s="39"/>
      <c r="H3398" s="35" t="s">
        <v>388</v>
      </c>
      <c r="I3398" s="40" t="s">
        <v>389</v>
      </c>
      <c r="J3398" s="41" t="s">
        <v>37</v>
      </c>
      <c r="K3398" s="42">
        <f ca="1">VLOOKUP(A3398,'商业工程量清单 '!$A$88:$D$93,4,FALSE)</f>
        <v>353.945</v>
      </c>
      <c r="L3398" s="43"/>
      <c r="M3398" s="44"/>
      <c r="N3398" s="44"/>
      <c r="O3398" s="44"/>
      <c r="P3398" s="45"/>
      <c r="Q3398" s="44"/>
      <c r="R3398" s="46"/>
      <c r="S3398" s="47"/>
      <c r="T3398" s="47"/>
    </row>
    <row r="3399" s="27" customFormat="1" ht="25" customHeight="1" spans="1:20">
      <c r="A3399" s="34"/>
      <c r="B3399" s="48">
        <v>1</v>
      </c>
      <c r="C3399" s="49" t="s">
        <v>390</v>
      </c>
      <c r="D3399" s="48" t="s">
        <v>391</v>
      </c>
      <c r="E3399" s="48"/>
      <c r="F3399" s="50"/>
      <c r="G3399" s="48"/>
      <c r="H3399" s="51"/>
      <c r="I3399" s="52">
        <f>J3411</f>
        <v>15</v>
      </c>
      <c r="J3399" s="53" t="s">
        <v>392</v>
      </c>
      <c r="K3399" s="54"/>
      <c r="L3399" s="55"/>
      <c r="M3399" s="56"/>
      <c r="N3399" s="57"/>
      <c r="O3399" s="57">
        <v>1</v>
      </c>
      <c r="P3399" s="57">
        <v>1</v>
      </c>
      <c r="Q3399" s="57">
        <v>1</v>
      </c>
      <c r="R3399" s="58">
        <f>+Q3399*P3399*O3399</f>
        <v>1</v>
      </c>
      <c r="S3399" s="47"/>
      <c r="T3399" s="47"/>
    </row>
    <row r="3400" s="27" customFormat="1" ht="18" customHeight="1" spans="1:20">
      <c r="A3400" s="34"/>
      <c r="B3400" s="48">
        <v>2</v>
      </c>
      <c r="C3400" s="59"/>
      <c r="D3400" s="48" t="s">
        <v>394</v>
      </c>
      <c r="E3400" s="48"/>
      <c r="F3400" s="50"/>
      <c r="G3400" s="48"/>
      <c r="H3400" s="51"/>
      <c r="I3400" s="52">
        <f>J3436</f>
        <v>97.4804857469027</v>
      </c>
      <c r="J3400" s="53" t="s">
        <v>392</v>
      </c>
      <c r="K3400" s="60"/>
      <c r="L3400" s="61"/>
      <c r="M3400" s="44"/>
      <c r="N3400" s="44"/>
      <c r="O3400" s="44"/>
      <c r="P3400" s="44"/>
      <c r="Q3400" s="44"/>
      <c r="R3400" s="62"/>
      <c r="S3400" s="47"/>
      <c r="T3400" s="47"/>
    </row>
    <row r="3401" s="27" customFormat="1" ht="18" customHeight="1" spans="1:20">
      <c r="A3401" s="34"/>
      <c r="B3401" s="48">
        <v>3</v>
      </c>
      <c r="C3401" s="63"/>
      <c r="D3401" s="48" t="s">
        <v>395</v>
      </c>
      <c r="E3401" s="48"/>
      <c r="F3401" s="50"/>
      <c r="G3401" s="48"/>
      <c r="H3401" s="51"/>
      <c r="I3401" s="52">
        <f>J3437</f>
        <v>1</v>
      </c>
      <c r="J3401" s="53" t="s">
        <v>392</v>
      </c>
      <c r="K3401" s="60"/>
      <c r="L3401" s="60"/>
      <c r="M3401" s="65" t="s">
        <v>396</v>
      </c>
      <c r="N3401" s="65" t="s">
        <v>397</v>
      </c>
      <c r="O3401" s="65" t="s">
        <v>398</v>
      </c>
      <c r="P3401" s="65" t="s">
        <v>399</v>
      </c>
      <c r="Q3401" s="65" t="s">
        <v>400</v>
      </c>
      <c r="R3401" s="66" t="s">
        <v>401</v>
      </c>
      <c r="S3401" s="47"/>
      <c r="T3401" s="47"/>
    </row>
    <row r="3402" s="27" customFormat="1" ht="18" customHeight="1" spans="1:20">
      <c r="A3402" s="34"/>
      <c r="B3402" s="48">
        <v>4</v>
      </c>
      <c r="C3402" s="48" t="s">
        <v>402</v>
      </c>
      <c r="D3402" s="67" t="s">
        <v>403</v>
      </c>
      <c r="E3402" s="67"/>
      <c r="F3402" s="50"/>
      <c r="G3402" s="67"/>
      <c r="H3402" s="68"/>
      <c r="I3402" s="52">
        <f>SUM(I3399:I3401)</f>
        <v>113.480485746903</v>
      </c>
      <c r="J3402" s="53" t="s">
        <v>392</v>
      </c>
      <c r="K3402" s="60"/>
      <c r="L3402" s="69"/>
      <c r="M3402" s="34"/>
      <c r="N3402" s="34"/>
      <c r="O3402" s="34"/>
      <c r="P3402" s="34"/>
      <c r="Q3402" s="44"/>
      <c r="R3402" s="71"/>
      <c r="S3402" s="47"/>
      <c r="T3402" s="47"/>
    </row>
    <row r="3403" s="27" customFormat="1" ht="28" customHeight="1" spans="1:20">
      <c r="A3403" s="34"/>
      <c r="B3403" s="48">
        <v>5</v>
      </c>
      <c r="C3403" s="72" t="s">
        <v>406</v>
      </c>
      <c r="D3403" s="48" t="s">
        <v>407</v>
      </c>
      <c r="E3403" s="48"/>
      <c r="F3403" s="50"/>
      <c r="G3403" s="48"/>
      <c r="H3403" s="73">
        <f>+'材料表 '!$E$178</f>
        <v>0</v>
      </c>
      <c r="I3403" s="52">
        <f>H3403*I3402</f>
        <v>0</v>
      </c>
      <c r="J3403" s="53" t="s">
        <v>392</v>
      </c>
      <c r="K3403" s="60"/>
      <c r="L3403" s="69"/>
      <c r="M3403" s="34"/>
      <c r="N3403" s="102"/>
      <c r="O3403" s="34"/>
      <c r="P3403" s="34"/>
      <c r="Q3403" s="44"/>
      <c r="R3403" s="71"/>
      <c r="S3403" s="47"/>
      <c r="T3403" s="47"/>
    </row>
    <row r="3404" s="27" customFormat="1" ht="18" customHeight="1" spans="1:20">
      <c r="A3404" s="34"/>
      <c r="B3404" s="48">
        <v>6</v>
      </c>
      <c r="C3404" s="48" t="s">
        <v>409</v>
      </c>
      <c r="D3404" s="48" t="s">
        <v>410</v>
      </c>
      <c r="E3404" s="48"/>
      <c r="F3404" s="50"/>
      <c r="G3404" s="48"/>
      <c r="H3404" s="73">
        <f>+'材料表 '!$E$179</f>
        <v>0</v>
      </c>
      <c r="I3404" s="52">
        <f>H3404*I3402</f>
        <v>0</v>
      </c>
      <c r="J3404" s="53" t="s">
        <v>392</v>
      </c>
      <c r="K3404" s="60"/>
      <c r="L3404" s="69"/>
      <c r="M3404" s="34"/>
      <c r="N3404" s="34"/>
      <c r="O3404" s="34"/>
      <c r="P3404" s="34"/>
      <c r="Q3404" s="44"/>
      <c r="R3404" s="71"/>
      <c r="S3404" s="47"/>
      <c r="T3404" s="47"/>
    </row>
    <row r="3405" s="27" customFormat="1" ht="18" customHeight="1" spans="1:20">
      <c r="A3405" s="34"/>
      <c r="B3405" s="48">
        <v>7</v>
      </c>
      <c r="C3405" s="48" t="s">
        <v>412</v>
      </c>
      <c r="D3405" s="72" t="s">
        <v>413</v>
      </c>
      <c r="E3405" s="72"/>
      <c r="F3405" s="77"/>
      <c r="G3405" s="72"/>
      <c r="H3405" s="73">
        <f>+'材料表 '!$E$180</f>
        <v>0.09</v>
      </c>
      <c r="I3405" s="52">
        <f>(I3402+I3403+I3404)*H3405</f>
        <v>10.2132437172212</v>
      </c>
      <c r="J3405" s="53" t="s">
        <v>392</v>
      </c>
      <c r="K3405" s="60"/>
      <c r="L3405" s="69"/>
      <c r="M3405" s="34"/>
      <c r="N3405" s="34"/>
      <c r="O3405" s="34"/>
      <c r="P3405" s="34"/>
      <c r="Q3405" s="44"/>
      <c r="R3405" s="71"/>
      <c r="S3405" s="47"/>
      <c r="T3405" s="47"/>
    </row>
    <row r="3406" s="27" customFormat="1" ht="18" customHeight="1" spans="1:20">
      <c r="A3406" s="105" t="s">
        <v>353</v>
      </c>
      <c r="B3406" s="48">
        <v>8</v>
      </c>
      <c r="C3406" s="48" t="s">
        <v>363</v>
      </c>
      <c r="D3406" s="106" t="s">
        <v>415</v>
      </c>
      <c r="E3406" s="107"/>
      <c r="F3406" s="108"/>
      <c r="G3406" s="107"/>
      <c r="H3406" s="51"/>
      <c r="I3406" s="74">
        <f>SUM(I3402:I3405)</f>
        <v>123.693729464124</v>
      </c>
      <c r="J3406" s="53" t="s">
        <v>484</v>
      </c>
      <c r="K3406" s="60"/>
      <c r="L3406" s="69"/>
      <c r="M3406" s="34"/>
      <c r="N3406" s="126"/>
      <c r="O3406" s="34"/>
      <c r="P3406" s="44"/>
      <c r="Q3406" s="44"/>
      <c r="R3406" s="84"/>
      <c r="S3406" s="79"/>
      <c r="T3406" s="47"/>
    </row>
    <row r="3407" s="27" customFormat="1" ht="18" customHeight="1" spans="1:20">
      <c r="A3407" s="34"/>
      <c r="B3407" s="109" t="s">
        <v>418</v>
      </c>
      <c r="C3407" s="110"/>
      <c r="D3407" s="110"/>
      <c r="E3407" s="110"/>
      <c r="F3407" s="110"/>
      <c r="G3407" s="110"/>
      <c r="H3407" s="110"/>
      <c r="I3407" s="110"/>
      <c r="J3407" s="110"/>
      <c r="K3407" s="80"/>
      <c r="L3407" s="69"/>
      <c r="M3407" s="70"/>
      <c r="N3407" s="34"/>
      <c r="O3407" s="34"/>
      <c r="P3407" s="34"/>
      <c r="Q3407" s="44"/>
      <c r="R3407" s="71"/>
      <c r="S3407" s="47"/>
      <c r="T3407" s="47"/>
    </row>
    <row r="3408" s="27" customFormat="1" ht="18" customHeight="1" spans="1:20">
      <c r="A3408" s="34"/>
      <c r="B3408" s="48">
        <v>1</v>
      </c>
      <c r="C3408" s="48" t="s">
        <v>391</v>
      </c>
      <c r="D3408" s="48" t="s">
        <v>396</v>
      </c>
      <c r="E3408" s="48" t="s">
        <v>37</v>
      </c>
      <c r="F3408" s="50"/>
      <c r="G3408" s="48"/>
      <c r="H3408" s="51" t="s">
        <v>399</v>
      </c>
      <c r="I3408" s="51" t="s">
        <v>420</v>
      </c>
      <c r="J3408" s="95" t="s">
        <v>421</v>
      </c>
      <c r="K3408" s="92"/>
      <c r="L3408" s="69" t="s">
        <v>433</v>
      </c>
      <c r="M3408" s="70" t="s">
        <v>567</v>
      </c>
      <c r="N3408" s="34">
        <f>0.136*2.71</f>
        <v>0.36856</v>
      </c>
      <c r="O3408" s="34">
        <v>1</v>
      </c>
      <c r="P3408" s="34">
        <v>1</v>
      </c>
      <c r="Q3408" s="44">
        <f t="shared" ref="Q3408:Q3410" si="513">+P3408*O3408*N3408</f>
        <v>0.36856</v>
      </c>
      <c r="R3408" s="71">
        <f>+Q3408/R3399</f>
        <v>0.36856</v>
      </c>
      <c r="S3408" s="47"/>
      <c r="T3408" s="47"/>
    </row>
    <row r="3409" s="27" customFormat="1" ht="18" customHeight="1" spans="1:20">
      <c r="A3409" s="34"/>
      <c r="B3409" s="48">
        <v>2</v>
      </c>
      <c r="C3409" s="48"/>
      <c r="D3409" s="111" t="s">
        <v>568</v>
      </c>
      <c r="E3409" s="49" t="s">
        <v>423</v>
      </c>
      <c r="F3409" s="112"/>
      <c r="G3409" s="111"/>
      <c r="H3409" s="113">
        <v>1</v>
      </c>
      <c r="I3409" s="113">
        <f>+辅材及安装费!$G$12</f>
        <v>15</v>
      </c>
      <c r="J3409" s="114">
        <f>H3409*I3409</f>
        <v>15</v>
      </c>
      <c r="K3409" s="92"/>
      <c r="L3409" s="34" t="s">
        <v>447</v>
      </c>
      <c r="M3409" s="70" t="s">
        <v>569</v>
      </c>
      <c r="N3409" s="34">
        <f>0.742*2.71</f>
        <v>2.01082</v>
      </c>
      <c r="O3409" s="34">
        <v>1</v>
      </c>
      <c r="P3409" s="34">
        <v>1</v>
      </c>
      <c r="Q3409" s="44">
        <f t="shared" si="513"/>
        <v>2.01082</v>
      </c>
      <c r="R3409" s="71">
        <f>+Q3409/R3399</f>
        <v>2.01082</v>
      </c>
      <c r="S3409" s="129">
        <v>0.45</v>
      </c>
      <c r="T3409" s="129">
        <f>O3409*S3409</f>
        <v>0.45</v>
      </c>
    </row>
    <row r="3410" s="27" customFormat="1" ht="18" customHeight="1" spans="1:20">
      <c r="A3410" s="34"/>
      <c r="B3410" s="48">
        <v>3</v>
      </c>
      <c r="C3410" s="48"/>
      <c r="D3410" s="115"/>
      <c r="E3410" s="63"/>
      <c r="F3410" s="116"/>
      <c r="G3410" s="115"/>
      <c r="H3410" s="117"/>
      <c r="I3410" s="117"/>
      <c r="J3410" s="118"/>
      <c r="K3410" s="92"/>
      <c r="L3410" s="90" t="s">
        <v>447</v>
      </c>
      <c r="M3410" s="70"/>
      <c r="N3410" s="82">
        <v>0</v>
      </c>
      <c r="O3410" s="44">
        <v>1</v>
      </c>
      <c r="P3410" s="44">
        <v>1</v>
      </c>
      <c r="Q3410" s="44">
        <f t="shared" si="513"/>
        <v>0</v>
      </c>
      <c r="R3410" s="84">
        <f>Q3410/R3399</f>
        <v>0</v>
      </c>
      <c r="S3410" s="129">
        <v>0</v>
      </c>
      <c r="T3410" s="129">
        <f>S3410*O3410*P3410</f>
        <v>0</v>
      </c>
    </row>
    <row r="3411" s="27" customFormat="1" ht="18" customHeight="1" spans="1:20">
      <c r="A3411" s="34"/>
      <c r="B3411" s="48">
        <v>4</v>
      </c>
      <c r="C3411" s="48"/>
      <c r="D3411" s="85" t="s">
        <v>426</v>
      </c>
      <c r="E3411" s="48" t="s">
        <v>392</v>
      </c>
      <c r="F3411" s="50"/>
      <c r="G3411" s="48"/>
      <c r="H3411" s="86"/>
      <c r="I3411" s="86"/>
      <c r="J3411" s="95">
        <f>SUM(J3409:J3409)</f>
        <v>15</v>
      </c>
      <c r="K3411" s="92"/>
      <c r="L3411" s="90"/>
      <c r="M3411" s="44"/>
      <c r="N3411" s="82"/>
      <c r="O3411" s="44"/>
      <c r="P3411" s="44"/>
      <c r="Q3411" s="44"/>
      <c r="R3411" s="84"/>
      <c r="S3411" s="47"/>
      <c r="T3411" s="47"/>
    </row>
    <row r="3412" s="27" customFormat="1" ht="19" customHeight="1" spans="1:20">
      <c r="A3412" s="34"/>
      <c r="B3412" s="48">
        <v>1</v>
      </c>
      <c r="C3412" s="48" t="s">
        <v>394</v>
      </c>
      <c r="D3412" s="88"/>
      <c r="E3412" s="72"/>
      <c r="F3412" s="77"/>
      <c r="G3412" s="89"/>
      <c r="H3412" s="74"/>
      <c r="I3412" s="74"/>
      <c r="J3412" s="95"/>
      <c r="K3412" s="92">
        <f ca="1">H3412*K3398</f>
        <v>0</v>
      </c>
      <c r="L3412" s="90"/>
      <c r="M3412" s="44"/>
      <c r="N3412" s="82"/>
      <c r="O3412" s="44"/>
      <c r="P3412" s="44"/>
      <c r="Q3412" s="44"/>
      <c r="R3412" s="84"/>
      <c r="S3412" s="47"/>
      <c r="T3412" s="47"/>
    </row>
    <row r="3413" s="27" customFormat="1" ht="18" customHeight="1" spans="1:20">
      <c r="A3413" s="34"/>
      <c r="B3413" s="48">
        <v>2</v>
      </c>
      <c r="C3413" s="48"/>
      <c r="D3413" s="88"/>
      <c r="E3413" s="72"/>
      <c r="F3413" s="77"/>
      <c r="G3413" s="89"/>
      <c r="H3413" s="74"/>
      <c r="I3413" s="74"/>
      <c r="J3413" s="95"/>
      <c r="K3413" s="92">
        <f ca="1">H3413*K3398</f>
        <v>0</v>
      </c>
      <c r="L3413" s="90"/>
      <c r="M3413" s="44"/>
      <c r="N3413" s="82"/>
      <c r="O3413" s="44"/>
      <c r="P3413" s="44"/>
      <c r="Q3413" s="44"/>
      <c r="R3413" s="84"/>
      <c r="S3413" s="47"/>
      <c r="T3413" s="47"/>
    </row>
    <row r="3414" s="27" customFormat="1" ht="18" customHeight="1" spans="1:20">
      <c r="A3414" s="34"/>
      <c r="B3414" s="48">
        <v>3</v>
      </c>
      <c r="C3414" s="48"/>
      <c r="D3414" s="88"/>
      <c r="E3414" s="72"/>
      <c r="F3414" s="77"/>
      <c r="G3414" s="89"/>
      <c r="H3414" s="74"/>
      <c r="I3414" s="74"/>
      <c r="J3414" s="95"/>
      <c r="K3414" s="92">
        <f ca="1">H3414*K3398</f>
        <v>0</v>
      </c>
      <c r="L3414" s="90"/>
      <c r="M3414" s="44"/>
      <c r="N3414" s="82"/>
      <c r="O3414" s="44"/>
      <c r="P3414" s="44"/>
      <c r="Q3414" s="44"/>
      <c r="R3414" s="84"/>
      <c r="S3414" s="47"/>
      <c r="T3414" s="47"/>
    </row>
    <row r="3415" s="27" customFormat="1" ht="18" customHeight="1" spans="1:20">
      <c r="A3415" s="34"/>
      <c r="B3415" s="48">
        <v>4</v>
      </c>
      <c r="C3415" s="48"/>
      <c r="D3415" s="88" t="s">
        <v>433</v>
      </c>
      <c r="E3415" s="72" t="str">
        <f>+VLOOKUP(D3415,'材料表 '!C:F,2,0)</f>
        <v>kg</v>
      </c>
      <c r="F3415" s="77">
        <f>R3408</f>
        <v>0.36856</v>
      </c>
      <c r="G3415" s="89">
        <f>+VLOOKUP(D3415,'材料表 '!C:F,4,0)</f>
        <v>0.03</v>
      </c>
      <c r="H3415" s="74">
        <f t="shared" ref="H3415:H3418" si="514">F3415*(G3415+1)</f>
        <v>0.3796168</v>
      </c>
      <c r="I3415" s="74">
        <f>+VLOOKUP(D3415,'材料表 '!C:F,3,0)</f>
        <v>26.1150442477876</v>
      </c>
      <c r="J3415" s="95">
        <f t="shared" ref="J3415:J3418" si="515">H3415*I3415</f>
        <v>9.91370952920354</v>
      </c>
      <c r="K3415" s="92">
        <f ca="1">H3415*K3398</f>
        <v>134.363468276</v>
      </c>
      <c r="L3415" s="90"/>
      <c r="M3415" s="44"/>
      <c r="N3415" s="82"/>
      <c r="O3415" s="44"/>
      <c r="P3415" s="44"/>
      <c r="Q3415" s="44"/>
      <c r="R3415" s="84"/>
      <c r="S3415" s="47"/>
      <c r="T3415" s="47"/>
    </row>
    <row r="3416" s="27" customFormat="1" ht="18" customHeight="1" spans="1:20">
      <c r="A3416" s="34"/>
      <c r="B3416" s="48">
        <v>5</v>
      </c>
      <c r="C3416" s="48"/>
      <c r="D3416" s="88" t="s">
        <v>447</v>
      </c>
      <c r="E3416" s="72" t="str">
        <f>+VLOOKUP(D3416,'材料表 '!C:F,2,0)</f>
        <v>kg</v>
      </c>
      <c r="F3416" s="77">
        <f>R3409+R3410</f>
        <v>2.01082</v>
      </c>
      <c r="G3416" s="89">
        <f>+VLOOKUP(D3416,'材料表 '!C:F,4,0)</f>
        <v>0.03</v>
      </c>
      <c r="H3416" s="74">
        <f t="shared" si="514"/>
        <v>2.0711446</v>
      </c>
      <c r="I3416" s="74">
        <f>+VLOOKUP(D3416,'材料表 '!C:F,3,0)</f>
        <v>24.4336283185841</v>
      </c>
      <c r="J3416" s="95">
        <f t="shared" si="515"/>
        <v>50.6055773504425</v>
      </c>
      <c r="K3416" s="92">
        <f ca="1">H3416*K3398</f>
        <v>733.071275447</v>
      </c>
      <c r="L3416" s="92" t="s">
        <v>476</v>
      </c>
      <c r="M3416" s="44"/>
      <c r="N3416" s="82"/>
      <c r="O3416" s="44"/>
      <c r="P3416" s="44"/>
      <c r="Q3416" s="44">
        <f>10*8*(O3399*0+P3399*0)/500</f>
        <v>0</v>
      </c>
      <c r="R3416" s="84">
        <f>+Q3416/R3399</f>
        <v>0</v>
      </c>
      <c r="S3416" s="47"/>
      <c r="T3416" s="47"/>
    </row>
    <row r="3417" s="27" customFormat="1" ht="18" customHeight="1" spans="1:20">
      <c r="A3417" s="34"/>
      <c r="B3417" s="48">
        <v>6</v>
      </c>
      <c r="C3417" s="48"/>
      <c r="D3417" s="88" t="s">
        <v>434</v>
      </c>
      <c r="E3417" s="72" t="str">
        <f>+VLOOKUP(D3417,'材料表 '!C:F,2,0)</f>
        <v>m2</v>
      </c>
      <c r="F3417" s="77">
        <f>T3409+T3410</f>
        <v>0.45</v>
      </c>
      <c r="G3417" s="89">
        <f>+VLOOKUP(D3417,'材料表 '!C:F,4,0)</f>
        <v>0</v>
      </c>
      <c r="H3417" s="74">
        <f t="shared" si="514"/>
        <v>0.45</v>
      </c>
      <c r="I3417" s="74">
        <f>+VLOOKUP(D3417,'材料表 '!C:F,3,0)+5</f>
        <v>54.5575221238938</v>
      </c>
      <c r="J3417" s="95">
        <f t="shared" si="515"/>
        <v>24.5508849557522</v>
      </c>
      <c r="K3417" s="92">
        <f ca="1">H3417*K3398</f>
        <v>159.27525</v>
      </c>
      <c r="L3417" s="92"/>
      <c r="M3417" s="44"/>
      <c r="N3417" s="82"/>
      <c r="O3417" s="44"/>
      <c r="P3417" s="44"/>
      <c r="Q3417" s="44"/>
      <c r="R3417" s="84"/>
      <c r="S3417" s="47"/>
      <c r="T3417" s="47"/>
    </row>
    <row r="3418" s="27" customFormat="1" ht="18" customHeight="1" spans="1:20">
      <c r="A3418" s="34"/>
      <c r="B3418" s="48">
        <v>7</v>
      </c>
      <c r="C3418" s="48"/>
      <c r="D3418" s="88" t="s">
        <v>500</v>
      </c>
      <c r="E3418" s="72" t="str">
        <f>+VLOOKUP(D3418,'材料表 '!C:F,2,0)</f>
        <v>kg</v>
      </c>
      <c r="F3418" s="77">
        <f>(R3408+R3409+R3410)*0.3</f>
        <v>0.713814</v>
      </c>
      <c r="G3418" s="89">
        <f>+VLOOKUP(D3418,'材料表 '!C:F,4,0)</f>
        <v>0.03</v>
      </c>
      <c r="H3418" s="74">
        <f t="shared" si="514"/>
        <v>0.73522842</v>
      </c>
      <c r="I3418" s="74">
        <f>+VLOOKUP(D3418,'材料表 '!C:F,3,0)</f>
        <v>14.1592920353982</v>
      </c>
      <c r="J3418" s="95">
        <f t="shared" si="515"/>
        <v>10.4103139115044</v>
      </c>
      <c r="K3418" s="92">
        <f ca="1">H3418*K3398</f>
        <v>260.2304231169</v>
      </c>
      <c r="L3418" s="92"/>
      <c r="M3418" s="44"/>
      <c r="N3418" s="82"/>
      <c r="O3418" s="44"/>
      <c r="P3418" s="44"/>
      <c r="Q3418" s="44"/>
      <c r="R3418" s="84"/>
      <c r="S3418" s="47"/>
      <c r="T3418" s="47"/>
    </row>
    <row r="3419" s="27" customFormat="1" ht="18" customHeight="1" spans="1:20">
      <c r="A3419" s="34"/>
      <c r="B3419" s="48">
        <v>8</v>
      </c>
      <c r="C3419" s="48"/>
      <c r="D3419" s="88"/>
      <c r="E3419" s="72"/>
      <c r="F3419" s="77"/>
      <c r="G3419" s="89"/>
      <c r="H3419" s="74"/>
      <c r="I3419" s="74"/>
      <c r="J3419" s="95"/>
      <c r="K3419" s="92">
        <f ca="1">H3419*K3398</f>
        <v>0</v>
      </c>
      <c r="L3419" s="92"/>
      <c r="M3419" s="44"/>
      <c r="N3419" s="82"/>
      <c r="O3419" s="44"/>
      <c r="P3419" s="44"/>
      <c r="Q3419" s="44"/>
      <c r="R3419" s="84"/>
      <c r="S3419" s="47"/>
      <c r="T3419" s="47"/>
    </row>
    <row r="3420" s="27" customFormat="1" ht="18" customHeight="1" spans="1:20">
      <c r="A3420" s="34"/>
      <c r="B3420" s="48">
        <v>9</v>
      </c>
      <c r="C3420" s="48"/>
      <c r="D3420" s="88" t="s">
        <v>476</v>
      </c>
      <c r="E3420" s="72" t="str">
        <f>+VLOOKUP(D3420,'材料表 '!C:F,2,0)</f>
        <v>支</v>
      </c>
      <c r="F3420" s="77">
        <v>0</v>
      </c>
      <c r="G3420" s="89">
        <f>+VLOOKUP(D3420,'材料表 '!C:F,4,0)</f>
        <v>0.15</v>
      </c>
      <c r="H3420" s="74">
        <f>F3420*(G3420+1)</f>
        <v>0</v>
      </c>
      <c r="I3420" s="74">
        <f>+VLOOKUP(D3420,'材料表 '!C:F,3,0)</f>
        <v>11.5044247787611</v>
      </c>
      <c r="J3420" s="95">
        <f>H3420*I3420</f>
        <v>0</v>
      </c>
      <c r="K3420" s="92">
        <f ca="1">H3420*K3398</f>
        <v>0</v>
      </c>
      <c r="L3420" s="90"/>
      <c r="M3420" s="44"/>
      <c r="N3420" s="82"/>
      <c r="O3420" s="34"/>
      <c r="P3420" s="44"/>
      <c r="Q3420" s="44"/>
      <c r="R3420" s="119"/>
      <c r="S3420" s="47"/>
      <c r="T3420" s="47"/>
    </row>
    <row r="3421" s="27" customFormat="1" ht="23" customHeight="1" spans="1:20">
      <c r="A3421" s="34"/>
      <c r="B3421" s="48">
        <v>10</v>
      </c>
      <c r="C3421" s="48"/>
      <c r="D3421" s="88"/>
      <c r="E3421" s="72"/>
      <c r="F3421" s="77"/>
      <c r="G3421" s="89"/>
      <c r="H3421" s="74"/>
      <c r="I3421" s="74"/>
      <c r="J3421" s="95"/>
      <c r="K3421" s="92">
        <f ca="1">H3421*K3398</f>
        <v>0</v>
      </c>
      <c r="L3421" s="92"/>
      <c r="M3421" s="120"/>
      <c r="N3421" s="82"/>
      <c r="O3421" s="44"/>
      <c r="P3421" s="44"/>
      <c r="Q3421" s="44"/>
      <c r="R3421" s="84"/>
      <c r="S3421" s="47"/>
      <c r="T3421" s="47"/>
    </row>
    <row r="3422" s="27" customFormat="1" ht="20" customHeight="1" spans="1:20">
      <c r="A3422" s="34"/>
      <c r="B3422" s="48">
        <v>11</v>
      </c>
      <c r="C3422" s="48"/>
      <c r="D3422" s="88"/>
      <c r="E3422" s="72"/>
      <c r="F3422" s="77"/>
      <c r="G3422" s="89"/>
      <c r="H3422" s="74"/>
      <c r="I3422" s="74"/>
      <c r="J3422" s="95"/>
      <c r="K3422" s="92">
        <f ca="1">H3422*K3398</f>
        <v>0</v>
      </c>
      <c r="L3422" s="92"/>
      <c r="M3422" s="44"/>
      <c r="N3422" s="82"/>
      <c r="O3422" s="44"/>
      <c r="P3422" s="44"/>
      <c r="Q3422" s="44"/>
      <c r="R3422" s="84"/>
      <c r="S3422" s="47"/>
      <c r="T3422" s="47"/>
    </row>
    <row r="3423" s="27" customFormat="1" ht="24" customHeight="1" spans="1:20">
      <c r="A3423" s="34"/>
      <c r="B3423" s="48">
        <v>12</v>
      </c>
      <c r="C3423" s="48"/>
      <c r="D3423" s="127"/>
      <c r="E3423" s="72"/>
      <c r="F3423" s="128"/>
      <c r="G3423" s="89"/>
      <c r="H3423" s="74"/>
      <c r="I3423" s="74"/>
      <c r="J3423" s="95"/>
      <c r="K3423" s="92">
        <f ca="1">H3423*K3398</f>
        <v>0</v>
      </c>
      <c r="L3423" s="92"/>
      <c r="M3423" s="44"/>
      <c r="N3423" s="44"/>
      <c r="O3423" s="44"/>
      <c r="P3423" s="44"/>
      <c r="Q3423" s="44"/>
      <c r="R3423" s="84"/>
      <c r="S3423" s="47"/>
      <c r="T3423" s="47"/>
    </row>
    <row r="3424" s="27" customFormat="1" ht="18" customHeight="1" spans="1:20">
      <c r="A3424" s="34"/>
      <c r="B3424" s="48">
        <v>13</v>
      </c>
      <c r="C3424" s="48"/>
      <c r="D3424" s="88"/>
      <c r="E3424" s="72"/>
      <c r="F3424" s="77"/>
      <c r="G3424" s="89"/>
      <c r="H3424" s="74"/>
      <c r="I3424" s="74"/>
      <c r="J3424" s="95"/>
      <c r="K3424" s="92">
        <f ca="1">H3424*K3398</f>
        <v>0</v>
      </c>
      <c r="L3424" s="92"/>
      <c r="M3424" s="44"/>
      <c r="N3424" s="44"/>
      <c r="O3424" s="44"/>
      <c r="P3424" s="44"/>
      <c r="Q3424" s="44"/>
      <c r="R3424" s="84"/>
      <c r="S3424" s="47"/>
      <c r="T3424" s="47"/>
    </row>
    <row r="3425" s="27" customFormat="1" ht="24" customHeight="1" spans="1:20">
      <c r="A3425" s="34"/>
      <c r="B3425" s="48">
        <v>14</v>
      </c>
      <c r="C3425" s="48"/>
      <c r="D3425" s="88"/>
      <c r="E3425" s="72"/>
      <c r="F3425" s="77"/>
      <c r="G3425" s="89"/>
      <c r="H3425" s="74"/>
      <c r="I3425" s="74"/>
      <c r="J3425" s="95"/>
      <c r="K3425" s="92">
        <f ca="1">H3425*K3398</f>
        <v>0</v>
      </c>
      <c r="L3425" s="92"/>
      <c r="M3425" s="44"/>
      <c r="N3425" s="44"/>
      <c r="O3425" s="44"/>
      <c r="P3425" s="44"/>
      <c r="Q3425" s="44"/>
      <c r="R3425" s="84"/>
      <c r="S3425" s="47"/>
      <c r="T3425" s="47"/>
    </row>
    <row r="3426" s="27" customFormat="1" ht="18" customHeight="1" spans="1:20">
      <c r="A3426" s="34"/>
      <c r="B3426" s="48">
        <v>15</v>
      </c>
      <c r="C3426" s="48"/>
      <c r="D3426" s="88"/>
      <c r="E3426" s="72"/>
      <c r="F3426" s="77"/>
      <c r="G3426" s="89"/>
      <c r="H3426" s="74"/>
      <c r="I3426" s="74"/>
      <c r="J3426" s="95"/>
      <c r="K3426" s="92"/>
      <c r="L3426" s="92"/>
      <c r="M3426" s="44"/>
      <c r="N3426" s="44"/>
      <c r="O3426" s="44"/>
      <c r="P3426" s="44"/>
      <c r="Q3426" s="44"/>
      <c r="R3426" s="84"/>
      <c r="S3426" s="47"/>
      <c r="T3426" s="47"/>
    </row>
    <row r="3427" s="27" customFormat="1" ht="18" customHeight="1" spans="1:20">
      <c r="A3427" s="34"/>
      <c r="B3427" s="48">
        <v>16</v>
      </c>
      <c r="C3427" s="48"/>
      <c r="D3427" s="88"/>
      <c r="E3427" s="72"/>
      <c r="F3427" s="77"/>
      <c r="G3427" s="89"/>
      <c r="H3427" s="74"/>
      <c r="I3427" s="74"/>
      <c r="J3427" s="95"/>
      <c r="K3427" s="92"/>
      <c r="L3427" s="92"/>
      <c r="M3427" s="44"/>
      <c r="N3427" s="44"/>
      <c r="O3427" s="44"/>
      <c r="P3427" s="44"/>
      <c r="Q3427" s="44"/>
      <c r="R3427" s="84"/>
      <c r="S3427" s="47"/>
      <c r="T3427" s="47"/>
    </row>
    <row r="3428" s="27" customFormat="1" ht="18" customHeight="1" spans="1:20">
      <c r="A3428" s="34"/>
      <c r="B3428" s="48">
        <v>17</v>
      </c>
      <c r="C3428" s="48"/>
      <c r="D3428" s="121"/>
      <c r="E3428" s="72"/>
      <c r="F3428" s="77"/>
      <c r="G3428" s="89"/>
      <c r="H3428" s="74"/>
      <c r="I3428" s="74"/>
      <c r="J3428" s="95"/>
      <c r="K3428" s="92"/>
      <c r="L3428" s="92"/>
      <c r="M3428" s="44"/>
      <c r="N3428" s="44"/>
      <c r="O3428" s="44"/>
      <c r="P3428" s="44"/>
      <c r="Q3428" s="101"/>
      <c r="R3428" s="84"/>
      <c r="S3428" s="47"/>
      <c r="T3428" s="47"/>
    </row>
    <row r="3429" s="27" customFormat="1" ht="18" customHeight="1" spans="1:20">
      <c r="A3429" s="34"/>
      <c r="B3429" s="48">
        <v>18</v>
      </c>
      <c r="C3429" s="48"/>
      <c r="D3429" s="88"/>
      <c r="E3429" s="72"/>
      <c r="F3429" s="77"/>
      <c r="G3429" s="89"/>
      <c r="H3429" s="74"/>
      <c r="I3429" s="74"/>
      <c r="J3429" s="95"/>
      <c r="K3429" s="92"/>
      <c r="L3429" s="92"/>
      <c r="M3429" s="44"/>
      <c r="N3429" s="44"/>
      <c r="O3429" s="44"/>
      <c r="P3429" s="44"/>
      <c r="Q3429" s="44"/>
      <c r="R3429" s="84"/>
      <c r="S3429" s="47"/>
      <c r="T3429" s="47"/>
    </row>
    <row r="3430" s="27" customFormat="1" ht="18" customHeight="1" spans="1:20">
      <c r="A3430" s="34"/>
      <c r="B3430" s="48">
        <v>19</v>
      </c>
      <c r="C3430" s="48"/>
      <c r="D3430" s="27"/>
      <c r="E3430" s="72"/>
      <c r="F3430" s="77"/>
      <c r="G3430" s="89"/>
      <c r="H3430" s="74"/>
      <c r="I3430" s="74"/>
      <c r="J3430" s="95"/>
      <c r="K3430" s="92"/>
      <c r="L3430" s="92"/>
      <c r="M3430" s="44"/>
      <c r="N3430" s="44"/>
      <c r="O3430" s="44"/>
      <c r="P3430" s="44"/>
      <c r="Q3430" s="44"/>
      <c r="R3430" s="84"/>
      <c r="S3430" s="47"/>
      <c r="T3430" s="47"/>
    </row>
    <row r="3431" s="27" customFormat="1" ht="18" customHeight="1" spans="1:20">
      <c r="A3431" s="34"/>
      <c r="B3431" s="48">
        <v>20</v>
      </c>
      <c r="C3431" s="48"/>
      <c r="D3431" s="88"/>
      <c r="E3431" s="72"/>
      <c r="F3431" s="77"/>
      <c r="G3431" s="89"/>
      <c r="H3431" s="74"/>
      <c r="I3431" s="74"/>
      <c r="J3431" s="95"/>
      <c r="K3431" s="92"/>
      <c r="L3431" s="92"/>
      <c r="M3431" s="44"/>
      <c r="N3431" s="44"/>
      <c r="O3431" s="44"/>
      <c r="P3431" s="44"/>
      <c r="Q3431" s="44"/>
      <c r="R3431" s="84"/>
      <c r="S3431" s="47"/>
      <c r="T3431" s="47"/>
    </row>
    <row r="3432" s="27" customFormat="1" ht="18" customHeight="1" spans="1:20">
      <c r="A3432" s="34"/>
      <c r="B3432" s="48">
        <v>21</v>
      </c>
      <c r="C3432" s="48"/>
      <c r="D3432" s="88"/>
      <c r="E3432" s="72"/>
      <c r="F3432" s="77"/>
      <c r="G3432" s="89"/>
      <c r="H3432" s="74"/>
      <c r="I3432" s="74"/>
      <c r="J3432" s="95"/>
      <c r="K3432" s="92"/>
      <c r="L3432" s="92"/>
      <c r="M3432" s="44"/>
      <c r="N3432" s="44"/>
      <c r="O3432" s="44"/>
      <c r="P3432" s="44"/>
      <c r="Q3432" s="44"/>
      <c r="R3432" s="84"/>
      <c r="S3432" s="47"/>
      <c r="T3432" s="47"/>
    </row>
    <row r="3433" s="27" customFormat="1" ht="18" customHeight="1" spans="1:20">
      <c r="A3433" s="34"/>
      <c r="B3433" s="48">
        <v>22</v>
      </c>
      <c r="C3433" s="48"/>
      <c r="D3433" s="27"/>
      <c r="E3433" s="72"/>
      <c r="F3433" s="77"/>
      <c r="G3433" s="72"/>
      <c r="H3433" s="74"/>
      <c r="I3433" s="74"/>
      <c r="J3433" s="95"/>
      <c r="K3433" s="92"/>
      <c r="L3433" s="92"/>
      <c r="M3433" s="44"/>
      <c r="N3433" s="44"/>
      <c r="O3433" s="44"/>
      <c r="P3433" s="44"/>
      <c r="Q3433" s="44"/>
      <c r="R3433" s="62"/>
      <c r="S3433" s="47"/>
      <c r="T3433" s="47"/>
    </row>
    <row r="3434" s="27" customFormat="1" ht="18" customHeight="1" spans="1:20">
      <c r="A3434" s="34"/>
      <c r="B3434" s="48">
        <v>23</v>
      </c>
      <c r="C3434" s="48"/>
      <c r="D3434" s="88"/>
      <c r="E3434" s="72"/>
      <c r="F3434" s="77"/>
      <c r="G3434" s="89"/>
      <c r="H3434" s="74"/>
      <c r="I3434" s="74"/>
      <c r="J3434" s="95"/>
      <c r="K3434" s="92"/>
      <c r="L3434" s="92"/>
      <c r="M3434" s="44"/>
      <c r="N3434" s="44"/>
      <c r="O3434" s="44"/>
      <c r="P3434" s="44"/>
      <c r="Q3434" s="44"/>
      <c r="R3434" s="62"/>
      <c r="S3434" s="47"/>
      <c r="T3434" s="47"/>
    </row>
    <row r="3435" s="27" customFormat="1" ht="18" customHeight="1" spans="1:20">
      <c r="A3435" s="34"/>
      <c r="B3435" s="48">
        <v>24</v>
      </c>
      <c r="C3435" s="48"/>
      <c r="D3435" s="88" t="s">
        <v>478</v>
      </c>
      <c r="E3435" s="72" t="s">
        <v>43</v>
      </c>
      <c r="F3435" s="77"/>
      <c r="G3435" s="72">
        <v>1</v>
      </c>
      <c r="H3435" s="74">
        <v>1</v>
      </c>
      <c r="I3435" s="74">
        <f>+辅材及安装费!$E$12</f>
        <v>2</v>
      </c>
      <c r="J3435" s="95">
        <f>H3435*I3435</f>
        <v>2</v>
      </c>
      <c r="K3435" s="92"/>
      <c r="L3435" s="92"/>
      <c r="M3435" s="44"/>
      <c r="N3435" s="44"/>
      <c r="O3435" s="44"/>
      <c r="P3435" s="44"/>
      <c r="Q3435" s="44"/>
      <c r="R3435" s="62"/>
      <c r="S3435" s="47"/>
      <c r="T3435" s="47"/>
    </row>
    <row r="3436" s="27" customFormat="1" ht="18" customHeight="1" spans="1:20">
      <c r="A3436" s="34"/>
      <c r="B3436" s="48">
        <v>25</v>
      </c>
      <c r="C3436" s="48"/>
      <c r="D3436" s="93" t="s">
        <v>442</v>
      </c>
      <c r="E3436" s="72"/>
      <c r="F3436" s="77"/>
      <c r="G3436" s="72"/>
      <c r="H3436" s="74"/>
      <c r="I3436" s="74"/>
      <c r="J3436" s="95">
        <f>SUM(J3412:J3435)</f>
        <v>97.4804857469027</v>
      </c>
      <c r="K3436" s="92"/>
      <c r="L3436" s="94"/>
      <c r="N3436" s="83"/>
      <c r="O3436" s="83"/>
      <c r="P3436" s="83"/>
      <c r="Q3436" s="83"/>
      <c r="R3436" s="87"/>
      <c r="S3436" s="47"/>
      <c r="T3436" s="47"/>
    </row>
    <row r="3437" s="27" customFormat="1" ht="18" customHeight="1" spans="1:20">
      <c r="A3437" s="34"/>
      <c r="B3437" s="48">
        <v>1</v>
      </c>
      <c r="C3437" s="48" t="s">
        <v>443</v>
      </c>
      <c r="D3437" s="48" t="s">
        <v>444</v>
      </c>
      <c r="E3437" s="72" t="s">
        <v>43</v>
      </c>
      <c r="F3437" s="50"/>
      <c r="G3437" s="48"/>
      <c r="H3437" s="51">
        <v>1</v>
      </c>
      <c r="I3437" s="74">
        <f>+辅材及安装费!$F$12</f>
        <v>1</v>
      </c>
      <c r="J3437" s="95">
        <f>H3437*I3437</f>
        <v>1</v>
      </c>
      <c r="K3437" s="118"/>
      <c r="L3437" s="96"/>
      <c r="M3437" s="97"/>
      <c r="N3437" s="98"/>
      <c r="O3437" s="98"/>
      <c r="P3437" s="98"/>
      <c r="Q3437" s="98"/>
      <c r="R3437" s="99"/>
      <c r="S3437" s="47"/>
      <c r="T3437" s="47"/>
    </row>
    <row r="3438" s="26" customFormat="1" ht="30" customHeight="1" spans="1:20">
      <c r="A3438" s="28"/>
      <c r="B3438" s="29" t="s">
        <v>386</v>
      </c>
      <c r="C3438" s="29"/>
      <c r="D3438" s="29"/>
      <c r="E3438" s="29"/>
      <c r="F3438" s="29"/>
      <c r="G3438" s="29"/>
      <c r="H3438" s="29"/>
      <c r="I3438" s="29"/>
      <c r="J3438" s="29"/>
      <c r="K3438" s="29"/>
      <c r="L3438" s="30"/>
      <c r="M3438" s="31"/>
      <c r="N3438" s="31"/>
      <c r="O3438" s="31"/>
      <c r="P3438" s="31"/>
      <c r="Q3438" s="31"/>
      <c r="R3438" s="32"/>
      <c r="S3438" s="33"/>
      <c r="T3438" s="33"/>
    </row>
    <row r="3439" s="27" customFormat="1" ht="33.75" customHeight="1" spans="1:20">
      <c r="A3439" s="34">
        <v>5</v>
      </c>
      <c r="B3439" s="35" t="s">
        <v>1</v>
      </c>
      <c r="C3439" s="35" t="s">
        <v>387</v>
      </c>
      <c r="D3439" s="36" t="str">
        <f>+A3447</f>
        <v>银灰色铝合金线条（120*30）</v>
      </c>
      <c r="E3439" s="37"/>
      <c r="F3439" s="38"/>
      <c r="G3439" s="39"/>
      <c r="H3439" s="35" t="s">
        <v>388</v>
      </c>
      <c r="I3439" s="40" t="s">
        <v>389</v>
      </c>
      <c r="J3439" s="41" t="s">
        <v>37</v>
      </c>
      <c r="K3439" s="42">
        <f ca="1">VLOOKUP(A3439,'商业工程量清单 '!$A$88:$D$93,4,FALSE)</f>
        <v>106.125</v>
      </c>
      <c r="L3439" s="43"/>
      <c r="M3439" s="44"/>
      <c r="N3439" s="44"/>
      <c r="O3439" s="44"/>
      <c r="P3439" s="45"/>
      <c r="Q3439" s="44"/>
      <c r="R3439" s="46"/>
      <c r="S3439" s="47"/>
      <c r="T3439" s="47"/>
    </row>
    <row r="3440" s="27" customFormat="1" ht="25" customHeight="1" spans="1:20">
      <c r="A3440" s="34"/>
      <c r="B3440" s="48">
        <v>1</v>
      </c>
      <c r="C3440" s="49" t="s">
        <v>390</v>
      </c>
      <c r="D3440" s="48" t="s">
        <v>391</v>
      </c>
      <c r="E3440" s="48"/>
      <c r="F3440" s="50"/>
      <c r="G3440" s="48"/>
      <c r="H3440" s="51"/>
      <c r="I3440" s="52">
        <f>J3452</f>
        <v>15</v>
      </c>
      <c r="J3440" s="53" t="s">
        <v>392</v>
      </c>
      <c r="K3440" s="54"/>
      <c r="L3440" s="55"/>
      <c r="M3440" s="56"/>
      <c r="N3440" s="57"/>
      <c r="O3440" s="57">
        <v>1</v>
      </c>
      <c r="P3440" s="57">
        <v>1</v>
      </c>
      <c r="Q3440" s="57">
        <v>1</v>
      </c>
      <c r="R3440" s="58">
        <f>+Q3440*P3440*O3440</f>
        <v>1</v>
      </c>
      <c r="S3440" s="47"/>
      <c r="T3440" s="47"/>
    </row>
    <row r="3441" s="27" customFormat="1" ht="18" customHeight="1" spans="1:20">
      <c r="A3441" s="34"/>
      <c r="B3441" s="48">
        <v>2</v>
      </c>
      <c r="C3441" s="59"/>
      <c r="D3441" s="48" t="s">
        <v>394</v>
      </c>
      <c r="E3441" s="48"/>
      <c r="F3441" s="50"/>
      <c r="G3441" s="48"/>
      <c r="H3441" s="51"/>
      <c r="I3441" s="52">
        <f>J3477</f>
        <v>102.500909488496</v>
      </c>
      <c r="J3441" s="53" t="s">
        <v>392</v>
      </c>
      <c r="K3441" s="60"/>
      <c r="L3441" s="61"/>
      <c r="M3441" s="44"/>
      <c r="N3441" s="44"/>
      <c r="O3441" s="44"/>
      <c r="P3441" s="44"/>
      <c r="Q3441" s="44"/>
      <c r="R3441" s="62"/>
      <c r="S3441" s="47"/>
      <c r="T3441" s="47"/>
    </row>
    <row r="3442" s="27" customFormat="1" ht="18" customHeight="1" spans="1:20">
      <c r="A3442" s="34"/>
      <c r="B3442" s="48">
        <v>3</v>
      </c>
      <c r="C3442" s="63"/>
      <c r="D3442" s="48" t="s">
        <v>395</v>
      </c>
      <c r="E3442" s="48"/>
      <c r="F3442" s="50"/>
      <c r="G3442" s="48"/>
      <c r="H3442" s="51"/>
      <c r="I3442" s="52">
        <f>J3478</f>
        <v>1</v>
      </c>
      <c r="J3442" s="53" t="s">
        <v>392</v>
      </c>
      <c r="K3442" s="60"/>
      <c r="L3442" s="60"/>
      <c r="M3442" s="65" t="s">
        <v>396</v>
      </c>
      <c r="N3442" s="65" t="s">
        <v>397</v>
      </c>
      <c r="O3442" s="65" t="s">
        <v>398</v>
      </c>
      <c r="P3442" s="65" t="s">
        <v>399</v>
      </c>
      <c r="Q3442" s="65" t="s">
        <v>400</v>
      </c>
      <c r="R3442" s="66" t="s">
        <v>401</v>
      </c>
      <c r="S3442" s="47"/>
      <c r="T3442" s="47"/>
    </row>
    <row r="3443" s="27" customFormat="1" ht="18" customHeight="1" spans="1:20">
      <c r="A3443" s="34"/>
      <c r="B3443" s="48">
        <v>4</v>
      </c>
      <c r="C3443" s="48" t="s">
        <v>402</v>
      </c>
      <c r="D3443" s="67" t="s">
        <v>403</v>
      </c>
      <c r="E3443" s="67"/>
      <c r="F3443" s="50"/>
      <c r="G3443" s="67"/>
      <c r="H3443" s="68"/>
      <c r="I3443" s="52">
        <f>SUM(I3440:I3442)</f>
        <v>118.500909488496</v>
      </c>
      <c r="J3443" s="53" t="s">
        <v>392</v>
      </c>
      <c r="K3443" s="60"/>
      <c r="L3443" s="69"/>
      <c r="M3443" s="34"/>
      <c r="N3443" s="34"/>
      <c r="O3443" s="34"/>
      <c r="P3443" s="34"/>
      <c r="Q3443" s="44"/>
      <c r="R3443" s="71"/>
      <c r="S3443" s="47"/>
      <c r="T3443" s="47"/>
    </row>
    <row r="3444" s="27" customFormat="1" ht="28" customHeight="1" spans="1:20">
      <c r="A3444" s="34"/>
      <c r="B3444" s="48">
        <v>5</v>
      </c>
      <c r="C3444" s="72" t="s">
        <v>406</v>
      </c>
      <c r="D3444" s="48" t="s">
        <v>407</v>
      </c>
      <c r="E3444" s="48"/>
      <c r="F3444" s="50"/>
      <c r="G3444" s="48"/>
      <c r="H3444" s="73">
        <f>+'材料表 '!$E$178</f>
        <v>0</v>
      </c>
      <c r="I3444" s="52">
        <f>H3444*I3443</f>
        <v>0</v>
      </c>
      <c r="J3444" s="53" t="s">
        <v>392</v>
      </c>
      <c r="K3444" s="60"/>
      <c r="L3444" s="69"/>
      <c r="M3444" s="34"/>
      <c r="N3444" s="102"/>
      <c r="O3444" s="34"/>
      <c r="P3444" s="34"/>
      <c r="Q3444" s="44"/>
      <c r="R3444" s="71"/>
      <c r="S3444" s="47"/>
      <c r="T3444" s="47"/>
    </row>
    <row r="3445" s="27" customFormat="1" ht="18" customHeight="1" spans="1:20">
      <c r="A3445" s="34"/>
      <c r="B3445" s="48">
        <v>6</v>
      </c>
      <c r="C3445" s="48" t="s">
        <v>409</v>
      </c>
      <c r="D3445" s="48" t="s">
        <v>410</v>
      </c>
      <c r="E3445" s="48"/>
      <c r="F3445" s="50"/>
      <c r="G3445" s="48"/>
      <c r="H3445" s="73">
        <f>+'材料表 '!$E$179</f>
        <v>0</v>
      </c>
      <c r="I3445" s="52">
        <f>H3445*I3443</f>
        <v>0</v>
      </c>
      <c r="J3445" s="53" t="s">
        <v>392</v>
      </c>
      <c r="K3445" s="60"/>
      <c r="L3445" s="69"/>
      <c r="M3445" s="34"/>
      <c r="N3445" s="34"/>
      <c r="O3445" s="34"/>
      <c r="P3445" s="34"/>
      <c r="Q3445" s="44"/>
      <c r="R3445" s="71"/>
      <c r="S3445" s="47"/>
      <c r="T3445" s="47"/>
    </row>
    <row r="3446" s="27" customFormat="1" ht="18" customHeight="1" spans="1:20">
      <c r="A3446" s="34"/>
      <c r="B3446" s="48">
        <v>7</v>
      </c>
      <c r="C3446" s="48" t="s">
        <v>412</v>
      </c>
      <c r="D3446" s="72" t="s">
        <v>413</v>
      </c>
      <c r="E3446" s="72"/>
      <c r="F3446" s="77"/>
      <c r="G3446" s="72"/>
      <c r="H3446" s="73">
        <f>+'材料表 '!$E$180</f>
        <v>0.09</v>
      </c>
      <c r="I3446" s="52">
        <f>(I3443+I3444+I3445)*H3446</f>
        <v>10.6650818539646</v>
      </c>
      <c r="J3446" s="53" t="s">
        <v>392</v>
      </c>
      <c r="K3446" s="60"/>
      <c r="L3446" s="69"/>
      <c r="M3446" s="34"/>
      <c r="N3446" s="34"/>
      <c r="O3446" s="34"/>
      <c r="P3446" s="34"/>
      <c r="Q3446" s="44"/>
      <c r="R3446" s="71"/>
      <c r="S3446" s="47"/>
      <c r="T3446" s="47"/>
    </row>
    <row r="3447" s="27" customFormat="1" ht="18" customHeight="1" spans="1:20">
      <c r="A3447" s="105" t="s">
        <v>355</v>
      </c>
      <c r="B3447" s="48">
        <v>8</v>
      </c>
      <c r="C3447" s="48" t="s">
        <v>363</v>
      </c>
      <c r="D3447" s="106" t="s">
        <v>415</v>
      </c>
      <c r="E3447" s="107"/>
      <c r="F3447" s="108"/>
      <c r="G3447" s="107"/>
      <c r="H3447" s="51"/>
      <c r="I3447" s="74">
        <f>SUM(I3443:I3446)</f>
        <v>129.16599134246</v>
      </c>
      <c r="J3447" s="53" t="s">
        <v>484</v>
      </c>
      <c r="K3447" s="60"/>
      <c r="L3447" s="69"/>
      <c r="M3447" s="34"/>
      <c r="N3447" s="126"/>
      <c r="O3447" s="34"/>
      <c r="P3447" s="44"/>
      <c r="Q3447" s="44"/>
      <c r="R3447" s="84"/>
      <c r="S3447" s="79"/>
      <c r="T3447" s="47"/>
    </row>
    <row r="3448" s="27" customFormat="1" ht="18" customHeight="1" spans="1:20">
      <c r="A3448" s="34"/>
      <c r="B3448" s="109" t="s">
        <v>418</v>
      </c>
      <c r="C3448" s="110"/>
      <c r="D3448" s="110"/>
      <c r="E3448" s="110"/>
      <c r="F3448" s="110"/>
      <c r="G3448" s="110"/>
      <c r="H3448" s="110"/>
      <c r="I3448" s="110"/>
      <c r="J3448" s="110"/>
      <c r="K3448" s="80"/>
      <c r="L3448" s="69"/>
      <c r="M3448" s="70"/>
      <c r="N3448" s="34"/>
      <c r="O3448" s="34"/>
      <c r="P3448" s="34"/>
      <c r="Q3448" s="44"/>
      <c r="R3448" s="71"/>
      <c r="S3448" s="47"/>
      <c r="T3448" s="47"/>
    </row>
    <row r="3449" s="27" customFormat="1" ht="18" customHeight="1" spans="1:20">
      <c r="A3449" s="34"/>
      <c r="B3449" s="48">
        <v>1</v>
      </c>
      <c r="C3449" s="48" t="s">
        <v>391</v>
      </c>
      <c r="D3449" s="48" t="s">
        <v>396</v>
      </c>
      <c r="E3449" s="48" t="s">
        <v>37</v>
      </c>
      <c r="F3449" s="50"/>
      <c r="G3449" s="48"/>
      <c r="H3449" s="51" t="s">
        <v>399</v>
      </c>
      <c r="I3449" s="51" t="s">
        <v>420</v>
      </c>
      <c r="J3449" s="95" t="s">
        <v>421</v>
      </c>
      <c r="K3449" s="92"/>
      <c r="L3449" s="69" t="s">
        <v>433</v>
      </c>
      <c r="M3449" s="70" t="s">
        <v>567</v>
      </c>
      <c r="N3449" s="34">
        <f>0.141*2.71</f>
        <v>0.38211</v>
      </c>
      <c r="O3449" s="34">
        <v>1</v>
      </c>
      <c r="P3449" s="34">
        <v>1</v>
      </c>
      <c r="Q3449" s="44">
        <f t="shared" ref="Q3449:Q3451" si="516">+P3449*O3449*N3449</f>
        <v>0.38211</v>
      </c>
      <c r="R3449" s="71">
        <f>+Q3449/R3440</f>
        <v>0.38211</v>
      </c>
      <c r="S3449" s="47"/>
      <c r="T3449" s="47"/>
    </row>
    <row r="3450" s="27" customFormat="1" ht="18" customHeight="1" spans="1:20">
      <c r="A3450" s="34"/>
      <c r="B3450" s="48">
        <v>2</v>
      </c>
      <c r="C3450" s="48"/>
      <c r="D3450" s="111" t="s">
        <v>568</v>
      </c>
      <c r="E3450" s="49" t="s">
        <v>423</v>
      </c>
      <c r="F3450" s="112"/>
      <c r="G3450" s="111"/>
      <c r="H3450" s="113">
        <v>1</v>
      </c>
      <c r="I3450" s="113">
        <f>+辅材及安装费!$G$12</f>
        <v>15</v>
      </c>
      <c r="J3450" s="114">
        <f>H3450*I3450</f>
        <v>15</v>
      </c>
      <c r="K3450" s="92"/>
      <c r="L3450" s="34" t="s">
        <v>447</v>
      </c>
      <c r="M3450" s="70" t="s">
        <v>569</v>
      </c>
      <c r="N3450" s="34">
        <f>0.876*2.71</f>
        <v>2.37396</v>
      </c>
      <c r="O3450" s="34">
        <v>1</v>
      </c>
      <c r="P3450" s="34">
        <v>1</v>
      </c>
      <c r="Q3450" s="44">
        <f t="shared" si="516"/>
        <v>2.37396</v>
      </c>
      <c r="R3450" s="71">
        <f>+Q3450/R3440</f>
        <v>2.37396</v>
      </c>
      <c r="S3450" s="129">
        <v>0.273</v>
      </c>
      <c r="T3450" s="129">
        <f>O3450*S3450</f>
        <v>0.273</v>
      </c>
    </row>
    <row r="3451" s="27" customFormat="1" ht="18" customHeight="1" spans="1:20">
      <c r="A3451" s="34"/>
      <c r="B3451" s="48">
        <v>3</v>
      </c>
      <c r="C3451" s="48"/>
      <c r="D3451" s="115"/>
      <c r="E3451" s="63"/>
      <c r="F3451" s="116"/>
      <c r="G3451" s="115"/>
      <c r="H3451" s="117"/>
      <c r="I3451" s="117"/>
      <c r="J3451" s="118"/>
      <c r="K3451" s="92"/>
      <c r="L3451" s="90" t="s">
        <v>447</v>
      </c>
      <c r="M3451" s="70"/>
      <c r="N3451" s="82">
        <f>0.027*2.71</f>
        <v>0.07317</v>
      </c>
      <c r="O3451" s="44">
        <v>1</v>
      </c>
      <c r="P3451" s="44">
        <v>1</v>
      </c>
      <c r="Q3451" s="44">
        <f t="shared" si="516"/>
        <v>0.07317</v>
      </c>
      <c r="R3451" s="84">
        <f>Q3451/R3440</f>
        <v>0.07317</v>
      </c>
      <c r="S3451" s="129">
        <f>0.025</f>
        <v>0.025</v>
      </c>
      <c r="T3451" s="129">
        <f>S3451*O3451*P3451</f>
        <v>0.025</v>
      </c>
    </row>
    <row r="3452" s="27" customFormat="1" ht="18" customHeight="1" spans="1:20">
      <c r="A3452" s="34"/>
      <c r="B3452" s="48">
        <v>4</v>
      </c>
      <c r="C3452" s="48"/>
      <c r="D3452" s="85" t="s">
        <v>426</v>
      </c>
      <c r="E3452" s="48" t="s">
        <v>392</v>
      </c>
      <c r="F3452" s="50"/>
      <c r="G3452" s="48"/>
      <c r="H3452" s="86"/>
      <c r="I3452" s="86"/>
      <c r="J3452" s="95">
        <f>SUM(J3450:J3450)</f>
        <v>15</v>
      </c>
      <c r="K3452" s="92"/>
      <c r="L3452" s="90"/>
      <c r="M3452" s="44"/>
      <c r="N3452" s="82"/>
      <c r="O3452" s="44"/>
      <c r="P3452" s="44"/>
      <c r="Q3452" s="44"/>
      <c r="R3452" s="84"/>
      <c r="S3452" s="47"/>
      <c r="T3452" s="47"/>
    </row>
    <row r="3453" s="27" customFormat="1" ht="19" customHeight="1" spans="1:20">
      <c r="A3453" s="34"/>
      <c r="B3453" s="48">
        <v>1</v>
      </c>
      <c r="C3453" s="48" t="s">
        <v>394</v>
      </c>
      <c r="D3453" s="88"/>
      <c r="E3453" s="72"/>
      <c r="F3453" s="77"/>
      <c r="G3453" s="89"/>
      <c r="H3453" s="74"/>
      <c r="I3453" s="74"/>
      <c r="J3453" s="95"/>
      <c r="K3453" s="92">
        <f ca="1">H3453*K3439</f>
        <v>0</v>
      </c>
      <c r="L3453" s="90"/>
      <c r="M3453" s="44"/>
      <c r="N3453" s="82"/>
      <c r="O3453" s="44"/>
      <c r="P3453" s="44"/>
      <c r="Q3453" s="44"/>
      <c r="R3453" s="84"/>
      <c r="S3453" s="47"/>
      <c r="T3453" s="47"/>
    </row>
    <row r="3454" s="27" customFormat="1" ht="18" customHeight="1" spans="1:20">
      <c r="A3454" s="34"/>
      <c r="B3454" s="48">
        <v>2</v>
      </c>
      <c r="C3454" s="48"/>
      <c r="D3454" s="88"/>
      <c r="E3454" s="72"/>
      <c r="F3454" s="77"/>
      <c r="G3454" s="89"/>
      <c r="H3454" s="74"/>
      <c r="I3454" s="74"/>
      <c r="J3454" s="95"/>
      <c r="K3454" s="92">
        <f ca="1">H3454*K3439</f>
        <v>0</v>
      </c>
      <c r="L3454" s="90"/>
      <c r="M3454" s="44"/>
      <c r="N3454" s="82"/>
      <c r="O3454" s="44"/>
      <c r="P3454" s="44"/>
      <c r="Q3454" s="44"/>
      <c r="R3454" s="84"/>
      <c r="S3454" s="47"/>
      <c r="T3454" s="47"/>
    </row>
    <row r="3455" s="27" customFormat="1" ht="18" customHeight="1" spans="1:20">
      <c r="A3455" s="34"/>
      <c r="B3455" s="48">
        <v>3</v>
      </c>
      <c r="C3455" s="48"/>
      <c r="D3455" s="88"/>
      <c r="E3455" s="72"/>
      <c r="F3455" s="77"/>
      <c r="G3455" s="89"/>
      <c r="H3455" s="74"/>
      <c r="I3455" s="74"/>
      <c r="J3455" s="95"/>
      <c r="K3455" s="92">
        <f ca="1">H3455*K3439</f>
        <v>0</v>
      </c>
      <c r="L3455" s="90"/>
      <c r="M3455" s="44"/>
      <c r="N3455" s="82"/>
      <c r="O3455" s="44"/>
      <c r="P3455" s="44"/>
      <c r="Q3455" s="44"/>
      <c r="R3455" s="84"/>
      <c r="S3455" s="47"/>
      <c r="T3455" s="47"/>
    </row>
    <row r="3456" s="27" customFormat="1" ht="18" customHeight="1" spans="1:20">
      <c r="A3456" s="34"/>
      <c r="B3456" s="48">
        <v>4</v>
      </c>
      <c r="C3456" s="48"/>
      <c r="D3456" s="88" t="s">
        <v>433</v>
      </c>
      <c r="E3456" s="72" t="str">
        <f>+VLOOKUP(D3456,'材料表 '!C:F,2,0)</f>
        <v>kg</v>
      </c>
      <c r="F3456" s="77">
        <f>R3449</f>
        <v>0.38211</v>
      </c>
      <c r="G3456" s="89">
        <f>+VLOOKUP(D3456,'材料表 '!C:F,4,0)</f>
        <v>0.03</v>
      </c>
      <c r="H3456" s="74">
        <f t="shared" ref="H3456:H3459" si="517">F3456*(G3456+1)</f>
        <v>0.3935733</v>
      </c>
      <c r="I3456" s="74">
        <f>+VLOOKUP(D3456,'材料表 '!C:F,3,0)</f>
        <v>26.1150442477876</v>
      </c>
      <c r="J3456" s="95">
        <f t="shared" ref="J3456:J3459" si="518">H3456*I3456</f>
        <v>10.2781841442478</v>
      </c>
      <c r="K3456" s="92">
        <f ca="1">H3456*K3439</f>
        <v>41.7679664625</v>
      </c>
      <c r="L3456" s="90"/>
      <c r="M3456" s="44"/>
      <c r="N3456" s="82"/>
      <c r="O3456" s="44"/>
      <c r="P3456" s="44"/>
      <c r="Q3456" s="44"/>
      <c r="R3456" s="84"/>
      <c r="S3456" s="47"/>
      <c r="T3456" s="47"/>
    </row>
    <row r="3457" s="27" customFormat="1" ht="18" customHeight="1" spans="1:20">
      <c r="A3457" s="34"/>
      <c r="B3457" s="48">
        <v>5</v>
      </c>
      <c r="C3457" s="48"/>
      <c r="D3457" s="88" t="s">
        <v>447</v>
      </c>
      <c r="E3457" s="72" t="str">
        <f>+VLOOKUP(D3457,'材料表 '!C:F,2,0)</f>
        <v>kg</v>
      </c>
      <c r="F3457" s="77">
        <f>R3450+R3451</f>
        <v>2.44713</v>
      </c>
      <c r="G3457" s="89">
        <f>+VLOOKUP(D3457,'材料表 '!C:F,4,0)</f>
        <v>0.03</v>
      </c>
      <c r="H3457" s="74">
        <f t="shared" si="517"/>
        <v>2.5205439</v>
      </c>
      <c r="I3457" s="74">
        <f>+VLOOKUP(D3457,'材料表 '!C:F,3,0)</f>
        <v>24.4336283185841</v>
      </c>
      <c r="J3457" s="95">
        <f t="shared" si="518"/>
        <v>61.5860328132744</v>
      </c>
      <c r="K3457" s="92">
        <f ca="1">H3457*K3439</f>
        <v>267.4927213875</v>
      </c>
      <c r="L3457" s="92" t="s">
        <v>476</v>
      </c>
      <c r="M3457" s="44"/>
      <c r="N3457" s="82"/>
      <c r="O3457" s="44"/>
      <c r="P3457" s="44"/>
      <c r="Q3457" s="44">
        <f>10*8*(O3440*0+P3440*0)/500</f>
        <v>0</v>
      </c>
      <c r="R3457" s="84">
        <f>+Q3457/R3440</f>
        <v>0</v>
      </c>
      <c r="S3457" s="47"/>
      <c r="T3457" s="47"/>
    </row>
    <row r="3458" s="27" customFormat="1" ht="18" customHeight="1" spans="1:20">
      <c r="A3458" s="34"/>
      <c r="B3458" s="48">
        <v>6</v>
      </c>
      <c r="C3458" s="48"/>
      <c r="D3458" s="88" t="s">
        <v>434</v>
      </c>
      <c r="E3458" s="72" t="str">
        <f>+VLOOKUP(D3458,'材料表 '!C:F,2,0)</f>
        <v>m2</v>
      </c>
      <c r="F3458" s="77">
        <f>T3450+T3451</f>
        <v>0.298</v>
      </c>
      <c r="G3458" s="89">
        <f>+VLOOKUP(D3458,'材料表 '!C:F,4,0)</f>
        <v>0</v>
      </c>
      <c r="H3458" s="74">
        <f t="shared" si="517"/>
        <v>0.298</v>
      </c>
      <c r="I3458" s="74">
        <f>+VLOOKUP(D3458,'材料表 '!C:F,3,0)+5</f>
        <v>54.5575221238938</v>
      </c>
      <c r="J3458" s="95">
        <f t="shared" si="518"/>
        <v>16.2581415929203</v>
      </c>
      <c r="K3458" s="92">
        <f ca="1">H3458*K3439</f>
        <v>31.62525</v>
      </c>
      <c r="L3458" s="92"/>
      <c r="M3458" s="44"/>
      <c r="N3458" s="82"/>
      <c r="O3458" s="44"/>
      <c r="P3458" s="44"/>
      <c r="Q3458" s="44"/>
      <c r="R3458" s="84"/>
      <c r="S3458" s="47"/>
      <c r="T3458" s="47"/>
    </row>
    <row r="3459" s="27" customFormat="1" ht="18" customHeight="1" spans="1:20">
      <c r="A3459" s="34"/>
      <c r="B3459" s="48">
        <v>7</v>
      </c>
      <c r="C3459" s="48"/>
      <c r="D3459" s="88" t="s">
        <v>500</v>
      </c>
      <c r="E3459" s="72" t="str">
        <f>+VLOOKUP(D3459,'材料表 '!C:F,2,0)</f>
        <v>kg</v>
      </c>
      <c r="F3459" s="77">
        <f>(R3449+R3450+R3451)*0.3</f>
        <v>0.848772</v>
      </c>
      <c r="G3459" s="89">
        <f>+VLOOKUP(D3459,'材料表 '!C:F,4,0)</f>
        <v>0.03</v>
      </c>
      <c r="H3459" s="74">
        <f t="shared" si="517"/>
        <v>0.87423516</v>
      </c>
      <c r="I3459" s="74">
        <f>+VLOOKUP(D3459,'材料表 '!C:F,3,0)</f>
        <v>14.1592920353982</v>
      </c>
      <c r="J3459" s="95">
        <f t="shared" si="518"/>
        <v>12.3785509380531</v>
      </c>
      <c r="K3459" s="92">
        <f ca="1">H3459*K3439</f>
        <v>92.778206355</v>
      </c>
      <c r="L3459" s="92"/>
      <c r="M3459" s="44"/>
      <c r="N3459" s="82"/>
      <c r="O3459" s="44"/>
      <c r="P3459" s="44"/>
      <c r="Q3459" s="44"/>
      <c r="R3459" s="84"/>
      <c r="S3459" s="47"/>
      <c r="T3459" s="47"/>
    </row>
    <row r="3460" s="27" customFormat="1" ht="18" customHeight="1" spans="1:20">
      <c r="A3460" s="34"/>
      <c r="B3460" s="48">
        <v>8</v>
      </c>
      <c r="C3460" s="48"/>
      <c r="D3460" s="88"/>
      <c r="E3460" s="72"/>
      <c r="F3460" s="77"/>
      <c r="G3460" s="89"/>
      <c r="H3460" s="74"/>
      <c r="I3460" s="74"/>
      <c r="J3460" s="95"/>
      <c r="K3460" s="92">
        <f ca="1">H3460*K3439</f>
        <v>0</v>
      </c>
      <c r="L3460" s="92"/>
      <c r="M3460" s="44"/>
      <c r="N3460" s="82"/>
      <c r="O3460" s="44"/>
      <c r="P3460" s="44"/>
      <c r="Q3460" s="44"/>
      <c r="R3460" s="84"/>
      <c r="S3460" s="47"/>
      <c r="T3460" s="47"/>
    </row>
    <row r="3461" s="27" customFormat="1" ht="18" customHeight="1" spans="1:20">
      <c r="A3461" s="34"/>
      <c r="B3461" s="48">
        <v>9</v>
      </c>
      <c r="C3461" s="48"/>
      <c r="D3461" s="88" t="s">
        <v>476</v>
      </c>
      <c r="E3461" s="72" t="str">
        <f>+VLOOKUP(D3461,'材料表 '!C:F,2,0)</f>
        <v>支</v>
      </c>
      <c r="F3461" s="77">
        <v>0</v>
      </c>
      <c r="G3461" s="89">
        <f>+VLOOKUP(D3461,'材料表 '!C:F,4,0)</f>
        <v>0.15</v>
      </c>
      <c r="H3461" s="74">
        <f>F3461*(G3461+1)</f>
        <v>0</v>
      </c>
      <c r="I3461" s="74">
        <f>+VLOOKUP(D3461,'材料表 '!C:F,3,0)</f>
        <v>11.5044247787611</v>
      </c>
      <c r="J3461" s="95">
        <f>H3461*I3461</f>
        <v>0</v>
      </c>
      <c r="K3461" s="92">
        <f ca="1">H3461*K3439</f>
        <v>0</v>
      </c>
      <c r="L3461" s="90"/>
      <c r="M3461" s="44"/>
      <c r="N3461" s="82"/>
      <c r="O3461" s="34"/>
      <c r="P3461" s="44"/>
      <c r="Q3461" s="44"/>
      <c r="R3461" s="119"/>
      <c r="S3461" s="47"/>
      <c r="T3461" s="47"/>
    </row>
    <row r="3462" s="27" customFormat="1" ht="23" customHeight="1" spans="1:20">
      <c r="A3462" s="34"/>
      <c r="B3462" s="48">
        <v>10</v>
      </c>
      <c r="C3462" s="48"/>
      <c r="D3462" s="88"/>
      <c r="E3462" s="72"/>
      <c r="F3462" s="77"/>
      <c r="G3462" s="89"/>
      <c r="H3462" s="74"/>
      <c r="I3462" s="74"/>
      <c r="J3462" s="95"/>
      <c r="K3462" s="92">
        <f ca="1">H3462*K3439</f>
        <v>0</v>
      </c>
      <c r="L3462" s="92"/>
      <c r="M3462" s="120"/>
      <c r="N3462" s="82"/>
      <c r="O3462" s="44"/>
      <c r="P3462" s="44"/>
      <c r="Q3462" s="44"/>
      <c r="R3462" s="84"/>
      <c r="S3462" s="47"/>
      <c r="T3462" s="47"/>
    </row>
    <row r="3463" s="27" customFormat="1" ht="20" customHeight="1" spans="1:20">
      <c r="A3463" s="34"/>
      <c r="B3463" s="48">
        <v>11</v>
      </c>
      <c r="C3463" s="48"/>
      <c r="D3463" s="88"/>
      <c r="E3463" s="72"/>
      <c r="F3463" s="77"/>
      <c r="G3463" s="89"/>
      <c r="H3463" s="74"/>
      <c r="I3463" s="74"/>
      <c r="J3463" s="95"/>
      <c r="K3463" s="92">
        <f ca="1">H3463*K3439</f>
        <v>0</v>
      </c>
      <c r="L3463" s="92"/>
      <c r="M3463" s="44"/>
      <c r="N3463" s="82"/>
      <c r="O3463" s="44"/>
      <c r="P3463" s="44"/>
      <c r="Q3463" s="44"/>
      <c r="R3463" s="84"/>
      <c r="S3463" s="47"/>
      <c r="T3463" s="47"/>
    </row>
    <row r="3464" s="27" customFormat="1" ht="24" customHeight="1" spans="1:20">
      <c r="A3464" s="34"/>
      <c r="B3464" s="48">
        <v>12</v>
      </c>
      <c r="C3464" s="48"/>
      <c r="D3464" s="127"/>
      <c r="E3464" s="72"/>
      <c r="F3464" s="128"/>
      <c r="G3464" s="89"/>
      <c r="H3464" s="74"/>
      <c r="I3464" s="74"/>
      <c r="J3464" s="95"/>
      <c r="K3464" s="92">
        <f ca="1">H3464*K3439</f>
        <v>0</v>
      </c>
      <c r="L3464" s="92"/>
      <c r="M3464" s="44"/>
      <c r="N3464" s="44"/>
      <c r="O3464" s="44"/>
      <c r="P3464" s="44"/>
      <c r="Q3464" s="44"/>
      <c r="R3464" s="84"/>
      <c r="S3464" s="47"/>
      <c r="T3464" s="47"/>
    </row>
    <row r="3465" s="27" customFormat="1" ht="18" customHeight="1" spans="1:20">
      <c r="A3465" s="34"/>
      <c r="B3465" s="48">
        <v>13</v>
      </c>
      <c r="C3465" s="48"/>
      <c r="D3465" s="88"/>
      <c r="E3465" s="72"/>
      <c r="F3465" s="77"/>
      <c r="G3465" s="89"/>
      <c r="H3465" s="74"/>
      <c r="I3465" s="74"/>
      <c r="J3465" s="95"/>
      <c r="K3465" s="92">
        <f ca="1">H3465*K3439</f>
        <v>0</v>
      </c>
      <c r="L3465" s="92"/>
      <c r="M3465" s="44"/>
      <c r="N3465" s="44"/>
      <c r="O3465" s="44"/>
      <c r="P3465" s="44"/>
      <c r="Q3465" s="44"/>
      <c r="R3465" s="84"/>
      <c r="S3465" s="47"/>
      <c r="T3465" s="47"/>
    </row>
    <row r="3466" s="27" customFormat="1" ht="24" customHeight="1" spans="1:20">
      <c r="A3466" s="34"/>
      <c r="B3466" s="48">
        <v>14</v>
      </c>
      <c r="C3466" s="48"/>
      <c r="D3466" s="88"/>
      <c r="E3466" s="72"/>
      <c r="F3466" s="77"/>
      <c r="G3466" s="89"/>
      <c r="H3466" s="74"/>
      <c r="I3466" s="74"/>
      <c r="J3466" s="95"/>
      <c r="K3466" s="92">
        <f ca="1">H3466*K3439</f>
        <v>0</v>
      </c>
      <c r="L3466" s="92"/>
      <c r="M3466" s="44"/>
      <c r="N3466" s="44"/>
      <c r="O3466" s="44"/>
      <c r="P3466" s="44"/>
      <c r="Q3466" s="44"/>
      <c r="R3466" s="84"/>
      <c r="S3466" s="47"/>
      <c r="T3466" s="47"/>
    </row>
    <row r="3467" s="27" customFormat="1" ht="18" customHeight="1" spans="1:20">
      <c r="A3467" s="34"/>
      <c r="B3467" s="48">
        <v>15</v>
      </c>
      <c r="C3467" s="48"/>
      <c r="D3467" s="88"/>
      <c r="E3467" s="72"/>
      <c r="F3467" s="77"/>
      <c r="G3467" s="89"/>
      <c r="H3467" s="74"/>
      <c r="I3467" s="74"/>
      <c r="J3467" s="95"/>
      <c r="K3467" s="92"/>
      <c r="L3467" s="92"/>
      <c r="M3467" s="44"/>
      <c r="N3467" s="44"/>
      <c r="O3467" s="44"/>
      <c r="P3467" s="44"/>
      <c r="Q3467" s="44"/>
      <c r="R3467" s="84"/>
      <c r="S3467" s="47"/>
      <c r="T3467" s="47"/>
    </row>
    <row r="3468" s="27" customFormat="1" ht="18" customHeight="1" spans="1:20">
      <c r="A3468" s="34"/>
      <c r="B3468" s="48">
        <v>16</v>
      </c>
      <c r="C3468" s="48"/>
      <c r="D3468" s="88"/>
      <c r="E3468" s="72"/>
      <c r="F3468" s="77"/>
      <c r="G3468" s="89"/>
      <c r="H3468" s="74"/>
      <c r="I3468" s="74"/>
      <c r="J3468" s="95"/>
      <c r="K3468" s="92"/>
      <c r="L3468" s="92"/>
      <c r="M3468" s="44"/>
      <c r="N3468" s="44"/>
      <c r="O3468" s="44"/>
      <c r="P3468" s="44"/>
      <c r="Q3468" s="44"/>
      <c r="R3468" s="84"/>
      <c r="S3468" s="47"/>
      <c r="T3468" s="47"/>
    </row>
    <row r="3469" s="27" customFormat="1" ht="18" customHeight="1" spans="1:20">
      <c r="A3469" s="34"/>
      <c r="B3469" s="48">
        <v>17</v>
      </c>
      <c r="C3469" s="48"/>
      <c r="D3469" s="121"/>
      <c r="E3469" s="72"/>
      <c r="F3469" s="77"/>
      <c r="G3469" s="89"/>
      <c r="H3469" s="74"/>
      <c r="I3469" s="74"/>
      <c r="J3469" s="95"/>
      <c r="K3469" s="92"/>
      <c r="L3469" s="92"/>
      <c r="M3469" s="44"/>
      <c r="N3469" s="44"/>
      <c r="O3469" s="44"/>
      <c r="P3469" s="44"/>
      <c r="Q3469" s="101"/>
      <c r="R3469" s="84"/>
      <c r="S3469" s="47"/>
      <c r="T3469" s="47"/>
    </row>
    <row r="3470" s="27" customFormat="1" ht="18" customHeight="1" spans="1:20">
      <c r="A3470" s="34"/>
      <c r="B3470" s="48">
        <v>18</v>
      </c>
      <c r="C3470" s="48"/>
      <c r="D3470" s="88"/>
      <c r="E3470" s="72"/>
      <c r="F3470" s="77"/>
      <c r="G3470" s="89"/>
      <c r="H3470" s="74"/>
      <c r="I3470" s="74"/>
      <c r="J3470" s="95"/>
      <c r="K3470" s="92"/>
      <c r="L3470" s="92"/>
      <c r="M3470" s="44"/>
      <c r="N3470" s="44"/>
      <c r="O3470" s="44"/>
      <c r="P3470" s="44"/>
      <c r="Q3470" s="44"/>
      <c r="R3470" s="84"/>
      <c r="S3470" s="47"/>
      <c r="T3470" s="47"/>
    </row>
    <row r="3471" s="27" customFormat="1" ht="18" customHeight="1" spans="1:20">
      <c r="A3471" s="34"/>
      <c r="B3471" s="48">
        <v>19</v>
      </c>
      <c r="C3471" s="48"/>
      <c r="D3471" s="27"/>
      <c r="E3471" s="72"/>
      <c r="F3471" s="77"/>
      <c r="G3471" s="89"/>
      <c r="H3471" s="74"/>
      <c r="I3471" s="74"/>
      <c r="J3471" s="95"/>
      <c r="K3471" s="92"/>
      <c r="L3471" s="92"/>
      <c r="M3471" s="44"/>
      <c r="N3471" s="44"/>
      <c r="O3471" s="44"/>
      <c r="P3471" s="44"/>
      <c r="Q3471" s="44"/>
      <c r="R3471" s="84"/>
      <c r="S3471" s="47"/>
      <c r="T3471" s="47"/>
    </row>
    <row r="3472" s="27" customFormat="1" ht="18" customHeight="1" spans="1:20">
      <c r="A3472" s="34"/>
      <c r="B3472" s="48">
        <v>20</v>
      </c>
      <c r="C3472" s="48"/>
      <c r="D3472" s="88"/>
      <c r="E3472" s="72"/>
      <c r="F3472" s="77"/>
      <c r="G3472" s="89"/>
      <c r="H3472" s="74"/>
      <c r="I3472" s="74"/>
      <c r="J3472" s="95"/>
      <c r="K3472" s="92"/>
      <c r="L3472" s="92"/>
      <c r="M3472" s="44"/>
      <c r="N3472" s="44"/>
      <c r="O3472" s="44"/>
      <c r="P3472" s="44"/>
      <c r="Q3472" s="44"/>
      <c r="R3472" s="84"/>
      <c r="S3472" s="47"/>
      <c r="T3472" s="47"/>
    </row>
    <row r="3473" s="27" customFormat="1" ht="18" customHeight="1" spans="1:20">
      <c r="A3473" s="34"/>
      <c r="B3473" s="48">
        <v>21</v>
      </c>
      <c r="C3473" s="48"/>
      <c r="D3473" s="88"/>
      <c r="E3473" s="72"/>
      <c r="F3473" s="77"/>
      <c r="G3473" s="89"/>
      <c r="H3473" s="74"/>
      <c r="I3473" s="74"/>
      <c r="J3473" s="95"/>
      <c r="K3473" s="92"/>
      <c r="L3473" s="92"/>
      <c r="M3473" s="44"/>
      <c r="N3473" s="44"/>
      <c r="O3473" s="44"/>
      <c r="P3473" s="44"/>
      <c r="Q3473" s="44"/>
      <c r="R3473" s="84"/>
      <c r="S3473" s="47"/>
      <c r="T3473" s="47"/>
    </row>
    <row r="3474" s="27" customFormat="1" ht="18" customHeight="1" spans="1:20">
      <c r="A3474" s="34"/>
      <c r="B3474" s="48">
        <v>22</v>
      </c>
      <c r="C3474" s="48"/>
      <c r="D3474" s="27"/>
      <c r="E3474" s="72"/>
      <c r="F3474" s="77"/>
      <c r="G3474" s="72"/>
      <c r="H3474" s="74"/>
      <c r="I3474" s="74"/>
      <c r="J3474" s="95"/>
      <c r="K3474" s="92"/>
      <c r="L3474" s="92"/>
      <c r="M3474" s="44"/>
      <c r="N3474" s="44"/>
      <c r="O3474" s="44"/>
      <c r="P3474" s="44"/>
      <c r="Q3474" s="44"/>
      <c r="R3474" s="62"/>
      <c r="S3474" s="47"/>
      <c r="T3474" s="47"/>
    </row>
    <row r="3475" s="27" customFormat="1" ht="18" customHeight="1" spans="1:20">
      <c r="A3475" s="34"/>
      <c r="B3475" s="48">
        <v>23</v>
      </c>
      <c r="C3475" s="48"/>
      <c r="D3475" s="88"/>
      <c r="E3475" s="72"/>
      <c r="F3475" s="77"/>
      <c r="G3475" s="89"/>
      <c r="H3475" s="74"/>
      <c r="I3475" s="74"/>
      <c r="J3475" s="95"/>
      <c r="K3475" s="92"/>
      <c r="L3475" s="92"/>
      <c r="M3475" s="44"/>
      <c r="N3475" s="44"/>
      <c r="O3475" s="44"/>
      <c r="P3475" s="44"/>
      <c r="Q3475" s="44"/>
      <c r="R3475" s="62"/>
      <c r="S3475" s="47"/>
      <c r="T3475" s="47"/>
    </row>
    <row r="3476" s="27" customFormat="1" ht="18" customHeight="1" spans="1:20">
      <c r="A3476" s="34"/>
      <c r="B3476" s="48">
        <v>24</v>
      </c>
      <c r="C3476" s="48"/>
      <c r="D3476" s="88" t="s">
        <v>478</v>
      </c>
      <c r="E3476" s="72" t="s">
        <v>43</v>
      </c>
      <c r="F3476" s="77"/>
      <c r="G3476" s="72">
        <v>1</v>
      </c>
      <c r="H3476" s="74">
        <v>1</v>
      </c>
      <c r="I3476" s="74">
        <f>+辅材及安装费!$E$12</f>
        <v>2</v>
      </c>
      <c r="J3476" s="95">
        <f>H3476*I3476</f>
        <v>2</v>
      </c>
      <c r="K3476" s="92"/>
      <c r="L3476" s="92"/>
      <c r="M3476" s="44"/>
      <c r="N3476" s="44"/>
      <c r="O3476" s="44"/>
      <c r="P3476" s="44"/>
      <c r="Q3476" s="44"/>
      <c r="R3476" s="62"/>
      <c r="S3476" s="47"/>
      <c r="T3476" s="47"/>
    </row>
    <row r="3477" s="27" customFormat="1" ht="18" customHeight="1" spans="1:20">
      <c r="A3477" s="34"/>
      <c r="B3477" s="48">
        <v>25</v>
      </c>
      <c r="C3477" s="48"/>
      <c r="D3477" s="93" t="s">
        <v>442</v>
      </c>
      <c r="E3477" s="72"/>
      <c r="F3477" s="77"/>
      <c r="G3477" s="72"/>
      <c r="H3477" s="74"/>
      <c r="I3477" s="74"/>
      <c r="J3477" s="95">
        <f>SUM(J3453:J3476)</f>
        <v>102.500909488496</v>
      </c>
      <c r="K3477" s="92"/>
      <c r="L3477" s="94"/>
      <c r="N3477" s="83"/>
      <c r="O3477" s="83"/>
      <c r="P3477" s="83"/>
      <c r="Q3477" s="83"/>
      <c r="R3477" s="87"/>
      <c r="S3477" s="47"/>
      <c r="T3477" s="47"/>
    </row>
    <row r="3478" s="27" customFormat="1" ht="18" customHeight="1" spans="1:20">
      <c r="A3478" s="34"/>
      <c r="B3478" s="48">
        <v>1</v>
      </c>
      <c r="C3478" s="48" t="s">
        <v>443</v>
      </c>
      <c r="D3478" s="48" t="s">
        <v>444</v>
      </c>
      <c r="E3478" s="72" t="s">
        <v>43</v>
      </c>
      <c r="F3478" s="50"/>
      <c r="G3478" s="48"/>
      <c r="H3478" s="51">
        <v>1</v>
      </c>
      <c r="I3478" s="74">
        <f>+辅材及安装费!$F$12</f>
        <v>1</v>
      </c>
      <c r="J3478" s="95">
        <f>H3478*I3478</f>
        <v>1</v>
      </c>
      <c r="K3478" s="118"/>
      <c r="L3478" s="96"/>
      <c r="M3478" s="97"/>
      <c r="N3478" s="98"/>
      <c r="O3478" s="98"/>
      <c r="P3478" s="98"/>
      <c r="Q3478" s="98"/>
      <c r="R3478" s="99"/>
      <c r="S3478" s="47"/>
      <c r="T3478" s="47"/>
    </row>
    <row r="3479" s="26" customFormat="1" ht="30" customHeight="1" spans="1:20">
      <c r="A3479" s="28"/>
      <c r="B3479" s="29" t="s">
        <v>386</v>
      </c>
      <c r="C3479" s="29"/>
      <c r="D3479" s="29"/>
      <c r="E3479" s="29"/>
      <c r="F3479" s="29"/>
      <c r="G3479" s="29"/>
      <c r="H3479" s="29"/>
      <c r="I3479" s="29"/>
      <c r="J3479" s="29"/>
      <c r="K3479" s="29"/>
      <c r="L3479" s="30"/>
      <c r="M3479" s="31"/>
      <c r="N3479" s="31"/>
      <c r="O3479" s="31"/>
      <c r="P3479" s="31"/>
      <c r="Q3479" s="31"/>
      <c r="R3479" s="32"/>
      <c r="S3479" s="33"/>
      <c r="T3479" s="33"/>
    </row>
    <row r="3480" s="27" customFormat="1" ht="33.75" customHeight="1" spans="1:20">
      <c r="A3480" s="34">
        <v>1</v>
      </c>
      <c r="B3480" s="35" t="s">
        <v>1</v>
      </c>
      <c r="C3480" s="35" t="s">
        <v>387</v>
      </c>
      <c r="D3480" s="36" t="str">
        <f>+A3488</f>
        <v>6+1.14PVB+6㎜超白钢化夹层玻璃栏杆</v>
      </c>
      <c r="E3480" s="37"/>
      <c r="F3480" s="38"/>
      <c r="G3480" s="39"/>
      <c r="H3480" s="35" t="s">
        <v>388</v>
      </c>
      <c r="I3480" s="40" t="s">
        <v>389</v>
      </c>
      <c r="J3480" s="41" t="s">
        <v>37</v>
      </c>
      <c r="K3480" s="42">
        <f ca="1">VLOOKUP(A3480,'商业工程量清单 '!$A$96:$D$98,4,FALSE)</f>
        <v>84.128</v>
      </c>
      <c r="L3480" s="43"/>
      <c r="M3480" s="44"/>
      <c r="N3480" s="44"/>
      <c r="O3480" s="44"/>
      <c r="P3480" s="45"/>
      <c r="Q3480" s="44"/>
      <c r="R3480" s="46"/>
      <c r="S3480" s="47"/>
      <c r="T3480" s="47"/>
    </row>
    <row r="3481" s="27" customFormat="1" ht="25" customHeight="1" spans="1:20">
      <c r="A3481" s="34"/>
      <c r="B3481" s="48">
        <v>1</v>
      </c>
      <c r="C3481" s="49" t="s">
        <v>390</v>
      </c>
      <c r="D3481" s="48" t="s">
        <v>391</v>
      </c>
      <c r="E3481" s="48"/>
      <c r="F3481" s="50"/>
      <c r="G3481" s="48"/>
      <c r="H3481" s="51"/>
      <c r="I3481" s="52">
        <f>J3493</f>
        <v>135</v>
      </c>
      <c r="J3481" s="53" t="s">
        <v>392</v>
      </c>
      <c r="K3481" s="54"/>
      <c r="L3481" s="55" t="s">
        <v>584</v>
      </c>
      <c r="M3481" s="56" t="s">
        <v>585</v>
      </c>
      <c r="N3481" s="57"/>
      <c r="O3481" s="57">
        <f>6.2+2.45</f>
        <v>8.65</v>
      </c>
      <c r="P3481" s="57">
        <v>1.2</v>
      </c>
      <c r="Q3481" s="57">
        <v>1</v>
      </c>
      <c r="R3481" s="58">
        <f>O3481</f>
        <v>8.65</v>
      </c>
      <c r="S3481" s="47"/>
      <c r="T3481" s="47"/>
    </row>
    <row r="3482" s="27" customFormat="1" ht="18" customHeight="1" spans="1:20">
      <c r="A3482" s="34"/>
      <c r="B3482" s="48">
        <v>2</v>
      </c>
      <c r="C3482" s="59"/>
      <c r="D3482" s="48" t="s">
        <v>394</v>
      </c>
      <c r="E3482" s="48"/>
      <c r="F3482" s="50"/>
      <c r="G3482" s="48"/>
      <c r="H3482" s="51"/>
      <c r="I3482" s="52">
        <f>J3518</f>
        <v>625.747145335311</v>
      </c>
      <c r="J3482" s="53" t="s">
        <v>392</v>
      </c>
      <c r="K3482" s="60"/>
      <c r="L3482" s="61" t="s">
        <v>203</v>
      </c>
      <c r="M3482" s="44"/>
      <c r="N3482" s="44"/>
      <c r="O3482" s="44"/>
      <c r="P3482" s="44"/>
      <c r="Q3482" s="44"/>
      <c r="R3482" s="62"/>
      <c r="S3482" s="47"/>
      <c r="T3482" s="47"/>
    </row>
    <row r="3483" s="27" customFormat="1" ht="18" customHeight="1" spans="1:20">
      <c r="A3483" s="34"/>
      <c r="B3483" s="48">
        <v>3</v>
      </c>
      <c r="C3483" s="63"/>
      <c r="D3483" s="48" t="s">
        <v>395</v>
      </c>
      <c r="E3483" s="48"/>
      <c r="F3483" s="50"/>
      <c r="G3483" s="48"/>
      <c r="H3483" s="51"/>
      <c r="I3483" s="52">
        <f>J3519</f>
        <v>5</v>
      </c>
      <c r="J3483" s="53" t="s">
        <v>392</v>
      </c>
      <c r="K3483" s="60"/>
      <c r="L3483" s="60"/>
      <c r="M3483" s="64" t="s">
        <v>396</v>
      </c>
      <c r="N3483" s="65" t="s">
        <v>397</v>
      </c>
      <c r="O3483" s="65" t="s">
        <v>398</v>
      </c>
      <c r="P3483" s="65" t="s">
        <v>399</v>
      </c>
      <c r="Q3483" s="65" t="s">
        <v>400</v>
      </c>
      <c r="R3483" s="66" t="s">
        <v>401</v>
      </c>
      <c r="S3483" s="47"/>
      <c r="T3483" s="47"/>
    </row>
    <row r="3484" s="27" customFormat="1" ht="18" customHeight="1" spans="1:20">
      <c r="A3484" s="34"/>
      <c r="B3484" s="48">
        <v>4</v>
      </c>
      <c r="C3484" s="48" t="s">
        <v>402</v>
      </c>
      <c r="D3484" s="67" t="s">
        <v>403</v>
      </c>
      <c r="E3484" s="67"/>
      <c r="F3484" s="50"/>
      <c r="G3484" s="67"/>
      <c r="H3484" s="68"/>
      <c r="I3484" s="52">
        <f>SUM(I3481:I3483)</f>
        <v>765.747145335311</v>
      </c>
      <c r="J3484" s="53" t="s">
        <v>392</v>
      </c>
      <c r="K3484" s="60"/>
      <c r="L3484" s="69" t="s">
        <v>586</v>
      </c>
      <c r="M3484" s="34" t="s">
        <v>587</v>
      </c>
      <c r="N3484" s="34">
        <f>0.075*30*1*7.95</f>
        <v>17.8875</v>
      </c>
      <c r="O3484" s="34">
        <f>+P3481</f>
        <v>1.2</v>
      </c>
      <c r="P3484" s="34">
        <v>6</v>
      </c>
      <c r="Q3484" s="44">
        <f t="shared" ref="Q3484:Q3490" si="519">+P3484*O3484*N3484</f>
        <v>128.79</v>
      </c>
      <c r="R3484" s="71">
        <f>+Q3484/R3481</f>
        <v>14.8890173410405</v>
      </c>
      <c r="S3484" s="47"/>
      <c r="T3484" s="47"/>
    </row>
    <row r="3485" s="27" customFormat="1" ht="28" customHeight="1" spans="1:20">
      <c r="A3485" s="34"/>
      <c r="B3485" s="48">
        <v>5</v>
      </c>
      <c r="C3485" s="72" t="s">
        <v>406</v>
      </c>
      <c r="D3485" s="48" t="s">
        <v>407</v>
      </c>
      <c r="E3485" s="48"/>
      <c r="F3485" s="50"/>
      <c r="G3485" s="48"/>
      <c r="H3485" s="73">
        <f>+'材料表 '!$E$178</f>
        <v>0</v>
      </c>
      <c r="I3485" s="52">
        <f>H3485*I3484</f>
        <v>0</v>
      </c>
      <c r="J3485" s="53" t="s">
        <v>392</v>
      </c>
      <c r="K3485" s="60"/>
      <c r="L3485" s="69" t="s">
        <v>465</v>
      </c>
      <c r="M3485" s="34" t="s">
        <v>588</v>
      </c>
      <c r="N3485" s="34">
        <f>0.098*5*7.85</f>
        <v>3.8465</v>
      </c>
      <c r="O3485" s="34">
        <f>+O3481</f>
        <v>8.65</v>
      </c>
      <c r="P3485" s="34">
        <v>1</v>
      </c>
      <c r="Q3485" s="44">
        <f t="shared" si="519"/>
        <v>33.272225</v>
      </c>
      <c r="R3485" s="71">
        <f>+Q3485/R3481</f>
        <v>3.8465</v>
      </c>
      <c r="S3485" s="47"/>
      <c r="T3485" s="47"/>
    </row>
    <row r="3486" s="27" customFormat="1" ht="18" customHeight="1" spans="1:20">
      <c r="A3486" s="34"/>
      <c r="B3486" s="48">
        <v>6</v>
      </c>
      <c r="C3486" s="48" t="s">
        <v>409</v>
      </c>
      <c r="D3486" s="48" t="s">
        <v>410</v>
      </c>
      <c r="E3486" s="48"/>
      <c r="F3486" s="50"/>
      <c r="G3486" s="48"/>
      <c r="H3486" s="73">
        <f>+'材料表 '!$E$179</f>
        <v>0</v>
      </c>
      <c r="I3486" s="52">
        <f>H3486*I3484</f>
        <v>0</v>
      </c>
      <c r="J3486" s="53" t="s">
        <v>392</v>
      </c>
      <c r="K3486" s="60"/>
      <c r="L3486" s="69" t="s">
        <v>461</v>
      </c>
      <c r="M3486" s="34" t="s">
        <v>462</v>
      </c>
      <c r="N3486" s="34">
        <v>3.77</v>
      </c>
      <c r="O3486" s="34">
        <v>0.165</v>
      </c>
      <c r="P3486" s="34">
        <f>2*6</f>
        <v>12</v>
      </c>
      <c r="Q3486" s="44">
        <f t="shared" si="519"/>
        <v>7.4646</v>
      </c>
      <c r="R3486" s="71">
        <f>+Q3486/R3481</f>
        <v>0.862959537572254</v>
      </c>
      <c r="S3486" s="47"/>
      <c r="T3486" s="47"/>
    </row>
    <row r="3487" s="27" customFormat="1" ht="18" customHeight="1" spans="1:20">
      <c r="A3487" s="34"/>
      <c r="B3487" s="48">
        <v>7</v>
      </c>
      <c r="C3487" s="48" t="s">
        <v>412</v>
      </c>
      <c r="D3487" s="72" t="s">
        <v>413</v>
      </c>
      <c r="E3487" s="72"/>
      <c r="F3487" s="77"/>
      <c r="G3487" s="72"/>
      <c r="H3487" s="73">
        <f>+'材料表 '!$E$180</f>
        <v>0.09</v>
      </c>
      <c r="I3487" s="52">
        <f>(I3484+I3485+I3486)*H3487</f>
        <v>68.917243080178</v>
      </c>
      <c r="J3487" s="53" t="s">
        <v>392</v>
      </c>
      <c r="K3487" s="60"/>
      <c r="L3487" s="69" t="s">
        <v>463</v>
      </c>
      <c r="M3487" s="34" t="s">
        <v>589</v>
      </c>
      <c r="N3487" s="34">
        <f>0.18*0.2*7.85*10</f>
        <v>2.826</v>
      </c>
      <c r="O3487" s="34">
        <v>1</v>
      </c>
      <c r="P3487" s="34">
        <f>P3484</f>
        <v>6</v>
      </c>
      <c r="Q3487" s="44">
        <f t="shared" si="519"/>
        <v>16.956</v>
      </c>
      <c r="R3487" s="71">
        <f>+Q3487/R3481</f>
        <v>1.96023121387283</v>
      </c>
      <c r="S3487" s="47"/>
      <c r="T3487" s="47"/>
    </row>
    <row r="3488" s="27" customFormat="1" ht="18" customHeight="1" spans="1:20">
      <c r="A3488" s="34" t="s">
        <v>590</v>
      </c>
      <c r="B3488" s="48">
        <v>8</v>
      </c>
      <c r="C3488" s="48" t="s">
        <v>363</v>
      </c>
      <c r="D3488" s="106" t="s">
        <v>415</v>
      </c>
      <c r="E3488" s="107"/>
      <c r="F3488" s="108"/>
      <c r="G3488" s="107"/>
      <c r="H3488" s="51"/>
      <c r="I3488" s="74">
        <f>SUM(I3484:I3487)</f>
        <v>834.664388415489</v>
      </c>
      <c r="J3488" s="53" t="s">
        <v>484</v>
      </c>
      <c r="K3488" s="60"/>
      <c r="L3488" s="69" t="s">
        <v>465</v>
      </c>
      <c r="M3488" s="34" t="s">
        <v>466</v>
      </c>
      <c r="N3488" s="100">
        <f>1.2789*7.85</f>
        <v>10.039365</v>
      </c>
      <c r="O3488" s="34">
        <v>0.105</v>
      </c>
      <c r="P3488" s="44"/>
      <c r="Q3488" s="44">
        <f t="shared" si="519"/>
        <v>0</v>
      </c>
      <c r="R3488" s="84">
        <f>+Q3488/R3481</f>
        <v>0</v>
      </c>
      <c r="S3488" s="79"/>
      <c r="T3488" s="47"/>
    </row>
    <row r="3489" s="27" customFormat="1" ht="18" customHeight="1" spans="1:20">
      <c r="A3489" s="34"/>
      <c r="B3489" s="109" t="s">
        <v>418</v>
      </c>
      <c r="C3489" s="110"/>
      <c r="D3489" s="110"/>
      <c r="E3489" s="110"/>
      <c r="F3489" s="110"/>
      <c r="G3489" s="110"/>
      <c r="H3489" s="110"/>
      <c r="I3489" s="110"/>
      <c r="J3489" s="110"/>
      <c r="K3489" s="80"/>
      <c r="L3489" s="69" t="s">
        <v>430</v>
      </c>
      <c r="M3489" s="44" t="s">
        <v>591</v>
      </c>
      <c r="N3489" s="82">
        <v>4.185</v>
      </c>
      <c r="O3489" s="44">
        <f>+O3481</f>
        <v>8.65</v>
      </c>
      <c r="P3489" s="44">
        <v>1</v>
      </c>
      <c r="Q3489" s="44">
        <f t="shared" si="519"/>
        <v>36.20025</v>
      </c>
      <c r="R3489" s="84">
        <f>+Q3489/R3481</f>
        <v>4.185</v>
      </c>
      <c r="S3489" s="47">
        <f>0.356</f>
        <v>0.356</v>
      </c>
      <c r="T3489" s="47">
        <f>S3489*P3489*O3489</f>
        <v>3.0794</v>
      </c>
    </row>
    <row r="3490" s="27" customFormat="1" ht="18" customHeight="1" spans="1:20">
      <c r="A3490" s="34"/>
      <c r="B3490" s="48">
        <v>1</v>
      </c>
      <c r="C3490" s="48" t="s">
        <v>391</v>
      </c>
      <c r="D3490" s="48" t="s">
        <v>396</v>
      </c>
      <c r="E3490" s="48" t="s">
        <v>37</v>
      </c>
      <c r="F3490" s="50"/>
      <c r="G3490" s="48"/>
      <c r="H3490" s="51" t="s">
        <v>399</v>
      </c>
      <c r="I3490" s="51" t="s">
        <v>420</v>
      </c>
      <c r="J3490" s="95" t="s">
        <v>421</v>
      </c>
      <c r="K3490" s="92"/>
      <c r="L3490" s="69" t="s">
        <v>447</v>
      </c>
      <c r="M3490" s="44" t="s">
        <v>592</v>
      </c>
      <c r="N3490" s="82">
        <v>0.319</v>
      </c>
      <c r="O3490" s="44">
        <f>+O3489</f>
        <v>8.65</v>
      </c>
      <c r="P3490" s="44">
        <v>1</v>
      </c>
      <c r="Q3490" s="44">
        <f t="shared" si="519"/>
        <v>2.75935</v>
      </c>
      <c r="R3490" s="84">
        <f>+Q3490/R3481</f>
        <v>0.319</v>
      </c>
      <c r="S3490" s="47"/>
      <c r="T3490" s="47"/>
    </row>
    <row r="3491" s="27" customFormat="1" ht="18" customHeight="1" spans="1:20">
      <c r="A3491" s="34"/>
      <c r="B3491" s="48">
        <v>2</v>
      </c>
      <c r="C3491" s="48"/>
      <c r="D3491" s="111" t="s">
        <v>593</v>
      </c>
      <c r="E3491" s="49" t="s">
        <v>109</v>
      </c>
      <c r="F3491" s="112"/>
      <c r="G3491" s="111"/>
      <c r="H3491" s="113">
        <v>1</v>
      </c>
      <c r="I3491" s="113">
        <f>+辅材及安装费!$G$6</f>
        <v>135</v>
      </c>
      <c r="J3491" s="114">
        <f t="shared" ref="J3491:J3503" si="520">H3491*I3491</f>
        <v>135</v>
      </c>
      <c r="K3491" s="92"/>
      <c r="L3491" s="69" t="s">
        <v>447</v>
      </c>
      <c r="M3491" s="44"/>
      <c r="N3491" s="82"/>
      <c r="O3491" s="44"/>
      <c r="P3491" s="44"/>
      <c r="Q3491" s="44"/>
      <c r="R3491" s="84"/>
      <c r="S3491" s="47"/>
      <c r="T3491" s="47"/>
    </row>
    <row r="3492" s="27" customFormat="1" ht="18" customHeight="1" spans="1:20">
      <c r="A3492" s="34"/>
      <c r="B3492" s="48">
        <v>3</v>
      </c>
      <c r="C3492" s="48"/>
      <c r="D3492" s="115"/>
      <c r="E3492" s="63"/>
      <c r="F3492" s="116"/>
      <c r="G3492" s="115"/>
      <c r="H3492" s="117"/>
      <c r="I3492" s="117"/>
      <c r="J3492" s="118"/>
      <c r="K3492" s="92"/>
      <c r="L3492" s="69" t="s">
        <v>447</v>
      </c>
      <c r="M3492" s="44" t="s">
        <v>594</v>
      </c>
      <c r="N3492" s="82">
        <f>0.535+0.316</f>
        <v>0.851</v>
      </c>
      <c r="O3492" s="44">
        <f>O3484</f>
        <v>1.2</v>
      </c>
      <c r="P3492" s="44">
        <f>P3484</f>
        <v>6</v>
      </c>
      <c r="Q3492" s="44">
        <f>+P3492</f>
        <v>6</v>
      </c>
      <c r="R3492" s="84">
        <f>+Q3492/R3481</f>
        <v>0.69364161849711</v>
      </c>
      <c r="S3492" s="47">
        <f>0.245</f>
        <v>0.245</v>
      </c>
      <c r="T3492" s="47">
        <f>S3492*P3492*O3492</f>
        <v>1.764</v>
      </c>
    </row>
    <row r="3493" s="27" customFormat="1" ht="18" customHeight="1" spans="1:20">
      <c r="A3493" s="34"/>
      <c r="B3493" s="48">
        <v>4</v>
      </c>
      <c r="C3493" s="48"/>
      <c r="D3493" s="85" t="s">
        <v>426</v>
      </c>
      <c r="E3493" s="48" t="s">
        <v>392</v>
      </c>
      <c r="F3493" s="50"/>
      <c r="G3493" s="48"/>
      <c r="H3493" s="86"/>
      <c r="I3493" s="86"/>
      <c r="J3493" s="95">
        <f>SUM(J3491:J3491)</f>
        <v>135</v>
      </c>
      <c r="K3493" s="92"/>
      <c r="L3493" s="90"/>
      <c r="M3493" s="44"/>
      <c r="N3493" s="82"/>
      <c r="O3493" s="44"/>
      <c r="P3493" s="44"/>
      <c r="Q3493" s="44">
        <v>0</v>
      </c>
      <c r="R3493" s="84">
        <f>+Q3493/R3481</f>
        <v>0</v>
      </c>
      <c r="S3493" s="47"/>
      <c r="T3493" s="47"/>
    </row>
    <row r="3494" s="27" customFormat="1" ht="20" customHeight="1" spans="1:20">
      <c r="A3494" s="34"/>
      <c r="B3494" s="48">
        <v>1</v>
      </c>
      <c r="C3494" s="48" t="s">
        <v>394</v>
      </c>
      <c r="D3494" s="88" t="s">
        <v>586</v>
      </c>
      <c r="E3494" s="72" t="str">
        <f>+VLOOKUP(D3494,'材料表 '!C:F,2,0)</f>
        <v>kg</v>
      </c>
      <c r="F3494" s="77">
        <f>+SUMIF($L$3481:$L$3519,D3494,$R$3481:$R$3519)</f>
        <v>14.8890173410405</v>
      </c>
      <c r="G3494" s="89">
        <f>+VLOOKUP(D3494,'材料表 '!C:F,4,0)</f>
        <v>0.03</v>
      </c>
      <c r="H3494" s="74">
        <f t="shared" ref="H3494:H3503" si="521">F3494*(G3494+1)</f>
        <v>15.3356878612717</v>
      </c>
      <c r="I3494" s="74">
        <f>+VLOOKUP(D3494,'材料表 '!C:F,3,0)</f>
        <v>13.2743362831858</v>
      </c>
      <c r="J3494" s="95">
        <f t="shared" si="520"/>
        <v>203.571077804491</v>
      </c>
      <c r="K3494" s="92">
        <f ca="1">H3494*K3480</f>
        <v>1290.16074839307</v>
      </c>
      <c r="L3494" s="90"/>
      <c r="M3494" s="44"/>
      <c r="N3494" s="82"/>
      <c r="O3494" s="44"/>
      <c r="P3494" s="44"/>
      <c r="Q3494" s="44">
        <v>0</v>
      </c>
      <c r="R3494" s="84">
        <f>+Q3494/R3481</f>
        <v>0</v>
      </c>
      <c r="S3494" s="47"/>
      <c r="T3494" s="47"/>
    </row>
    <row r="3495" s="27" customFormat="1" ht="18" customHeight="1" spans="1:20">
      <c r="A3495" s="34"/>
      <c r="B3495" s="48">
        <v>2</v>
      </c>
      <c r="C3495" s="48"/>
      <c r="D3495" s="88" t="s">
        <v>465</v>
      </c>
      <c r="E3495" s="72" t="str">
        <f>+VLOOKUP(D3495,'材料表 '!C:F,2,0)</f>
        <v>kg</v>
      </c>
      <c r="F3495" s="77">
        <f t="shared" ref="F3495:F3503" si="522">+SUMIF($L$3481:$L$3519,D3495,$R$3481:$R$3519)</f>
        <v>3.8465</v>
      </c>
      <c r="G3495" s="89">
        <f>+VLOOKUP(D3495,'材料表 '!C:F,4,0)</f>
        <v>0.03</v>
      </c>
      <c r="H3495" s="74">
        <f t="shared" si="521"/>
        <v>3.961895</v>
      </c>
      <c r="I3495" s="74">
        <f>+VLOOKUP(D3495,'材料表 '!C:F,3,0)</f>
        <v>6.01769911504425</v>
      </c>
      <c r="J3495" s="95">
        <f t="shared" si="520"/>
        <v>23.8414920353982</v>
      </c>
      <c r="K3495" s="92">
        <f ca="1">H3495*K3480</f>
        <v>333.30630256</v>
      </c>
      <c r="L3495" s="90" t="s">
        <v>595</v>
      </c>
      <c r="M3495" s="44"/>
      <c r="N3495" s="82"/>
      <c r="O3495" s="44">
        <f>+O3481</f>
        <v>8.65</v>
      </c>
      <c r="P3495" s="44">
        <f>+P3481</f>
        <v>1.2</v>
      </c>
      <c r="Q3495" s="44">
        <f>+P3495*O3495</f>
        <v>10.38</v>
      </c>
      <c r="R3495" s="84">
        <f>+Q3495/R3481</f>
        <v>1.2</v>
      </c>
      <c r="S3495" s="47"/>
      <c r="T3495" s="47"/>
    </row>
    <row r="3496" s="27" customFormat="1" ht="18" customHeight="1" spans="1:20">
      <c r="A3496" s="34"/>
      <c r="B3496" s="48">
        <v>3</v>
      </c>
      <c r="C3496" s="48"/>
      <c r="D3496" s="88" t="s">
        <v>430</v>
      </c>
      <c r="E3496" s="72" t="str">
        <f>+VLOOKUP(D3496,'材料表 '!C:F,2,0)</f>
        <v>kg</v>
      </c>
      <c r="F3496" s="77">
        <f t="shared" si="522"/>
        <v>4.185</v>
      </c>
      <c r="G3496" s="89">
        <f>+VLOOKUP(D3496,'材料表 '!C:F,4,0)</f>
        <v>0.03</v>
      </c>
      <c r="H3496" s="74">
        <f t="shared" si="521"/>
        <v>4.31055</v>
      </c>
      <c r="I3496" s="74">
        <f>+VLOOKUP(D3496,'材料表 '!C:F,3,0)</f>
        <v>24.6106194690265</v>
      </c>
      <c r="J3496" s="95">
        <f t="shared" si="520"/>
        <v>106.085305752212</v>
      </c>
      <c r="K3496" s="92">
        <f ca="1">H3496*K3480</f>
        <v>362.6379504</v>
      </c>
      <c r="L3496" s="90"/>
      <c r="M3496" s="44"/>
      <c r="N3496" s="82"/>
      <c r="O3496" s="44"/>
      <c r="P3496" s="44"/>
      <c r="Q3496" s="44">
        <f>+P3496*O3496</f>
        <v>0</v>
      </c>
      <c r="R3496" s="84">
        <f>+Q3496/R3481</f>
        <v>0</v>
      </c>
      <c r="S3496" s="47"/>
      <c r="T3496" s="47"/>
    </row>
    <row r="3497" s="27" customFormat="1" ht="18" customHeight="1" spans="1:20">
      <c r="A3497" s="34"/>
      <c r="B3497" s="48">
        <v>4</v>
      </c>
      <c r="C3497" s="48"/>
      <c r="D3497" s="88" t="s">
        <v>447</v>
      </c>
      <c r="E3497" s="72" t="str">
        <f>+VLOOKUP(D3497,'材料表 '!C:F,2,0)</f>
        <v>kg</v>
      </c>
      <c r="F3497" s="77">
        <f t="shared" si="522"/>
        <v>1.01264161849711</v>
      </c>
      <c r="G3497" s="89">
        <f>+VLOOKUP(D3497,'材料表 '!C:F,4,0)</f>
        <v>0.03</v>
      </c>
      <c r="H3497" s="74">
        <f t="shared" si="521"/>
        <v>1.04302086705202</v>
      </c>
      <c r="I3497" s="74">
        <f>+VLOOKUP(D3497,'材料表 '!C:F,3,0)</f>
        <v>24.4336283185841</v>
      </c>
      <c r="J3497" s="95">
        <f t="shared" si="520"/>
        <v>25.4847841940765</v>
      </c>
      <c r="K3497" s="92">
        <f ca="1">H3497*K3480</f>
        <v>87.7472595033524</v>
      </c>
      <c r="L3497" s="90" t="s">
        <v>474</v>
      </c>
      <c r="M3497" s="44"/>
      <c r="N3497" s="82"/>
      <c r="O3497" s="44"/>
      <c r="P3497" s="44"/>
      <c r="Q3497" s="44">
        <f>+O3487*P3487*4</f>
        <v>24</v>
      </c>
      <c r="R3497" s="84">
        <f>+Q3497/R3481</f>
        <v>2.77456647398844</v>
      </c>
      <c r="S3497" s="47"/>
      <c r="T3497" s="47"/>
    </row>
    <row r="3498" s="27" customFormat="1" ht="18" customHeight="1" spans="1:20">
      <c r="A3498" s="34"/>
      <c r="B3498" s="48">
        <v>5</v>
      </c>
      <c r="C3498" s="48"/>
      <c r="D3498" s="88" t="s">
        <v>434</v>
      </c>
      <c r="E3498" s="72" t="str">
        <f>+VLOOKUP(D3498,'材料表 '!C:F,2,0)</f>
        <v>m2</v>
      </c>
      <c r="F3498" s="77">
        <f t="shared" si="522"/>
        <v>0</v>
      </c>
      <c r="G3498" s="89">
        <f>+VLOOKUP(D3498,'材料表 '!C:F,4,0)</f>
        <v>0</v>
      </c>
      <c r="H3498" s="74">
        <f t="shared" si="521"/>
        <v>0</v>
      </c>
      <c r="I3498" s="74">
        <f>+VLOOKUP(D3498,'材料表 '!C:F,3,0)</f>
        <v>49.5575221238938</v>
      </c>
      <c r="J3498" s="95">
        <f t="shared" si="520"/>
        <v>0</v>
      </c>
      <c r="K3498" s="92">
        <f ca="1">H3498*K3480</f>
        <v>0</v>
      </c>
      <c r="L3498" s="92" t="s">
        <v>476</v>
      </c>
      <c r="M3498" s="44"/>
      <c r="N3498" s="82"/>
      <c r="O3498" s="44"/>
      <c r="P3498" s="44">
        <f>8*6*(N3481*2+O3481*6*2)/500+18*22*(O3484*P3484)/500</f>
        <v>15.6672</v>
      </c>
      <c r="Q3498" s="44">
        <f>+P3498/Q3481</f>
        <v>15.6672</v>
      </c>
      <c r="R3498" s="84">
        <f>+Q3498/R3481</f>
        <v>1.81123699421965</v>
      </c>
      <c r="S3498" s="47"/>
      <c r="T3498" s="47"/>
    </row>
    <row r="3499" s="27" customFormat="1" ht="18" customHeight="1" spans="1:20">
      <c r="A3499" s="34"/>
      <c r="B3499" s="48">
        <v>6</v>
      </c>
      <c r="C3499" s="48"/>
      <c r="D3499" s="88" t="s">
        <v>476</v>
      </c>
      <c r="E3499" s="72" t="str">
        <f>+VLOOKUP(D3499,'材料表 '!C:F,2,0)</f>
        <v>支</v>
      </c>
      <c r="F3499" s="77">
        <f t="shared" si="522"/>
        <v>1.81123699421965</v>
      </c>
      <c r="G3499" s="89">
        <f>+VLOOKUP(D3499,'材料表 '!C:F,4,0)</f>
        <v>0.15</v>
      </c>
      <c r="H3499" s="74">
        <f t="shared" si="521"/>
        <v>2.0829225433526</v>
      </c>
      <c r="I3499" s="74">
        <f>+VLOOKUP(D3499,'材料表 '!C:F,3,0)</f>
        <v>11.5044247787611</v>
      </c>
      <c r="J3499" s="95">
        <f t="shared" si="520"/>
        <v>23.9628257199857</v>
      </c>
      <c r="K3499" s="92">
        <f ca="1">H3499*K3480</f>
        <v>175.232107727168</v>
      </c>
      <c r="L3499" s="92"/>
      <c r="M3499" s="44"/>
      <c r="N3499" s="82"/>
      <c r="O3499" s="44"/>
      <c r="P3499" s="44"/>
      <c r="Q3499" s="44"/>
      <c r="R3499" s="84"/>
      <c r="S3499" s="47"/>
      <c r="T3499" s="47"/>
    </row>
    <row r="3500" s="27" customFormat="1" ht="18" customHeight="1" spans="1:20">
      <c r="A3500" s="34"/>
      <c r="B3500" s="48">
        <v>7</v>
      </c>
      <c r="C3500" s="48"/>
      <c r="D3500" s="88" t="s">
        <v>595</v>
      </c>
      <c r="E3500" s="72" t="str">
        <f>+VLOOKUP(D3500,'材料表 '!C:F,2,0)</f>
        <v>m2</v>
      </c>
      <c r="F3500" s="77">
        <f t="shared" si="522"/>
        <v>1.2</v>
      </c>
      <c r="G3500" s="89">
        <f>+VLOOKUP(D3500,'材料表 '!C:F,4,0)</f>
        <v>0.01</v>
      </c>
      <c r="H3500" s="74">
        <f t="shared" si="521"/>
        <v>1.212</v>
      </c>
      <c r="I3500" s="74">
        <f>+VLOOKUP(D3500,'材料表 '!C:F,3,0)</f>
        <v>176.991150442478</v>
      </c>
      <c r="J3500" s="95">
        <f t="shared" si="520"/>
        <v>214.513274336283</v>
      </c>
      <c r="K3500" s="92">
        <f ca="1">H3500*K3480</f>
        <v>101.963136</v>
      </c>
      <c r="L3500" s="92"/>
      <c r="M3500" s="44"/>
      <c r="N3500" s="82"/>
      <c r="O3500" s="44"/>
      <c r="P3500" s="44"/>
      <c r="Q3500" s="44"/>
      <c r="R3500" s="84"/>
      <c r="S3500" s="47"/>
      <c r="T3500" s="47"/>
    </row>
    <row r="3501" s="27" customFormat="1" ht="18" customHeight="1" spans="1:20">
      <c r="A3501" s="34"/>
      <c r="B3501" s="48">
        <v>8</v>
      </c>
      <c r="C3501" s="48"/>
      <c r="D3501" s="88" t="s">
        <v>474</v>
      </c>
      <c r="E3501" s="72" t="str">
        <f>+VLOOKUP(D3501,'材料表 '!C:F,2,0)</f>
        <v>套</v>
      </c>
      <c r="F3501" s="77">
        <f t="shared" si="522"/>
        <v>2.77456647398844</v>
      </c>
      <c r="G3501" s="89">
        <f>+VLOOKUP(D3501,'材料表 '!C:F,4,0)</f>
        <v>0</v>
      </c>
      <c r="H3501" s="74">
        <f t="shared" si="521"/>
        <v>2.77456647398844</v>
      </c>
      <c r="I3501" s="74">
        <f>+VLOOKUP(D3501,'材料表 '!C:F,3,0)</f>
        <v>2.21238938053097</v>
      </c>
      <c r="J3501" s="95">
        <f t="shared" si="520"/>
        <v>6.13842140262928</v>
      </c>
      <c r="K3501" s="92">
        <f ca="1">H3501*K3480</f>
        <v>233.4187283237</v>
      </c>
      <c r="L3501" s="92"/>
      <c r="M3501" s="44"/>
      <c r="N3501" s="82"/>
      <c r="O3501" s="44"/>
      <c r="P3501" s="44"/>
      <c r="Q3501" s="44"/>
      <c r="R3501" s="84"/>
      <c r="S3501" s="47"/>
      <c r="T3501" s="47"/>
    </row>
    <row r="3502" s="27" customFormat="1" ht="18" customHeight="1" spans="1:20">
      <c r="A3502" s="34"/>
      <c r="B3502" s="48">
        <v>9</v>
      </c>
      <c r="C3502" s="48"/>
      <c r="D3502" s="88" t="s">
        <v>435</v>
      </c>
      <c r="E3502" s="72" t="str">
        <f>+VLOOKUP(D3502,'材料表 '!C:F,2,0)</f>
        <v>kg</v>
      </c>
      <c r="F3502" s="77">
        <f t="shared" si="522"/>
        <v>0</v>
      </c>
      <c r="G3502" s="89">
        <f>+VLOOKUP(D3502,'材料表 '!C:F,4,0)</f>
        <v>0.03</v>
      </c>
      <c r="H3502" s="74">
        <f t="shared" si="521"/>
        <v>0</v>
      </c>
      <c r="I3502" s="74">
        <f>+VLOOKUP(D3502,'材料表 '!C:F,3,0)</f>
        <v>19.4690265486726</v>
      </c>
      <c r="J3502" s="95">
        <f t="shared" si="520"/>
        <v>0</v>
      </c>
      <c r="K3502" s="92">
        <f ca="1">H3502*K3480</f>
        <v>0</v>
      </c>
      <c r="L3502" s="90"/>
      <c r="M3502" s="44"/>
      <c r="N3502" s="82"/>
      <c r="O3502" s="34"/>
      <c r="P3502" s="44"/>
      <c r="Q3502" s="44"/>
      <c r="R3502" s="119"/>
      <c r="S3502" s="47"/>
      <c r="T3502" s="47"/>
    </row>
    <row r="3503" s="27" customFormat="1" ht="18" customHeight="1" spans="1:20">
      <c r="A3503" s="34"/>
      <c r="B3503" s="48">
        <v>10</v>
      </c>
      <c r="C3503" s="48"/>
      <c r="D3503" s="88" t="s">
        <v>463</v>
      </c>
      <c r="E3503" s="72" t="str">
        <f>+VLOOKUP(D3503,'材料表 '!C:F,2,0)</f>
        <v>kg</v>
      </c>
      <c r="F3503" s="77">
        <f t="shared" si="522"/>
        <v>1.96023121387283</v>
      </c>
      <c r="G3503" s="89">
        <f>+VLOOKUP(D3503,'材料表 '!C:F,4,0)</f>
        <v>0.03</v>
      </c>
      <c r="H3503" s="74">
        <f t="shared" si="521"/>
        <v>2.01903815028901</v>
      </c>
      <c r="I3503" s="74">
        <f>+VLOOKUP(D3503,'材料表 '!C:F,3,0)</f>
        <v>6.01769911504425</v>
      </c>
      <c r="J3503" s="95">
        <f t="shared" si="520"/>
        <v>12.1499640902348</v>
      </c>
      <c r="K3503" s="92">
        <f ca="1">H3503*K3480</f>
        <v>169.857641507514</v>
      </c>
      <c r="L3503" s="92"/>
      <c r="M3503" s="120"/>
      <c r="N3503" s="82"/>
      <c r="O3503" s="44"/>
      <c r="P3503" s="44"/>
      <c r="Q3503" s="44"/>
      <c r="R3503" s="84"/>
      <c r="S3503" s="47"/>
      <c r="T3503" s="47"/>
    </row>
    <row r="3504" s="27" customFormat="1" ht="18" customHeight="1" spans="1:20">
      <c r="A3504" s="34"/>
      <c r="B3504" s="48">
        <v>11</v>
      </c>
      <c r="C3504" s="48"/>
      <c r="D3504" s="88"/>
      <c r="E3504" s="72"/>
      <c r="F3504" s="77"/>
      <c r="G3504" s="89"/>
      <c r="H3504" s="74"/>
      <c r="I3504" s="74"/>
      <c r="J3504" s="95"/>
      <c r="K3504" s="92">
        <f ca="1">H3504*K3480</f>
        <v>0</v>
      </c>
      <c r="L3504" s="92"/>
      <c r="M3504" s="44"/>
      <c r="N3504" s="82"/>
      <c r="O3504" s="44"/>
      <c r="P3504" s="44"/>
      <c r="Q3504" s="44"/>
      <c r="R3504" s="84"/>
      <c r="S3504" s="47"/>
      <c r="T3504" s="47"/>
    </row>
    <row r="3505" s="27" customFormat="1" ht="18" customHeight="1" spans="1:20">
      <c r="A3505" s="34"/>
      <c r="B3505" s="48">
        <v>12</v>
      </c>
      <c r="C3505" s="48"/>
      <c r="D3505" s="88"/>
      <c r="E3505" s="72"/>
      <c r="F3505" s="77"/>
      <c r="G3505" s="89"/>
      <c r="H3505" s="74"/>
      <c r="I3505" s="74"/>
      <c r="J3505" s="95"/>
      <c r="K3505" s="92"/>
      <c r="L3505" s="92"/>
      <c r="M3505" s="44"/>
      <c r="N3505" s="44"/>
      <c r="O3505" s="44"/>
      <c r="P3505" s="44"/>
      <c r="Q3505" s="44"/>
      <c r="R3505" s="84"/>
      <c r="S3505" s="47"/>
      <c r="T3505" s="47"/>
    </row>
    <row r="3506" s="27" customFormat="1" ht="18" customHeight="1" spans="1:20">
      <c r="A3506" s="34"/>
      <c r="B3506" s="48">
        <v>13</v>
      </c>
      <c r="C3506" s="48"/>
      <c r="D3506" s="88"/>
      <c r="E3506" s="72"/>
      <c r="F3506" s="77"/>
      <c r="G3506" s="89"/>
      <c r="H3506" s="74"/>
      <c r="I3506" s="74"/>
      <c r="J3506" s="95"/>
      <c r="K3506" s="92"/>
      <c r="L3506" s="92"/>
      <c r="M3506" s="44"/>
      <c r="N3506" s="44"/>
      <c r="O3506" s="44"/>
      <c r="P3506" s="44"/>
      <c r="Q3506" s="44"/>
      <c r="R3506" s="84"/>
      <c r="S3506" s="47"/>
      <c r="T3506" s="47"/>
    </row>
    <row r="3507" s="27" customFormat="1" ht="24" customHeight="1" spans="1:20">
      <c r="A3507" s="34"/>
      <c r="B3507" s="48">
        <v>14</v>
      </c>
      <c r="C3507" s="48"/>
      <c r="D3507" s="88"/>
      <c r="E3507" s="72"/>
      <c r="F3507" s="77"/>
      <c r="G3507" s="89"/>
      <c r="H3507" s="74"/>
      <c r="I3507" s="74"/>
      <c r="J3507" s="95"/>
      <c r="K3507" s="92"/>
      <c r="L3507" s="92"/>
      <c r="M3507" s="44"/>
      <c r="N3507" s="44"/>
      <c r="O3507" s="44"/>
      <c r="P3507" s="44"/>
      <c r="Q3507" s="44"/>
      <c r="R3507" s="84"/>
      <c r="S3507" s="47"/>
      <c r="T3507" s="47"/>
    </row>
    <row r="3508" s="27" customFormat="1" ht="18" customHeight="1" spans="1:20">
      <c r="A3508" s="34"/>
      <c r="B3508" s="48">
        <v>15</v>
      </c>
      <c r="C3508" s="48"/>
      <c r="D3508" s="88"/>
      <c r="E3508" s="72"/>
      <c r="F3508" s="77"/>
      <c r="G3508" s="89"/>
      <c r="H3508" s="74"/>
      <c r="I3508" s="74"/>
      <c r="J3508" s="95"/>
      <c r="K3508" s="92"/>
      <c r="L3508" s="92"/>
      <c r="M3508" s="44"/>
      <c r="N3508" s="44"/>
      <c r="O3508" s="44"/>
      <c r="P3508" s="44"/>
      <c r="Q3508" s="44"/>
      <c r="R3508" s="84"/>
      <c r="S3508" s="47"/>
      <c r="T3508" s="47"/>
    </row>
    <row r="3509" s="27" customFormat="1" ht="18" customHeight="1" spans="1:20">
      <c r="A3509" s="34"/>
      <c r="B3509" s="48">
        <v>16</v>
      </c>
      <c r="C3509" s="48"/>
      <c r="D3509" s="88"/>
      <c r="E3509" s="72"/>
      <c r="F3509" s="77"/>
      <c r="G3509" s="89"/>
      <c r="H3509" s="74"/>
      <c r="I3509" s="74"/>
      <c r="J3509" s="95"/>
      <c r="K3509" s="92"/>
      <c r="L3509" s="92"/>
      <c r="M3509" s="44"/>
      <c r="N3509" s="44"/>
      <c r="O3509" s="44"/>
      <c r="P3509" s="44"/>
      <c r="Q3509" s="44"/>
      <c r="R3509" s="84"/>
      <c r="S3509" s="47"/>
      <c r="T3509" s="47"/>
    </row>
    <row r="3510" s="27" customFormat="1" ht="18" customHeight="1" spans="1:20">
      <c r="A3510" s="34"/>
      <c r="B3510" s="48">
        <v>17</v>
      </c>
      <c r="C3510" s="48"/>
      <c r="D3510" s="121"/>
      <c r="E3510" s="72"/>
      <c r="F3510" s="77"/>
      <c r="G3510" s="89"/>
      <c r="H3510" s="74"/>
      <c r="I3510" s="74"/>
      <c r="J3510" s="95"/>
      <c r="K3510" s="92"/>
      <c r="L3510" s="92"/>
      <c r="M3510" s="44"/>
      <c r="N3510" s="44"/>
      <c r="O3510" s="44"/>
      <c r="P3510" s="44"/>
      <c r="Q3510" s="101"/>
      <c r="R3510" s="84"/>
      <c r="S3510" s="47"/>
      <c r="T3510" s="47"/>
    </row>
    <row r="3511" s="27" customFormat="1" ht="18" customHeight="1" spans="1:20">
      <c r="A3511" s="34"/>
      <c r="B3511" s="48">
        <v>18</v>
      </c>
      <c r="C3511" s="48"/>
      <c r="D3511" s="88"/>
      <c r="E3511" s="72"/>
      <c r="F3511" s="77"/>
      <c r="G3511" s="89"/>
      <c r="H3511" s="74"/>
      <c r="I3511" s="74"/>
      <c r="J3511" s="95"/>
      <c r="K3511" s="92"/>
      <c r="L3511" s="92"/>
      <c r="M3511" s="44"/>
      <c r="N3511" s="44"/>
      <c r="O3511" s="44"/>
      <c r="P3511" s="44"/>
      <c r="Q3511" s="44"/>
      <c r="R3511" s="84"/>
      <c r="S3511" s="47"/>
      <c r="T3511" s="47"/>
    </row>
    <row r="3512" s="27" customFormat="1" ht="18" customHeight="1" spans="1:20">
      <c r="A3512" s="34"/>
      <c r="B3512" s="48">
        <v>19</v>
      </c>
      <c r="C3512" s="48"/>
      <c r="D3512" s="27"/>
      <c r="E3512" s="72"/>
      <c r="F3512" s="77"/>
      <c r="G3512" s="89"/>
      <c r="H3512" s="74"/>
      <c r="I3512" s="74"/>
      <c r="J3512" s="95"/>
      <c r="K3512" s="92"/>
      <c r="L3512" s="92"/>
      <c r="M3512" s="44"/>
      <c r="N3512" s="44"/>
      <c r="O3512" s="44"/>
      <c r="P3512" s="44"/>
      <c r="Q3512" s="44"/>
      <c r="R3512" s="84"/>
      <c r="S3512" s="47"/>
      <c r="T3512" s="47"/>
    </row>
    <row r="3513" s="27" customFormat="1" ht="18" customHeight="1" spans="1:20">
      <c r="A3513" s="34"/>
      <c r="B3513" s="48">
        <v>20</v>
      </c>
      <c r="C3513" s="48"/>
      <c r="D3513" s="88"/>
      <c r="E3513" s="72"/>
      <c r="F3513" s="77"/>
      <c r="G3513" s="89"/>
      <c r="H3513" s="74"/>
      <c r="I3513" s="74"/>
      <c r="J3513" s="95"/>
      <c r="K3513" s="92"/>
      <c r="L3513" s="92"/>
      <c r="M3513" s="44"/>
      <c r="N3513" s="44"/>
      <c r="O3513" s="44"/>
      <c r="P3513" s="44"/>
      <c r="Q3513" s="44"/>
      <c r="R3513" s="84"/>
      <c r="S3513" s="47"/>
      <c r="T3513" s="47"/>
    </row>
    <row r="3514" s="27" customFormat="1" ht="18" customHeight="1" spans="1:20">
      <c r="A3514" s="34"/>
      <c r="B3514" s="48">
        <v>21</v>
      </c>
      <c r="C3514" s="48"/>
      <c r="D3514" s="88"/>
      <c r="E3514" s="72"/>
      <c r="F3514" s="77"/>
      <c r="G3514" s="89"/>
      <c r="H3514" s="74"/>
      <c r="I3514" s="74"/>
      <c r="J3514" s="95"/>
      <c r="K3514" s="92"/>
      <c r="L3514" s="92"/>
      <c r="M3514" s="44"/>
      <c r="N3514" s="44"/>
      <c r="O3514" s="44"/>
      <c r="P3514" s="44"/>
      <c r="Q3514" s="44"/>
      <c r="R3514" s="84"/>
      <c r="S3514" s="47"/>
      <c r="T3514" s="47"/>
    </row>
    <row r="3515" s="27" customFormat="1" ht="18" customHeight="1" spans="1:20">
      <c r="A3515" s="34"/>
      <c r="B3515" s="48">
        <v>22</v>
      </c>
      <c r="C3515" s="48"/>
      <c r="D3515" s="27"/>
      <c r="E3515" s="72"/>
      <c r="F3515" s="77"/>
      <c r="G3515" s="72"/>
      <c r="H3515" s="74"/>
      <c r="I3515" s="74"/>
      <c r="J3515" s="95"/>
      <c r="K3515" s="92"/>
      <c r="L3515" s="92"/>
      <c r="M3515" s="44"/>
      <c r="N3515" s="44"/>
      <c r="O3515" s="44"/>
      <c r="P3515" s="44"/>
      <c r="Q3515" s="44"/>
      <c r="R3515" s="62"/>
      <c r="S3515" s="47"/>
      <c r="T3515" s="47"/>
    </row>
    <row r="3516" s="27" customFormat="1" ht="18" customHeight="1" spans="1:20">
      <c r="A3516" s="34"/>
      <c r="B3516" s="48">
        <v>23</v>
      </c>
      <c r="C3516" s="48"/>
      <c r="D3516" s="88"/>
      <c r="E3516" s="72"/>
      <c r="F3516" s="77"/>
      <c r="G3516" s="89"/>
      <c r="H3516" s="74"/>
      <c r="I3516" s="74"/>
      <c r="J3516" s="95"/>
      <c r="K3516" s="92"/>
      <c r="L3516" s="92"/>
      <c r="M3516" s="44"/>
      <c r="N3516" s="44"/>
      <c r="O3516" s="44"/>
      <c r="P3516" s="44"/>
      <c r="Q3516" s="44"/>
      <c r="R3516" s="62"/>
      <c r="S3516" s="47"/>
      <c r="T3516" s="47"/>
    </row>
    <row r="3517" s="27" customFormat="1" ht="18" customHeight="1" spans="1:20">
      <c r="A3517" s="34"/>
      <c r="B3517" s="48">
        <v>24</v>
      </c>
      <c r="C3517" s="48"/>
      <c r="D3517" s="88" t="s">
        <v>478</v>
      </c>
      <c r="E3517" s="72" t="s">
        <v>43</v>
      </c>
      <c r="F3517" s="77"/>
      <c r="G3517" s="72">
        <v>1</v>
      </c>
      <c r="H3517" s="74">
        <v>1</v>
      </c>
      <c r="I3517" s="74">
        <f>+辅材及安装费!$E$6</f>
        <v>10</v>
      </c>
      <c r="J3517" s="95">
        <f>H3517*I3517</f>
        <v>10</v>
      </c>
      <c r="K3517" s="92"/>
      <c r="L3517" s="92"/>
      <c r="M3517" s="44"/>
      <c r="N3517" s="44"/>
      <c r="O3517" s="44"/>
      <c r="P3517" s="44"/>
      <c r="Q3517" s="44"/>
      <c r="R3517" s="62"/>
      <c r="S3517" s="47"/>
      <c r="T3517" s="47"/>
    </row>
    <row r="3518" s="27" customFormat="1" ht="18" customHeight="1" spans="1:20">
      <c r="A3518" s="34"/>
      <c r="B3518" s="48">
        <v>25</v>
      </c>
      <c r="C3518" s="48"/>
      <c r="D3518" s="93" t="s">
        <v>442</v>
      </c>
      <c r="E3518" s="72"/>
      <c r="F3518" s="77"/>
      <c r="G3518" s="72"/>
      <c r="H3518" s="74"/>
      <c r="I3518" s="74"/>
      <c r="J3518" s="95">
        <f>SUM(J3494:J3517)</f>
        <v>625.747145335311</v>
      </c>
      <c r="K3518" s="92"/>
      <c r="L3518" s="94"/>
      <c r="M3518" s="27"/>
      <c r="N3518" s="83"/>
      <c r="O3518" s="83"/>
      <c r="P3518" s="83"/>
      <c r="Q3518" s="83"/>
      <c r="R3518" s="87"/>
      <c r="S3518" s="47"/>
      <c r="T3518" s="47"/>
    </row>
    <row r="3519" s="27" customFormat="1" ht="18" customHeight="1" spans="1:20">
      <c r="A3519" s="34"/>
      <c r="B3519" s="48">
        <v>1</v>
      </c>
      <c r="C3519" s="48" t="s">
        <v>443</v>
      </c>
      <c r="D3519" s="48" t="s">
        <v>444</v>
      </c>
      <c r="E3519" s="72" t="s">
        <v>43</v>
      </c>
      <c r="F3519" s="50"/>
      <c r="G3519" s="48"/>
      <c r="H3519" s="51">
        <v>1</v>
      </c>
      <c r="I3519" s="74">
        <f>+辅材及安装费!$F$6</f>
        <v>5</v>
      </c>
      <c r="J3519" s="95">
        <f>H3519*I3519</f>
        <v>5</v>
      </c>
      <c r="K3519" s="118"/>
      <c r="L3519" s="96"/>
      <c r="M3519" s="97"/>
      <c r="N3519" s="98"/>
      <c r="O3519" s="98"/>
      <c r="P3519" s="98"/>
      <c r="Q3519" s="98"/>
      <c r="R3519" s="99"/>
      <c r="S3519" s="47"/>
      <c r="T3519" s="47"/>
    </row>
    <row r="3520" s="26" customFormat="1" ht="30" customHeight="1" spans="1:20">
      <c r="A3520" s="28"/>
      <c r="B3520" s="29" t="s">
        <v>386</v>
      </c>
      <c r="C3520" s="29"/>
      <c r="D3520" s="29"/>
      <c r="E3520" s="29"/>
      <c r="F3520" s="29"/>
      <c r="G3520" s="29"/>
      <c r="H3520" s="29"/>
      <c r="I3520" s="29"/>
      <c r="J3520" s="29"/>
      <c r="K3520" s="29"/>
      <c r="L3520" s="30"/>
      <c r="M3520" s="31"/>
      <c r="N3520" s="31"/>
      <c r="O3520" s="31"/>
      <c r="P3520" s="31"/>
      <c r="Q3520" s="31"/>
      <c r="R3520" s="32"/>
      <c r="S3520" s="33"/>
      <c r="T3520" s="33"/>
    </row>
    <row r="3521" s="27" customFormat="1" ht="33.75" customHeight="1" spans="1:20">
      <c r="A3521" s="34">
        <v>2</v>
      </c>
      <c r="B3521" s="35" t="s">
        <v>1</v>
      </c>
      <c r="C3521" s="35" t="s">
        <v>387</v>
      </c>
      <c r="D3521" s="36" t="str">
        <f>+A3529</f>
        <v>6+1.14PVB+6㎜超白钢化夹层玻璃栏杆（弧形）</v>
      </c>
      <c r="E3521" s="37"/>
      <c r="F3521" s="38"/>
      <c r="G3521" s="39"/>
      <c r="H3521" s="35" t="s">
        <v>388</v>
      </c>
      <c r="I3521" s="40" t="s">
        <v>389</v>
      </c>
      <c r="J3521" s="41" t="s">
        <v>37</v>
      </c>
      <c r="K3521" s="42">
        <f ca="1">VLOOKUP(A3521,'商业工程量清单 '!$A$96:$D$98,4,FALSE)</f>
        <v>8.702</v>
      </c>
      <c r="L3521" s="43"/>
      <c r="M3521" s="44"/>
      <c r="N3521" s="44"/>
      <c r="O3521" s="44"/>
      <c r="P3521" s="45"/>
      <c r="Q3521" s="44"/>
      <c r="R3521" s="46"/>
      <c r="S3521" s="47"/>
      <c r="T3521" s="47"/>
    </row>
    <row r="3522" s="27" customFormat="1" ht="25" customHeight="1" spans="1:20">
      <c r="A3522" s="34"/>
      <c r="B3522" s="48">
        <v>1</v>
      </c>
      <c r="C3522" s="49" t="s">
        <v>390</v>
      </c>
      <c r="D3522" s="48" t="s">
        <v>391</v>
      </c>
      <c r="E3522" s="48"/>
      <c r="F3522" s="50"/>
      <c r="G3522" s="48"/>
      <c r="H3522" s="51"/>
      <c r="I3522" s="52">
        <f>J3534</f>
        <v>135</v>
      </c>
      <c r="J3522" s="53" t="s">
        <v>392</v>
      </c>
      <c r="K3522" s="54"/>
      <c r="L3522" s="55" t="s">
        <v>584</v>
      </c>
      <c r="M3522" s="56" t="s">
        <v>585</v>
      </c>
      <c r="N3522" s="57"/>
      <c r="O3522" s="57">
        <f>6.2+2.45</f>
        <v>8.65</v>
      </c>
      <c r="P3522" s="57">
        <v>1.2</v>
      </c>
      <c r="Q3522" s="57">
        <v>1</v>
      </c>
      <c r="R3522" s="58">
        <f>O3522</f>
        <v>8.65</v>
      </c>
      <c r="S3522" s="47"/>
      <c r="T3522" s="47"/>
    </row>
    <row r="3523" s="27" customFormat="1" ht="18" customHeight="1" spans="1:20">
      <c r="A3523" s="34"/>
      <c r="B3523" s="48">
        <v>2</v>
      </c>
      <c r="C3523" s="59"/>
      <c r="D3523" s="48" t="s">
        <v>394</v>
      </c>
      <c r="E3523" s="48"/>
      <c r="F3523" s="50"/>
      <c r="G3523" s="48"/>
      <c r="H3523" s="51"/>
      <c r="I3523" s="52">
        <f>J3559</f>
        <v>701.549918674101</v>
      </c>
      <c r="J3523" s="53" t="s">
        <v>392</v>
      </c>
      <c r="K3523" s="60"/>
      <c r="L3523" s="61" t="s">
        <v>203</v>
      </c>
      <c r="M3523" s="44"/>
      <c r="N3523" s="44"/>
      <c r="O3523" s="44"/>
      <c r="P3523" s="44"/>
      <c r="Q3523" s="44"/>
      <c r="R3523" s="62"/>
      <c r="S3523" s="47"/>
      <c r="T3523" s="47"/>
    </row>
    <row r="3524" s="27" customFormat="1" ht="18" customHeight="1" spans="1:20">
      <c r="A3524" s="34"/>
      <c r="B3524" s="48">
        <v>3</v>
      </c>
      <c r="C3524" s="63"/>
      <c r="D3524" s="48" t="s">
        <v>395</v>
      </c>
      <c r="E3524" s="48"/>
      <c r="F3524" s="50"/>
      <c r="G3524" s="48"/>
      <c r="H3524" s="51"/>
      <c r="I3524" s="52">
        <f>J3560</f>
        <v>5</v>
      </c>
      <c r="J3524" s="53" t="s">
        <v>392</v>
      </c>
      <c r="K3524" s="60"/>
      <c r="L3524" s="60"/>
      <c r="M3524" s="64" t="s">
        <v>396</v>
      </c>
      <c r="N3524" s="65" t="s">
        <v>397</v>
      </c>
      <c r="O3524" s="65" t="s">
        <v>398</v>
      </c>
      <c r="P3524" s="65" t="s">
        <v>399</v>
      </c>
      <c r="Q3524" s="65" t="s">
        <v>400</v>
      </c>
      <c r="R3524" s="66" t="s">
        <v>401</v>
      </c>
      <c r="S3524" s="47"/>
      <c r="T3524" s="47"/>
    </row>
    <row r="3525" s="27" customFormat="1" ht="18" customHeight="1" spans="1:20">
      <c r="A3525" s="34"/>
      <c r="B3525" s="48">
        <v>4</v>
      </c>
      <c r="C3525" s="48" t="s">
        <v>402</v>
      </c>
      <c r="D3525" s="67" t="s">
        <v>403</v>
      </c>
      <c r="E3525" s="67"/>
      <c r="F3525" s="50"/>
      <c r="G3525" s="67"/>
      <c r="H3525" s="68"/>
      <c r="I3525" s="52">
        <f>SUM(I3522:I3524)</f>
        <v>841.549918674101</v>
      </c>
      <c r="J3525" s="53" t="s">
        <v>392</v>
      </c>
      <c r="K3525" s="60"/>
      <c r="L3525" s="69" t="s">
        <v>586</v>
      </c>
      <c r="M3525" s="34" t="s">
        <v>587</v>
      </c>
      <c r="N3525" s="34">
        <f>0.075*30*1*7.95</f>
        <v>17.8875</v>
      </c>
      <c r="O3525" s="34">
        <f>+P3522</f>
        <v>1.2</v>
      </c>
      <c r="P3525" s="34">
        <v>6</v>
      </c>
      <c r="Q3525" s="44">
        <f t="shared" ref="Q3525:Q3531" si="523">+P3525*O3525*N3525</f>
        <v>128.79</v>
      </c>
      <c r="R3525" s="71">
        <f>+Q3525/R3522</f>
        <v>14.8890173410405</v>
      </c>
      <c r="S3525" s="47"/>
      <c r="T3525" s="47"/>
    </row>
    <row r="3526" s="27" customFormat="1" ht="28" customHeight="1" spans="1:20">
      <c r="A3526" s="34"/>
      <c r="B3526" s="48">
        <v>5</v>
      </c>
      <c r="C3526" s="72" t="s">
        <v>406</v>
      </c>
      <c r="D3526" s="48" t="s">
        <v>407</v>
      </c>
      <c r="E3526" s="48"/>
      <c r="F3526" s="50"/>
      <c r="G3526" s="48"/>
      <c r="H3526" s="73">
        <f>+'材料表 '!$E$178</f>
        <v>0</v>
      </c>
      <c r="I3526" s="52">
        <f>H3526*I3525</f>
        <v>0</v>
      </c>
      <c r="J3526" s="53" t="s">
        <v>392</v>
      </c>
      <c r="K3526" s="60"/>
      <c r="L3526" s="69" t="s">
        <v>465</v>
      </c>
      <c r="M3526" s="34" t="s">
        <v>588</v>
      </c>
      <c r="N3526" s="34">
        <f>0.098*5*7.85</f>
        <v>3.8465</v>
      </c>
      <c r="O3526" s="34">
        <f>+O3522</f>
        <v>8.65</v>
      </c>
      <c r="P3526" s="34">
        <v>1</v>
      </c>
      <c r="Q3526" s="44">
        <f t="shared" si="523"/>
        <v>33.272225</v>
      </c>
      <c r="R3526" s="71">
        <f>+Q3526/R3522</f>
        <v>3.8465</v>
      </c>
      <c r="S3526" s="47"/>
      <c r="T3526" s="47"/>
    </row>
    <row r="3527" s="27" customFormat="1" ht="18" customHeight="1" spans="1:20">
      <c r="A3527" s="34"/>
      <c r="B3527" s="48">
        <v>6</v>
      </c>
      <c r="C3527" s="48" t="s">
        <v>409</v>
      </c>
      <c r="D3527" s="48" t="s">
        <v>410</v>
      </c>
      <c r="E3527" s="48"/>
      <c r="F3527" s="50"/>
      <c r="G3527" s="48"/>
      <c r="H3527" s="73">
        <f>+'材料表 '!$E$179</f>
        <v>0</v>
      </c>
      <c r="I3527" s="52">
        <f>H3527*I3525</f>
        <v>0</v>
      </c>
      <c r="J3527" s="53" t="s">
        <v>392</v>
      </c>
      <c r="K3527" s="60"/>
      <c r="L3527" s="69" t="s">
        <v>461</v>
      </c>
      <c r="M3527" s="34" t="s">
        <v>462</v>
      </c>
      <c r="N3527" s="34">
        <v>3.77</v>
      </c>
      <c r="O3527" s="34">
        <v>0.165</v>
      </c>
      <c r="P3527" s="34">
        <f>2*6</f>
        <v>12</v>
      </c>
      <c r="Q3527" s="44">
        <f t="shared" si="523"/>
        <v>7.4646</v>
      </c>
      <c r="R3527" s="71">
        <f>+Q3527/R3522</f>
        <v>0.862959537572254</v>
      </c>
      <c r="S3527" s="47"/>
      <c r="T3527" s="47"/>
    </row>
    <row r="3528" s="27" customFormat="1" ht="18" customHeight="1" spans="1:20">
      <c r="A3528" s="34"/>
      <c r="B3528" s="48">
        <v>7</v>
      </c>
      <c r="C3528" s="48" t="s">
        <v>412</v>
      </c>
      <c r="D3528" s="72" t="s">
        <v>413</v>
      </c>
      <c r="E3528" s="72"/>
      <c r="F3528" s="77"/>
      <c r="G3528" s="72"/>
      <c r="H3528" s="73">
        <f>+'材料表 '!$E$180</f>
        <v>0.09</v>
      </c>
      <c r="I3528" s="52">
        <f>(I3525+I3526+I3527)*H3528</f>
        <v>75.7394926806691</v>
      </c>
      <c r="J3528" s="53" t="s">
        <v>392</v>
      </c>
      <c r="K3528" s="60"/>
      <c r="L3528" s="69" t="s">
        <v>463</v>
      </c>
      <c r="M3528" s="34" t="s">
        <v>589</v>
      </c>
      <c r="N3528" s="34">
        <f>0.18*0.2*7.85*10</f>
        <v>2.826</v>
      </c>
      <c r="O3528" s="34">
        <v>1</v>
      </c>
      <c r="P3528" s="34">
        <f>P3525</f>
        <v>6</v>
      </c>
      <c r="Q3528" s="44">
        <f t="shared" si="523"/>
        <v>16.956</v>
      </c>
      <c r="R3528" s="71">
        <f>+Q3528/R3522</f>
        <v>1.96023121387283</v>
      </c>
      <c r="S3528" s="47"/>
      <c r="T3528" s="47"/>
    </row>
    <row r="3529" s="27" customFormat="1" ht="18" customHeight="1" spans="1:20">
      <c r="A3529" s="34" t="s">
        <v>358</v>
      </c>
      <c r="B3529" s="48">
        <v>8</v>
      </c>
      <c r="C3529" s="48" t="s">
        <v>363</v>
      </c>
      <c r="D3529" s="106" t="s">
        <v>415</v>
      </c>
      <c r="E3529" s="107"/>
      <c r="F3529" s="108"/>
      <c r="G3529" s="107"/>
      <c r="H3529" s="51"/>
      <c r="I3529" s="74">
        <f>SUM(I3525:I3528)</f>
        <v>917.28941135477</v>
      </c>
      <c r="J3529" s="53" t="s">
        <v>484</v>
      </c>
      <c r="K3529" s="60"/>
      <c r="L3529" s="69" t="s">
        <v>465</v>
      </c>
      <c r="M3529" s="34" t="s">
        <v>466</v>
      </c>
      <c r="N3529" s="100">
        <f>1.2789*7.85</f>
        <v>10.039365</v>
      </c>
      <c r="O3529" s="34">
        <v>0.105</v>
      </c>
      <c r="P3529" s="44"/>
      <c r="Q3529" s="44">
        <f t="shared" si="523"/>
        <v>0</v>
      </c>
      <c r="R3529" s="84">
        <f>+Q3529/R3522</f>
        <v>0</v>
      </c>
      <c r="S3529" s="79"/>
      <c r="T3529" s="47"/>
    </row>
    <row r="3530" s="27" customFormat="1" ht="18" customHeight="1" spans="1:20">
      <c r="A3530" s="34"/>
      <c r="B3530" s="109" t="s">
        <v>418</v>
      </c>
      <c r="C3530" s="110"/>
      <c r="D3530" s="110"/>
      <c r="E3530" s="110"/>
      <c r="F3530" s="110"/>
      <c r="G3530" s="110"/>
      <c r="H3530" s="110"/>
      <c r="I3530" s="110"/>
      <c r="J3530" s="110"/>
      <c r="K3530" s="80"/>
      <c r="L3530" s="69" t="s">
        <v>430</v>
      </c>
      <c r="M3530" s="44" t="s">
        <v>591</v>
      </c>
      <c r="N3530" s="82">
        <v>4.185</v>
      </c>
      <c r="O3530" s="44">
        <f>+O3522</f>
        <v>8.65</v>
      </c>
      <c r="P3530" s="44">
        <v>1</v>
      </c>
      <c r="Q3530" s="44">
        <f t="shared" si="523"/>
        <v>36.20025</v>
      </c>
      <c r="R3530" s="84">
        <f>+Q3530/R3522</f>
        <v>4.185</v>
      </c>
      <c r="S3530" s="47">
        <f>0.356</f>
        <v>0.356</v>
      </c>
      <c r="T3530" s="47">
        <f>S3530*P3530*O3530</f>
        <v>3.0794</v>
      </c>
    </row>
    <row r="3531" s="27" customFormat="1" ht="18" customHeight="1" spans="1:20">
      <c r="A3531" s="34"/>
      <c r="B3531" s="48">
        <v>1</v>
      </c>
      <c r="C3531" s="48" t="s">
        <v>391</v>
      </c>
      <c r="D3531" s="48" t="s">
        <v>396</v>
      </c>
      <c r="E3531" s="48" t="s">
        <v>37</v>
      </c>
      <c r="F3531" s="50"/>
      <c r="G3531" s="48"/>
      <c r="H3531" s="51" t="s">
        <v>399</v>
      </c>
      <c r="I3531" s="51" t="s">
        <v>420</v>
      </c>
      <c r="J3531" s="95" t="s">
        <v>421</v>
      </c>
      <c r="K3531" s="92"/>
      <c r="L3531" s="69" t="s">
        <v>447</v>
      </c>
      <c r="M3531" s="44" t="s">
        <v>592</v>
      </c>
      <c r="N3531" s="82">
        <v>0.319</v>
      </c>
      <c r="O3531" s="44">
        <f>+O3530</f>
        <v>8.65</v>
      </c>
      <c r="P3531" s="44">
        <v>1</v>
      </c>
      <c r="Q3531" s="44">
        <f t="shared" si="523"/>
        <v>2.75935</v>
      </c>
      <c r="R3531" s="84">
        <f>+Q3531/R3522</f>
        <v>0.319</v>
      </c>
      <c r="S3531" s="47"/>
      <c r="T3531" s="47"/>
    </row>
    <row r="3532" s="27" customFormat="1" ht="18" customHeight="1" spans="1:20">
      <c r="A3532" s="34"/>
      <c r="B3532" s="48">
        <v>2</v>
      </c>
      <c r="C3532" s="48"/>
      <c r="D3532" s="111" t="s">
        <v>593</v>
      </c>
      <c r="E3532" s="49" t="s">
        <v>109</v>
      </c>
      <c r="F3532" s="112"/>
      <c r="G3532" s="111"/>
      <c r="H3532" s="113">
        <v>1</v>
      </c>
      <c r="I3532" s="113">
        <f>+辅材及安装费!$G$6</f>
        <v>135</v>
      </c>
      <c r="J3532" s="114">
        <f t="shared" ref="J3532:J3545" si="524">H3532*I3532</f>
        <v>135</v>
      </c>
      <c r="K3532" s="92"/>
      <c r="L3532" s="69" t="s">
        <v>447</v>
      </c>
      <c r="M3532" s="44"/>
      <c r="N3532" s="82"/>
      <c r="O3532" s="44"/>
      <c r="P3532" s="44"/>
      <c r="Q3532" s="44"/>
      <c r="R3532" s="84"/>
      <c r="S3532" s="47"/>
      <c r="T3532" s="47"/>
    </row>
    <row r="3533" s="27" customFormat="1" ht="18" customHeight="1" spans="1:20">
      <c r="A3533" s="34"/>
      <c r="B3533" s="48">
        <v>3</v>
      </c>
      <c r="C3533" s="48"/>
      <c r="D3533" s="115"/>
      <c r="E3533" s="63"/>
      <c r="F3533" s="116"/>
      <c r="G3533" s="115"/>
      <c r="H3533" s="117"/>
      <c r="I3533" s="117"/>
      <c r="J3533" s="118"/>
      <c r="K3533" s="92"/>
      <c r="L3533" s="69" t="s">
        <v>447</v>
      </c>
      <c r="M3533" s="44" t="s">
        <v>594</v>
      </c>
      <c r="N3533" s="82">
        <f>0.535+0.316</f>
        <v>0.851</v>
      </c>
      <c r="O3533" s="44">
        <f>O3525</f>
        <v>1.2</v>
      </c>
      <c r="P3533" s="44">
        <f>P3525</f>
        <v>6</v>
      </c>
      <c r="Q3533" s="44">
        <f>+P3533</f>
        <v>6</v>
      </c>
      <c r="R3533" s="84">
        <f>+Q3533/R3522</f>
        <v>0.69364161849711</v>
      </c>
      <c r="S3533" s="47">
        <f>0.245</f>
        <v>0.245</v>
      </c>
      <c r="T3533" s="47">
        <f>S3533*P3533*O3533</f>
        <v>1.764</v>
      </c>
    </row>
    <row r="3534" s="27" customFormat="1" ht="18" customHeight="1" spans="1:20">
      <c r="A3534" s="34"/>
      <c r="B3534" s="48">
        <v>4</v>
      </c>
      <c r="C3534" s="48"/>
      <c r="D3534" s="85" t="s">
        <v>426</v>
      </c>
      <c r="E3534" s="48" t="s">
        <v>392</v>
      </c>
      <c r="F3534" s="50"/>
      <c r="G3534" s="48"/>
      <c r="H3534" s="86"/>
      <c r="I3534" s="86"/>
      <c r="J3534" s="95">
        <f>SUM(J3532:J3532)</f>
        <v>135</v>
      </c>
      <c r="K3534" s="92"/>
      <c r="L3534" s="90"/>
      <c r="M3534" s="44"/>
      <c r="N3534" s="82"/>
      <c r="O3534" s="44"/>
      <c r="P3534" s="44"/>
      <c r="Q3534" s="44">
        <v>0</v>
      </c>
      <c r="R3534" s="84">
        <f>+Q3534/R3522</f>
        <v>0</v>
      </c>
      <c r="S3534" s="47"/>
      <c r="T3534" s="47"/>
    </row>
    <row r="3535" s="27" customFormat="1" ht="20" customHeight="1" spans="1:20">
      <c r="A3535" s="34"/>
      <c r="B3535" s="48">
        <v>1</v>
      </c>
      <c r="C3535" s="48" t="s">
        <v>394</v>
      </c>
      <c r="D3535" s="88" t="s">
        <v>586</v>
      </c>
      <c r="E3535" s="72" t="str">
        <f>+VLOOKUP(D3535,'材料表 '!C:F,2,0)</f>
        <v>kg</v>
      </c>
      <c r="F3535" s="77">
        <f>+SUMIF($L$3522:$L$3560,D3535,$R$3522:$R$3560)</f>
        <v>14.8890173410405</v>
      </c>
      <c r="G3535" s="89">
        <f>+VLOOKUP(D3535,'材料表 '!C:F,4,0)</f>
        <v>0.03</v>
      </c>
      <c r="H3535" s="74">
        <f t="shared" ref="H3535:H3545" si="525">F3535*(G3535+1)</f>
        <v>15.3356878612717</v>
      </c>
      <c r="I3535" s="74">
        <f>+VLOOKUP(D3535,'材料表 '!C:F,3,0)</f>
        <v>13.2743362831858</v>
      </c>
      <c r="J3535" s="95">
        <f t="shared" si="524"/>
        <v>203.571077804491</v>
      </c>
      <c r="K3535" s="92">
        <f ca="1">H3535*K3521</f>
        <v>133.451155768786</v>
      </c>
      <c r="L3535" s="90"/>
      <c r="M3535" s="44"/>
      <c r="N3535" s="82"/>
      <c r="O3535" s="44"/>
      <c r="P3535" s="44"/>
      <c r="Q3535" s="44">
        <v>0</v>
      </c>
      <c r="R3535" s="84">
        <f>+Q3535/R3522</f>
        <v>0</v>
      </c>
      <c r="S3535" s="47"/>
      <c r="T3535" s="47"/>
    </row>
    <row r="3536" s="27" customFormat="1" ht="18" customHeight="1" spans="1:20">
      <c r="A3536" s="34"/>
      <c r="B3536" s="48">
        <v>2</v>
      </c>
      <c r="C3536" s="48"/>
      <c r="D3536" s="88" t="s">
        <v>465</v>
      </c>
      <c r="E3536" s="72" t="str">
        <f>+VLOOKUP(D3536,'材料表 '!C:F,2,0)</f>
        <v>kg</v>
      </c>
      <c r="F3536" s="77">
        <f t="shared" ref="F3536:F3544" si="526">+SUMIF($L$3522:$L$3560,D3536,$R$3522:$R$3560)</f>
        <v>3.8465</v>
      </c>
      <c r="G3536" s="89">
        <f>+VLOOKUP(D3536,'材料表 '!C:F,4,0)</f>
        <v>0.03</v>
      </c>
      <c r="H3536" s="74">
        <f t="shared" si="525"/>
        <v>3.961895</v>
      </c>
      <c r="I3536" s="74">
        <f>+VLOOKUP(D3536,'材料表 '!C:F,3,0)</f>
        <v>6.01769911504425</v>
      </c>
      <c r="J3536" s="95">
        <f t="shared" si="524"/>
        <v>23.8414920353982</v>
      </c>
      <c r="K3536" s="92">
        <f ca="1">H3536*K3521</f>
        <v>34.47641029</v>
      </c>
      <c r="L3536" s="90" t="s">
        <v>596</v>
      </c>
      <c r="M3536" s="44"/>
      <c r="N3536" s="82"/>
      <c r="O3536" s="44">
        <f>+O3522</f>
        <v>8.65</v>
      </c>
      <c r="P3536" s="44">
        <f>+P3522</f>
        <v>1.2</v>
      </c>
      <c r="Q3536" s="44">
        <f>+P3536*O3536</f>
        <v>10.38</v>
      </c>
      <c r="R3536" s="84">
        <f>+Q3536/R3522</f>
        <v>1.2</v>
      </c>
      <c r="S3536" s="47"/>
      <c r="T3536" s="47"/>
    </row>
    <row r="3537" s="27" customFormat="1" ht="18" customHeight="1" spans="1:20">
      <c r="A3537" s="34"/>
      <c r="B3537" s="48">
        <v>3</v>
      </c>
      <c r="C3537" s="48"/>
      <c r="D3537" s="88" t="s">
        <v>430</v>
      </c>
      <c r="E3537" s="72" t="str">
        <f>+VLOOKUP(D3537,'材料表 '!C:F,2,0)</f>
        <v>kg</v>
      </c>
      <c r="F3537" s="77">
        <f t="shared" si="526"/>
        <v>4.185</v>
      </c>
      <c r="G3537" s="89">
        <f>+VLOOKUP(D3537,'材料表 '!C:F,4,0)</f>
        <v>0.03</v>
      </c>
      <c r="H3537" s="74">
        <f t="shared" si="525"/>
        <v>4.31055</v>
      </c>
      <c r="I3537" s="74">
        <f>+VLOOKUP(D3537,'材料表 '!C:F,3,0)</f>
        <v>24.6106194690265</v>
      </c>
      <c r="J3537" s="95">
        <f t="shared" si="524"/>
        <v>106.085305752212</v>
      </c>
      <c r="K3537" s="92">
        <f ca="1">H3537*K3521</f>
        <v>37.5104061</v>
      </c>
      <c r="L3537" s="90"/>
      <c r="M3537" s="44"/>
      <c r="N3537" s="82"/>
      <c r="O3537" s="44"/>
      <c r="P3537" s="44"/>
      <c r="Q3537" s="44">
        <f>+P3537*O3537</f>
        <v>0</v>
      </c>
      <c r="R3537" s="84">
        <f>+Q3537/R3522</f>
        <v>0</v>
      </c>
      <c r="S3537" s="47"/>
      <c r="T3537" s="47"/>
    </row>
    <row r="3538" s="27" customFormat="1" ht="18" customHeight="1" spans="1:20">
      <c r="A3538" s="34"/>
      <c r="B3538" s="48">
        <v>4</v>
      </c>
      <c r="C3538" s="48"/>
      <c r="D3538" s="88" t="s">
        <v>447</v>
      </c>
      <c r="E3538" s="72" t="str">
        <f>+VLOOKUP(D3538,'材料表 '!C:F,2,0)</f>
        <v>kg</v>
      </c>
      <c r="F3538" s="77">
        <f t="shared" si="526"/>
        <v>1.01264161849711</v>
      </c>
      <c r="G3538" s="89">
        <f>+VLOOKUP(D3538,'材料表 '!C:F,4,0)</f>
        <v>0.03</v>
      </c>
      <c r="H3538" s="74">
        <f t="shared" si="525"/>
        <v>1.04302086705202</v>
      </c>
      <c r="I3538" s="74">
        <f>+VLOOKUP(D3538,'材料表 '!C:F,3,0)</f>
        <v>24.4336283185841</v>
      </c>
      <c r="J3538" s="95">
        <f t="shared" si="524"/>
        <v>25.4847841940765</v>
      </c>
      <c r="K3538" s="92">
        <f ca="1">H3538*K3521</f>
        <v>9.07636758508668</v>
      </c>
      <c r="L3538" s="90" t="s">
        <v>474</v>
      </c>
      <c r="M3538" s="44"/>
      <c r="N3538" s="82"/>
      <c r="O3538" s="44"/>
      <c r="P3538" s="44"/>
      <c r="Q3538" s="44">
        <f>+O3528*P3528*4</f>
        <v>24</v>
      </c>
      <c r="R3538" s="84">
        <f>+Q3538/R3522</f>
        <v>2.77456647398844</v>
      </c>
      <c r="S3538" s="47"/>
      <c r="T3538" s="47"/>
    </row>
    <row r="3539" s="27" customFormat="1" ht="18" customHeight="1" spans="1:20">
      <c r="A3539" s="34"/>
      <c r="B3539" s="48">
        <v>5</v>
      </c>
      <c r="C3539" s="48"/>
      <c r="D3539" s="88" t="s">
        <v>434</v>
      </c>
      <c r="E3539" s="72" t="str">
        <f>+VLOOKUP(D3539,'材料表 '!C:F,2,0)</f>
        <v>m2</v>
      </c>
      <c r="F3539" s="77">
        <f t="shared" si="526"/>
        <v>0</v>
      </c>
      <c r="G3539" s="89">
        <f>+VLOOKUP(D3539,'材料表 '!C:F,4,0)</f>
        <v>0</v>
      </c>
      <c r="H3539" s="74">
        <f t="shared" si="525"/>
        <v>0</v>
      </c>
      <c r="I3539" s="74">
        <f>+VLOOKUP(D3539,'材料表 '!C:F,3,0)</f>
        <v>49.5575221238938</v>
      </c>
      <c r="J3539" s="95">
        <f t="shared" si="524"/>
        <v>0</v>
      </c>
      <c r="K3539" s="92">
        <f ca="1">H3539*K3521</f>
        <v>0</v>
      </c>
      <c r="L3539" s="92" t="s">
        <v>476</v>
      </c>
      <c r="M3539" s="44"/>
      <c r="N3539" s="82"/>
      <c r="O3539" s="44"/>
      <c r="P3539" s="44">
        <f>8*6*(N3522*2+O3522*6*2)/500+18*22*(O3525*P3525)/500</f>
        <v>15.6672</v>
      </c>
      <c r="Q3539" s="44">
        <f>+P3539/Q3522</f>
        <v>15.6672</v>
      </c>
      <c r="R3539" s="84">
        <f>+Q3539/R3522</f>
        <v>1.81123699421965</v>
      </c>
      <c r="S3539" s="47"/>
      <c r="T3539" s="47"/>
    </row>
    <row r="3540" s="27" customFormat="1" ht="18" customHeight="1" spans="1:20">
      <c r="A3540" s="34"/>
      <c r="B3540" s="48">
        <v>6</v>
      </c>
      <c r="C3540" s="48"/>
      <c r="D3540" s="88" t="s">
        <v>476</v>
      </c>
      <c r="E3540" s="72" t="str">
        <f>+VLOOKUP(D3540,'材料表 '!C:F,2,0)</f>
        <v>支</v>
      </c>
      <c r="F3540" s="77">
        <f t="shared" si="526"/>
        <v>1.81123699421965</v>
      </c>
      <c r="G3540" s="89">
        <f>+VLOOKUP(D3540,'材料表 '!C:F,4,0)</f>
        <v>0.15</v>
      </c>
      <c r="H3540" s="74">
        <f t="shared" si="525"/>
        <v>2.0829225433526</v>
      </c>
      <c r="I3540" s="74">
        <f>+VLOOKUP(D3540,'材料表 '!C:F,3,0)</f>
        <v>11.5044247787611</v>
      </c>
      <c r="J3540" s="95">
        <f t="shared" si="524"/>
        <v>23.9628257199857</v>
      </c>
      <c r="K3540" s="92">
        <f ca="1">H3540*K3521</f>
        <v>18.1255919722543</v>
      </c>
      <c r="L3540" s="92"/>
      <c r="M3540" s="44"/>
      <c r="N3540" s="82"/>
      <c r="O3540" s="44"/>
      <c r="P3540" s="44"/>
      <c r="Q3540" s="44"/>
      <c r="R3540" s="84"/>
      <c r="S3540" s="47"/>
      <c r="T3540" s="47"/>
    </row>
    <row r="3541" s="27" customFormat="1" ht="18" customHeight="1" spans="1:20">
      <c r="A3541" s="34"/>
      <c r="B3541" s="48">
        <v>7</v>
      </c>
      <c r="C3541" s="48"/>
      <c r="D3541" s="88" t="s">
        <v>596</v>
      </c>
      <c r="E3541" s="72" t="str">
        <f>+VLOOKUP(D3541,'材料表 '!C:F,2,0)</f>
        <v>m2</v>
      </c>
      <c r="F3541" s="77">
        <f t="shared" si="526"/>
        <v>1.2</v>
      </c>
      <c r="G3541" s="89">
        <f>+VLOOKUP(D3541,'材料表 '!C:F,4,0)</f>
        <v>0.01</v>
      </c>
      <c r="H3541" s="74">
        <f t="shared" si="525"/>
        <v>1.212</v>
      </c>
      <c r="I3541" s="74">
        <f>+VLOOKUP(D3541,'材料表 '!C:F,3,0)</f>
        <v>176.991150442478</v>
      </c>
      <c r="J3541" s="95">
        <f t="shared" si="524"/>
        <v>214.513274336283</v>
      </c>
      <c r="K3541" s="92">
        <f ca="1">H3541*K3521</f>
        <v>10.546824</v>
      </c>
      <c r="L3541" s="92"/>
      <c r="M3541" s="44"/>
      <c r="N3541" s="82"/>
      <c r="O3541" s="44"/>
      <c r="P3541" s="44"/>
      <c r="Q3541" s="44"/>
      <c r="R3541" s="84"/>
      <c r="S3541" s="47"/>
      <c r="T3541" s="47"/>
    </row>
    <row r="3542" s="27" customFormat="1" ht="18" customHeight="1" spans="1:20">
      <c r="A3542" s="34"/>
      <c r="B3542" s="48">
        <v>8</v>
      </c>
      <c r="C3542" s="48"/>
      <c r="D3542" s="88" t="s">
        <v>474</v>
      </c>
      <c r="E3542" s="72" t="str">
        <f>+VLOOKUP(D3542,'材料表 '!C:F,2,0)</f>
        <v>套</v>
      </c>
      <c r="F3542" s="77">
        <f t="shared" si="526"/>
        <v>2.77456647398844</v>
      </c>
      <c r="G3542" s="89">
        <f>+VLOOKUP(D3542,'材料表 '!C:F,4,0)</f>
        <v>0</v>
      </c>
      <c r="H3542" s="74">
        <f t="shared" si="525"/>
        <v>2.77456647398844</v>
      </c>
      <c r="I3542" s="74">
        <f>+VLOOKUP(D3542,'材料表 '!C:F,3,0)</f>
        <v>2.21238938053097</v>
      </c>
      <c r="J3542" s="95">
        <f t="shared" si="524"/>
        <v>6.13842140262928</v>
      </c>
      <c r="K3542" s="92">
        <f ca="1">H3542*K3521</f>
        <v>24.1442774566474</v>
      </c>
      <c r="L3542" s="92"/>
      <c r="M3542" s="44"/>
      <c r="N3542" s="82"/>
      <c r="O3542" s="44"/>
      <c r="P3542" s="44"/>
      <c r="Q3542" s="44"/>
      <c r="R3542" s="84"/>
      <c r="S3542" s="47"/>
      <c r="T3542" s="47"/>
    </row>
    <row r="3543" s="27" customFormat="1" ht="18" customHeight="1" spans="1:20">
      <c r="A3543" s="34"/>
      <c r="B3543" s="48">
        <v>9</v>
      </c>
      <c r="C3543" s="48"/>
      <c r="D3543" s="88" t="s">
        <v>435</v>
      </c>
      <c r="E3543" s="72" t="str">
        <f>+VLOOKUP(D3543,'材料表 '!C:F,2,0)</f>
        <v>kg</v>
      </c>
      <c r="F3543" s="77">
        <f t="shared" si="526"/>
        <v>0</v>
      </c>
      <c r="G3543" s="89">
        <f>+VLOOKUP(D3543,'材料表 '!C:F,4,0)</f>
        <v>0.03</v>
      </c>
      <c r="H3543" s="74">
        <f t="shared" si="525"/>
        <v>0</v>
      </c>
      <c r="I3543" s="74">
        <f>+VLOOKUP(D3543,'材料表 '!C:F,3,0)</f>
        <v>19.4690265486726</v>
      </c>
      <c r="J3543" s="95">
        <f t="shared" si="524"/>
        <v>0</v>
      </c>
      <c r="K3543" s="92">
        <f ca="1">H3543*K3521</f>
        <v>0</v>
      </c>
      <c r="L3543" s="90"/>
      <c r="M3543" s="44"/>
      <c r="N3543" s="82"/>
      <c r="O3543" s="34"/>
      <c r="P3543" s="44"/>
      <c r="Q3543" s="44"/>
      <c r="R3543" s="119"/>
      <c r="S3543" s="47"/>
      <c r="T3543" s="47"/>
    </row>
    <row r="3544" s="27" customFormat="1" ht="18" customHeight="1" spans="1:20">
      <c r="A3544" s="34"/>
      <c r="B3544" s="48">
        <v>10</v>
      </c>
      <c r="C3544" s="48"/>
      <c r="D3544" s="88" t="s">
        <v>463</v>
      </c>
      <c r="E3544" s="72" t="str">
        <f>+VLOOKUP(D3544,'材料表 '!C:F,2,0)</f>
        <v>kg</v>
      </c>
      <c r="F3544" s="77">
        <f t="shared" si="526"/>
        <v>1.96023121387283</v>
      </c>
      <c r="G3544" s="89">
        <f>+VLOOKUP(D3544,'材料表 '!C:F,4,0)</f>
        <v>0.03</v>
      </c>
      <c r="H3544" s="74">
        <f t="shared" si="525"/>
        <v>2.01903815028901</v>
      </c>
      <c r="I3544" s="74">
        <f>+VLOOKUP(D3544,'材料表 '!C:F,3,0)</f>
        <v>6.01769911504425</v>
      </c>
      <c r="J3544" s="95">
        <f t="shared" si="524"/>
        <v>12.1499640902348</v>
      </c>
      <c r="K3544" s="92">
        <f ca="1">H3544*K3521</f>
        <v>17.569669983815</v>
      </c>
      <c r="L3544" s="92"/>
      <c r="M3544" s="120"/>
      <c r="N3544" s="82"/>
      <c r="O3544" s="44"/>
      <c r="P3544" s="44"/>
      <c r="Q3544" s="44"/>
      <c r="R3544" s="84"/>
      <c r="S3544" s="47"/>
      <c r="T3544" s="47"/>
    </row>
    <row r="3545" s="27" customFormat="1" ht="18" customHeight="1" spans="1:20">
      <c r="A3545" s="34"/>
      <c r="B3545" s="48">
        <v>11</v>
      </c>
      <c r="C3545" s="48"/>
      <c r="D3545" s="88" t="s">
        <v>500</v>
      </c>
      <c r="E3545" s="72" t="str">
        <f>+VLOOKUP(D3545,'材料表 '!C:F,2,0)</f>
        <v>kg</v>
      </c>
      <c r="F3545" s="77">
        <f>F3537+F3538</f>
        <v>5.19764161849711</v>
      </c>
      <c r="G3545" s="89">
        <f>+VLOOKUP(D3545,'材料表 '!C:F,4,0)</f>
        <v>0.03</v>
      </c>
      <c r="H3545" s="74">
        <f t="shared" si="525"/>
        <v>5.35357086705202</v>
      </c>
      <c r="I3545" s="74">
        <f>+VLOOKUP(D3545,'材料表 '!C:F,3,0)</f>
        <v>14.1592920353982</v>
      </c>
      <c r="J3545" s="95">
        <f t="shared" si="524"/>
        <v>75.8027733387895</v>
      </c>
      <c r="K3545" s="92">
        <f ca="1">H3545*K3521</f>
        <v>46.5867736850867</v>
      </c>
      <c r="L3545" s="92"/>
      <c r="M3545" s="44"/>
      <c r="N3545" s="82"/>
      <c r="O3545" s="44"/>
      <c r="P3545" s="44"/>
      <c r="Q3545" s="44"/>
      <c r="R3545" s="84"/>
      <c r="S3545" s="47"/>
      <c r="T3545" s="47"/>
    </row>
    <row r="3546" s="27" customFormat="1" ht="18" customHeight="1" spans="1:20">
      <c r="A3546" s="34"/>
      <c r="B3546" s="48">
        <v>12</v>
      </c>
      <c r="C3546" s="48"/>
      <c r="D3546" s="88"/>
      <c r="E3546" s="72"/>
      <c r="F3546" s="77"/>
      <c r="G3546" s="89"/>
      <c r="H3546" s="74"/>
      <c r="I3546" s="74"/>
      <c r="J3546" s="95"/>
      <c r="K3546" s="92"/>
      <c r="L3546" s="92"/>
      <c r="M3546" s="44"/>
      <c r="N3546" s="44"/>
      <c r="O3546" s="44"/>
      <c r="P3546" s="44"/>
      <c r="Q3546" s="44"/>
      <c r="R3546" s="84"/>
      <c r="S3546" s="47"/>
      <c r="T3546" s="47"/>
    </row>
    <row r="3547" s="27" customFormat="1" ht="18" customHeight="1" spans="1:20">
      <c r="A3547" s="34"/>
      <c r="B3547" s="48">
        <v>13</v>
      </c>
      <c r="C3547" s="48"/>
      <c r="D3547" s="88"/>
      <c r="E3547" s="72"/>
      <c r="F3547" s="77"/>
      <c r="G3547" s="89"/>
      <c r="H3547" s="74"/>
      <c r="I3547" s="74"/>
      <c r="J3547" s="95"/>
      <c r="K3547" s="92"/>
      <c r="L3547" s="92"/>
      <c r="M3547" s="44"/>
      <c r="N3547" s="44"/>
      <c r="O3547" s="44"/>
      <c r="P3547" s="44"/>
      <c r="Q3547" s="44"/>
      <c r="R3547" s="84"/>
      <c r="S3547" s="47"/>
      <c r="T3547" s="47"/>
    </row>
    <row r="3548" s="27" customFormat="1" ht="24" customHeight="1" spans="1:20">
      <c r="A3548" s="34"/>
      <c r="B3548" s="48">
        <v>14</v>
      </c>
      <c r="C3548" s="48"/>
      <c r="D3548" s="88"/>
      <c r="E3548" s="72"/>
      <c r="F3548" s="77"/>
      <c r="G3548" s="89"/>
      <c r="H3548" s="74"/>
      <c r="I3548" s="74"/>
      <c r="J3548" s="95"/>
      <c r="K3548" s="92"/>
      <c r="L3548" s="92"/>
      <c r="M3548" s="44"/>
      <c r="N3548" s="44"/>
      <c r="O3548" s="44"/>
      <c r="P3548" s="44"/>
      <c r="Q3548" s="44"/>
      <c r="R3548" s="84"/>
      <c r="S3548" s="47"/>
      <c r="T3548" s="47"/>
    </row>
    <row r="3549" s="27" customFormat="1" ht="18" customHeight="1" spans="1:20">
      <c r="A3549" s="34"/>
      <c r="B3549" s="48">
        <v>15</v>
      </c>
      <c r="C3549" s="48"/>
      <c r="D3549" s="88"/>
      <c r="E3549" s="72"/>
      <c r="F3549" s="77"/>
      <c r="G3549" s="89"/>
      <c r="H3549" s="74"/>
      <c r="I3549" s="74"/>
      <c r="J3549" s="95"/>
      <c r="K3549" s="92"/>
      <c r="L3549" s="92"/>
      <c r="M3549" s="44"/>
      <c r="N3549" s="44"/>
      <c r="O3549" s="44"/>
      <c r="P3549" s="44"/>
      <c r="Q3549" s="44"/>
      <c r="R3549" s="84"/>
      <c r="S3549" s="47"/>
      <c r="T3549" s="47"/>
    </row>
    <row r="3550" s="27" customFormat="1" ht="18" customHeight="1" spans="1:20">
      <c r="A3550" s="34"/>
      <c r="B3550" s="48">
        <v>16</v>
      </c>
      <c r="C3550" s="48"/>
      <c r="D3550" s="88"/>
      <c r="E3550" s="72"/>
      <c r="F3550" s="77"/>
      <c r="G3550" s="89"/>
      <c r="H3550" s="74"/>
      <c r="I3550" s="74"/>
      <c r="J3550" s="95"/>
      <c r="K3550" s="92"/>
      <c r="L3550" s="92"/>
      <c r="M3550" s="44"/>
      <c r="N3550" s="44"/>
      <c r="O3550" s="44"/>
      <c r="P3550" s="44"/>
      <c r="Q3550" s="44"/>
      <c r="R3550" s="84"/>
      <c r="S3550" s="47"/>
      <c r="T3550" s="47"/>
    </row>
    <row r="3551" s="27" customFormat="1" ht="18" customHeight="1" spans="1:20">
      <c r="A3551" s="34"/>
      <c r="B3551" s="48">
        <v>17</v>
      </c>
      <c r="C3551" s="48"/>
      <c r="D3551" s="121"/>
      <c r="E3551" s="72"/>
      <c r="F3551" s="77"/>
      <c r="G3551" s="89"/>
      <c r="H3551" s="74"/>
      <c r="I3551" s="74"/>
      <c r="J3551" s="95"/>
      <c r="K3551" s="92"/>
      <c r="L3551" s="92"/>
      <c r="M3551" s="44"/>
      <c r="N3551" s="44"/>
      <c r="O3551" s="44"/>
      <c r="P3551" s="44"/>
      <c r="Q3551" s="101"/>
      <c r="R3551" s="84"/>
      <c r="S3551" s="47"/>
      <c r="T3551" s="47"/>
    </row>
    <row r="3552" s="27" customFormat="1" ht="18" customHeight="1" spans="1:20">
      <c r="A3552" s="34"/>
      <c r="B3552" s="48">
        <v>18</v>
      </c>
      <c r="C3552" s="48"/>
      <c r="D3552" s="88"/>
      <c r="E3552" s="72"/>
      <c r="F3552" s="77"/>
      <c r="G3552" s="89"/>
      <c r="H3552" s="74"/>
      <c r="I3552" s="74"/>
      <c r="J3552" s="95"/>
      <c r="K3552" s="92"/>
      <c r="L3552" s="92"/>
      <c r="M3552" s="44"/>
      <c r="N3552" s="44"/>
      <c r="O3552" s="44"/>
      <c r="P3552" s="44"/>
      <c r="Q3552" s="44"/>
      <c r="R3552" s="84"/>
      <c r="S3552" s="47"/>
      <c r="T3552" s="47"/>
    </row>
    <row r="3553" s="27" customFormat="1" ht="18" customHeight="1" spans="1:20">
      <c r="A3553" s="34"/>
      <c r="B3553" s="48">
        <v>19</v>
      </c>
      <c r="C3553" s="48"/>
      <c r="D3553" s="27"/>
      <c r="E3553" s="72"/>
      <c r="F3553" s="77"/>
      <c r="G3553" s="89"/>
      <c r="H3553" s="74"/>
      <c r="I3553" s="74"/>
      <c r="J3553" s="95"/>
      <c r="K3553" s="92"/>
      <c r="L3553" s="92"/>
      <c r="M3553" s="44"/>
      <c r="N3553" s="44"/>
      <c r="O3553" s="44"/>
      <c r="P3553" s="44"/>
      <c r="Q3553" s="44"/>
      <c r="R3553" s="84"/>
      <c r="S3553" s="47"/>
      <c r="T3553" s="47"/>
    </row>
    <row r="3554" s="27" customFormat="1" ht="18" customHeight="1" spans="1:20">
      <c r="A3554" s="34"/>
      <c r="B3554" s="48">
        <v>20</v>
      </c>
      <c r="C3554" s="48"/>
      <c r="D3554" s="88"/>
      <c r="E3554" s="72"/>
      <c r="F3554" s="77"/>
      <c r="G3554" s="89"/>
      <c r="H3554" s="74"/>
      <c r="I3554" s="74"/>
      <c r="J3554" s="95"/>
      <c r="K3554" s="92"/>
      <c r="L3554" s="92"/>
      <c r="M3554" s="44"/>
      <c r="N3554" s="44"/>
      <c r="O3554" s="44"/>
      <c r="P3554" s="44"/>
      <c r="Q3554" s="44"/>
      <c r="R3554" s="84"/>
      <c r="S3554" s="47"/>
      <c r="T3554" s="47"/>
    </row>
    <row r="3555" s="27" customFormat="1" ht="18" customHeight="1" spans="1:20">
      <c r="A3555" s="34"/>
      <c r="B3555" s="48">
        <v>21</v>
      </c>
      <c r="C3555" s="48"/>
      <c r="D3555" s="88"/>
      <c r="E3555" s="72"/>
      <c r="F3555" s="77"/>
      <c r="G3555" s="89"/>
      <c r="H3555" s="74"/>
      <c r="I3555" s="74"/>
      <c r="J3555" s="95"/>
      <c r="K3555" s="92"/>
      <c r="L3555" s="92"/>
      <c r="M3555" s="44"/>
      <c r="N3555" s="44"/>
      <c r="O3555" s="44"/>
      <c r="P3555" s="44"/>
      <c r="Q3555" s="44"/>
      <c r="R3555" s="84"/>
      <c r="S3555" s="47"/>
      <c r="T3555" s="47"/>
    </row>
    <row r="3556" s="27" customFormat="1" ht="18" customHeight="1" spans="1:20">
      <c r="A3556" s="34"/>
      <c r="B3556" s="48">
        <v>22</v>
      </c>
      <c r="C3556" s="48"/>
      <c r="D3556" s="27"/>
      <c r="E3556" s="72"/>
      <c r="F3556" s="77"/>
      <c r="G3556" s="72"/>
      <c r="H3556" s="74"/>
      <c r="I3556" s="74"/>
      <c r="J3556" s="95"/>
      <c r="K3556" s="92"/>
      <c r="L3556" s="92"/>
      <c r="M3556" s="44"/>
      <c r="N3556" s="44"/>
      <c r="O3556" s="44"/>
      <c r="P3556" s="44"/>
      <c r="Q3556" s="44"/>
      <c r="R3556" s="62"/>
      <c r="S3556" s="47"/>
      <c r="T3556" s="47"/>
    </row>
    <row r="3557" s="27" customFormat="1" ht="18" customHeight="1" spans="1:20">
      <c r="A3557" s="34"/>
      <c r="B3557" s="48">
        <v>23</v>
      </c>
      <c r="C3557" s="48"/>
      <c r="D3557" s="88"/>
      <c r="E3557" s="72"/>
      <c r="F3557" s="77"/>
      <c r="G3557" s="89"/>
      <c r="H3557" s="74"/>
      <c r="I3557" s="74"/>
      <c r="J3557" s="95"/>
      <c r="K3557" s="92"/>
      <c r="L3557" s="92"/>
      <c r="M3557" s="44"/>
      <c r="N3557" s="44"/>
      <c r="O3557" s="44"/>
      <c r="P3557" s="44"/>
      <c r="Q3557" s="44"/>
      <c r="R3557" s="62"/>
      <c r="S3557" s="47"/>
      <c r="T3557" s="47"/>
    </row>
    <row r="3558" s="27" customFormat="1" ht="18" customHeight="1" spans="1:20">
      <c r="A3558" s="34"/>
      <c r="B3558" s="48">
        <v>24</v>
      </c>
      <c r="C3558" s="48"/>
      <c r="D3558" s="88" t="s">
        <v>478</v>
      </c>
      <c r="E3558" s="72" t="s">
        <v>43</v>
      </c>
      <c r="F3558" s="77"/>
      <c r="G3558" s="72">
        <v>1</v>
      </c>
      <c r="H3558" s="74">
        <v>1</v>
      </c>
      <c r="I3558" s="74">
        <f>+辅材及安装费!$E$6</f>
        <v>10</v>
      </c>
      <c r="J3558" s="95">
        <f>H3558*I3558</f>
        <v>10</v>
      </c>
      <c r="K3558" s="92"/>
      <c r="L3558" s="92"/>
      <c r="M3558" s="44"/>
      <c r="N3558" s="44"/>
      <c r="O3558" s="44"/>
      <c r="P3558" s="44"/>
      <c r="Q3558" s="44"/>
      <c r="R3558" s="62"/>
      <c r="S3558" s="47"/>
      <c r="T3558" s="47"/>
    </row>
    <row r="3559" s="27" customFormat="1" ht="18" customHeight="1" spans="1:20">
      <c r="A3559" s="34"/>
      <c r="B3559" s="48">
        <v>25</v>
      </c>
      <c r="C3559" s="48"/>
      <c r="D3559" s="93" t="s">
        <v>442</v>
      </c>
      <c r="E3559" s="72"/>
      <c r="F3559" s="77"/>
      <c r="G3559" s="72"/>
      <c r="H3559" s="74"/>
      <c r="I3559" s="74"/>
      <c r="J3559" s="95">
        <f>SUM(J3535:J3558)</f>
        <v>701.549918674101</v>
      </c>
      <c r="K3559" s="92"/>
      <c r="L3559" s="94"/>
      <c r="M3559" s="27"/>
      <c r="N3559" s="83"/>
      <c r="O3559" s="83"/>
      <c r="P3559" s="83"/>
      <c r="Q3559" s="83"/>
      <c r="R3559" s="87"/>
      <c r="S3559" s="47"/>
      <c r="T3559" s="47"/>
    </row>
    <row r="3560" s="27" customFormat="1" ht="18" customHeight="1" spans="1:20">
      <c r="A3560" s="34"/>
      <c r="B3560" s="48">
        <v>1</v>
      </c>
      <c r="C3560" s="48" t="s">
        <v>443</v>
      </c>
      <c r="D3560" s="48" t="s">
        <v>444</v>
      </c>
      <c r="E3560" s="72" t="s">
        <v>43</v>
      </c>
      <c r="F3560" s="50"/>
      <c r="G3560" s="48"/>
      <c r="H3560" s="51">
        <v>1</v>
      </c>
      <c r="I3560" s="74">
        <f>+辅材及安装费!$F$6</f>
        <v>5</v>
      </c>
      <c r="J3560" s="95">
        <f>H3560*I3560</f>
        <v>5</v>
      </c>
      <c r="K3560" s="118"/>
      <c r="L3560" s="96"/>
      <c r="M3560" s="97"/>
      <c r="N3560" s="98"/>
      <c r="O3560" s="98"/>
      <c r="P3560" s="98"/>
      <c r="Q3560" s="98"/>
      <c r="R3560" s="99"/>
      <c r="S3560" s="47"/>
      <c r="T3560" s="47"/>
    </row>
    <row r="3561" s="26" customFormat="1" ht="30" customHeight="1" spans="1:20">
      <c r="A3561" s="28"/>
      <c r="B3561" s="29" t="s">
        <v>386</v>
      </c>
      <c r="C3561" s="29"/>
      <c r="D3561" s="29"/>
      <c r="E3561" s="29"/>
      <c r="F3561" s="29"/>
      <c r="G3561" s="29"/>
      <c r="H3561" s="29"/>
      <c r="I3561" s="29"/>
      <c r="J3561" s="29"/>
      <c r="K3561" s="29"/>
      <c r="L3561" s="30"/>
      <c r="M3561" s="31"/>
      <c r="N3561" s="31"/>
      <c r="O3561" s="31"/>
      <c r="P3561" s="31"/>
      <c r="Q3561" s="31"/>
      <c r="R3561" s="32"/>
      <c r="S3561" s="33"/>
      <c r="T3561" s="33"/>
    </row>
    <row r="3562" s="27" customFormat="1" ht="33.75" customHeight="1" spans="1:20">
      <c r="A3562" s="34">
        <v>1</v>
      </c>
      <c r="B3562" s="35" t="s">
        <v>1</v>
      </c>
      <c r="C3562" s="35" t="s">
        <v>387</v>
      </c>
      <c r="D3562" s="36" t="str">
        <f>+A3570</f>
        <v>不锈钢天沟</v>
      </c>
      <c r="E3562" s="37"/>
      <c r="F3562" s="38"/>
      <c r="G3562" s="39"/>
      <c r="H3562" s="35" t="s">
        <v>388</v>
      </c>
      <c r="I3562" s="40" t="s">
        <v>389</v>
      </c>
      <c r="J3562" s="41" t="s">
        <v>37</v>
      </c>
      <c r="K3562" s="42">
        <f ca="1">VLOOKUP(A3562,'商业工程量清单 '!$A$94:$D$95,4,FALSE)</f>
        <v>491.004</v>
      </c>
      <c r="L3562" s="43"/>
      <c r="M3562" s="44"/>
      <c r="N3562" s="44"/>
      <c r="O3562" s="44"/>
      <c r="P3562" s="45"/>
      <c r="Q3562" s="44"/>
      <c r="R3562" s="46"/>
      <c r="S3562" s="47"/>
      <c r="T3562" s="47"/>
    </row>
    <row r="3563" s="27" customFormat="1" ht="25" customHeight="1" spans="1:20">
      <c r="A3563" s="34"/>
      <c r="B3563" s="48">
        <v>1</v>
      </c>
      <c r="C3563" s="49" t="s">
        <v>390</v>
      </c>
      <c r="D3563" s="48" t="s">
        <v>391</v>
      </c>
      <c r="E3563" s="48"/>
      <c r="F3563" s="50"/>
      <c r="G3563" s="48"/>
      <c r="H3563" s="51"/>
      <c r="I3563" s="52">
        <f>J3575</f>
        <v>130</v>
      </c>
      <c r="J3563" s="53" t="s">
        <v>392</v>
      </c>
      <c r="K3563" s="54"/>
      <c r="L3563" s="55"/>
      <c r="M3563" s="56"/>
      <c r="N3563" s="57"/>
      <c r="O3563" s="57"/>
      <c r="P3563" s="57"/>
      <c r="Q3563" s="57">
        <v>1</v>
      </c>
      <c r="R3563" s="58">
        <f>O3563</f>
        <v>0</v>
      </c>
      <c r="S3563" s="47"/>
      <c r="T3563" s="47"/>
    </row>
    <row r="3564" s="27" customFormat="1" ht="18" customHeight="1" spans="1:20">
      <c r="A3564" s="34"/>
      <c r="B3564" s="48">
        <v>2</v>
      </c>
      <c r="C3564" s="59"/>
      <c r="D3564" s="48" t="s">
        <v>394</v>
      </c>
      <c r="E3564" s="48"/>
      <c r="F3564" s="50"/>
      <c r="G3564" s="48"/>
      <c r="H3564" s="51"/>
      <c r="I3564" s="52">
        <f>J3600</f>
        <v>305.149557522124</v>
      </c>
      <c r="J3564" s="53" t="s">
        <v>392</v>
      </c>
      <c r="K3564" s="60"/>
      <c r="L3564" s="61"/>
      <c r="M3564" s="44"/>
      <c r="N3564" s="44"/>
      <c r="O3564" s="44"/>
      <c r="P3564" s="44"/>
      <c r="Q3564" s="44"/>
      <c r="R3564" s="62"/>
      <c r="S3564" s="47"/>
      <c r="T3564" s="47"/>
    </row>
    <row r="3565" s="27" customFormat="1" ht="18" customHeight="1" spans="1:20">
      <c r="A3565" s="34"/>
      <c r="B3565" s="48">
        <v>3</v>
      </c>
      <c r="C3565" s="63"/>
      <c r="D3565" s="48" t="s">
        <v>395</v>
      </c>
      <c r="E3565" s="48"/>
      <c r="F3565" s="50"/>
      <c r="G3565" s="48"/>
      <c r="H3565" s="51"/>
      <c r="I3565" s="52">
        <f>J3601</f>
        <v>1</v>
      </c>
      <c r="J3565" s="53" t="s">
        <v>392</v>
      </c>
      <c r="K3565" s="60"/>
      <c r="L3565" s="60"/>
      <c r="M3565" s="64" t="s">
        <v>396</v>
      </c>
      <c r="N3565" s="65" t="s">
        <v>397</v>
      </c>
      <c r="O3565" s="65" t="s">
        <v>398</v>
      </c>
      <c r="P3565" s="65" t="s">
        <v>399</v>
      </c>
      <c r="Q3565" s="65" t="s">
        <v>400</v>
      </c>
      <c r="R3565" s="66" t="s">
        <v>401</v>
      </c>
      <c r="S3565" s="47"/>
      <c r="T3565" s="47"/>
    </row>
    <row r="3566" s="27" customFormat="1" ht="18" customHeight="1" spans="1:20">
      <c r="A3566" s="34"/>
      <c r="B3566" s="48">
        <v>4</v>
      </c>
      <c r="C3566" s="48" t="s">
        <v>402</v>
      </c>
      <c r="D3566" s="67" t="s">
        <v>403</v>
      </c>
      <c r="E3566" s="67"/>
      <c r="F3566" s="50"/>
      <c r="G3566" s="67"/>
      <c r="H3566" s="68"/>
      <c r="I3566" s="52">
        <f>SUM(I3563:I3565)</f>
        <v>436.149557522124</v>
      </c>
      <c r="J3566" s="53" t="s">
        <v>392</v>
      </c>
      <c r="K3566" s="60"/>
      <c r="L3566" s="69"/>
      <c r="M3566" s="34"/>
      <c r="N3566" s="34"/>
      <c r="O3566" s="34"/>
      <c r="P3566" s="34"/>
      <c r="Q3566" s="44"/>
      <c r="R3566" s="71"/>
      <c r="S3566" s="47"/>
      <c r="T3566" s="47"/>
    </row>
    <row r="3567" s="27" customFormat="1" ht="28" customHeight="1" spans="1:20">
      <c r="A3567" s="34"/>
      <c r="B3567" s="48">
        <v>5</v>
      </c>
      <c r="C3567" s="72" t="s">
        <v>406</v>
      </c>
      <c r="D3567" s="48" t="s">
        <v>407</v>
      </c>
      <c r="E3567" s="48"/>
      <c r="F3567" s="50"/>
      <c r="G3567" s="48"/>
      <c r="H3567" s="73">
        <f>+'材料表 '!$E$178</f>
        <v>0</v>
      </c>
      <c r="I3567" s="52">
        <f>H3567*I3566</f>
        <v>0</v>
      </c>
      <c r="J3567" s="53" t="s">
        <v>392</v>
      </c>
      <c r="K3567" s="60"/>
      <c r="L3567" s="69"/>
      <c r="M3567" s="34"/>
      <c r="N3567" s="34"/>
      <c r="O3567" s="34"/>
      <c r="P3567" s="34"/>
      <c r="Q3567" s="44"/>
      <c r="R3567" s="71"/>
      <c r="S3567" s="47"/>
      <c r="T3567" s="47"/>
    </row>
    <row r="3568" s="27" customFormat="1" ht="18" customHeight="1" spans="1:20">
      <c r="A3568" s="34"/>
      <c r="B3568" s="48">
        <v>6</v>
      </c>
      <c r="C3568" s="48" t="s">
        <v>409</v>
      </c>
      <c r="D3568" s="48" t="s">
        <v>410</v>
      </c>
      <c r="E3568" s="48"/>
      <c r="F3568" s="50"/>
      <c r="G3568" s="48"/>
      <c r="H3568" s="73">
        <f>+'材料表 '!$E$179</f>
        <v>0</v>
      </c>
      <c r="I3568" s="52">
        <f>H3568*I3566</f>
        <v>0</v>
      </c>
      <c r="J3568" s="53" t="s">
        <v>392</v>
      </c>
      <c r="K3568" s="60"/>
      <c r="L3568" s="69"/>
      <c r="M3568" s="34"/>
      <c r="N3568" s="34"/>
      <c r="O3568" s="34"/>
      <c r="P3568" s="34"/>
      <c r="Q3568" s="44"/>
      <c r="R3568" s="71"/>
      <c r="S3568" s="47"/>
      <c r="T3568" s="47"/>
    </row>
    <row r="3569" s="27" customFormat="1" ht="18" customHeight="1" spans="1:20">
      <c r="A3569" s="34"/>
      <c r="B3569" s="48">
        <v>7</v>
      </c>
      <c r="C3569" s="48" t="s">
        <v>412</v>
      </c>
      <c r="D3569" s="72" t="s">
        <v>413</v>
      </c>
      <c r="E3569" s="72"/>
      <c r="F3569" s="77"/>
      <c r="G3569" s="72"/>
      <c r="H3569" s="73">
        <f>+'材料表 '!$E$180</f>
        <v>0.09</v>
      </c>
      <c r="I3569" s="52">
        <f>(I3566+I3567+I3568)*H3569</f>
        <v>39.2534601769912</v>
      </c>
      <c r="J3569" s="53" t="s">
        <v>392</v>
      </c>
      <c r="K3569" s="60"/>
      <c r="L3569" s="69"/>
      <c r="M3569" s="34"/>
      <c r="N3569" s="34"/>
      <c r="O3569" s="34"/>
      <c r="P3569" s="34"/>
      <c r="Q3569" s="44"/>
      <c r="R3569" s="71"/>
      <c r="S3569" s="47"/>
      <c r="T3569" s="47"/>
    </row>
    <row r="3570" s="27" customFormat="1" ht="18" customHeight="1" spans="1:20">
      <c r="A3570" s="34" t="s">
        <v>218</v>
      </c>
      <c r="B3570" s="48">
        <v>8</v>
      </c>
      <c r="C3570" s="48" t="s">
        <v>363</v>
      </c>
      <c r="D3570" s="106" t="s">
        <v>415</v>
      </c>
      <c r="E3570" s="107"/>
      <c r="F3570" s="108"/>
      <c r="G3570" s="107"/>
      <c r="H3570" s="51"/>
      <c r="I3570" s="74">
        <f>SUM(I3566:I3569)</f>
        <v>475.403017699115</v>
      </c>
      <c r="J3570" s="53" t="s">
        <v>416</v>
      </c>
      <c r="K3570" s="60"/>
      <c r="L3570" s="69"/>
      <c r="M3570" s="34"/>
      <c r="N3570" s="100"/>
      <c r="O3570" s="34"/>
      <c r="P3570" s="44"/>
      <c r="Q3570" s="44"/>
      <c r="R3570" s="84"/>
      <c r="S3570" s="79"/>
      <c r="T3570" s="47"/>
    </row>
    <row r="3571" s="27" customFormat="1" ht="18" customHeight="1" spans="1:20">
      <c r="A3571" s="34"/>
      <c r="B3571" s="109" t="s">
        <v>418</v>
      </c>
      <c r="C3571" s="110"/>
      <c r="D3571" s="110"/>
      <c r="E3571" s="110"/>
      <c r="F3571" s="110"/>
      <c r="G3571" s="110"/>
      <c r="H3571" s="110"/>
      <c r="I3571" s="110"/>
      <c r="J3571" s="110"/>
      <c r="K3571" s="80"/>
      <c r="L3571" s="69"/>
      <c r="M3571" s="44"/>
      <c r="N3571" s="82"/>
      <c r="O3571" s="44"/>
      <c r="P3571" s="44"/>
      <c r="Q3571" s="44"/>
      <c r="R3571" s="84"/>
      <c r="S3571" s="47"/>
      <c r="T3571" s="47"/>
    </row>
    <row r="3572" s="27" customFormat="1" ht="18" customHeight="1" spans="1:20">
      <c r="A3572" s="34"/>
      <c r="B3572" s="48">
        <v>1</v>
      </c>
      <c r="C3572" s="48" t="s">
        <v>391</v>
      </c>
      <c r="D3572" s="48" t="s">
        <v>396</v>
      </c>
      <c r="E3572" s="48" t="s">
        <v>37</v>
      </c>
      <c r="F3572" s="50"/>
      <c r="G3572" s="48"/>
      <c r="H3572" s="51" t="s">
        <v>399</v>
      </c>
      <c r="I3572" s="51" t="s">
        <v>420</v>
      </c>
      <c r="J3572" s="95" t="s">
        <v>421</v>
      </c>
      <c r="K3572" s="92"/>
      <c r="L3572" s="69"/>
      <c r="M3572" s="44"/>
      <c r="N3572" s="82"/>
      <c r="O3572" s="44"/>
      <c r="P3572" s="44"/>
      <c r="Q3572" s="44"/>
      <c r="R3572" s="84"/>
      <c r="S3572" s="47"/>
      <c r="T3572" s="47"/>
    </row>
    <row r="3573" s="27" customFormat="1" ht="18" customHeight="1" spans="1:20">
      <c r="A3573" s="34"/>
      <c r="B3573" s="48">
        <v>2</v>
      </c>
      <c r="C3573" s="48"/>
      <c r="D3573" s="111" t="s">
        <v>606</v>
      </c>
      <c r="E3573" s="130" t="s">
        <v>423</v>
      </c>
      <c r="F3573" s="112"/>
      <c r="G3573" s="111"/>
      <c r="H3573" s="113">
        <v>1</v>
      </c>
      <c r="I3573" s="113">
        <f>+辅材及安装费!$G$16</f>
        <v>130</v>
      </c>
      <c r="J3573" s="114">
        <f t="shared" ref="J3573:J3580" si="527">H3573*I3573</f>
        <v>130</v>
      </c>
      <c r="K3573" s="92"/>
      <c r="L3573" s="69"/>
      <c r="M3573" s="44"/>
      <c r="N3573" s="82"/>
      <c r="O3573" s="44"/>
      <c r="P3573" s="44"/>
      <c r="Q3573" s="44"/>
      <c r="R3573" s="84"/>
      <c r="S3573" s="47"/>
      <c r="T3573" s="47"/>
    </row>
    <row r="3574" s="27" customFormat="1" ht="18" customHeight="1" spans="1:20">
      <c r="A3574" s="34"/>
      <c r="B3574" s="48">
        <v>3</v>
      </c>
      <c r="C3574" s="48"/>
      <c r="D3574" s="115"/>
      <c r="E3574" s="63"/>
      <c r="F3574" s="116"/>
      <c r="G3574" s="115"/>
      <c r="H3574" s="117"/>
      <c r="I3574" s="117"/>
      <c r="J3574" s="118"/>
      <c r="K3574" s="92"/>
      <c r="L3574" s="69"/>
      <c r="M3574" s="44"/>
      <c r="N3574" s="82"/>
      <c r="O3574" s="44"/>
      <c r="P3574" s="44"/>
      <c r="Q3574" s="44"/>
      <c r="R3574" s="84"/>
      <c r="S3574" s="47"/>
      <c r="T3574" s="47"/>
    </row>
    <row r="3575" s="27" customFormat="1" ht="18" customHeight="1" spans="1:20">
      <c r="A3575" s="34"/>
      <c r="B3575" s="48">
        <v>4</v>
      </c>
      <c r="C3575" s="48"/>
      <c r="D3575" s="85" t="s">
        <v>426</v>
      </c>
      <c r="E3575" s="48" t="s">
        <v>392</v>
      </c>
      <c r="F3575" s="50"/>
      <c r="G3575" s="48"/>
      <c r="H3575" s="86"/>
      <c r="I3575" s="86"/>
      <c r="J3575" s="95">
        <f>SUM(J3573:J3573)</f>
        <v>130</v>
      </c>
      <c r="K3575" s="92"/>
      <c r="L3575" s="90"/>
      <c r="M3575" s="44"/>
      <c r="N3575" s="82"/>
      <c r="O3575" s="44"/>
      <c r="P3575" s="44"/>
      <c r="Q3575" s="44"/>
      <c r="R3575" s="84"/>
      <c r="S3575" s="47"/>
      <c r="T3575" s="47"/>
    </row>
    <row r="3576" s="27" customFormat="1" ht="20" customHeight="1" spans="1:20">
      <c r="A3576" s="34"/>
      <c r="B3576" s="48">
        <v>1</v>
      </c>
      <c r="C3576" s="48" t="s">
        <v>394</v>
      </c>
      <c r="D3576" s="88" t="s">
        <v>607</v>
      </c>
      <c r="E3576" s="72" t="str">
        <f>+VLOOKUP(D3576,'材料表 '!C:F,2,0)</f>
        <v>m2</v>
      </c>
      <c r="F3576" s="77">
        <v>0.787</v>
      </c>
      <c r="G3576" s="89">
        <f>+VLOOKUP(D3576,'材料表 '!C:F,4,0)</f>
        <v>0.01</v>
      </c>
      <c r="H3576" s="74">
        <f t="shared" ref="H3576:H3580" si="528">F3576*(G3576+1)</f>
        <v>0.79487</v>
      </c>
      <c r="I3576" s="74">
        <f>+VLOOKUP(D3576,'材料表 '!C:F,3,0)</f>
        <v>353.982300884956</v>
      </c>
      <c r="J3576" s="95">
        <f t="shared" si="527"/>
        <v>281.369911504425</v>
      </c>
      <c r="K3576" s="92">
        <f ca="1">H3576*K3562</f>
        <v>390.28434948</v>
      </c>
      <c r="L3576" s="90"/>
      <c r="M3576" s="44"/>
      <c r="N3576" s="82"/>
      <c r="O3576" s="44"/>
      <c r="P3576" s="44"/>
      <c r="Q3576" s="44"/>
      <c r="R3576" s="84"/>
      <c r="S3576" s="47"/>
      <c r="T3576" s="47"/>
    </row>
    <row r="3577" s="27" customFormat="1" ht="18" customHeight="1" spans="1:20">
      <c r="A3577" s="34"/>
      <c r="B3577" s="48">
        <v>2</v>
      </c>
      <c r="C3577" s="48"/>
      <c r="D3577" s="88"/>
      <c r="E3577" s="72"/>
      <c r="F3577" s="77"/>
      <c r="G3577" s="89"/>
      <c r="H3577" s="74"/>
      <c r="I3577" s="74"/>
      <c r="J3577" s="95"/>
      <c r="K3577" s="92">
        <f ca="1">H3577*K3562</f>
        <v>0</v>
      </c>
      <c r="L3577" s="90"/>
      <c r="M3577" s="44"/>
      <c r="N3577" s="82"/>
      <c r="O3577" s="44"/>
      <c r="P3577" s="44"/>
      <c r="Q3577" s="44"/>
      <c r="R3577" s="84"/>
      <c r="S3577" s="47"/>
      <c r="T3577" s="47"/>
    </row>
    <row r="3578" s="27" customFormat="1" ht="18" customHeight="1" spans="1:20">
      <c r="A3578" s="34"/>
      <c r="B3578" s="48">
        <v>3</v>
      </c>
      <c r="C3578" s="48"/>
      <c r="D3578" s="88" t="s">
        <v>476</v>
      </c>
      <c r="E3578" s="72" t="str">
        <f>+VLOOKUP(D3578,'材料表 '!C:F,2,0)</f>
        <v>支</v>
      </c>
      <c r="F3578" s="77">
        <v>0.2</v>
      </c>
      <c r="G3578" s="89">
        <f>+VLOOKUP(D3578,'材料表 '!C:F,4,0)</f>
        <v>0.15</v>
      </c>
      <c r="H3578" s="74">
        <f t="shared" si="528"/>
        <v>0.23</v>
      </c>
      <c r="I3578" s="74">
        <f>+VLOOKUP(D3578,'材料表 '!C:F,3,0)</f>
        <v>11.5044247787611</v>
      </c>
      <c r="J3578" s="95">
        <f t="shared" si="527"/>
        <v>2.64601769911505</v>
      </c>
      <c r="K3578" s="92">
        <f ca="1">H3578*K3562</f>
        <v>112.93092</v>
      </c>
      <c r="L3578" s="90"/>
      <c r="M3578" s="44"/>
      <c r="N3578" s="82"/>
      <c r="O3578" s="44"/>
      <c r="P3578" s="44"/>
      <c r="Q3578" s="44"/>
      <c r="R3578" s="84"/>
      <c r="S3578" s="47"/>
      <c r="T3578" s="47"/>
    </row>
    <row r="3579" s="27" customFormat="1" ht="18" customHeight="1" spans="1:20">
      <c r="A3579" s="34"/>
      <c r="B3579" s="48">
        <v>4</v>
      </c>
      <c r="C3579" s="48"/>
      <c r="D3579" s="131" t="s">
        <v>461</v>
      </c>
      <c r="E3579" s="72" t="str">
        <f>+VLOOKUP(D3579,'材料表 '!C:F,2,0)</f>
        <v>kg</v>
      </c>
      <c r="F3579" s="77">
        <v>1.2</v>
      </c>
      <c r="G3579" s="89">
        <f>+VLOOKUP(D3579,'材料表 '!C:F,4,0)</f>
        <v>0.03</v>
      </c>
      <c r="H3579" s="74">
        <f t="shared" si="528"/>
        <v>1.236</v>
      </c>
      <c r="I3579" s="74">
        <f>+VLOOKUP(D3579,'材料表 '!C:F,3,0)</f>
        <v>3.53982300884956</v>
      </c>
      <c r="J3579" s="95">
        <f t="shared" si="527"/>
        <v>4.37522123893806</v>
      </c>
      <c r="K3579" s="92">
        <f ca="1">H3579*K3562</f>
        <v>606.880944</v>
      </c>
      <c r="L3579" s="90"/>
      <c r="M3579" s="44"/>
      <c r="N3579" s="82"/>
      <c r="O3579" s="44"/>
      <c r="P3579" s="44"/>
      <c r="Q3579" s="44"/>
      <c r="R3579" s="84"/>
      <c r="S3579" s="47"/>
      <c r="T3579" s="47"/>
    </row>
    <row r="3580" s="27" customFormat="1" ht="18" customHeight="1" spans="1:20">
      <c r="A3580" s="34"/>
      <c r="B3580" s="48">
        <v>5</v>
      </c>
      <c r="C3580" s="48"/>
      <c r="D3580" s="131" t="s">
        <v>431</v>
      </c>
      <c r="E3580" s="72" t="str">
        <f>+VLOOKUP(D3580,'材料表 '!C:F,2,0)</f>
        <v>kg</v>
      </c>
      <c r="F3580" s="77">
        <v>3</v>
      </c>
      <c r="G3580" s="89">
        <f>+VLOOKUP(D3580,'材料表 '!C:F,4,0)</f>
        <v>0.03</v>
      </c>
      <c r="H3580" s="74">
        <f t="shared" si="528"/>
        <v>3.09</v>
      </c>
      <c r="I3580" s="74">
        <f>+VLOOKUP(D3580,'材料表 '!C:F,3,0)</f>
        <v>3.80530973451327</v>
      </c>
      <c r="J3580" s="95">
        <f t="shared" si="527"/>
        <v>11.758407079646</v>
      </c>
      <c r="K3580" s="92">
        <f ca="1">H3580*K3562</f>
        <v>1517.20236</v>
      </c>
      <c r="L3580" s="92"/>
      <c r="M3580" s="44"/>
      <c r="N3580" s="82"/>
      <c r="O3580" s="44"/>
      <c r="P3580" s="44"/>
      <c r="Q3580" s="44"/>
      <c r="R3580" s="84"/>
      <c r="S3580" s="47"/>
      <c r="T3580" s="47"/>
    </row>
    <row r="3581" s="27" customFormat="1" ht="18" customHeight="1" spans="1:20">
      <c r="A3581" s="34"/>
      <c r="B3581" s="48">
        <v>6</v>
      </c>
      <c r="C3581" s="48"/>
      <c r="D3581" s="88"/>
      <c r="E3581" s="72"/>
      <c r="F3581" s="77"/>
      <c r="G3581" s="89"/>
      <c r="H3581" s="74"/>
      <c r="I3581" s="74"/>
      <c r="J3581" s="95"/>
      <c r="K3581" s="92">
        <f ca="1">H3581*K3562</f>
        <v>0</v>
      </c>
      <c r="L3581" s="92"/>
      <c r="M3581" s="44"/>
      <c r="N3581" s="82"/>
      <c r="O3581" s="44"/>
      <c r="P3581" s="44"/>
      <c r="Q3581" s="44"/>
      <c r="R3581" s="84"/>
      <c r="S3581" s="47"/>
      <c r="T3581" s="47"/>
    </row>
    <row r="3582" s="27" customFormat="1" ht="18" customHeight="1" spans="1:20">
      <c r="A3582" s="34"/>
      <c r="B3582" s="48">
        <v>7</v>
      </c>
      <c r="C3582" s="48"/>
      <c r="D3582" s="88"/>
      <c r="E3582" s="72"/>
      <c r="F3582" s="77"/>
      <c r="G3582" s="89"/>
      <c r="H3582" s="74"/>
      <c r="I3582" s="74"/>
      <c r="J3582" s="95"/>
      <c r="K3582" s="92">
        <f ca="1">H3582*K3562</f>
        <v>0</v>
      </c>
      <c r="L3582" s="92"/>
      <c r="M3582" s="44"/>
      <c r="N3582" s="82"/>
      <c r="O3582" s="44"/>
      <c r="P3582" s="44"/>
      <c r="Q3582" s="44"/>
      <c r="R3582" s="84"/>
      <c r="S3582" s="47"/>
      <c r="T3582" s="47"/>
    </row>
    <row r="3583" s="27" customFormat="1" ht="18" customHeight="1" spans="1:20">
      <c r="A3583" s="34"/>
      <c r="B3583" s="48">
        <v>8</v>
      </c>
      <c r="C3583" s="48"/>
      <c r="D3583" s="88"/>
      <c r="E3583" s="72"/>
      <c r="F3583" s="77"/>
      <c r="G3583" s="89"/>
      <c r="H3583" s="74"/>
      <c r="I3583" s="74"/>
      <c r="J3583" s="95"/>
      <c r="K3583" s="92">
        <f ca="1">H3583*K3562</f>
        <v>0</v>
      </c>
      <c r="L3583" s="92"/>
      <c r="M3583" s="44"/>
      <c r="N3583" s="82"/>
      <c r="O3583" s="44"/>
      <c r="P3583" s="44"/>
      <c r="Q3583" s="44"/>
      <c r="R3583" s="84"/>
      <c r="S3583" s="47"/>
      <c r="T3583" s="47"/>
    </row>
    <row r="3584" s="27" customFormat="1" ht="18" customHeight="1" spans="1:20">
      <c r="A3584" s="34"/>
      <c r="B3584" s="48">
        <v>9</v>
      </c>
      <c r="C3584" s="48"/>
      <c r="D3584" s="88"/>
      <c r="E3584" s="72"/>
      <c r="F3584" s="77"/>
      <c r="G3584" s="89"/>
      <c r="H3584" s="74"/>
      <c r="I3584" s="74"/>
      <c r="J3584" s="95"/>
      <c r="K3584" s="92">
        <f ca="1">H3584*K3562</f>
        <v>0</v>
      </c>
      <c r="L3584" s="90"/>
      <c r="M3584" s="44"/>
      <c r="N3584" s="82"/>
      <c r="O3584" s="34"/>
      <c r="P3584" s="44"/>
      <c r="Q3584" s="44"/>
      <c r="R3584" s="119"/>
      <c r="S3584" s="47"/>
      <c r="T3584" s="47"/>
    </row>
    <row r="3585" s="27" customFormat="1" ht="18" customHeight="1" spans="1:20">
      <c r="A3585" s="34"/>
      <c r="B3585" s="48">
        <v>10</v>
      </c>
      <c r="C3585" s="48"/>
      <c r="D3585" s="88"/>
      <c r="E3585" s="72"/>
      <c r="F3585" s="77"/>
      <c r="G3585" s="89"/>
      <c r="H3585" s="74"/>
      <c r="I3585" s="74"/>
      <c r="J3585" s="95"/>
      <c r="K3585" s="92">
        <f ca="1">H3585*K3562</f>
        <v>0</v>
      </c>
      <c r="L3585" s="92"/>
      <c r="M3585" s="120"/>
      <c r="N3585" s="82"/>
      <c r="O3585" s="44"/>
      <c r="P3585" s="44"/>
      <c r="Q3585" s="44"/>
      <c r="R3585" s="84"/>
      <c r="S3585" s="47"/>
      <c r="T3585" s="47"/>
    </row>
    <row r="3586" s="27" customFormat="1" ht="18" customHeight="1" spans="1:20">
      <c r="A3586" s="34"/>
      <c r="B3586" s="48">
        <v>11</v>
      </c>
      <c r="C3586" s="48"/>
      <c r="D3586" s="88"/>
      <c r="E3586" s="72"/>
      <c r="F3586" s="77"/>
      <c r="G3586" s="89"/>
      <c r="H3586" s="74"/>
      <c r="I3586" s="74"/>
      <c r="J3586" s="95"/>
      <c r="K3586" s="92">
        <f ca="1">H3586*K3562</f>
        <v>0</v>
      </c>
      <c r="L3586" s="92"/>
      <c r="M3586" s="44"/>
      <c r="N3586" s="82"/>
      <c r="O3586" s="44"/>
      <c r="P3586" s="44"/>
      <c r="Q3586" s="44"/>
      <c r="R3586" s="84"/>
      <c r="S3586" s="47"/>
      <c r="T3586" s="47"/>
    </row>
    <row r="3587" s="27" customFormat="1" ht="18" customHeight="1" spans="1:20">
      <c r="A3587" s="34"/>
      <c r="B3587" s="48">
        <v>12</v>
      </c>
      <c r="C3587" s="48"/>
      <c r="D3587" s="88"/>
      <c r="E3587" s="72"/>
      <c r="F3587" s="77"/>
      <c r="G3587" s="89"/>
      <c r="H3587" s="74"/>
      <c r="I3587" s="74"/>
      <c r="J3587" s="95"/>
      <c r="K3587" s="92"/>
      <c r="L3587" s="92"/>
      <c r="M3587" s="44"/>
      <c r="N3587" s="44"/>
      <c r="O3587" s="44"/>
      <c r="P3587" s="44"/>
      <c r="Q3587" s="44"/>
      <c r="R3587" s="84"/>
      <c r="S3587" s="47"/>
      <c r="T3587" s="47"/>
    </row>
    <row r="3588" s="27" customFormat="1" ht="18" customHeight="1" spans="1:20">
      <c r="A3588" s="34"/>
      <c r="B3588" s="48">
        <v>13</v>
      </c>
      <c r="C3588" s="48"/>
      <c r="D3588" s="88"/>
      <c r="E3588" s="72"/>
      <c r="F3588" s="77"/>
      <c r="G3588" s="89"/>
      <c r="H3588" s="74"/>
      <c r="I3588" s="74"/>
      <c r="J3588" s="95"/>
      <c r="K3588" s="92"/>
      <c r="L3588" s="92"/>
      <c r="M3588" s="44"/>
      <c r="N3588" s="44"/>
      <c r="O3588" s="44"/>
      <c r="P3588" s="44"/>
      <c r="Q3588" s="44"/>
      <c r="R3588" s="84"/>
      <c r="S3588" s="47"/>
      <c r="T3588" s="47"/>
    </row>
    <row r="3589" s="27" customFormat="1" ht="24" customHeight="1" spans="1:20">
      <c r="A3589" s="34"/>
      <c r="B3589" s="48">
        <v>14</v>
      </c>
      <c r="C3589" s="48"/>
      <c r="D3589" s="88"/>
      <c r="E3589" s="72"/>
      <c r="F3589" s="77"/>
      <c r="G3589" s="89"/>
      <c r="H3589" s="74"/>
      <c r="I3589" s="74"/>
      <c r="J3589" s="95"/>
      <c r="K3589" s="92"/>
      <c r="L3589" s="92"/>
      <c r="M3589" s="44"/>
      <c r="N3589" s="44"/>
      <c r="O3589" s="44"/>
      <c r="P3589" s="44"/>
      <c r="Q3589" s="44"/>
      <c r="R3589" s="84"/>
      <c r="S3589" s="47"/>
      <c r="T3589" s="47"/>
    </row>
    <row r="3590" s="27" customFormat="1" ht="18" customHeight="1" spans="1:20">
      <c r="A3590" s="34"/>
      <c r="B3590" s="48">
        <v>15</v>
      </c>
      <c r="C3590" s="48"/>
      <c r="D3590" s="88"/>
      <c r="E3590" s="72"/>
      <c r="F3590" s="77"/>
      <c r="G3590" s="89"/>
      <c r="H3590" s="74"/>
      <c r="I3590" s="74"/>
      <c r="J3590" s="95"/>
      <c r="K3590" s="92"/>
      <c r="L3590" s="92"/>
      <c r="M3590" s="44"/>
      <c r="N3590" s="44"/>
      <c r="O3590" s="44"/>
      <c r="P3590" s="44"/>
      <c r="Q3590" s="44"/>
      <c r="R3590" s="84"/>
      <c r="S3590" s="47"/>
      <c r="T3590" s="47"/>
    </row>
    <row r="3591" s="27" customFormat="1" ht="18" customHeight="1" spans="1:20">
      <c r="A3591" s="34"/>
      <c r="B3591" s="48">
        <v>16</v>
      </c>
      <c r="C3591" s="48"/>
      <c r="D3591" s="88"/>
      <c r="E3591" s="72"/>
      <c r="F3591" s="77"/>
      <c r="G3591" s="89"/>
      <c r="H3591" s="74"/>
      <c r="I3591" s="74"/>
      <c r="J3591" s="95"/>
      <c r="K3591" s="92"/>
      <c r="L3591" s="92"/>
      <c r="M3591" s="44"/>
      <c r="N3591" s="44"/>
      <c r="O3591" s="44"/>
      <c r="P3591" s="44"/>
      <c r="Q3591" s="44"/>
      <c r="R3591" s="84"/>
      <c r="S3591" s="47"/>
      <c r="T3591" s="47"/>
    </row>
    <row r="3592" s="27" customFormat="1" ht="18" customHeight="1" spans="1:20">
      <c r="A3592" s="34"/>
      <c r="B3592" s="48">
        <v>17</v>
      </c>
      <c r="C3592" s="48"/>
      <c r="D3592" s="121"/>
      <c r="E3592" s="72"/>
      <c r="F3592" s="77"/>
      <c r="G3592" s="89"/>
      <c r="H3592" s="74"/>
      <c r="I3592" s="74"/>
      <c r="J3592" s="95"/>
      <c r="K3592" s="92"/>
      <c r="L3592" s="92"/>
      <c r="M3592" s="44"/>
      <c r="N3592" s="44"/>
      <c r="O3592" s="44"/>
      <c r="P3592" s="44"/>
      <c r="Q3592" s="101"/>
      <c r="R3592" s="84"/>
      <c r="S3592" s="47"/>
      <c r="T3592" s="47"/>
    </row>
    <row r="3593" s="27" customFormat="1" ht="18" customHeight="1" spans="1:20">
      <c r="A3593" s="34"/>
      <c r="B3593" s="48">
        <v>18</v>
      </c>
      <c r="C3593" s="48"/>
      <c r="D3593" s="88"/>
      <c r="E3593" s="72"/>
      <c r="F3593" s="77"/>
      <c r="G3593" s="89"/>
      <c r="H3593" s="74"/>
      <c r="I3593" s="74"/>
      <c r="J3593" s="95"/>
      <c r="K3593" s="92"/>
      <c r="L3593" s="92"/>
      <c r="M3593" s="44"/>
      <c r="N3593" s="44"/>
      <c r="O3593" s="44"/>
      <c r="P3593" s="44"/>
      <c r="Q3593" s="44"/>
      <c r="R3593" s="84"/>
      <c r="S3593" s="47"/>
      <c r="T3593" s="47"/>
    </row>
    <row r="3594" s="27" customFormat="1" ht="18" customHeight="1" spans="1:20">
      <c r="A3594" s="34"/>
      <c r="B3594" s="48">
        <v>19</v>
      </c>
      <c r="C3594" s="48"/>
      <c r="D3594" s="27"/>
      <c r="E3594" s="72"/>
      <c r="F3594" s="77"/>
      <c r="G3594" s="89"/>
      <c r="H3594" s="74"/>
      <c r="I3594" s="74"/>
      <c r="J3594" s="95"/>
      <c r="K3594" s="92"/>
      <c r="L3594" s="92"/>
      <c r="M3594" s="44"/>
      <c r="N3594" s="44"/>
      <c r="O3594" s="44"/>
      <c r="P3594" s="44"/>
      <c r="Q3594" s="44"/>
      <c r="R3594" s="84"/>
      <c r="S3594" s="47"/>
      <c r="T3594" s="47"/>
    </row>
    <row r="3595" s="27" customFormat="1" ht="18" customHeight="1" spans="1:20">
      <c r="A3595" s="34"/>
      <c r="B3595" s="48">
        <v>20</v>
      </c>
      <c r="C3595" s="48"/>
      <c r="D3595" s="88"/>
      <c r="E3595" s="72"/>
      <c r="F3595" s="77"/>
      <c r="G3595" s="89"/>
      <c r="H3595" s="74"/>
      <c r="I3595" s="74"/>
      <c r="J3595" s="95"/>
      <c r="K3595" s="92"/>
      <c r="L3595" s="92"/>
      <c r="M3595" s="44"/>
      <c r="N3595" s="44"/>
      <c r="O3595" s="44"/>
      <c r="P3595" s="44"/>
      <c r="Q3595" s="44"/>
      <c r="R3595" s="84"/>
      <c r="S3595" s="47"/>
      <c r="T3595" s="47"/>
    </row>
    <row r="3596" s="27" customFormat="1" ht="18" customHeight="1" spans="1:20">
      <c r="A3596" s="34"/>
      <c r="B3596" s="48">
        <v>21</v>
      </c>
      <c r="C3596" s="48"/>
      <c r="D3596" s="88"/>
      <c r="E3596" s="72"/>
      <c r="F3596" s="77"/>
      <c r="G3596" s="89"/>
      <c r="H3596" s="74"/>
      <c r="I3596" s="74"/>
      <c r="J3596" s="95"/>
      <c r="K3596" s="92"/>
      <c r="L3596" s="92"/>
      <c r="M3596" s="44"/>
      <c r="N3596" s="44"/>
      <c r="O3596" s="44"/>
      <c r="P3596" s="44"/>
      <c r="Q3596" s="44"/>
      <c r="R3596" s="84"/>
      <c r="S3596" s="47"/>
      <c r="T3596" s="47"/>
    </row>
    <row r="3597" s="27" customFormat="1" ht="18" customHeight="1" spans="1:20">
      <c r="A3597" s="34"/>
      <c r="B3597" s="48">
        <v>22</v>
      </c>
      <c r="C3597" s="48"/>
      <c r="D3597" s="27"/>
      <c r="E3597" s="72"/>
      <c r="F3597" s="77"/>
      <c r="G3597" s="72"/>
      <c r="H3597" s="74"/>
      <c r="I3597" s="74"/>
      <c r="J3597" s="95"/>
      <c r="K3597" s="92"/>
      <c r="L3597" s="92"/>
      <c r="M3597" s="44"/>
      <c r="N3597" s="44"/>
      <c r="O3597" s="44"/>
      <c r="P3597" s="44"/>
      <c r="Q3597" s="44"/>
      <c r="R3597" s="62"/>
      <c r="S3597" s="47"/>
      <c r="T3597" s="47"/>
    </row>
    <row r="3598" s="27" customFormat="1" ht="18" customHeight="1" spans="1:20">
      <c r="A3598" s="34"/>
      <c r="B3598" s="48">
        <v>23</v>
      </c>
      <c r="C3598" s="48"/>
      <c r="D3598" s="88"/>
      <c r="E3598" s="72"/>
      <c r="F3598" s="77"/>
      <c r="G3598" s="89"/>
      <c r="H3598" s="74"/>
      <c r="I3598" s="74"/>
      <c r="J3598" s="95"/>
      <c r="K3598" s="92"/>
      <c r="L3598" s="92"/>
      <c r="M3598" s="44"/>
      <c r="N3598" s="44"/>
      <c r="O3598" s="44"/>
      <c r="P3598" s="44"/>
      <c r="Q3598" s="44"/>
      <c r="R3598" s="62"/>
      <c r="S3598" s="47"/>
      <c r="T3598" s="47"/>
    </row>
    <row r="3599" s="27" customFormat="1" ht="18" customHeight="1" spans="1:20">
      <c r="A3599" s="34"/>
      <c r="B3599" s="48">
        <v>24</v>
      </c>
      <c r="C3599" s="48"/>
      <c r="D3599" s="88" t="s">
        <v>478</v>
      </c>
      <c r="E3599" s="132" t="s">
        <v>423</v>
      </c>
      <c r="F3599" s="77"/>
      <c r="G3599" s="72">
        <v>1</v>
      </c>
      <c r="H3599" s="74">
        <v>1</v>
      </c>
      <c r="I3599" s="74">
        <f>+辅材及安装费!$E$16</f>
        <v>5</v>
      </c>
      <c r="J3599" s="95">
        <f>H3599*I3599</f>
        <v>5</v>
      </c>
      <c r="K3599" s="92"/>
      <c r="L3599" s="92"/>
      <c r="M3599" s="44"/>
      <c r="N3599" s="44"/>
      <c r="O3599" s="44"/>
      <c r="P3599" s="44"/>
      <c r="Q3599" s="44"/>
      <c r="R3599" s="62"/>
      <c r="S3599" s="47"/>
      <c r="T3599" s="47"/>
    </row>
    <row r="3600" s="27" customFormat="1" ht="18" customHeight="1" spans="1:20">
      <c r="A3600" s="34"/>
      <c r="B3600" s="48">
        <v>25</v>
      </c>
      <c r="C3600" s="48"/>
      <c r="D3600" s="93" t="s">
        <v>442</v>
      </c>
      <c r="E3600" s="72"/>
      <c r="F3600" s="77"/>
      <c r="G3600" s="72"/>
      <c r="H3600" s="74"/>
      <c r="I3600" s="74"/>
      <c r="J3600" s="95">
        <f>SUM(J3576:J3599)</f>
        <v>305.149557522124</v>
      </c>
      <c r="K3600" s="92"/>
      <c r="L3600" s="94"/>
      <c r="M3600" s="27"/>
      <c r="N3600" s="83"/>
      <c r="O3600" s="83"/>
      <c r="P3600" s="83"/>
      <c r="Q3600" s="83"/>
      <c r="R3600" s="87"/>
      <c r="S3600" s="47"/>
      <c r="T3600" s="47"/>
    </row>
    <row r="3601" s="27" customFormat="1" ht="18" customHeight="1" spans="1:20">
      <c r="A3601" s="34"/>
      <c r="B3601" s="48">
        <v>1</v>
      </c>
      <c r="C3601" s="48" t="s">
        <v>443</v>
      </c>
      <c r="D3601" s="48" t="s">
        <v>444</v>
      </c>
      <c r="E3601" s="132" t="s">
        <v>423</v>
      </c>
      <c r="F3601" s="50"/>
      <c r="G3601" s="48"/>
      <c r="H3601" s="51">
        <v>1</v>
      </c>
      <c r="I3601" s="74">
        <f>+辅材及安装费!$F$16</f>
        <v>1</v>
      </c>
      <c r="J3601" s="95">
        <f>H3601*I3601</f>
        <v>1</v>
      </c>
      <c r="K3601" s="118"/>
      <c r="L3601" s="96"/>
      <c r="M3601" s="97"/>
      <c r="N3601" s="98"/>
      <c r="O3601" s="98"/>
      <c r="P3601" s="98"/>
      <c r="Q3601" s="98"/>
      <c r="R3601" s="99"/>
      <c r="S3601" s="47"/>
      <c r="T3601" s="47"/>
    </row>
    <row r="3602" s="26" customFormat="1" ht="30" customHeight="1" spans="1:20">
      <c r="A3602" s="28"/>
      <c r="B3602" s="29" t="s">
        <v>386</v>
      </c>
      <c r="C3602" s="29"/>
      <c r="D3602" s="29"/>
      <c r="E3602" s="29"/>
      <c r="F3602" s="29"/>
      <c r="G3602" s="29"/>
      <c r="H3602" s="29"/>
      <c r="I3602" s="29"/>
      <c r="J3602" s="29"/>
      <c r="K3602" s="29"/>
      <c r="L3602" s="30"/>
      <c r="M3602" s="31"/>
      <c r="N3602" s="31"/>
      <c r="O3602" s="31"/>
      <c r="P3602" s="31"/>
      <c r="Q3602" s="31"/>
      <c r="R3602" s="32"/>
      <c r="S3602" s="33"/>
      <c r="T3602" s="33"/>
    </row>
    <row r="3603" s="27" customFormat="1" ht="33.75" customHeight="1" spans="1:20">
      <c r="A3603" s="34">
        <v>3</v>
      </c>
      <c r="B3603" s="35" t="s">
        <v>1</v>
      </c>
      <c r="C3603" s="35" t="s">
        <v>387</v>
      </c>
      <c r="D3603" s="36" t="str">
        <f>+A3611</f>
        <v>防火隔断</v>
      </c>
      <c r="E3603" s="37"/>
      <c r="F3603" s="38"/>
      <c r="G3603" s="39"/>
      <c r="H3603" s="35" t="s">
        <v>388</v>
      </c>
      <c r="I3603" s="40" t="s">
        <v>389</v>
      </c>
      <c r="J3603" s="41" t="s">
        <v>37</v>
      </c>
      <c r="K3603" s="42">
        <f ca="1">VLOOKUP(A3603,'商业工程量清单 '!$A$99:$D$103,4,FALSE)</f>
        <v>1368</v>
      </c>
      <c r="L3603" s="43"/>
      <c r="M3603" s="44"/>
      <c r="N3603" s="44"/>
      <c r="O3603" s="44"/>
      <c r="P3603" s="45"/>
      <c r="Q3603" s="44"/>
      <c r="R3603" s="46"/>
      <c r="S3603" s="47"/>
      <c r="T3603" s="47"/>
    </row>
    <row r="3604" s="27" customFormat="1" ht="25" customHeight="1" spans="1:20">
      <c r="A3604" s="34"/>
      <c r="B3604" s="48">
        <v>1</v>
      </c>
      <c r="C3604" s="49" t="s">
        <v>390</v>
      </c>
      <c r="D3604" s="48" t="s">
        <v>391</v>
      </c>
      <c r="E3604" s="48"/>
      <c r="F3604" s="50"/>
      <c r="G3604" s="48"/>
      <c r="H3604" s="51"/>
      <c r="I3604" s="52">
        <f>J3616</f>
        <v>25</v>
      </c>
      <c r="J3604" s="53" t="s">
        <v>392</v>
      </c>
      <c r="K3604" s="54"/>
      <c r="L3604" s="55" t="s">
        <v>584</v>
      </c>
      <c r="M3604" s="56" t="s">
        <v>585</v>
      </c>
      <c r="N3604" s="57"/>
      <c r="O3604" s="57"/>
      <c r="P3604" s="57"/>
      <c r="Q3604" s="57"/>
      <c r="R3604" s="58"/>
      <c r="S3604" s="47"/>
      <c r="T3604" s="47"/>
    </row>
    <row r="3605" s="27" customFormat="1" ht="18" customHeight="1" spans="1:20">
      <c r="A3605" s="34"/>
      <c r="B3605" s="48">
        <v>2</v>
      </c>
      <c r="C3605" s="59"/>
      <c r="D3605" s="48" t="s">
        <v>394</v>
      </c>
      <c r="E3605" s="48"/>
      <c r="F3605" s="50"/>
      <c r="G3605" s="48"/>
      <c r="H3605" s="51"/>
      <c r="I3605" s="52">
        <f>J3641</f>
        <v>33.1946902654867</v>
      </c>
      <c r="J3605" s="53" t="s">
        <v>392</v>
      </c>
      <c r="K3605" s="60"/>
      <c r="L3605" s="61"/>
      <c r="M3605" s="44"/>
      <c r="N3605" s="44"/>
      <c r="O3605" s="44"/>
      <c r="P3605" s="44"/>
      <c r="Q3605" s="44"/>
      <c r="R3605" s="62"/>
      <c r="S3605" s="47"/>
      <c r="T3605" s="47"/>
    </row>
    <row r="3606" s="27" customFormat="1" ht="18" customHeight="1" spans="1:20">
      <c r="A3606" s="34"/>
      <c r="B3606" s="48">
        <v>3</v>
      </c>
      <c r="C3606" s="63"/>
      <c r="D3606" s="48" t="s">
        <v>395</v>
      </c>
      <c r="E3606" s="48"/>
      <c r="F3606" s="50"/>
      <c r="G3606" s="48"/>
      <c r="H3606" s="51"/>
      <c r="I3606" s="52">
        <f>J3642</f>
        <v>2</v>
      </c>
      <c r="J3606" s="53" t="s">
        <v>392</v>
      </c>
      <c r="K3606" s="60"/>
      <c r="L3606" s="60"/>
      <c r="M3606" s="64" t="s">
        <v>396</v>
      </c>
      <c r="N3606" s="65" t="s">
        <v>397</v>
      </c>
      <c r="O3606" s="65" t="s">
        <v>398</v>
      </c>
      <c r="P3606" s="65" t="s">
        <v>399</v>
      </c>
      <c r="Q3606" s="65" t="s">
        <v>400</v>
      </c>
      <c r="R3606" s="66" t="s">
        <v>401</v>
      </c>
      <c r="S3606" s="47"/>
      <c r="T3606" s="47"/>
    </row>
    <row r="3607" s="27" customFormat="1" ht="18" customHeight="1" spans="1:20">
      <c r="A3607" s="34"/>
      <c r="B3607" s="48">
        <v>4</v>
      </c>
      <c r="C3607" s="48" t="s">
        <v>402</v>
      </c>
      <c r="D3607" s="67" t="s">
        <v>403</v>
      </c>
      <c r="E3607" s="67"/>
      <c r="F3607" s="50"/>
      <c r="G3607" s="67"/>
      <c r="H3607" s="68"/>
      <c r="I3607" s="52">
        <f>SUM(I3604:I3606)</f>
        <v>60.1946902654867</v>
      </c>
      <c r="J3607" s="53" t="s">
        <v>392</v>
      </c>
      <c r="K3607" s="60"/>
      <c r="L3607" s="69"/>
      <c r="M3607" s="34"/>
      <c r="N3607" s="34"/>
      <c r="O3607" s="34"/>
      <c r="P3607" s="34"/>
      <c r="Q3607" s="44"/>
      <c r="R3607" s="71"/>
      <c r="S3607" s="47"/>
      <c r="T3607" s="47"/>
    </row>
    <row r="3608" s="27" customFormat="1" ht="28" customHeight="1" spans="1:20">
      <c r="A3608" s="34"/>
      <c r="B3608" s="48">
        <v>5</v>
      </c>
      <c r="C3608" s="72" t="s">
        <v>406</v>
      </c>
      <c r="D3608" s="48" t="s">
        <v>407</v>
      </c>
      <c r="E3608" s="48"/>
      <c r="F3608" s="50"/>
      <c r="G3608" s="48"/>
      <c r="H3608" s="73">
        <f>+'材料表 '!$E$178</f>
        <v>0</v>
      </c>
      <c r="I3608" s="52">
        <f>H3608*I3607</f>
        <v>0</v>
      </c>
      <c r="J3608" s="53" t="s">
        <v>392</v>
      </c>
      <c r="K3608" s="60"/>
      <c r="L3608" s="69"/>
      <c r="M3608" s="34"/>
      <c r="N3608" s="34"/>
      <c r="O3608" s="34"/>
      <c r="P3608" s="34"/>
      <c r="Q3608" s="44"/>
      <c r="R3608" s="71"/>
      <c r="S3608" s="47"/>
      <c r="T3608" s="47"/>
    </row>
    <row r="3609" s="27" customFormat="1" ht="18" customHeight="1" spans="1:20">
      <c r="A3609" s="34"/>
      <c r="B3609" s="48">
        <v>6</v>
      </c>
      <c r="C3609" s="48" t="s">
        <v>409</v>
      </c>
      <c r="D3609" s="48" t="s">
        <v>410</v>
      </c>
      <c r="E3609" s="48"/>
      <c r="F3609" s="50"/>
      <c r="G3609" s="48"/>
      <c r="H3609" s="73">
        <f>+'材料表 '!$E$179</f>
        <v>0</v>
      </c>
      <c r="I3609" s="52">
        <f>H3609*I3607</f>
        <v>0</v>
      </c>
      <c r="J3609" s="53" t="s">
        <v>392</v>
      </c>
      <c r="K3609" s="60"/>
      <c r="L3609" s="69"/>
      <c r="M3609" s="34"/>
      <c r="N3609" s="34"/>
      <c r="O3609" s="34"/>
      <c r="P3609" s="34"/>
      <c r="Q3609" s="44"/>
      <c r="R3609" s="71"/>
      <c r="S3609" s="47"/>
      <c r="T3609" s="47"/>
    </row>
    <row r="3610" s="27" customFormat="1" ht="18" customHeight="1" spans="1:20">
      <c r="A3610" s="34"/>
      <c r="B3610" s="48">
        <v>7</v>
      </c>
      <c r="C3610" s="48" t="s">
        <v>412</v>
      </c>
      <c r="D3610" s="72" t="s">
        <v>413</v>
      </c>
      <c r="E3610" s="72"/>
      <c r="F3610" s="77"/>
      <c r="G3610" s="72"/>
      <c r="H3610" s="73">
        <f>+'材料表 '!$E$180</f>
        <v>0.09</v>
      </c>
      <c r="I3610" s="52">
        <f>(I3607+I3608+I3609)*H3610</f>
        <v>5.41752212389381</v>
      </c>
      <c r="J3610" s="53" t="s">
        <v>392</v>
      </c>
      <c r="K3610" s="60"/>
      <c r="L3610" s="69"/>
      <c r="M3610" s="34"/>
      <c r="N3610" s="34"/>
      <c r="O3610" s="34"/>
      <c r="P3610" s="34"/>
      <c r="Q3610" s="44"/>
      <c r="R3610" s="71"/>
      <c r="S3610" s="47"/>
      <c r="T3610" s="47"/>
    </row>
    <row r="3611" s="27" customFormat="1" ht="18" customHeight="1" spans="1:20">
      <c r="A3611" s="34" t="s">
        <v>213</v>
      </c>
      <c r="B3611" s="48">
        <v>8</v>
      </c>
      <c r="C3611" s="48" t="s">
        <v>363</v>
      </c>
      <c r="D3611" s="106" t="s">
        <v>415</v>
      </c>
      <c r="E3611" s="107"/>
      <c r="F3611" s="108"/>
      <c r="G3611" s="107"/>
      <c r="H3611" s="51"/>
      <c r="I3611" s="74">
        <f>SUM(I3607:I3610)</f>
        <v>65.6122123893805</v>
      </c>
      <c r="J3611" s="53" t="s">
        <v>484</v>
      </c>
      <c r="K3611" s="60"/>
      <c r="L3611" s="69"/>
      <c r="M3611" s="34"/>
      <c r="N3611" s="100"/>
      <c r="O3611" s="34"/>
      <c r="P3611" s="44"/>
      <c r="Q3611" s="44"/>
      <c r="R3611" s="84"/>
      <c r="S3611" s="79"/>
      <c r="T3611" s="47"/>
    </row>
    <row r="3612" s="27" customFormat="1" ht="18" customHeight="1" spans="1:20">
      <c r="A3612" s="34"/>
      <c r="B3612" s="109" t="s">
        <v>418</v>
      </c>
      <c r="C3612" s="110"/>
      <c r="D3612" s="110"/>
      <c r="E3612" s="110"/>
      <c r="F3612" s="110"/>
      <c r="G3612" s="110"/>
      <c r="H3612" s="110"/>
      <c r="I3612" s="110"/>
      <c r="J3612" s="110"/>
      <c r="K3612" s="80"/>
      <c r="L3612" s="69"/>
      <c r="M3612" s="44"/>
      <c r="N3612" s="82"/>
      <c r="O3612" s="44"/>
      <c r="P3612" s="44"/>
      <c r="Q3612" s="44"/>
      <c r="R3612" s="84"/>
      <c r="S3612" s="47"/>
      <c r="T3612" s="47"/>
    </row>
    <row r="3613" s="27" customFormat="1" ht="18" customHeight="1" spans="1:20">
      <c r="A3613" s="34"/>
      <c r="B3613" s="48">
        <v>1</v>
      </c>
      <c r="C3613" s="48" t="s">
        <v>391</v>
      </c>
      <c r="D3613" s="48" t="s">
        <v>396</v>
      </c>
      <c r="E3613" s="48" t="s">
        <v>37</v>
      </c>
      <c r="F3613" s="50"/>
      <c r="G3613" s="48"/>
      <c r="H3613" s="51" t="s">
        <v>399</v>
      </c>
      <c r="I3613" s="51" t="s">
        <v>420</v>
      </c>
      <c r="J3613" s="95" t="s">
        <v>421</v>
      </c>
      <c r="K3613" s="92"/>
      <c r="L3613" s="69"/>
      <c r="M3613" s="44"/>
      <c r="N3613" s="82"/>
      <c r="O3613" s="44"/>
      <c r="P3613" s="44"/>
      <c r="Q3613" s="44"/>
      <c r="R3613" s="84"/>
      <c r="S3613" s="47"/>
      <c r="T3613" s="47"/>
    </row>
    <row r="3614" s="27" customFormat="1" ht="18" customHeight="1" spans="1:20">
      <c r="A3614" s="34"/>
      <c r="B3614" s="48">
        <v>2</v>
      </c>
      <c r="C3614" s="48"/>
      <c r="D3614" s="111" t="s">
        <v>601</v>
      </c>
      <c r="E3614" s="49" t="s">
        <v>109</v>
      </c>
      <c r="F3614" s="112"/>
      <c r="G3614" s="111"/>
      <c r="H3614" s="113">
        <v>1</v>
      </c>
      <c r="I3614" s="113">
        <f>+辅材及安装费!$G$14</f>
        <v>25</v>
      </c>
      <c r="J3614" s="114">
        <f t="shared" ref="J3614:J3619" si="529">H3614*I3614</f>
        <v>25</v>
      </c>
      <c r="K3614" s="92"/>
      <c r="L3614" s="69"/>
      <c r="M3614" s="44"/>
      <c r="N3614" s="82"/>
      <c r="O3614" s="44"/>
      <c r="P3614" s="44"/>
      <c r="Q3614" s="44"/>
      <c r="R3614" s="84"/>
      <c r="S3614" s="47"/>
      <c r="T3614" s="47"/>
    </row>
    <row r="3615" s="27" customFormat="1" ht="18" customHeight="1" spans="1:20">
      <c r="A3615" s="34"/>
      <c r="B3615" s="48">
        <v>3</v>
      </c>
      <c r="C3615" s="48"/>
      <c r="D3615" s="115"/>
      <c r="E3615" s="63"/>
      <c r="F3615" s="116"/>
      <c r="G3615" s="115"/>
      <c r="H3615" s="117"/>
      <c r="I3615" s="117"/>
      <c r="J3615" s="118"/>
      <c r="K3615" s="92"/>
      <c r="L3615" s="69"/>
      <c r="M3615" s="44"/>
      <c r="N3615" s="82"/>
      <c r="O3615" s="44"/>
      <c r="P3615" s="44"/>
      <c r="Q3615" s="44"/>
      <c r="R3615" s="84"/>
      <c r="S3615" s="47"/>
      <c r="T3615" s="47"/>
    </row>
    <row r="3616" s="27" customFormat="1" ht="18" customHeight="1" spans="1:20">
      <c r="A3616" s="34"/>
      <c r="B3616" s="48">
        <v>4</v>
      </c>
      <c r="C3616" s="48"/>
      <c r="D3616" s="85" t="s">
        <v>426</v>
      </c>
      <c r="E3616" s="48" t="s">
        <v>392</v>
      </c>
      <c r="F3616" s="50"/>
      <c r="G3616" s="48"/>
      <c r="H3616" s="86"/>
      <c r="I3616" s="86"/>
      <c r="J3616" s="95">
        <f>SUM(J3614:J3614)</f>
        <v>25</v>
      </c>
      <c r="K3616" s="92"/>
      <c r="L3616" s="90"/>
      <c r="M3616" s="44"/>
      <c r="N3616" s="82"/>
      <c r="O3616" s="44"/>
      <c r="P3616" s="44"/>
      <c r="Q3616" s="44"/>
      <c r="R3616" s="84"/>
      <c r="S3616" s="47"/>
      <c r="T3616" s="47"/>
    </row>
    <row r="3617" s="27" customFormat="1" ht="20" customHeight="1" spans="1:20">
      <c r="A3617" s="34"/>
      <c r="B3617" s="48">
        <v>1</v>
      </c>
      <c r="C3617" s="48" t="s">
        <v>394</v>
      </c>
      <c r="D3617" s="88" t="s">
        <v>602</v>
      </c>
      <c r="E3617" s="72" t="str">
        <f>+VLOOKUP(D3617,'材料表 '!C:F,2,0)</f>
        <v>㎡</v>
      </c>
      <c r="F3617" s="77">
        <v>0.2</v>
      </c>
      <c r="G3617" s="89">
        <f>+VLOOKUP(D3617,'材料表 '!C:F,4,0)</f>
        <v>0</v>
      </c>
      <c r="H3617" s="74">
        <f t="shared" ref="H3617:H3619" si="530">F3617*(G3617+1)</f>
        <v>0.2</v>
      </c>
      <c r="I3617" s="74">
        <f>+VLOOKUP(D3617,'材料表 '!C:F,3,0)</f>
        <v>30.9734513274336</v>
      </c>
      <c r="J3617" s="95">
        <f t="shared" si="529"/>
        <v>6.19469026548672</v>
      </c>
      <c r="K3617" s="92">
        <f ca="1">H3617*K3603</f>
        <v>273.6</v>
      </c>
      <c r="L3617" s="90"/>
      <c r="M3617" s="44"/>
      <c r="N3617" s="82"/>
      <c r="O3617" s="44"/>
      <c r="P3617" s="44"/>
      <c r="Q3617" s="44"/>
      <c r="R3617" s="84"/>
      <c r="S3617" s="47"/>
      <c r="T3617" s="47"/>
    </row>
    <row r="3618" s="27" customFormat="1" ht="18" customHeight="1" spans="1:20">
      <c r="A3618" s="34"/>
      <c r="B3618" s="48">
        <v>2</v>
      </c>
      <c r="C3618" s="48"/>
      <c r="D3618" s="88" t="s">
        <v>475</v>
      </c>
      <c r="E3618" s="72" t="str">
        <f>+VLOOKUP(D3618,'材料表 '!C:F,2,0)</f>
        <v>m2</v>
      </c>
      <c r="F3618" s="77">
        <v>0.4</v>
      </c>
      <c r="G3618" s="89">
        <f>+VLOOKUP(D3618,'材料表 '!C:F,4,0)</f>
        <v>0.01</v>
      </c>
      <c r="H3618" s="74">
        <f t="shared" si="530"/>
        <v>0.404</v>
      </c>
      <c r="I3618" s="74">
        <f>+VLOOKUP(D3618,'材料表 '!C:F,3,0)</f>
        <v>44.2477876106195</v>
      </c>
      <c r="J3618" s="95">
        <f t="shared" si="529"/>
        <v>17.8761061946903</v>
      </c>
      <c r="K3618" s="92">
        <f ca="1">H3618*K3603</f>
        <v>552.672</v>
      </c>
      <c r="L3618" s="90"/>
      <c r="M3618" s="44"/>
      <c r="N3618" s="82"/>
      <c r="O3618" s="44"/>
      <c r="P3618" s="44"/>
      <c r="Q3618" s="44"/>
      <c r="R3618" s="84"/>
      <c r="S3618" s="47"/>
      <c r="T3618" s="47"/>
    </row>
    <row r="3619" s="27" customFormat="1" ht="18" customHeight="1" spans="1:20">
      <c r="A3619" s="34"/>
      <c r="B3619" s="48">
        <v>3</v>
      </c>
      <c r="C3619" s="48"/>
      <c r="D3619" s="88" t="s">
        <v>603</v>
      </c>
      <c r="E3619" s="72" t="str">
        <f>+VLOOKUP(D3619,'材料表 '!C:F,2,0)</f>
        <v>支</v>
      </c>
      <c r="F3619" s="77">
        <v>0.2</v>
      </c>
      <c r="G3619" s="89">
        <f>+VLOOKUP(D3619,'材料表 '!C:F,4,0)</f>
        <v>0.15</v>
      </c>
      <c r="H3619" s="74">
        <f t="shared" si="530"/>
        <v>0.23</v>
      </c>
      <c r="I3619" s="74">
        <f>+VLOOKUP(D3619,'材料表 '!C:F,3,0)</f>
        <v>30.9734513274336</v>
      </c>
      <c r="J3619" s="95">
        <f t="shared" si="529"/>
        <v>7.12389380530973</v>
      </c>
      <c r="K3619" s="92">
        <f ca="1">H3619*K3603</f>
        <v>314.64</v>
      </c>
      <c r="L3619" s="90"/>
      <c r="M3619" s="44"/>
      <c r="N3619" s="82"/>
      <c r="O3619" s="44"/>
      <c r="P3619" s="44"/>
      <c r="Q3619" s="44"/>
      <c r="R3619" s="84"/>
      <c r="S3619" s="47"/>
      <c r="T3619" s="47"/>
    </row>
    <row r="3620" s="27" customFormat="1" ht="18" customHeight="1" spans="1:20">
      <c r="A3620" s="34"/>
      <c r="B3620" s="48">
        <v>4</v>
      </c>
      <c r="C3620" s="48"/>
      <c r="D3620" s="88"/>
      <c r="E3620" s="72"/>
      <c r="F3620" s="77"/>
      <c r="G3620" s="89"/>
      <c r="H3620" s="74"/>
      <c r="I3620" s="74"/>
      <c r="J3620" s="95"/>
      <c r="K3620" s="92">
        <f ca="1">H3620*K3603</f>
        <v>0</v>
      </c>
      <c r="L3620" s="90"/>
      <c r="M3620" s="44"/>
      <c r="N3620" s="82"/>
      <c r="O3620" s="44"/>
      <c r="P3620" s="44"/>
      <c r="Q3620" s="44"/>
      <c r="R3620" s="84"/>
      <c r="S3620" s="47"/>
      <c r="T3620" s="47"/>
    </row>
    <row r="3621" s="27" customFormat="1" ht="18" customHeight="1" spans="1:20">
      <c r="A3621" s="34"/>
      <c r="B3621" s="48">
        <v>5</v>
      </c>
      <c r="C3621" s="48"/>
      <c r="D3621" s="88"/>
      <c r="E3621" s="72"/>
      <c r="F3621" s="77"/>
      <c r="G3621" s="89"/>
      <c r="H3621" s="74"/>
      <c r="I3621" s="74"/>
      <c r="J3621" s="95"/>
      <c r="K3621" s="92">
        <f ca="1">H3621*K3603</f>
        <v>0</v>
      </c>
      <c r="L3621" s="92"/>
      <c r="M3621" s="44"/>
      <c r="N3621" s="82"/>
      <c r="O3621" s="44"/>
      <c r="P3621" s="44"/>
      <c r="Q3621" s="44"/>
      <c r="R3621" s="84"/>
      <c r="S3621" s="47"/>
      <c r="T3621" s="47"/>
    </row>
    <row r="3622" s="27" customFormat="1" ht="18" customHeight="1" spans="1:20">
      <c r="A3622" s="34"/>
      <c r="B3622" s="48">
        <v>6</v>
      </c>
      <c r="C3622" s="48"/>
      <c r="D3622" s="88"/>
      <c r="E3622" s="72"/>
      <c r="F3622" s="77"/>
      <c r="G3622" s="89"/>
      <c r="H3622" s="74"/>
      <c r="I3622" s="74"/>
      <c r="J3622" s="95"/>
      <c r="K3622" s="92">
        <f ca="1">H3622*K3603</f>
        <v>0</v>
      </c>
      <c r="L3622" s="92"/>
      <c r="M3622" s="44"/>
      <c r="N3622" s="82"/>
      <c r="O3622" s="44"/>
      <c r="P3622" s="44"/>
      <c r="Q3622" s="44"/>
      <c r="R3622" s="84"/>
      <c r="S3622" s="47"/>
      <c r="T3622" s="47"/>
    </row>
    <row r="3623" s="27" customFormat="1" ht="18" customHeight="1" spans="1:20">
      <c r="A3623" s="34"/>
      <c r="B3623" s="48">
        <v>7</v>
      </c>
      <c r="C3623" s="48"/>
      <c r="D3623" s="88"/>
      <c r="E3623" s="72"/>
      <c r="F3623" s="77"/>
      <c r="G3623" s="89"/>
      <c r="H3623" s="74"/>
      <c r="I3623" s="74"/>
      <c r="J3623" s="95"/>
      <c r="K3623" s="92">
        <f ca="1">H3623*K3603</f>
        <v>0</v>
      </c>
      <c r="L3623" s="92"/>
      <c r="M3623" s="44"/>
      <c r="N3623" s="82"/>
      <c r="O3623" s="44"/>
      <c r="P3623" s="44"/>
      <c r="Q3623" s="44"/>
      <c r="R3623" s="84"/>
      <c r="S3623" s="47"/>
      <c r="T3623" s="47"/>
    </row>
    <row r="3624" s="27" customFormat="1" ht="18" customHeight="1" spans="1:20">
      <c r="A3624" s="34"/>
      <c r="B3624" s="48">
        <v>8</v>
      </c>
      <c r="C3624" s="48"/>
      <c r="D3624" s="88"/>
      <c r="E3624" s="72"/>
      <c r="F3624" s="77"/>
      <c r="G3624" s="89"/>
      <c r="H3624" s="74"/>
      <c r="I3624" s="74"/>
      <c r="J3624" s="95"/>
      <c r="K3624" s="92">
        <f ca="1">H3624*K3603</f>
        <v>0</v>
      </c>
      <c r="L3624" s="92"/>
      <c r="M3624" s="44"/>
      <c r="N3624" s="82"/>
      <c r="O3624" s="44"/>
      <c r="P3624" s="44"/>
      <c r="Q3624" s="44"/>
      <c r="R3624" s="84"/>
      <c r="S3624" s="47"/>
      <c r="T3624" s="47"/>
    </row>
    <row r="3625" s="27" customFormat="1" ht="18" customHeight="1" spans="1:20">
      <c r="A3625" s="34"/>
      <c r="B3625" s="48">
        <v>9</v>
      </c>
      <c r="C3625" s="48"/>
      <c r="D3625" s="88"/>
      <c r="E3625" s="72"/>
      <c r="F3625" s="77"/>
      <c r="G3625" s="89"/>
      <c r="H3625" s="74"/>
      <c r="I3625" s="74"/>
      <c r="J3625" s="95"/>
      <c r="K3625" s="92">
        <f ca="1">H3625*K3603</f>
        <v>0</v>
      </c>
      <c r="L3625" s="90"/>
      <c r="M3625" s="44"/>
      <c r="N3625" s="82"/>
      <c r="O3625" s="34"/>
      <c r="P3625" s="44"/>
      <c r="Q3625" s="44"/>
      <c r="R3625" s="119"/>
      <c r="S3625" s="47"/>
      <c r="T3625" s="47"/>
    </row>
    <row r="3626" s="27" customFormat="1" ht="18" customHeight="1" spans="1:20">
      <c r="A3626" s="34"/>
      <c r="B3626" s="48">
        <v>10</v>
      </c>
      <c r="C3626" s="48"/>
      <c r="D3626" s="88"/>
      <c r="E3626" s="72"/>
      <c r="F3626" s="77"/>
      <c r="G3626" s="89"/>
      <c r="H3626" s="74"/>
      <c r="I3626" s="74"/>
      <c r="J3626" s="95"/>
      <c r="K3626" s="92">
        <f ca="1">H3626*K3603</f>
        <v>0</v>
      </c>
      <c r="L3626" s="92"/>
      <c r="M3626" s="120"/>
      <c r="N3626" s="82"/>
      <c r="O3626" s="44"/>
      <c r="P3626" s="44"/>
      <c r="Q3626" s="44"/>
      <c r="R3626" s="84"/>
      <c r="S3626" s="47"/>
      <c r="T3626" s="47"/>
    </row>
    <row r="3627" s="27" customFormat="1" ht="18" customHeight="1" spans="1:20">
      <c r="A3627" s="34"/>
      <c r="B3627" s="48">
        <v>11</v>
      </c>
      <c r="C3627" s="48"/>
      <c r="D3627" s="88"/>
      <c r="E3627" s="72"/>
      <c r="F3627" s="77"/>
      <c r="G3627" s="89"/>
      <c r="H3627" s="74"/>
      <c r="I3627" s="74"/>
      <c r="J3627" s="95"/>
      <c r="K3627" s="92">
        <f ca="1">H3627*K3603</f>
        <v>0</v>
      </c>
      <c r="L3627" s="92"/>
      <c r="M3627" s="44"/>
      <c r="N3627" s="82"/>
      <c r="O3627" s="44"/>
      <c r="P3627" s="44"/>
      <c r="Q3627" s="44"/>
      <c r="R3627" s="84"/>
      <c r="S3627" s="47"/>
      <c r="T3627" s="47"/>
    </row>
    <row r="3628" s="27" customFormat="1" ht="18" customHeight="1" spans="1:20">
      <c r="A3628" s="34"/>
      <c r="B3628" s="48">
        <v>12</v>
      </c>
      <c r="C3628" s="48"/>
      <c r="D3628" s="88"/>
      <c r="E3628" s="72"/>
      <c r="F3628" s="77"/>
      <c r="G3628" s="89"/>
      <c r="H3628" s="74"/>
      <c r="I3628" s="74"/>
      <c r="J3628" s="95"/>
      <c r="K3628" s="92"/>
      <c r="L3628" s="92"/>
      <c r="M3628" s="44"/>
      <c r="N3628" s="44"/>
      <c r="O3628" s="44"/>
      <c r="P3628" s="44"/>
      <c r="Q3628" s="44"/>
      <c r="R3628" s="84"/>
      <c r="S3628" s="47"/>
      <c r="T3628" s="47"/>
    </row>
    <row r="3629" s="27" customFormat="1" ht="18" customHeight="1" spans="1:20">
      <c r="A3629" s="34"/>
      <c r="B3629" s="48">
        <v>13</v>
      </c>
      <c r="C3629" s="48"/>
      <c r="D3629" s="88"/>
      <c r="E3629" s="72"/>
      <c r="F3629" s="77"/>
      <c r="G3629" s="89"/>
      <c r="H3629" s="74"/>
      <c r="I3629" s="74"/>
      <c r="J3629" s="95"/>
      <c r="K3629" s="92"/>
      <c r="L3629" s="92"/>
      <c r="M3629" s="44"/>
      <c r="N3629" s="44"/>
      <c r="O3629" s="44"/>
      <c r="P3629" s="44"/>
      <c r="Q3629" s="44"/>
      <c r="R3629" s="84"/>
      <c r="S3629" s="47"/>
      <c r="T3629" s="47"/>
    </row>
    <row r="3630" s="27" customFormat="1" ht="24" customHeight="1" spans="1:20">
      <c r="A3630" s="34"/>
      <c r="B3630" s="48">
        <v>14</v>
      </c>
      <c r="C3630" s="48"/>
      <c r="D3630" s="88"/>
      <c r="E3630" s="72"/>
      <c r="F3630" s="77"/>
      <c r="G3630" s="89"/>
      <c r="H3630" s="74"/>
      <c r="I3630" s="74"/>
      <c r="J3630" s="95"/>
      <c r="K3630" s="92"/>
      <c r="L3630" s="92"/>
      <c r="M3630" s="44"/>
      <c r="N3630" s="44"/>
      <c r="O3630" s="44"/>
      <c r="P3630" s="44"/>
      <c r="Q3630" s="44"/>
      <c r="R3630" s="84"/>
      <c r="S3630" s="47"/>
      <c r="T3630" s="47"/>
    </row>
    <row r="3631" s="27" customFormat="1" ht="18" customHeight="1" spans="1:20">
      <c r="A3631" s="34"/>
      <c r="B3631" s="48">
        <v>15</v>
      </c>
      <c r="C3631" s="48"/>
      <c r="D3631" s="88"/>
      <c r="E3631" s="72"/>
      <c r="F3631" s="77"/>
      <c r="G3631" s="89"/>
      <c r="H3631" s="74"/>
      <c r="I3631" s="74"/>
      <c r="J3631" s="95"/>
      <c r="K3631" s="92"/>
      <c r="L3631" s="92"/>
      <c r="M3631" s="44"/>
      <c r="N3631" s="44"/>
      <c r="O3631" s="44"/>
      <c r="P3631" s="44"/>
      <c r="Q3631" s="44"/>
      <c r="R3631" s="84"/>
      <c r="S3631" s="47"/>
      <c r="T3631" s="47"/>
    </row>
    <row r="3632" s="27" customFormat="1" ht="18" customHeight="1" spans="1:20">
      <c r="A3632" s="34"/>
      <c r="B3632" s="48">
        <v>16</v>
      </c>
      <c r="C3632" s="48"/>
      <c r="D3632" s="88"/>
      <c r="E3632" s="72"/>
      <c r="F3632" s="77"/>
      <c r="G3632" s="89"/>
      <c r="H3632" s="74"/>
      <c r="I3632" s="74"/>
      <c r="J3632" s="95"/>
      <c r="K3632" s="92"/>
      <c r="L3632" s="92"/>
      <c r="M3632" s="44"/>
      <c r="N3632" s="44"/>
      <c r="O3632" s="44"/>
      <c r="P3632" s="44"/>
      <c r="Q3632" s="44"/>
      <c r="R3632" s="84"/>
      <c r="S3632" s="47"/>
      <c r="T3632" s="47"/>
    </row>
    <row r="3633" s="27" customFormat="1" ht="18" customHeight="1" spans="1:20">
      <c r="A3633" s="34"/>
      <c r="B3633" s="48">
        <v>17</v>
      </c>
      <c r="C3633" s="48"/>
      <c r="D3633" s="121"/>
      <c r="E3633" s="72"/>
      <c r="F3633" s="77"/>
      <c r="G3633" s="89"/>
      <c r="H3633" s="74"/>
      <c r="I3633" s="74"/>
      <c r="J3633" s="95"/>
      <c r="K3633" s="92"/>
      <c r="L3633" s="92"/>
      <c r="M3633" s="44"/>
      <c r="N3633" s="44"/>
      <c r="O3633" s="44"/>
      <c r="P3633" s="44"/>
      <c r="Q3633" s="101"/>
      <c r="R3633" s="84"/>
      <c r="S3633" s="47"/>
      <c r="T3633" s="47"/>
    </row>
    <row r="3634" s="27" customFormat="1" ht="18" customHeight="1" spans="1:20">
      <c r="A3634" s="34"/>
      <c r="B3634" s="48">
        <v>18</v>
      </c>
      <c r="C3634" s="48"/>
      <c r="D3634" s="88"/>
      <c r="E3634" s="72"/>
      <c r="F3634" s="77"/>
      <c r="G3634" s="89"/>
      <c r="H3634" s="74"/>
      <c r="I3634" s="74"/>
      <c r="J3634" s="95"/>
      <c r="K3634" s="92"/>
      <c r="L3634" s="92"/>
      <c r="M3634" s="44"/>
      <c r="N3634" s="44"/>
      <c r="O3634" s="44"/>
      <c r="P3634" s="44"/>
      <c r="Q3634" s="44"/>
      <c r="R3634" s="84"/>
      <c r="S3634" s="47"/>
      <c r="T3634" s="47"/>
    </row>
    <row r="3635" s="27" customFormat="1" ht="18" customHeight="1" spans="1:20">
      <c r="A3635" s="34"/>
      <c r="B3635" s="48">
        <v>19</v>
      </c>
      <c r="C3635" s="48"/>
      <c r="D3635" s="27"/>
      <c r="E3635" s="72"/>
      <c r="F3635" s="77"/>
      <c r="G3635" s="89"/>
      <c r="H3635" s="74"/>
      <c r="I3635" s="74"/>
      <c r="J3635" s="95"/>
      <c r="K3635" s="92"/>
      <c r="L3635" s="92"/>
      <c r="M3635" s="44"/>
      <c r="N3635" s="44"/>
      <c r="O3635" s="44"/>
      <c r="P3635" s="44"/>
      <c r="Q3635" s="44"/>
      <c r="R3635" s="84"/>
      <c r="S3635" s="47"/>
      <c r="T3635" s="47"/>
    </row>
    <row r="3636" s="27" customFormat="1" ht="18" customHeight="1" spans="1:20">
      <c r="A3636" s="34"/>
      <c r="B3636" s="48">
        <v>20</v>
      </c>
      <c r="C3636" s="48"/>
      <c r="D3636" s="88"/>
      <c r="E3636" s="72"/>
      <c r="F3636" s="77"/>
      <c r="G3636" s="89"/>
      <c r="H3636" s="74"/>
      <c r="I3636" s="74"/>
      <c r="J3636" s="95"/>
      <c r="K3636" s="92"/>
      <c r="L3636" s="92"/>
      <c r="M3636" s="44"/>
      <c r="N3636" s="44"/>
      <c r="O3636" s="44"/>
      <c r="P3636" s="44"/>
      <c r="Q3636" s="44"/>
      <c r="R3636" s="84"/>
      <c r="S3636" s="47"/>
      <c r="T3636" s="47"/>
    </row>
    <row r="3637" s="27" customFormat="1" ht="18" customHeight="1" spans="1:20">
      <c r="A3637" s="34"/>
      <c r="B3637" s="48">
        <v>21</v>
      </c>
      <c r="C3637" s="48"/>
      <c r="D3637" s="88"/>
      <c r="E3637" s="72"/>
      <c r="F3637" s="77"/>
      <c r="G3637" s="89"/>
      <c r="H3637" s="74"/>
      <c r="I3637" s="74"/>
      <c r="J3637" s="95"/>
      <c r="K3637" s="92"/>
      <c r="L3637" s="92"/>
      <c r="M3637" s="44"/>
      <c r="N3637" s="44"/>
      <c r="O3637" s="44"/>
      <c r="P3637" s="44"/>
      <c r="Q3637" s="44"/>
      <c r="R3637" s="84"/>
      <c r="S3637" s="47"/>
      <c r="T3637" s="47"/>
    </row>
    <row r="3638" s="27" customFormat="1" ht="18" customHeight="1" spans="1:20">
      <c r="A3638" s="34"/>
      <c r="B3638" s="48">
        <v>22</v>
      </c>
      <c r="C3638" s="48"/>
      <c r="D3638" s="27"/>
      <c r="E3638" s="72"/>
      <c r="F3638" s="77"/>
      <c r="G3638" s="72"/>
      <c r="H3638" s="74"/>
      <c r="I3638" s="74"/>
      <c r="J3638" s="95"/>
      <c r="K3638" s="92"/>
      <c r="L3638" s="92"/>
      <c r="M3638" s="44"/>
      <c r="N3638" s="44"/>
      <c r="O3638" s="44"/>
      <c r="P3638" s="44"/>
      <c r="Q3638" s="44"/>
      <c r="R3638" s="62"/>
      <c r="S3638" s="47"/>
      <c r="T3638" s="47"/>
    </row>
    <row r="3639" s="27" customFormat="1" ht="18" customHeight="1" spans="1:20">
      <c r="A3639" s="34"/>
      <c r="B3639" s="48">
        <v>23</v>
      </c>
      <c r="C3639" s="48"/>
      <c r="D3639" s="88"/>
      <c r="E3639" s="72"/>
      <c r="F3639" s="77"/>
      <c r="G3639" s="89"/>
      <c r="H3639" s="74"/>
      <c r="I3639" s="74"/>
      <c r="J3639" s="95"/>
      <c r="K3639" s="92"/>
      <c r="L3639" s="92"/>
      <c r="M3639" s="44"/>
      <c r="N3639" s="44"/>
      <c r="O3639" s="44"/>
      <c r="P3639" s="44"/>
      <c r="Q3639" s="44"/>
      <c r="R3639" s="62"/>
      <c r="S3639" s="47"/>
      <c r="T3639" s="47"/>
    </row>
    <row r="3640" s="27" customFormat="1" ht="18" customHeight="1" spans="1:20">
      <c r="A3640" s="34"/>
      <c r="B3640" s="48">
        <v>24</v>
      </c>
      <c r="C3640" s="48"/>
      <c r="D3640" s="88" t="s">
        <v>478</v>
      </c>
      <c r="E3640" s="72" t="s">
        <v>109</v>
      </c>
      <c r="F3640" s="77"/>
      <c r="G3640" s="72">
        <v>1</v>
      </c>
      <c r="H3640" s="74">
        <v>1</v>
      </c>
      <c r="I3640" s="74">
        <f>+辅材及安装费!$E$14</f>
        <v>2</v>
      </c>
      <c r="J3640" s="95">
        <f>H3640*I3640</f>
        <v>2</v>
      </c>
      <c r="K3640" s="92"/>
      <c r="L3640" s="92"/>
      <c r="M3640" s="44"/>
      <c r="N3640" s="44"/>
      <c r="O3640" s="44"/>
      <c r="P3640" s="44"/>
      <c r="Q3640" s="44"/>
      <c r="R3640" s="62"/>
      <c r="S3640" s="47"/>
      <c r="T3640" s="47"/>
    </row>
    <row r="3641" s="27" customFormat="1" ht="18" customHeight="1" spans="1:20">
      <c r="A3641" s="34"/>
      <c r="B3641" s="48">
        <v>25</v>
      </c>
      <c r="C3641" s="48"/>
      <c r="D3641" s="93" t="s">
        <v>442</v>
      </c>
      <c r="E3641" s="72"/>
      <c r="F3641" s="77"/>
      <c r="G3641" s="72"/>
      <c r="H3641" s="74"/>
      <c r="I3641" s="74"/>
      <c r="J3641" s="95">
        <f>SUM(J3617:J3640)</f>
        <v>33.1946902654867</v>
      </c>
      <c r="K3641" s="92"/>
      <c r="L3641" s="94"/>
      <c r="N3641" s="83"/>
      <c r="O3641" s="83"/>
      <c r="P3641" s="83"/>
      <c r="Q3641" s="83"/>
      <c r="R3641" s="87"/>
      <c r="S3641" s="47"/>
      <c r="T3641" s="47"/>
    </row>
    <row r="3642" s="27" customFormat="1" ht="18" customHeight="1" spans="1:20">
      <c r="A3642" s="34"/>
      <c r="B3642" s="48">
        <v>1</v>
      </c>
      <c r="C3642" s="48" t="s">
        <v>443</v>
      </c>
      <c r="D3642" s="48" t="s">
        <v>444</v>
      </c>
      <c r="E3642" s="72" t="s">
        <v>109</v>
      </c>
      <c r="F3642" s="50"/>
      <c r="G3642" s="48"/>
      <c r="H3642" s="51">
        <v>1</v>
      </c>
      <c r="I3642" s="74">
        <f>+辅材及安装费!$F$14</f>
        <v>2</v>
      </c>
      <c r="J3642" s="95">
        <f>H3642*I3642</f>
        <v>2</v>
      </c>
      <c r="K3642" s="118"/>
      <c r="L3642" s="96"/>
      <c r="M3642" s="97"/>
      <c r="N3642" s="98"/>
      <c r="O3642" s="98"/>
      <c r="P3642" s="98"/>
      <c r="Q3642" s="98"/>
      <c r="R3642" s="99"/>
      <c r="S3642" s="47"/>
      <c r="T3642" s="47"/>
    </row>
    <row r="3643" s="26" customFormat="1" ht="30" customHeight="1" spans="1:20">
      <c r="A3643" s="28"/>
      <c r="B3643" s="29" t="s">
        <v>386</v>
      </c>
      <c r="C3643" s="29"/>
      <c r="D3643" s="29"/>
      <c r="E3643" s="29"/>
      <c r="F3643" s="29"/>
      <c r="G3643" s="29"/>
      <c r="H3643" s="29"/>
      <c r="I3643" s="29"/>
      <c r="J3643" s="29"/>
      <c r="K3643" s="29"/>
      <c r="L3643" s="30"/>
      <c r="M3643" s="31"/>
      <c r="N3643" s="31"/>
      <c r="O3643" s="31"/>
      <c r="P3643" s="31"/>
      <c r="Q3643" s="31"/>
      <c r="R3643" s="32"/>
      <c r="S3643" s="33"/>
      <c r="T3643" s="33"/>
    </row>
    <row r="3644" s="27" customFormat="1" ht="33.75" customHeight="1" spans="1:20">
      <c r="A3644" s="34">
        <v>4</v>
      </c>
      <c r="B3644" s="35" t="s">
        <v>1</v>
      </c>
      <c r="C3644" s="35" t="s">
        <v>387</v>
      </c>
      <c r="D3644" s="36" t="str">
        <f>+A3652</f>
        <v>1.5㎜镀锌钢板封堵</v>
      </c>
      <c r="E3644" s="37"/>
      <c r="F3644" s="38"/>
      <c r="G3644" s="39"/>
      <c r="H3644" s="35" t="s">
        <v>388</v>
      </c>
      <c r="I3644" s="40" t="s">
        <v>389</v>
      </c>
      <c r="J3644" s="41" t="s">
        <v>37</v>
      </c>
      <c r="K3644" s="42">
        <f ca="1">VLOOKUP(A3644,'商业工程量清单 '!$A$99:$D$103,4,FALSE)</f>
        <v>50</v>
      </c>
      <c r="L3644" s="43"/>
      <c r="M3644" s="44"/>
      <c r="N3644" s="44"/>
      <c r="O3644" s="44"/>
      <c r="P3644" s="45"/>
      <c r="Q3644" s="44"/>
      <c r="R3644" s="46"/>
      <c r="S3644" s="47"/>
      <c r="T3644" s="47"/>
    </row>
    <row r="3645" s="27" customFormat="1" ht="25" customHeight="1" spans="1:20">
      <c r="A3645" s="34"/>
      <c r="B3645" s="48">
        <v>1</v>
      </c>
      <c r="C3645" s="49" t="s">
        <v>390</v>
      </c>
      <c r="D3645" s="48" t="s">
        <v>391</v>
      </c>
      <c r="E3645" s="48"/>
      <c r="F3645" s="50"/>
      <c r="G3645" s="48"/>
      <c r="H3645" s="51"/>
      <c r="I3645" s="52">
        <f>J3657</f>
        <v>35</v>
      </c>
      <c r="J3645" s="53" t="s">
        <v>392</v>
      </c>
      <c r="K3645" s="54"/>
      <c r="L3645" s="55" t="s">
        <v>584</v>
      </c>
      <c r="M3645" s="56" t="s">
        <v>585</v>
      </c>
      <c r="N3645" s="57"/>
      <c r="O3645" s="57">
        <v>3.23</v>
      </c>
      <c r="P3645" s="57">
        <v>1.2</v>
      </c>
      <c r="Q3645" s="57">
        <v>1</v>
      </c>
      <c r="R3645" s="58">
        <f>O3645</f>
        <v>3.23</v>
      </c>
      <c r="S3645" s="47"/>
      <c r="T3645" s="47"/>
    </row>
    <row r="3646" s="27" customFormat="1" ht="18" customHeight="1" spans="1:20">
      <c r="A3646" s="34"/>
      <c r="B3646" s="48">
        <v>2</v>
      </c>
      <c r="C3646" s="59"/>
      <c r="D3646" s="48" t="s">
        <v>394</v>
      </c>
      <c r="E3646" s="48"/>
      <c r="F3646" s="50"/>
      <c r="G3646" s="48"/>
      <c r="H3646" s="51"/>
      <c r="I3646" s="52">
        <f>J3682</f>
        <v>48.3362831858407</v>
      </c>
      <c r="J3646" s="53" t="s">
        <v>392</v>
      </c>
      <c r="K3646" s="60"/>
      <c r="L3646" s="61" t="s">
        <v>203</v>
      </c>
      <c r="M3646" s="44"/>
      <c r="N3646" s="44"/>
      <c r="O3646" s="44"/>
      <c r="P3646" s="44"/>
      <c r="Q3646" s="44"/>
      <c r="R3646" s="62"/>
      <c r="S3646" s="47"/>
      <c r="T3646" s="47"/>
    </row>
    <row r="3647" s="27" customFormat="1" ht="18" customHeight="1" spans="1:20">
      <c r="A3647" s="34"/>
      <c r="B3647" s="48">
        <v>3</v>
      </c>
      <c r="C3647" s="63"/>
      <c r="D3647" s="48" t="s">
        <v>395</v>
      </c>
      <c r="E3647" s="48"/>
      <c r="F3647" s="50"/>
      <c r="G3647" s="48"/>
      <c r="H3647" s="51"/>
      <c r="I3647" s="52">
        <f>J3683</f>
        <v>1</v>
      </c>
      <c r="J3647" s="53" t="s">
        <v>392</v>
      </c>
      <c r="K3647" s="60"/>
      <c r="L3647" s="60"/>
      <c r="M3647" s="64" t="s">
        <v>396</v>
      </c>
      <c r="N3647" s="65" t="s">
        <v>397</v>
      </c>
      <c r="O3647" s="65" t="s">
        <v>398</v>
      </c>
      <c r="P3647" s="65" t="s">
        <v>399</v>
      </c>
      <c r="Q3647" s="65" t="s">
        <v>400</v>
      </c>
      <c r="R3647" s="66" t="s">
        <v>401</v>
      </c>
      <c r="S3647" s="47"/>
      <c r="T3647" s="47"/>
    </row>
    <row r="3648" s="27" customFormat="1" ht="18" customHeight="1" spans="1:20">
      <c r="A3648" s="34"/>
      <c r="B3648" s="48">
        <v>4</v>
      </c>
      <c r="C3648" s="48" t="s">
        <v>402</v>
      </c>
      <c r="D3648" s="67" t="s">
        <v>403</v>
      </c>
      <c r="E3648" s="67"/>
      <c r="F3648" s="50"/>
      <c r="G3648" s="67"/>
      <c r="H3648" s="68"/>
      <c r="I3648" s="52">
        <f>SUM(I3645:I3647)</f>
        <v>84.3362831858408</v>
      </c>
      <c r="J3648" s="53" t="s">
        <v>392</v>
      </c>
      <c r="K3648" s="60"/>
      <c r="L3648" s="69"/>
      <c r="M3648" s="34"/>
      <c r="N3648" s="34"/>
      <c r="O3648" s="34"/>
      <c r="P3648" s="34"/>
      <c r="Q3648" s="44"/>
      <c r="R3648" s="71"/>
      <c r="S3648" s="47"/>
      <c r="T3648" s="47"/>
    </row>
    <row r="3649" s="27" customFormat="1" ht="28" customHeight="1" spans="1:20">
      <c r="A3649" s="34"/>
      <c r="B3649" s="48">
        <v>5</v>
      </c>
      <c r="C3649" s="72" t="s">
        <v>406</v>
      </c>
      <c r="D3649" s="48" t="s">
        <v>407</v>
      </c>
      <c r="E3649" s="48"/>
      <c r="F3649" s="50"/>
      <c r="G3649" s="48"/>
      <c r="H3649" s="73">
        <f>+'材料表 '!$E$178</f>
        <v>0</v>
      </c>
      <c r="I3649" s="52">
        <f>H3649*I3648</f>
        <v>0</v>
      </c>
      <c r="J3649" s="53" t="s">
        <v>392</v>
      </c>
      <c r="K3649" s="60"/>
      <c r="L3649" s="69"/>
      <c r="M3649" s="34"/>
      <c r="N3649" s="34"/>
      <c r="O3649" s="34"/>
      <c r="P3649" s="34"/>
      <c r="Q3649" s="44"/>
      <c r="R3649" s="71"/>
      <c r="S3649" s="47"/>
      <c r="T3649" s="47"/>
    </row>
    <row r="3650" s="27" customFormat="1" ht="18" customHeight="1" spans="1:20">
      <c r="A3650" s="34"/>
      <c r="B3650" s="48">
        <v>6</v>
      </c>
      <c r="C3650" s="48" t="s">
        <v>409</v>
      </c>
      <c r="D3650" s="48" t="s">
        <v>410</v>
      </c>
      <c r="E3650" s="48"/>
      <c r="F3650" s="50"/>
      <c r="G3650" s="48"/>
      <c r="H3650" s="73">
        <f>+'材料表 '!$E$179</f>
        <v>0</v>
      </c>
      <c r="I3650" s="52">
        <f>H3650*I3648</f>
        <v>0</v>
      </c>
      <c r="J3650" s="53" t="s">
        <v>392</v>
      </c>
      <c r="K3650" s="60"/>
      <c r="L3650" s="69"/>
      <c r="M3650" s="34"/>
      <c r="N3650" s="34"/>
      <c r="O3650" s="34"/>
      <c r="P3650" s="34"/>
      <c r="Q3650" s="44"/>
      <c r="R3650" s="71"/>
      <c r="S3650" s="47"/>
      <c r="T3650" s="47"/>
    </row>
    <row r="3651" s="27" customFormat="1" ht="18" customHeight="1" spans="1:20">
      <c r="A3651" s="34"/>
      <c r="B3651" s="48">
        <v>7</v>
      </c>
      <c r="C3651" s="48" t="s">
        <v>412</v>
      </c>
      <c r="D3651" s="72" t="s">
        <v>413</v>
      </c>
      <c r="E3651" s="72"/>
      <c r="F3651" s="77"/>
      <c r="G3651" s="72"/>
      <c r="H3651" s="73">
        <f>+'材料表 '!$E$180</f>
        <v>0.09</v>
      </c>
      <c r="I3651" s="52">
        <f>(I3648+I3649+I3650)*H3651</f>
        <v>7.59026548672567</v>
      </c>
      <c r="J3651" s="53" t="s">
        <v>392</v>
      </c>
      <c r="K3651" s="60"/>
      <c r="L3651" s="69"/>
      <c r="M3651" s="34"/>
      <c r="N3651" s="34"/>
      <c r="O3651" s="34"/>
      <c r="P3651" s="34"/>
      <c r="Q3651" s="44"/>
      <c r="R3651" s="71"/>
      <c r="S3651" s="47"/>
      <c r="T3651" s="47"/>
    </row>
    <row r="3652" s="27" customFormat="1" ht="18" customHeight="1" spans="1:20">
      <c r="A3652" s="34" t="s">
        <v>605</v>
      </c>
      <c r="B3652" s="48">
        <v>8</v>
      </c>
      <c r="C3652" s="48" t="s">
        <v>363</v>
      </c>
      <c r="D3652" s="106" t="s">
        <v>415</v>
      </c>
      <c r="E3652" s="107"/>
      <c r="F3652" s="108"/>
      <c r="G3652" s="107"/>
      <c r="H3652" s="51"/>
      <c r="I3652" s="74">
        <f>SUM(I3648:I3651)</f>
        <v>91.9265486725664</v>
      </c>
      <c r="J3652" s="53" t="s">
        <v>416</v>
      </c>
      <c r="K3652" s="60"/>
      <c r="L3652" s="69"/>
      <c r="M3652" s="34"/>
      <c r="N3652" s="100"/>
      <c r="O3652" s="34"/>
      <c r="P3652" s="44"/>
      <c r="Q3652" s="44"/>
      <c r="R3652" s="84"/>
      <c r="S3652" s="79"/>
      <c r="T3652" s="47"/>
    </row>
    <row r="3653" s="27" customFormat="1" ht="18" customHeight="1" spans="1:20">
      <c r="A3653" s="34"/>
      <c r="B3653" s="109" t="s">
        <v>418</v>
      </c>
      <c r="C3653" s="110"/>
      <c r="D3653" s="110"/>
      <c r="E3653" s="110"/>
      <c r="F3653" s="110"/>
      <c r="G3653" s="110"/>
      <c r="H3653" s="110"/>
      <c r="I3653" s="110"/>
      <c r="J3653" s="110"/>
      <c r="K3653" s="80"/>
      <c r="L3653" s="69"/>
      <c r="M3653" s="44"/>
      <c r="N3653" s="82"/>
      <c r="O3653" s="44"/>
      <c r="P3653" s="44"/>
      <c r="Q3653" s="44"/>
      <c r="R3653" s="84"/>
      <c r="S3653" s="47">
        <f>0.356</f>
        <v>0.356</v>
      </c>
      <c r="T3653" s="47">
        <f>S3653*P3653*O3653</f>
        <v>0</v>
      </c>
    </row>
    <row r="3654" s="27" customFormat="1" ht="18" customHeight="1" spans="1:20">
      <c r="A3654" s="34"/>
      <c r="B3654" s="48">
        <v>1</v>
      </c>
      <c r="C3654" s="48" t="s">
        <v>391</v>
      </c>
      <c r="D3654" s="48" t="s">
        <v>396</v>
      </c>
      <c r="E3654" s="48" t="s">
        <v>37</v>
      </c>
      <c r="F3654" s="50"/>
      <c r="G3654" s="48"/>
      <c r="H3654" s="51" t="s">
        <v>399</v>
      </c>
      <c r="I3654" s="51" t="s">
        <v>420</v>
      </c>
      <c r="J3654" s="95" t="s">
        <v>421</v>
      </c>
      <c r="K3654" s="92"/>
      <c r="L3654" s="69"/>
      <c r="M3654" s="44"/>
      <c r="N3654" s="82"/>
      <c r="O3654" s="44"/>
      <c r="P3654" s="44"/>
      <c r="Q3654" s="44"/>
      <c r="R3654" s="84"/>
      <c r="S3654" s="47"/>
      <c r="T3654" s="47"/>
    </row>
    <row r="3655" s="27" customFormat="1" ht="18" customHeight="1" spans="1:20">
      <c r="A3655" s="34"/>
      <c r="B3655" s="48">
        <v>2</v>
      </c>
      <c r="C3655" s="48"/>
      <c r="D3655" s="111" t="s">
        <v>606</v>
      </c>
      <c r="E3655" s="130" t="s">
        <v>423</v>
      </c>
      <c r="F3655" s="112"/>
      <c r="G3655" s="111"/>
      <c r="H3655" s="113">
        <v>1</v>
      </c>
      <c r="I3655" s="113">
        <f>+辅材及安装费!$G$15</f>
        <v>35</v>
      </c>
      <c r="J3655" s="114">
        <f t="shared" ref="J3655:J3660" si="531">H3655*I3655</f>
        <v>35</v>
      </c>
      <c r="K3655" s="92"/>
      <c r="L3655" s="69"/>
      <c r="M3655" s="44"/>
      <c r="N3655" s="82"/>
      <c r="O3655" s="44"/>
      <c r="P3655" s="44"/>
      <c r="Q3655" s="44"/>
      <c r="R3655" s="84"/>
      <c r="S3655" s="47"/>
      <c r="T3655" s="47"/>
    </row>
    <row r="3656" s="27" customFormat="1" ht="18" customHeight="1" spans="1:20">
      <c r="A3656" s="34"/>
      <c r="B3656" s="48">
        <v>3</v>
      </c>
      <c r="C3656" s="48"/>
      <c r="D3656" s="115"/>
      <c r="E3656" s="63"/>
      <c r="F3656" s="116"/>
      <c r="G3656" s="115"/>
      <c r="H3656" s="117"/>
      <c r="I3656" s="117"/>
      <c r="J3656" s="118"/>
      <c r="K3656" s="92"/>
      <c r="L3656" s="69"/>
      <c r="M3656" s="44"/>
      <c r="N3656" s="82"/>
      <c r="O3656" s="44"/>
      <c r="P3656" s="44"/>
      <c r="Q3656" s="44"/>
      <c r="R3656" s="84"/>
      <c r="S3656" s="47">
        <f>0.245</f>
        <v>0.245</v>
      </c>
      <c r="T3656" s="47">
        <f>S3656*P3656*O3656</f>
        <v>0</v>
      </c>
    </row>
    <row r="3657" s="27" customFormat="1" ht="18" customHeight="1" spans="1:20">
      <c r="A3657" s="34"/>
      <c r="B3657" s="48">
        <v>4</v>
      </c>
      <c r="C3657" s="48"/>
      <c r="D3657" s="85" t="s">
        <v>426</v>
      </c>
      <c r="E3657" s="48" t="s">
        <v>392</v>
      </c>
      <c r="F3657" s="50"/>
      <c r="G3657" s="48"/>
      <c r="H3657" s="86"/>
      <c r="I3657" s="86"/>
      <c r="J3657" s="95">
        <f>SUM(J3655:J3655)</f>
        <v>35</v>
      </c>
      <c r="K3657" s="92"/>
      <c r="L3657" s="90"/>
      <c r="M3657" s="44"/>
      <c r="N3657" s="82"/>
      <c r="O3657" s="44"/>
      <c r="P3657" s="44"/>
      <c r="Q3657" s="44"/>
      <c r="R3657" s="84"/>
      <c r="S3657" s="47"/>
      <c r="T3657" s="47"/>
    </row>
    <row r="3658" s="27" customFormat="1" ht="20" customHeight="1" spans="1:20">
      <c r="A3658" s="34"/>
      <c r="B3658" s="48">
        <v>1</v>
      </c>
      <c r="C3658" s="48" t="s">
        <v>394</v>
      </c>
      <c r="D3658" s="88" t="s">
        <v>475</v>
      </c>
      <c r="E3658" s="72" t="str">
        <f>+VLOOKUP(D3658,'材料表 '!C:F,2,0)</f>
        <v>m2</v>
      </c>
      <c r="F3658" s="77">
        <v>1</v>
      </c>
      <c r="G3658" s="89">
        <f>+VLOOKUP(D3658,'材料表 '!C:F,4,0)</f>
        <v>0.01</v>
      </c>
      <c r="H3658" s="74">
        <f>F3658*(G3658+1)</f>
        <v>1.01</v>
      </c>
      <c r="I3658" s="74">
        <f>+VLOOKUP(D3658,'材料表 '!C:F,3,0)</f>
        <v>44.2477876106195</v>
      </c>
      <c r="J3658" s="95">
        <f t="shared" si="531"/>
        <v>44.6902654867257</v>
      </c>
      <c r="K3658" s="92">
        <f ca="1">H3658*K3644</f>
        <v>50.5</v>
      </c>
      <c r="L3658" s="90"/>
      <c r="M3658" s="44"/>
      <c r="N3658" s="82"/>
      <c r="O3658" s="44"/>
      <c r="P3658" s="44"/>
      <c r="Q3658" s="44"/>
      <c r="R3658" s="84"/>
      <c r="S3658" s="47"/>
      <c r="T3658" s="47"/>
    </row>
    <row r="3659" s="27" customFormat="1" ht="18" customHeight="1" spans="1:20">
      <c r="A3659" s="34"/>
      <c r="B3659" s="48">
        <v>2</v>
      </c>
      <c r="C3659" s="48"/>
      <c r="D3659" s="88"/>
      <c r="E3659" s="72"/>
      <c r="F3659" s="77"/>
      <c r="G3659" s="89"/>
      <c r="H3659" s="74"/>
      <c r="I3659" s="74"/>
      <c r="J3659" s="95"/>
      <c r="K3659" s="92">
        <f ca="1">H3659*K3644</f>
        <v>0</v>
      </c>
      <c r="L3659" s="90"/>
      <c r="M3659" s="44"/>
      <c r="N3659" s="82"/>
      <c r="O3659" s="44"/>
      <c r="P3659" s="44"/>
      <c r="Q3659" s="44"/>
      <c r="R3659" s="84"/>
      <c r="S3659" s="47"/>
      <c r="T3659" s="47"/>
    </row>
    <row r="3660" s="27" customFormat="1" ht="18" customHeight="1" spans="1:20">
      <c r="A3660" s="34"/>
      <c r="B3660" s="48">
        <v>3</v>
      </c>
      <c r="C3660" s="48"/>
      <c r="D3660" s="88" t="s">
        <v>476</v>
      </c>
      <c r="E3660" s="72" t="str">
        <f>+VLOOKUP(D3660,'材料表 '!C:F,2,0)</f>
        <v>支</v>
      </c>
      <c r="F3660" s="77">
        <v>0.2</v>
      </c>
      <c r="G3660" s="89">
        <f>+VLOOKUP(D3660,'材料表 '!C:F,4,0)</f>
        <v>0.15</v>
      </c>
      <c r="H3660" s="74">
        <f>F3660*(G3660+1)</f>
        <v>0.23</v>
      </c>
      <c r="I3660" s="74">
        <f>+VLOOKUP(D3660,'材料表 '!C:F,3,0)</f>
        <v>11.5044247787611</v>
      </c>
      <c r="J3660" s="95">
        <f t="shared" si="531"/>
        <v>2.64601769911505</v>
      </c>
      <c r="K3660" s="92">
        <f ca="1">H3660*K3644</f>
        <v>11.5</v>
      </c>
      <c r="L3660" s="90"/>
      <c r="M3660" s="44"/>
      <c r="N3660" s="82"/>
      <c r="O3660" s="44"/>
      <c r="P3660" s="44"/>
      <c r="Q3660" s="44"/>
      <c r="R3660" s="84"/>
      <c r="S3660" s="47"/>
      <c r="T3660" s="47"/>
    </row>
    <row r="3661" s="27" customFormat="1" ht="18" customHeight="1" spans="1:20">
      <c r="A3661" s="34"/>
      <c r="B3661" s="48">
        <v>4</v>
      </c>
      <c r="C3661" s="48"/>
      <c r="D3661" s="88"/>
      <c r="E3661" s="72"/>
      <c r="F3661" s="77"/>
      <c r="G3661" s="89"/>
      <c r="H3661" s="74"/>
      <c r="I3661" s="74"/>
      <c r="J3661" s="95"/>
      <c r="K3661" s="92">
        <f ca="1">H3661*K3644</f>
        <v>0</v>
      </c>
      <c r="L3661" s="90"/>
      <c r="M3661" s="44"/>
      <c r="N3661" s="82"/>
      <c r="O3661" s="44"/>
      <c r="P3661" s="44"/>
      <c r="Q3661" s="44"/>
      <c r="R3661" s="84"/>
      <c r="S3661" s="47"/>
      <c r="T3661" s="47"/>
    </row>
    <row r="3662" s="27" customFormat="1" ht="18" customHeight="1" spans="1:20">
      <c r="A3662" s="34"/>
      <c r="B3662" s="48">
        <v>5</v>
      </c>
      <c r="C3662" s="48"/>
      <c r="D3662" s="88"/>
      <c r="E3662" s="72"/>
      <c r="F3662" s="77"/>
      <c r="G3662" s="89"/>
      <c r="H3662" s="74"/>
      <c r="I3662" s="74"/>
      <c r="J3662" s="95"/>
      <c r="K3662" s="92">
        <f ca="1">H3662*K3644</f>
        <v>0</v>
      </c>
      <c r="L3662" s="92"/>
      <c r="M3662" s="44"/>
      <c r="N3662" s="82"/>
      <c r="O3662" s="44"/>
      <c r="P3662" s="44"/>
      <c r="Q3662" s="44"/>
      <c r="R3662" s="84"/>
      <c r="S3662" s="47"/>
      <c r="T3662" s="47"/>
    </row>
    <row r="3663" s="27" customFormat="1" ht="18" customHeight="1" spans="1:20">
      <c r="A3663" s="34"/>
      <c r="B3663" s="48">
        <v>6</v>
      </c>
      <c r="C3663" s="48"/>
      <c r="D3663" s="88"/>
      <c r="E3663" s="72"/>
      <c r="F3663" s="77"/>
      <c r="G3663" s="89"/>
      <c r="H3663" s="74"/>
      <c r="I3663" s="74"/>
      <c r="J3663" s="95"/>
      <c r="K3663" s="92">
        <f ca="1">H3663*K3644</f>
        <v>0</v>
      </c>
      <c r="L3663" s="92"/>
      <c r="M3663" s="44"/>
      <c r="N3663" s="82"/>
      <c r="O3663" s="44"/>
      <c r="P3663" s="44"/>
      <c r="Q3663" s="44"/>
      <c r="R3663" s="84"/>
      <c r="S3663" s="47"/>
      <c r="T3663" s="47"/>
    </row>
    <row r="3664" s="27" customFormat="1" ht="18" customHeight="1" spans="1:20">
      <c r="A3664" s="34"/>
      <c r="B3664" s="48">
        <v>7</v>
      </c>
      <c r="C3664" s="48"/>
      <c r="D3664" s="88"/>
      <c r="E3664" s="72"/>
      <c r="F3664" s="77"/>
      <c r="G3664" s="89"/>
      <c r="H3664" s="74"/>
      <c r="I3664" s="74"/>
      <c r="J3664" s="95"/>
      <c r="K3664" s="92">
        <f ca="1">H3664*K3644</f>
        <v>0</v>
      </c>
      <c r="L3664" s="92"/>
      <c r="M3664" s="44"/>
      <c r="N3664" s="82"/>
      <c r="O3664" s="44"/>
      <c r="P3664" s="44"/>
      <c r="Q3664" s="44"/>
      <c r="R3664" s="84"/>
      <c r="S3664" s="47"/>
      <c r="T3664" s="47"/>
    </row>
    <row r="3665" s="27" customFormat="1" ht="18" customHeight="1" spans="1:20">
      <c r="A3665" s="34"/>
      <c r="B3665" s="48">
        <v>8</v>
      </c>
      <c r="C3665" s="48"/>
      <c r="D3665" s="88"/>
      <c r="E3665" s="72"/>
      <c r="F3665" s="77"/>
      <c r="G3665" s="89"/>
      <c r="H3665" s="74"/>
      <c r="I3665" s="74"/>
      <c r="J3665" s="95"/>
      <c r="K3665" s="92">
        <f ca="1">H3665*K3644</f>
        <v>0</v>
      </c>
      <c r="L3665" s="92"/>
      <c r="M3665" s="44"/>
      <c r="N3665" s="82"/>
      <c r="O3665" s="44"/>
      <c r="P3665" s="44"/>
      <c r="Q3665" s="44"/>
      <c r="R3665" s="84"/>
      <c r="S3665" s="47"/>
      <c r="T3665" s="47"/>
    </row>
    <row r="3666" s="27" customFormat="1" ht="18" customHeight="1" spans="1:20">
      <c r="A3666" s="34"/>
      <c r="B3666" s="48">
        <v>9</v>
      </c>
      <c r="C3666" s="48"/>
      <c r="D3666" s="88"/>
      <c r="E3666" s="72"/>
      <c r="F3666" s="77"/>
      <c r="G3666" s="89"/>
      <c r="H3666" s="74"/>
      <c r="I3666" s="74"/>
      <c r="J3666" s="95"/>
      <c r="K3666" s="92">
        <f ca="1">H3666*K3644</f>
        <v>0</v>
      </c>
      <c r="L3666" s="90"/>
      <c r="M3666" s="44"/>
      <c r="N3666" s="82"/>
      <c r="O3666" s="34"/>
      <c r="P3666" s="44"/>
      <c r="Q3666" s="44"/>
      <c r="R3666" s="119"/>
      <c r="S3666" s="47"/>
      <c r="T3666" s="47"/>
    </row>
    <row r="3667" s="27" customFormat="1" ht="18" customHeight="1" spans="1:20">
      <c r="A3667" s="34"/>
      <c r="B3667" s="48">
        <v>10</v>
      </c>
      <c r="C3667" s="48"/>
      <c r="D3667" s="88"/>
      <c r="E3667" s="72"/>
      <c r="F3667" s="77"/>
      <c r="G3667" s="89"/>
      <c r="H3667" s="74"/>
      <c r="I3667" s="74"/>
      <c r="J3667" s="95"/>
      <c r="K3667" s="92">
        <f ca="1">H3667*K3644</f>
        <v>0</v>
      </c>
      <c r="L3667" s="92"/>
      <c r="M3667" s="120"/>
      <c r="N3667" s="82"/>
      <c r="O3667" s="44"/>
      <c r="P3667" s="44"/>
      <c r="Q3667" s="44"/>
      <c r="R3667" s="84"/>
      <c r="S3667" s="47"/>
      <c r="T3667" s="47"/>
    </row>
    <row r="3668" s="27" customFormat="1" ht="18" customHeight="1" spans="1:20">
      <c r="A3668" s="34"/>
      <c r="B3668" s="48">
        <v>11</v>
      </c>
      <c r="C3668" s="48"/>
      <c r="D3668" s="88"/>
      <c r="E3668" s="72"/>
      <c r="F3668" s="77"/>
      <c r="G3668" s="89"/>
      <c r="H3668" s="74"/>
      <c r="I3668" s="74"/>
      <c r="J3668" s="95"/>
      <c r="K3668" s="92">
        <f ca="1">H3668*K3644</f>
        <v>0</v>
      </c>
      <c r="L3668" s="92"/>
      <c r="M3668" s="44"/>
      <c r="N3668" s="82"/>
      <c r="O3668" s="44"/>
      <c r="P3668" s="44"/>
      <c r="Q3668" s="44"/>
      <c r="R3668" s="84"/>
      <c r="S3668" s="47"/>
      <c r="T3668" s="47"/>
    </row>
    <row r="3669" s="27" customFormat="1" ht="18" customHeight="1" spans="1:20">
      <c r="A3669" s="34"/>
      <c r="B3669" s="48">
        <v>12</v>
      </c>
      <c r="C3669" s="48"/>
      <c r="D3669" s="88"/>
      <c r="E3669" s="72"/>
      <c r="F3669" s="77"/>
      <c r="G3669" s="89"/>
      <c r="H3669" s="74"/>
      <c r="I3669" s="74"/>
      <c r="J3669" s="95"/>
      <c r="K3669" s="92"/>
      <c r="L3669" s="92"/>
      <c r="M3669" s="44"/>
      <c r="N3669" s="44"/>
      <c r="O3669" s="44"/>
      <c r="P3669" s="44"/>
      <c r="Q3669" s="44"/>
      <c r="R3669" s="84"/>
      <c r="S3669" s="47"/>
      <c r="T3669" s="47"/>
    </row>
    <row r="3670" s="27" customFormat="1" ht="18" customHeight="1" spans="1:20">
      <c r="A3670" s="34"/>
      <c r="B3670" s="48">
        <v>13</v>
      </c>
      <c r="C3670" s="48"/>
      <c r="D3670" s="88"/>
      <c r="E3670" s="72"/>
      <c r="F3670" s="77"/>
      <c r="G3670" s="89"/>
      <c r="H3670" s="74"/>
      <c r="I3670" s="74"/>
      <c r="J3670" s="95"/>
      <c r="K3670" s="92"/>
      <c r="L3670" s="92"/>
      <c r="M3670" s="44"/>
      <c r="N3670" s="44"/>
      <c r="O3670" s="44"/>
      <c r="P3670" s="44"/>
      <c r="Q3670" s="44"/>
      <c r="R3670" s="84"/>
      <c r="S3670" s="47"/>
      <c r="T3670" s="47"/>
    </row>
    <row r="3671" s="27" customFormat="1" ht="24" customHeight="1" spans="1:20">
      <c r="A3671" s="34"/>
      <c r="B3671" s="48">
        <v>14</v>
      </c>
      <c r="C3671" s="48"/>
      <c r="D3671" s="88"/>
      <c r="E3671" s="72"/>
      <c r="F3671" s="77"/>
      <c r="G3671" s="89"/>
      <c r="H3671" s="74"/>
      <c r="I3671" s="74"/>
      <c r="J3671" s="95"/>
      <c r="K3671" s="92"/>
      <c r="L3671" s="92"/>
      <c r="M3671" s="44"/>
      <c r="N3671" s="44"/>
      <c r="O3671" s="44"/>
      <c r="P3671" s="44"/>
      <c r="Q3671" s="44"/>
      <c r="R3671" s="84"/>
      <c r="S3671" s="47"/>
      <c r="T3671" s="47"/>
    </row>
    <row r="3672" s="27" customFormat="1" ht="18" customHeight="1" spans="1:20">
      <c r="A3672" s="34"/>
      <c r="B3672" s="48">
        <v>15</v>
      </c>
      <c r="C3672" s="48"/>
      <c r="D3672" s="88"/>
      <c r="E3672" s="72"/>
      <c r="F3672" s="77"/>
      <c r="G3672" s="89"/>
      <c r="H3672" s="74"/>
      <c r="I3672" s="74"/>
      <c r="J3672" s="95"/>
      <c r="K3672" s="92"/>
      <c r="L3672" s="92"/>
      <c r="M3672" s="44"/>
      <c r="N3672" s="44"/>
      <c r="O3672" s="44"/>
      <c r="P3672" s="44"/>
      <c r="Q3672" s="44"/>
      <c r="R3672" s="84"/>
      <c r="S3672" s="47"/>
      <c r="T3672" s="47"/>
    </row>
    <row r="3673" s="27" customFormat="1" ht="18" customHeight="1" spans="1:20">
      <c r="A3673" s="34"/>
      <c r="B3673" s="48">
        <v>16</v>
      </c>
      <c r="C3673" s="48"/>
      <c r="D3673" s="88"/>
      <c r="E3673" s="72"/>
      <c r="F3673" s="77"/>
      <c r="G3673" s="89"/>
      <c r="H3673" s="74"/>
      <c r="I3673" s="74"/>
      <c r="J3673" s="95"/>
      <c r="K3673" s="92"/>
      <c r="L3673" s="92"/>
      <c r="M3673" s="44"/>
      <c r="N3673" s="44"/>
      <c r="O3673" s="44"/>
      <c r="P3673" s="44"/>
      <c r="Q3673" s="44"/>
      <c r="R3673" s="84"/>
      <c r="S3673" s="47"/>
      <c r="T3673" s="47"/>
    </row>
    <row r="3674" s="27" customFormat="1" ht="18" customHeight="1" spans="1:20">
      <c r="A3674" s="34"/>
      <c r="B3674" s="48">
        <v>17</v>
      </c>
      <c r="C3674" s="48"/>
      <c r="D3674" s="121"/>
      <c r="E3674" s="72"/>
      <c r="F3674" s="77"/>
      <c r="G3674" s="89"/>
      <c r="H3674" s="74"/>
      <c r="I3674" s="74"/>
      <c r="J3674" s="95"/>
      <c r="K3674" s="92"/>
      <c r="L3674" s="92"/>
      <c r="M3674" s="44"/>
      <c r="N3674" s="44"/>
      <c r="O3674" s="44"/>
      <c r="P3674" s="44"/>
      <c r="Q3674" s="101"/>
      <c r="R3674" s="84"/>
      <c r="S3674" s="47"/>
      <c r="T3674" s="47"/>
    </row>
    <row r="3675" s="27" customFormat="1" ht="18" customHeight="1" spans="1:20">
      <c r="A3675" s="34"/>
      <c r="B3675" s="48">
        <v>18</v>
      </c>
      <c r="C3675" s="48"/>
      <c r="D3675" s="88"/>
      <c r="E3675" s="72"/>
      <c r="F3675" s="77"/>
      <c r="G3675" s="89"/>
      <c r="H3675" s="74"/>
      <c r="I3675" s="74"/>
      <c r="J3675" s="95"/>
      <c r="K3675" s="92"/>
      <c r="L3675" s="92"/>
      <c r="M3675" s="44"/>
      <c r="N3675" s="44"/>
      <c r="O3675" s="44"/>
      <c r="P3675" s="44"/>
      <c r="Q3675" s="44"/>
      <c r="R3675" s="84"/>
      <c r="S3675" s="47"/>
      <c r="T3675" s="47"/>
    </row>
    <row r="3676" s="27" customFormat="1" ht="18" customHeight="1" spans="1:20">
      <c r="A3676" s="34"/>
      <c r="B3676" s="48">
        <v>19</v>
      </c>
      <c r="C3676" s="48"/>
      <c r="D3676" s="27"/>
      <c r="E3676" s="72"/>
      <c r="F3676" s="77"/>
      <c r="G3676" s="89"/>
      <c r="H3676" s="74"/>
      <c r="I3676" s="74"/>
      <c r="J3676" s="95"/>
      <c r="K3676" s="92"/>
      <c r="L3676" s="92"/>
      <c r="M3676" s="44"/>
      <c r="N3676" s="44"/>
      <c r="O3676" s="44"/>
      <c r="P3676" s="44"/>
      <c r="Q3676" s="44"/>
      <c r="R3676" s="84"/>
      <c r="S3676" s="47"/>
      <c r="T3676" s="47"/>
    </row>
    <row r="3677" s="27" customFormat="1" ht="18" customHeight="1" spans="1:20">
      <c r="A3677" s="34"/>
      <c r="B3677" s="48">
        <v>20</v>
      </c>
      <c r="C3677" s="48"/>
      <c r="D3677" s="88"/>
      <c r="E3677" s="72"/>
      <c r="F3677" s="77"/>
      <c r="G3677" s="89"/>
      <c r="H3677" s="74"/>
      <c r="I3677" s="74"/>
      <c r="J3677" s="95"/>
      <c r="K3677" s="92"/>
      <c r="L3677" s="92"/>
      <c r="M3677" s="44"/>
      <c r="N3677" s="44"/>
      <c r="O3677" s="44"/>
      <c r="P3677" s="44"/>
      <c r="Q3677" s="44"/>
      <c r="R3677" s="84"/>
      <c r="S3677" s="47"/>
      <c r="T3677" s="47"/>
    </row>
    <row r="3678" s="27" customFormat="1" ht="18" customHeight="1" spans="1:20">
      <c r="A3678" s="34"/>
      <c r="B3678" s="48">
        <v>21</v>
      </c>
      <c r="C3678" s="48"/>
      <c r="D3678" s="88"/>
      <c r="E3678" s="72"/>
      <c r="F3678" s="77"/>
      <c r="G3678" s="89"/>
      <c r="H3678" s="74"/>
      <c r="I3678" s="74"/>
      <c r="J3678" s="95"/>
      <c r="K3678" s="92"/>
      <c r="L3678" s="92"/>
      <c r="M3678" s="44"/>
      <c r="N3678" s="44"/>
      <c r="O3678" s="44"/>
      <c r="P3678" s="44"/>
      <c r="Q3678" s="44"/>
      <c r="R3678" s="84"/>
      <c r="S3678" s="47"/>
      <c r="T3678" s="47"/>
    </row>
    <row r="3679" s="27" customFormat="1" ht="18" customHeight="1" spans="1:20">
      <c r="A3679" s="34"/>
      <c r="B3679" s="48">
        <v>22</v>
      </c>
      <c r="C3679" s="48"/>
      <c r="D3679" s="27"/>
      <c r="E3679" s="72"/>
      <c r="F3679" s="77"/>
      <c r="G3679" s="72"/>
      <c r="H3679" s="74"/>
      <c r="I3679" s="74"/>
      <c r="J3679" s="95"/>
      <c r="K3679" s="92"/>
      <c r="L3679" s="92"/>
      <c r="M3679" s="44"/>
      <c r="N3679" s="44"/>
      <c r="O3679" s="44"/>
      <c r="P3679" s="44"/>
      <c r="Q3679" s="44"/>
      <c r="R3679" s="62"/>
      <c r="S3679" s="47"/>
      <c r="T3679" s="47"/>
    </row>
    <row r="3680" s="27" customFormat="1" ht="18" customHeight="1" spans="1:20">
      <c r="A3680" s="34"/>
      <c r="B3680" s="48">
        <v>23</v>
      </c>
      <c r="C3680" s="48"/>
      <c r="D3680" s="88"/>
      <c r="E3680" s="72"/>
      <c r="F3680" s="77"/>
      <c r="G3680" s="89"/>
      <c r="H3680" s="74"/>
      <c r="I3680" s="74"/>
      <c r="J3680" s="95"/>
      <c r="K3680" s="92"/>
      <c r="L3680" s="92"/>
      <c r="M3680" s="44"/>
      <c r="N3680" s="44"/>
      <c r="O3680" s="44"/>
      <c r="P3680" s="44"/>
      <c r="Q3680" s="44"/>
      <c r="R3680" s="62"/>
      <c r="S3680" s="47"/>
      <c r="T3680" s="47"/>
    </row>
    <row r="3681" s="27" customFormat="1" ht="18" customHeight="1" spans="1:20">
      <c r="A3681" s="34"/>
      <c r="B3681" s="48">
        <v>24</v>
      </c>
      <c r="C3681" s="48"/>
      <c r="D3681" s="88" t="s">
        <v>478</v>
      </c>
      <c r="E3681" s="132" t="s">
        <v>423</v>
      </c>
      <c r="F3681" s="77"/>
      <c r="G3681" s="72">
        <v>1</v>
      </c>
      <c r="H3681" s="74">
        <v>1</v>
      </c>
      <c r="I3681" s="74">
        <f>+辅材及安装费!$E$15</f>
        <v>1</v>
      </c>
      <c r="J3681" s="95">
        <f>H3681*I3681</f>
        <v>1</v>
      </c>
      <c r="K3681" s="92"/>
      <c r="L3681" s="92"/>
      <c r="M3681" s="44"/>
      <c r="N3681" s="44"/>
      <c r="O3681" s="44"/>
      <c r="P3681" s="44"/>
      <c r="Q3681" s="44"/>
      <c r="R3681" s="62"/>
      <c r="S3681" s="47"/>
      <c r="T3681" s="47"/>
    </row>
    <row r="3682" s="27" customFormat="1" ht="18" customHeight="1" spans="1:20">
      <c r="A3682" s="34"/>
      <c r="B3682" s="48">
        <v>25</v>
      </c>
      <c r="C3682" s="48"/>
      <c r="D3682" s="93" t="s">
        <v>442</v>
      </c>
      <c r="E3682" s="72"/>
      <c r="F3682" s="77"/>
      <c r="G3682" s="72"/>
      <c r="H3682" s="74"/>
      <c r="I3682" s="74"/>
      <c r="J3682" s="95">
        <f>SUM(J3658:J3681)</f>
        <v>48.3362831858407</v>
      </c>
      <c r="K3682" s="92"/>
      <c r="L3682" s="94"/>
      <c r="N3682" s="83"/>
      <c r="O3682" s="83"/>
      <c r="P3682" s="83"/>
      <c r="Q3682" s="83"/>
      <c r="R3682" s="87"/>
      <c r="S3682" s="47"/>
      <c r="T3682" s="47"/>
    </row>
    <row r="3683" s="27" customFormat="1" ht="18" customHeight="1" spans="1:20">
      <c r="A3683" s="34"/>
      <c r="B3683" s="48">
        <v>1</v>
      </c>
      <c r="C3683" s="48" t="s">
        <v>443</v>
      </c>
      <c r="D3683" s="48" t="s">
        <v>444</v>
      </c>
      <c r="E3683" s="132" t="s">
        <v>423</v>
      </c>
      <c r="F3683" s="50"/>
      <c r="G3683" s="48"/>
      <c r="H3683" s="51">
        <v>1</v>
      </c>
      <c r="I3683" s="74">
        <f>+辅材及安装费!$F$15</f>
        <v>1</v>
      </c>
      <c r="J3683" s="95">
        <f>H3683*I3683</f>
        <v>1</v>
      </c>
      <c r="K3683" s="118"/>
      <c r="L3683" s="96"/>
      <c r="M3683" s="97"/>
      <c r="N3683" s="98"/>
      <c r="O3683" s="98"/>
      <c r="P3683" s="98"/>
      <c r="Q3683" s="98"/>
      <c r="R3683" s="99"/>
      <c r="S3683" s="47"/>
      <c r="T3683" s="47"/>
    </row>
  </sheetData>
  <mergeCells count="1936">
    <mergeCell ref="B1:J1"/>
    <mergeCell ref="D2:E2"/>
    <mergeCell ref="F2:G2"/>
    <mergeCell ref="D3:E3"/>
    <mergeCell ref="D4:E4"/>
    <mergeCell ref="D5:E5"/>
    <mergeCell ref="D6:E6"/>
    <mergeCell ref="D7:E7"/>
    <mergeCell ref="D8:E8"/>
    <mergeCell ref="D9:E9"/>
    <mergeCell ref="D10:E10"/>
    <mergeCell ref="B11:J11"/>
    <mergeCell ref="B44:J44"/>
    <mergeCell ref="D45:E45"/>
    <mergeCell ref="F45:G45"/>
    <mergeCell ref="D46:E46"/>
    <mergeCell ref="D47:E47"/>
    <mergeCell ref="D48:E48"/>
    <mergeCell ref="D49:E49"/>
    <mergeCell ref="D50:E50"/>
    <mergeCell ref="D51:E51"/>
    <mergeCell ref="D52:E52"/>
    <mergeCell ref="D53:E53"/>
    <mergeCell ref="B54:J54"/>
    <mergeCell ref="B87:J87"/>
    <mergeCell ref="D88:E88"/>
    <mergeCell ref="F88:G88"/>
    <mergeCell ref="D89:E89"/>
    <mergeCell ref="D90:E90"/>
    <mergeCell ref="D91:E91"/>
    <mergeCell ref="D92:E92"/>
    <mergeCell ref="D93:E93"/>
    <mergeCell ref="D94:E94"/>
    <mergeCell ref="D95:E95"/>
    <mergeCell ref="D96:E96"/>
    <mergeCell ref="B97:J97"/>
    <mergeCell ref="B130:J130"/>
    <mergeCell ref="D131:E131"/>
    <mergeCell ref="F131:G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B140:J140"/>
    <mergeCell ref="B173:J173"/>
    <mergeCell ref="D174:E174"/>
    <mergeCell ref="F174:G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B183:J183"/>
    <mergeCell ref="B216:J216"/>
    <mergeCell ref="D217:E217"/>
    <mergeCell ref="F217:G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B226:J226"/>
    <mergeCell ref="B259:J259"/>
    <mergeCell ref="D260:E260"/>
    <mergeCell ref="F260:G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B269:J269"/>
    <mergeCell ref="B302:J302"/>
    <mergeCell ref="D303:E303"/>
    <mergeCell ref="F303:G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B312:J312"/>
    <mergeCell ref="B345:J345"/>
    <mergeCell ref="D346:E346"/>
    <mergeCell ref="F346:G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B355:J355"/>
    <mergeCell ref="B388:J388"/>
    <mergeCell ref="D389:E389"/>
    <mergeCell ref="F389:G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B398:J398"/>
    <mergeCell ref="B431:J431"/>
    <mergeCell ref="D432:E432"/>
    <mergeCell ref="F432:G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B441:J441"/>
    <mergeCell ref="B474:J474"/>
    <mergeCell ref="D475:E475"/>
    <mergeCell ref="F475:G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B484:J484"/>
    <mergeCell ref="B517:J517"/>
    <mergeCell ref="D518:E518"/>
    <mergeCell ref="F518:G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B527:J527"/>
    <mergeCell ref="B560:J560"/>
    <mergeCell ref="D561:E561"/>
    <mergeCell ref="F561:G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B570:J570"/>
    <mergeCell ref="B603:J603"/>
    <mergeCell ref="D604:E604"/>
    <mergeCell ref="F604:G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B613:J613"/>
    <mergeCell ref="B646:J646"/>
    <mergeCell ref="D647:E647"/>
    <mergeCell ref="F647:G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B656:J656"/>
    <mergeCell ref="B689:J689"/>
    <mergeCell ref="D690:E690"/>
    <mergeCell ref="F690:G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B699:J699"/>
    <mergeCell ref="B732:J732"/>
    <mergeCell ref="D733:E733"/>
    <mergeCell ref="F733:G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B742:J742"/>
    <mergeCell ref="B775:J775"/>
    <mergeCell ref="D776:E776"/>
    <mergeCell ref="F776:G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B785:J785"/>
    <mergeCell ref="B818:J818"/>
    <mergeCell ref="D819:E819"/>
    <mergeCell ref="F819:G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B828:J828"/>
    <mergeCell ref="B861:J861"/>
    <mergeCell ref="D862:E862"/>
    <mergeCell ref="F862:G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B871:J871"/>
    <mergeCell ref="B904:J904"/>
    <mergeCell ref="D905:E905"/>
    <mergeCell ref="F905:G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B914:J914"/>
    <mergeCell ref="B947:J947"/>
    <mergeCell ref="D948:E948"/>
    <mergeCell ref="F948:G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B957:J957"/>
    <mergeCell ref="B990:J990"/>
    <mergeCell ref="D991:E991"/>
    <mergeCell ref="F991:G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B1000:J1000"/>
    <mergeCell ref="B1033:J1033"/>
    <mergeCell ref="D1034:E1034"/>
    <mergeCell ref="F1034:G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B1043:J1043"/>
    <mergeCell ref="B1076:J1076"/>
    <mergeCell ref="D1077:E1077"/>
    <mergeCell ref="F1077:G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B1086:J1086"/>
    <mergeCell ref="B1119:J1119"/>
    <mergeCell ref="D1120:E1120"/>
    <mergeCell ref="F1120:G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B1129:J1129"/>
    <mergeCell ref="B1162:J1162"/>
    <mergeCell ref="D1163:E1163"/>
    <mergeCell ref="F1163:G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B1172:J1172"/>
    <mergeCell ref="B1205:J1205"/>
    <mergeCell ref="D1206:E1206"/>
    <mergeCell ref="F1206:G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B1215:J1215"/>
    <mergeCell ref="B1248:J1248"/>
    <mergeCell ref="D1249:E1249"/>
    <mergeCell ref="F1249:G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B1258:J1258"/>
    <mergeCell ref="B1291:J1291"/>
    <mergeCell ref="D1292:E1292"/>
    <mergeCell ref="F1292:G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B1301:J1301"/>
    <mergeCell ref="B1334:J1334"/>
    <mergeCell ref="D1335:E1335"/>
    <mergeCell ref="F1335:G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B1344:J1344"/>
    <mergeCell ref="B1377:J1377"/>
    <mergeCell ref="D1378:E1378"/>
    <mergeCell ref="F1378:G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B1387:J1387"/>
    <mergeCell ref="B1420:J1420"/>
    <mergeCell ref="D1421:E1421"/>
    <mergeCell ref="F1421:G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B1430:J1430"/>
    <mergeCell ref="B1463:J1463"/>
    <mergeCell ref="D1464:E1464"/>
    <mergeCell ref="F1464:G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B1473:J1473"/>
    <mergeCell ref="B1506:J1506"/>
    <mergeCell ref="D1507:E1507"/>
    <mergeCell ref="F1507:G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B1516:J1516"/>
    <mergeCell ref="B1549:J1549"/>
    <mergeCell ref="D1550:E1550"/>
    <mergeCell ref="F1550:G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B1559:J1559"/>
    <mergeCell ref="B1592:J1592"/>
    <mergeCell ref="D1593:E1593"/>
    <mergeCell ref="F1593:G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B1602:J1602"/>
    <mergeCell ref="B1635:J1635"/>
    <mergeCell ref="D1636:E1636"/>
    <mergeCell ref="F1636:G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B1645:J1645"/>
    <mergeCell ref="B1678:J1678"/>
    <mergeCell ref="D1679:E1679"/>
    <mergeCell ref="F1679:G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B1688:J1688"/>
    <mergeCell ref="B1721:J1721"/>
    <mergeCell ref="D1722:E1722"/>
    <mergeCell ref="F1722:G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B1731:J1731"/>
    <mergeCell ref="B1764:J1764"/>
    <mergeCell ref="D1765:E1765"/>
    <mergeCell ref="F1765:G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B1774:J1774"/>
    <mergeCell ref="B1804:J1804"/>
    <mergeCell ref="D1805:E1805"/>
    <mergeCell ref="F1805:G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B1814:J1814"/>
    <mergeCell ref="B1844:J1844"/>
    <mergeCell ref="D1845:E1845"/>
    <mergeCell ref="F1845:G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B1854:J1854"/>
    <mergeCell ref="B1884:J1884"/>
    <mergeCell ref="D1885:E1885"/>
    <mergeCell ref="F1885:G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B1894:J1894"/>
    <mergeCell ref="B1924:J1924"/>
    <mergeCell ref="D1925:E1925"/>
    <mergeCell ref="F1925:G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B1934:J1934"/>
    <mergeCell ref="B1964:J1964"/>
    <mergeCell ref="D1965:E1965"/>
    <mergeCell ref="F1965:G1965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B1974:J1974"/>
    <mergeCell ref="B2004:J2004"/>
    <mergeCell ref="D2005:E2005"/>
    <mergeCell ref="F2005:G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B2014:J2014"/>
    <mergeCell ref="B2044:J2044"/>
    <mergeCell ref="D2045:E2045"/>
    <mergeCell ref="F2045:G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B2054:J2054"/>
    <mergeCell ref="B2084:J2084"/>
    <mergeCell ref="D2085:E2085"/>
    <mergeCell ref="F2085:G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B2094:J2094"/>
    <mergeCell ref="B2124:J2124"/>
    <mergeCell ref="D2125:E2125"/>
    <mergeCell ref="F2125:G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B2134:J2134"/>
    <mergeCell ref="B2164:J2164"/>
    <mergeCell ref="D2165:E2165"/>
    <mergeCell ref="F2165:G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B2174:J2174"/>
    <mergeCell ref="B2204:J2204"/>
    <mergeCell ref="D2205:E2205"/>
    <mergeCell ref="F2205:G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B2214:J2214"/>
    <mergeCell ref="B2245:J2245"/>
    <mergeCell ref="D2246:E2246"/>
    <mergeCell ref="F2246:G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B2255:J2255"/>
    <mergeCell ref="B2286:J2286"/>
    <mergeCell ref="D2287:E2287"/>
    <mergeCell ref="F2287:G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B2296:J2296"/>
    <mergeCell ref="B2327:J2327"/>
    <mergeCell ref="D2328:E2328"/>
    <mergeCell ref="F2328:G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B2337:J2337"/>
    <mergeCell ref="B2368:J2368"/>
    <mergeCell ref="D2369:E2369"/>
    <mergeCell ref="F2369:G2369"/>
    <mergeCell ref="D2370:E2370"/>
    <mergeCell ref="D2371:E2371"/>
    <mergeCell ref="D2372:E2372"/>
    <mergeCell ref="D2373:E2373"/>
    <mergeCell ref="D2374:E2374"/>
    <mergeCell ref="D2375:E2375"/>
    <mergeCell ref="D2376:E2376"/>
    <mergeCell ref="D2377:E2377"/>
    <mergeCell ref="B2378:J2378"/>
    <mergeCell ref="B2409:J2409"/>
    <mergeCell ref="D2410:E2410"/>
    <mergeCell ref="F2410:G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B2419:J2419"/>
    <mergeCell ref="B2450:J2450"/>
    <mergeCell ref="D2451:E2451"/>
    <mergeCell ref="F2451:G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B2460:J2460"/>
    <mergeCell ref="B2491:J2491"/>
    <mergeCell ref="D2492:E2492"/>
    <mergeCell ref="F2492:G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B2501:J2501"/>
    <mergeCell ref="B2532:J2532"/>
    <mergeCell ref="D2533:E2533"/>
    <mergeCell ref="F2533:G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B2542:J2542"/>
    <mergeCell ref="B2573:J2573"/>
    <mergeCell ref="D2574:E2574"/>
    <mergeCell ref="F2574:G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B2583:J2583"/>
    <mergeCell ref="B2614:J2614"/>
    <mergeCell ref="D2615:E2615"/>
    <mergeCell ref="F2615:G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B2624:J2624"/>
    <mergeCell ref="B2655:J2655"/>
    <mergeCell ref="D2656:E2656"/>
    <mergeCell ref="F2656:G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B2665:J2665"/>
    <mergeCell ref="B2696:J2696"/>
    <mergeCell ref="D2697:E2697"/>
    <mergeCell ref="F2697:G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B2706:J2706"/>
    <mergeCell ref="B2737:J2737"/>
    <mergeCell ref="D2738:E2738"/>
    <mergeCell ref="F2738:G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B2747:J2747"/>
    <mergeCell ref="B2778:J2778"/>
    <mergeCell ref="D2779:E2779"/>
    <mergeCell ref="F2779:G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B2788:J2788"/>
    <mergeCell ref="B2819:J2819"/>
    <mergeCell ref="D2820:E2820"/>
    <mergeCell ref="F2820:G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B2829:J2829"/>
    <mergeCell ref="B2860:J2860"/>
    <mergeCell ref="D2861:E2861"/>
    <mergeCell ref="F2861:G2861"/>
    <mergeCell ref="D2862:E2862"/>
    <mergeCell ref="D2863:E2863"/>
    <mergeCell ref="D2864:E2864"/>
    <mergeCell ref="D2865:E2865"/>
    <mergeCell ref="D2866:E2866"/>
    <mergeCell ref="D2867:E2867"/>
    <mergeCell ref="D2868:E2868"/>
    <mergeCell ref="D2869:E2869"/>
    <mergeCell ref="B2870:J2870"/>
    <mergeCell ref="B2901:J2901"/>
    <mergeCell ref="D2902:E2902"/>
    <mergeCell ref="F2902:G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B2911:J2911"/>
    <mergeCell ref="B2942:J2942"/>
    <mergeCell ref="D2943:E2943"/>
    <mergeCell ref="F2943:G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B2952:J2952"/>
    <mergeCell ref="B2983:J2983"/>
    <mergeCell ref="D2984:E2984"/>
    <mergeCell ref="F2984:G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B2993:J2993"/>
    <mergeCell ref="B3024:J3024"/>
    <mergeCell ref="D3025:E3025"/>
    <mergeCell ref="F3025:G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B3034:J3034"/>
    <mergeCell ref="B3065:J3065"/>
    <mergeCell ref="D3066:E3066"/>
    <mergeCell ref="F3066:G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B3075:J3075"/>
    <mergeCell ref="B3106:J3106"/>
    <mergeCell ref="D3107:E3107"/>
    <mergeCell ref="F3107:G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B3116:J3116"/>
    <mergeCell ref="B3149:J3149"/>
    <mergeCell ref="D3150:E3150"/>
    <mergeCell ref="F3150:G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B3159:J3159"/>
    <mergeCell ref="B3192:J3192"/>
    <mergeCell ref="D3193:E3193"/>
    <mergeCell ref="F3193:G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B3202:J3202"/>
    <mergeCell ref="B3233:J3233"/>
    <mergeCell ref="D3234:E3234"/>
    <mergeCell ref="F3234:G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B3243:J3243"/>
    <mergeCell ref="B3274:J3274"/>
    <mergeCell ref="D3275:E3275"/>
    <mergeCell ref="F3275:G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B3284:J3284"/>
    <mergeCell ref="B3315:J3315"/>
    <mergeCell ref="D3316:E3316"/>
    <mergeCell ref="F3316:G3316"/>
    <mergeCell ref="D3317:E3317"/>
    <mergeCell ref="D3318:E3318"/>
    <mergeCell ref="D3319:E3319"/>
    <mergeCell ref="D3320:E3320"/>
    <mergeCell ref="D3321:E3321"/>
    <mergeCell ref="D3322:E3322"/>
    <mergeCell ref="D3323:E3323"/>
    <mergeCell ref="D3324:E3324"/>
    <mergeCell ref="B3325:J3325"/>
    <mergeCell ref="B3356:J3356"/>
    <mergeCell ref="D3357:E3357"/>
    <mergeCell ref="F3357:G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B3366:J3366"/>
    <mergeCell ref="B3397:J3397"/>
    <mergeCell ref="D3398:E3398"/>
    <mergeCell ref="F3398:G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B3407:J3407"/>
    <mergeCell ref="B3438:J3438"/>
    <mergeCell ref="D3439:E3439"/>
    <mergeCell ref="F3439:G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B3448:J3448"/>
    <mergeCell ref="B3479:J3479"/>
    <mergeCell ref="D3480:E3480"/>
    <mergeCell ref="F3480:G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B3489:J3489"/>
    <mergeCell ref="B3520:J3520"/>
    <mergeCell ref="D3521:E3521"/>
    <mergeCell ref="F3521:G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B3530:J3530"/>
    <mergeCell ref="B3561:J3561"/>
    <mergeCell ref="D3562:E3562"/>
    <mergeCell ref="F3562:G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B3571:J3571"/>
    <mergeCell ref="B3602:J3602"/>
    <mergeCell ref="D3603:E3603"/>
    <mergeCell ref="F3603:G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B3612:J3612"/>
    <mergeCell ref="B3643:J3643"/>
    <mergeCell ref="D3644:E3644"/>
    <mergeCell ref="F3644:G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B3653:J3653"/>
    <mergeCell ref="C3:C5"/>
    <mergeCell ref="C12:C15"/>
    <mergeCell ref="C16:C42"/>
    <mergeCell ref="C46:C48"/>
    <mergeCell ref="C55:C58"/>
    <mergeCell ref="C59:C85"/>
    <mergeCell ref="C89:C91"/>
    <mergeCell ref="C98:C101"/>
    <mergeCell ref="C102:C128"/>
    <mergeCell ref="C132:C134"/>
    <mergeCell ref="C141:C144"/>
    <mergeCell ref="C145:C171"/>
    <mergeCell ref="C175:C177"/>
    <mergeCell ref="C184:C187"/>
    <mergeCell ref="C188:C214"/>
    <mergeCell ref="C218:C220"/>
    <mergeCell ref="C227:C230"/>
    <mergeCell ref="C231:C257"/>
    <mergeCell ref="C261:C263"/>
    <mergeCell ref="C270:C273"/>
    <mergeCell ref="C274:C300"/>
    <mergeCell ref="C304:C306"/>
    <mergeCell ref="C313:C316"/>
    <mergeCell ref="C317:C343"/>
    <mergeCell ref="C347:C349"/>
    <mergeCell ref="C356:C359"/>
    <mergeCell ref="C360:C386"/>
    <mergeCell ref="C390:C392"/>
    <mergeCell ref="C399:C402"/>
    <mergeCell ref="C403:C429"/>
    <mergeCell ref="C433:C435"/>
    <mergeCell ref="C442:C445"/>
    <mergeCell ref="C446:C472"/>
    <mergeCell ref="C476:C478"/>
    <mergeCell ref="C485:C488"/>
    <mergeCell ref="C489:C515"/>
    <mergeCell ref="C519:C521"/>
    <mergeCell ref="C528:C531"/>
    <mergeCell ref="C532:C558"/>
    <mergeCell ref="C562:C564"/>
    <mergeCell ref="C571:C574"/>
    <mergeCell ref="C575:C601"/>
    <mergeCell ref="C605:C607"/>
    <mergeCell ref="C614:C617"/>
    <mergeCell ref="C618:C644"/>
    <mergeCell ref="C648:C650"/>
    <mergeCell ref="C657:C660"/>
    <mergeCell ref="C661:C687"/>
    <mergeCell ref="C691:C693"/>
    <mergeCell ref="C700:C703"/>
    <mergeCell ref="C704:C730"/>
    <mergeCell ref="C734:C736"/>
    <mergeCell ref="C743:C746"/>
    <mergeCell ref="C747:C773"/>
    <mergeCell ref="C777:C779"/>
    <mergeCell ref="C786:C789"/>
    <mergeCell ref="C790:C816"/>
    <mergeCell ref="C820:C822"/>
    <mergeCell ref="C829:C832"/>
    <mergeCell ref="C833:C859"/>
    <mergeCell ref="C863:C865"/>
    <mergeCell ref="C872:C875"/>
    <mergeCell ref="C876:C902"/>
    <mergeCell ref="C906:C908"/>
    <mergeCell ref="C915:C918"/>
    <mergeCell ref="C919:C945"/>
    <mergeCell ref="C949:C951"/>
    <mergeCell ref="C958:C961"/>
    <mergeCell ref="C962:C988"/>
    <mergeCell ref="C992:C994"/>
    <mergeCell ref="C1001:C1004"/>
    <mergeCell ref="C1005:C1031"/>
    <mergeCell ref="C1035:C1037"/>
    <mergeCell ref="C1044:C1047"/>
    <mergeCell ref="C1048:C1074"/>
    <mergeCell ref="C1078:C1080"/>
    <mergeCell ref="C1087:C1090"/>
    <mergeCell ref="C1091:C1117"/>
    <mergeCell ref="C1121:C1123"/>
    <mergeCell ref="C1130:C1133"/>
    <mergeCell ref="C1134:C1160"/>
    <mergeCell ref="C1164:C1166"/>
    <mergeCell ref="C1173:C1176"/>
    <mergeCell ref="C1177:C1203"/>
    <mergeCell ref="C1207:C1209"/>
    <mergeCell ref="C1216:C1219"/>
    <mergeCell ref="C1220:C1246"/>
    <mergeCell ref="C1250:C1252"/>
    <mergeCell ref="C1259:C1262"/>
    <mergeCell ref="C1263:C1289"/>
    <mergeCell ref="C1293:C1295"/>
    <mergeCell ref="C1302:C1305"/>
    <mergeCell ref="C1306:C1332"/>
    <mergeCell ref="C1336:C1338"/>
    <mergeCell ref="C1345:C1348"/>
    <mergeCell ref="C1349:C1375"/>
    <mergeCell ref="C1379:C1381"/>
    <mergeCell ref="C1388:C1391"/>
    <mergeCell ref="C1392:C1418"/>
    <mergeCell ref="C1422:C1424"/>
    <mergeCell ref="C1431:C1434"/>
    <mergeCell ref="C1435:C1461"/>
    <mergeCell ref="C1465:C1467"/>
    <mergeCell ref="C1474:C1477"/>
    <mergeCell ref="C1478:C1504"/>
    <mergeCell ref="C1508:C1510"/>
    <mergeCell ref="C1517:C1520"/>
    <mergeCell ref="C1521:C1547"/>
    <mergeCell ref="C1551:C1553"/>
    <mergeCell ref="C1560:C1563"/>
    <mergeCell ref="C1564:C1590"/>
    <mergeCell ref="C1594:C1596"/>
    <mergeCell ref="C1603:C1606"/>
    <mergeCell ref="C1607:C1633"/>
    <mergeCell ref="C1637:C1639"/>
    <mergeCell ref="C1646:C1649"/>
    <mergeCell ref="C1650:C1676"/>
    <mergeCell ref="C1680:C1682"/>
    <mergeCell ref="C1689:C1692"/>
    <mergeCell ref="C1693:C1719"/>
    <mergeCell ref="C1723:C1725"/>
    <mergeCell ref="C1732:C1735"/>
    <mergeCell ref="C1736:C1762"/>
    <mergeCell ref="C1766:C1768"/>
    <mergeCell ref="C1775:C1778"/>
    <mergeCell ref="C1779:C1802"/>
    <mergeCell ref="C1806:C1808"/>
    <mergeCell ref="C1815:C1818"/>
    <mergeCell ref="C1819:C1842"/>
    <mergeCell ref="C1846:C1848"/>
    <mergeCell ref="C1855:C1858"/>
    <mergeCell ref="C1859:C1882"/>
    <mergeCell ref="C1886:C1888"/>
    <mergeCell ref="C1895:C1898"/>
    <mergeCell ref="C1899:C1922"/>
    <mergeCell ref="C1926:C1928"/>
    <mergeCell ref="C1935:C1938"/>
    <mergeCell ref="C1939:C1962"/>
    <mergeCell ref="C1966:C1968"/>
    <mergeCell ref="C1975:C1978"/>
    <mergeCell ref="C1979:C2002"/>
    <mergeCell ref="C2006:C2008"/>
    <mergeCell ref="C2015:C2018"/>
    <mergeCell ref="C2019:C2042"/>
    <mergeCell ref="C2046:C2048"/>
    <mergeCell ref="C2055:C2058"/>
    <mergeCell ref="C2059:C2082"/>
    <mergeCell ref="C2086:C2088"/>
    <mergeCell ref="C2095:C2098"/>
    <mergeCell ref="C2099:C2122"/>
    <mergeCell ref="C2126:C2128"/>
    <mergeCell ref="C2135:C2138"/>
    <mergeCell ref="C2139:C2162"/>
    <mergeCell ref="C2166:C2168"/>
    <mergeCell ref="C2175:C2178"/>
    <mergeCell ref="C2179:C2202"/>
    <mergeCell ref="C2206:C2208"/>
    <mergeCell ref="C2215:C2218"/>
    <mergeCell ref="C2219:C2243"/>
    <mergeCell ref="C2247:C2249"/>
    <mergeCell ref="C2256:C2259"/>
    <mergeCell ref="C2260:C2284"/>
    <mergeCell ref="C2288:C2290"/>
    <mergeCell ref="C2297:C2300"/>
    <mergeCell ref="C2301:C2325"/>
    <mergeCell ref="C2329:C2331"/>
    <mergeCell ref="C2338:C2341"/>
    <mergeCell ref="C2342:C2366"/>
    <mergeCell ref="C2370:C2372"/>
    <mergeCell ref="C2379:C2382"/>
    <mergeCell ref="C2383:C2407"/>
    <mergeCell ref="C2411:C2413"/>
    <mergeCell ref="C2420:C2423"/>
    <mergeCell ref="C2424:C2448"/>
    <mergeCell ref="C2452:C2454"/>
    <mergeCell ref="C2461:C2464"/>
    <mergeCell ref="C2465:C2489"/>
    <mergeCell ref="C2493:C2495"/>
    <mergeCell ref="C2502:C2505"/>
    <mergeCell ref="C2506:C2530"/>
    <mergeCell ref="C2534:C2536"/>
    <mergeCell ref="C2543:C2546"/>
    <mergeCell ref="C2547:C2571"/>
    <mergeCell ref="C2575:C2577"/>
    <mergeCell ref="C2584:C2587"/>
    <mergeCell ref="C2588:C2612"/>
    <mergeCell ref="C2616:C2618"/>
    <mergeCell ref="C2625:C2628"/>
    <mergeCell ref="C2629:C2653"/>
    <mergeCell ref="C2657:C2659"/>
    <mergeCell ref="C2666:C2669"/>
    <mergeCell ref="C2670:C2694"/>
    <mergeCell ref="C2698:C2700"/>
    <mergeCell ref="C2707:C2710"/>
    <mergeCell ref="C2711:C2735"/>
    <mergeCell ref="C2739:C2741"/>
    <mergeCell ref="C2748:C2751"/>
    <mergeCell ref="C2752:C2776"/>
    <mergeCell ref="C2780:C2782"/>
    <mergeCell ref="C2789:C2792"/>
    <mergeCell ref="C2793:C2817"/>
    <mergeCell ref="C2821:C2823"/>
    <mergeCell ref="C2830:C2833"/>
    <mergeCell ref="C2834:C2858"/>
    <mergeCell ref="C2862:C2864"/>
    <mergeCell ref="C2871:C2874"/>
    <mergeCell ref="C2875:C2899"/>
    <mergeCell ref="C2903:C2905"/>
    <mergeCell ref="C2912:C2915"/>
    <mergeCell ref="C2916:C2940"/>
    <mergeCell ref="C2944:C2946"/>
    <mergeCell ref="C2953:C2956"/>
    <mergeCell ref="C2957:C2981"/>
    <mergeCell ref="C2985:C2987"/>
    <mergeCell ref="C2994:C2997"/>
    <mergeCell ref="C2998:C3022"/>
    <mergeCell ref="C3026:C3028"/>
    <mergeCell ref="C3035:C3038"/>
    <mergeCell ref="C3039:C3063"/>
    <mergeCell ref="C3067:C3069"/>
    <mergeCell ref="C3076:C3079"/>
    <mergeCell ref="C3080:C3104"/>
    <mergeCell ref="C3108:C3110"/>
    <mergeCell ref="C3117:C3120"/>
    <mergeCell ref="C3121:C3147"/>
    <mergeCell ref="C3151:C3153"/>
    <mergeCell ref="C3160:C3163"/>
    <mergeCell ref="C3164:C3190"/>
    <mergeCell ref="C3194:C3196"/>
    <mergeCell ref="C3203:C3206"/>
    <mergeCell ref="C3207:C3231"/>
    <mergeCell ref="C3235:C3237"/>
    <mergeCell ref="C3244:C3247"/>
    <mergeCell ref="C3248:C3272"/>
    <mergeCell ref="C3276:C3278"/>
    <mergeCell ref="C3285:C3288"/>
    <mergeCell ref="C3289:C3313"/>
    <mergeCell ref="C3317:C3319"/>
    <mergeCell ref="C3326:C3329"/>
    <mergeCell ref="C3330:C3354"/>
    <mergeCell ref="C3358:C3360"/>
    <mergeCell ref="C3367:C3370"/>
    <mergeCell ref="C3371:C3395"/>
    <mergeCell ref="C3399:C3401"/>
    <mergeCell ref="C3408:C3411"/>
    <mergeCell ref="C3412:C3436"/>
    <mergeCell ref="C3440:C3442"/>
    <mergeCell ref="C3449:C3452"/>
    <mergeCell ref="C3453:C3477"/>
    <mergeCell ref="C3481:C3483"/>
    <mergeCell ref="C3490:C3493"/>
    <mergeCell ref="C3494:C3518"/>
    <mergeCell ref="C3522:C3524"/>
    <mergeCell ref="C3531:C3534"/>
    <mergeCell ref="C3535:C3559"/>
    <mergeCell ref="C3563:C3565"/>
    <mergeCell ref="C3572:C3575"/>
    <mergeCell ref="C3576:C3600"/>
    <mergeCell ref="C3604:C3606"/>
    <mergeCell ref="C3613:C3616"/>
    <mergeCell ref="C3617:C3641"/>
    <mergeCell ref="C3645:C3647"/>
    <mergeCell ref="C3654:C3657"/>
    <mergeCell ref="C3658:C3682"/>
    <mergeCell ref="D13:D14"/>
    <mergeCell ref="D56:D57"/>
    <mergeCell ref="D99:D100"/>
    <mergeCell ref="D142:D143"/>
    <mergeCell ref="D185:D186"/>
    <mergeCell ref="D228:D229"/>
    <mergeCell ref="D271:D272"/>
    <mergeCell ref="D314:D315"/>
    <mergeCell ref="D357:D358"/>
    <mergeCell ref="D400:D401"/>
    <mergeCell ref="D443:D444"/>
    <mergeCell ref="D486:D487"/>
    <mergeCell ref="D529:D530"/>
    <mergeCell ref="D572:D573"/>
    <mergeCell ref="D615:D616"/>
    <mergeCell ref="D658:D659"/>
    <mergeCell ref="D701:D702"/>
    <mergeCell ref="D744:D745"/>
    <mergeCell ref="D787:D788"/>
    <mergeCell ref="D830:D831"/>
    <mergeCell ref="D873:D874"/>
    <mergeCell ref="D916:D917"/>
    <mergeCell ref="D959:D960"/>
    <mergeCell ref="D1002:D1003"/>
    <mergeCell ref="D1045:D1046"/>
    <mergeCell ref="D1088:D1089"/>
    <mergeCell ref="D1131:D1132"/>
    <mergeCell ref="D1174:D1175"/>
    <mergeCell ref="D1217:D1218"/>
    <mergeCell ref="D1260:D1261"/>
    <mergeCell ref="D1303:D1304"/>
    <mergeCell ref="D1346:D1347"/>
    <mergeCell ref="D1389:D1390"/>
    <mergeCell ref="D1432:D1433"/>
    <mergeCell ref="D1475:D1476"/>
    <mergeCell ref="D1518:D1519"/>
    <mergeCell ref="D1561:D1562"/>
    <mergeCell ref="D1604:D1605"/>
    <mergeCell ref="D1647:D1648"/>
    <mergeCell ref="D1690:D1691"/>
    <mergeCell ref="D1733:D1734"/>
    <mergeCell ref="D1776:D1777"/>
    <mergeCell ref="D1816:D1817"/>
    <mergeCell ref="D1856:D1857"/>
    <mergeCell ref="D1896:D1897"/>
    <mergeCell ref="D1936:D1937"/>
    <mergeCell ref="D1976:D1977"/>
    <mergeCell ref="D2016:D2017"/>
    <mergeCell ref="D2056:D2057"/>
    <mergeCell ref="D2096:D2097"/>
    <mergeCell ref="D2136:D2137"/>
    <mergeCell ref="D2176:D2177"/>
    <mergeCell ref="D2216:D2217"/>
    <mergeCell ref="D2257:D2258"/>
    <mergeCell ref="D2298:D2299"/>
    <mergeCell ref="D2339:D2340"/>
    <mergeCell ref="D2380:D2381"/>
    <mergeCell ref="D2421:D2422"/>
    <mergeCell ref="D2462:D2463"/>
    <mergeCell ref="D2503:D2504"/>
    <mergeCell ref="D2544:D2545"/>
    <mergeCell ref="D2585:D2586"/>
    <mergeCell ref="D2626:D2627"/>
    <mergeCell ref="D2667:D2668"/>
    <mergeCell ref="D2708:D2709"/>
    <mergeCell ref="D2749:D2750"/>
    <mergeCell ref="D2790:D2791"/>
    <mergeCell ref="D2831:D2832"/>
    <mergeCell ref="D2872:D2873"/>
    <mergeCell ref="D2913:D2914"/>
    <mergeCell ref="D2954:D2955"/>
    <mergeCell ref="D2995:D2996"/>
    <mergeCell ref="D3036:D3037"/>
    <mergeCell ref="D3077:D3078"/>
    <mergeCell ref="D3118:D3119"/>
    <mergeCell ref="D3161:D3162"/>
    <mergeCell ref="D3204:D3205"/>
    <mergeCell ref="D3245:D3246"/>
    <mergeCell ref="D3286:D3287"/>
    <mergeCell ref="D3327:D3328"/>
    <mergeCell ref="D3368:D3369"/>
    <mergeCell ref="D3409:D3410"/>
    <mergeCell ref="D3450:D3451"/>
    <mergeCell ref="D3491:D3492"/>
    <mergeCell ref="D3532:D3533"/>
    <mergeCell ref="D3573:D3574"/>
    <mergeCell ref="D3614:D3615"/>
    <mergeCell ref="D3655:D3656"/>
    <mergeCell ref="E13:E14"/>
    <mergeCell ref="E56:E57"/>
    <mergeCell ref="E99:E100"/>
    <mergeCell ref="E142:E143"/>
    <mergeCell ref="E185:E186"/>
    <mergeCell ref="E228:E229"/>
    <mergeCell ref="E271:E272"/>
    <mergeCell ref="E314:E315"/>
    <mergeCell ref="E357:E358"/>
    <mergeCell ref="E400:E401"/>
    <mergeCell ref="E443:E444"/>
    <mergeCell ref="E486:E487"/>
    <mergeCell ref="E529:E530"/>
    <mergeCell ref="E572:E573"/>
    <mergeCell ref="E615:E616"/>
    <mergeCell ref="E658:E659"/>
    <mergeCell ref="E701:E702"/>
    <mergeCell ref="E744:E745"/>
    <mergeCell ref="E787:E788"/>
    <mergeCell ref="E830:E831"/>
    <mergeCell ref="E873:E874"/>
    <mergeCell ref="E916:E917"/>
    <mergeCell ref="E959:E960"/>
    <mergeCell ref="E1002:E1003"/>
    <mergeCell ref="E1045:E1046"/>
    <mergeCell ref="E1088:E1089"/>
    <mergeCell ref="E1131:E1132"/>
    <mergeCell ref="E1174:E1175"/>
    <mergeCell ref="E1217:E1218"/>
    <mergeCell ref="E1260:E1261"/>
    <mergeCell ref="E1303:E1304"/>
    <mergeCell ref="E1346:E1347"/>
    <mergeCell ref="E1389:E1390"/>
    <mergeCell ref="E1432:E1433"/>
    <mergeCell ref="E1475:E1476"/>
    <mergeCell ref="E1518:E1519"/>
    <mergeCell ref="E1561:E1562"/>
    <mergeCell ref="E1604:E1605"/>
    <mergeCell ref="E1647:E1648"/>
    <mergeCell ref="E1690:E1691"/>
    <mergeCell ref="E1733:E1734"/>
    <mergeCell ref="E1776:E1777"/>
    <mergeCell ref="E1816:E1817"/>
    <mergeCell ref="E1856:E1857"/>
    <mergeCell ref="E1896:E1897"/>
    <mergeCell ref="E1936:E1937"/>
    <mergeCell ref="E1976:E1977"/>
    <mergeCell ref="E2016:E2017"/>
    <mergeCell ref="E2056:E2057"/>
    <mergeCell ref="E2096:E2097"/>
    <mergeCell ref="E2136:E2137"/>
    <mergeCell ref="E2176:E2177"/>
    <mergeCell ref="E2216:E2217"/>
    <mergeCell ref="E2257:E2258"/>
    <mergeCell ref="E2298:E2299"/>
    <mergeCell ref="E2339:E2340"/>
    <mergeCell ref="E2380:E2381"/>
    <mergeCell ref="E2421:E2422"/>
    <mergeCell ref="E2462:E2463"/>
    <mergeCell ref="E2503:E2504"/>
    <mergeCell ref="E2544:E2545"/>
    <mergeCell ref="E2585:E2586"/>
    <mergeCell ref="E2626:E2627"/>
    <mergeCell ref="E2667:E2668"/>
    <mergeCell ref="E2708:E2709"/>
    <mergeCell ref="E2749:E2750"/>
    <mergeCell ref="E2790:E2791"/>
    <mergeCell ref="E2831:E2832"/>
    <mergeCell ref="E2872:E2873"/>
    <mergeCell ref="E2913:E2914"/>
    <mergeCell ref="E2954:E2955"/>
    <mergeCell ref="E2995:E2996"/>
    <mergeCell ref="E3036:E3037"/>
    <mergeCell ref="E3077:E3078"/>
    <mergeCell ref="E3118:E3119"/>
    <mergeCell ref="E3161:E3162"/>
    <mergeCell ref="E3204:E3205"/>
    <mergeCell ref="E3245:E3246"/>
    <mergeCell ref="E3286:E3287"/>
    <mergeCell ref="E3327:E3328"/>
    <mergeCell ref="E3368:E3369"/>
    <mergeCell ref="E3409:E3410"/>
    <mergeCell ref="E3450:E3451"/>
    <mergeCell ref="E3491:E3492"/>
    <mergeCell ref="E3532:E3533"/>
    <mergeCell ref="E3573:E3574"/>
    <mergeCell ref="E3614:E3615"/>
    <mergeCell ref="E3655:E3656"/>
    <mergeCell ref="F13:F14"/>
    <mergeCell ref="F56:F57"/>
    <mergeCell ref="F99:F100"/>
    <mergeCell ref="F142:F143"/>
    <mergeCell ref="F185:F186"/>
    <mergeCell ref="F228:F229"/>
    <mergeCell ref="F271:F272"/>
    <mergeCell ref="F314:F315"/>
    <mergeCell ref="F357:F358"/>
    <mergeCell ref="F400:F401"/>
    <mergeCell ref="F443:F444"/>
    <mergeCell ref="F486:F487"/>
    <mergeCell ref="F529:F530"/>
    <mergeCell ref="F572:F573"/>
    <mergeCell ref="F615:F616"/>
    <mergeCell ref="F658:F659"/>
    <mergeCell ref="F701:F702"/>
    <mergeCell ref="F744:F745"/>
    <mergeCell ref="F787:F788"/>
    <mergeCell ref="F830:F831"/>
    <mergeCell ref="F873:F874"/>
    <mergeCell ref="F916:F917"/>
    <mergeCell ref="F959:F960"/>
    <mergeCell ref="F1002:F1003"/>
    <mergeCell ref="F1045:F1046"/>
    <mergeCell ref="F1088:F1089"/>
    <mergeCell ref="F1131:F1132"/>
    <mergeCell ref="F1174:F1175"/>
    <mergeCell ref="F1217:F1218"/>
    <mergeCell ref="F1260:F1261"/>
    <mergeCell ref="F1303:F1304"/>
    <mergeCell ref="F1346:F1347"/>
    <mergeCell ref="F1389:F1390"/>
    <mergeCell ref="F1432:F1433"/>
    <mergeCell ref="F1475:F1476"/>
    <mergeCell ref="F1518:F1519"/>
    <mergeCell ref="F1561:F1562"/>
    <mergeCell ref="F1604:F1605"/>
    <mergeCell ref="F1647:F1648"/>
    <mergeCell ref="F1690:F1691"/>
    <mergeCell ref="F1733:F1734"/>
    <mergeCell ref="F1776:F1777"/>
    <mergeCell ref="F1816:F1817"/>
    <mergeCell ref="F1856:F1857"/>
    <mergeCell ref="F1896:F1897"/>
    <mergeCell ref="F1936:F1937"/>
    <mergeCell ref="F1976:F1977"/>
    <mergeCell ref="F2016:F2017"/>
    <mergeCell ref="F2056:F2057"/>
    <mergeCell ref="F2096:F2097"/>
    <mergeCell ref="F2136:F2137"/>
    <mergeCell ref="F2176:F2177"/>
    <mergeCell ref="F2216:F2217"/>
    <mergeCell ref="F2257:F2258"/>
    <mergeCell ref="F2298:F2299"/>
    <mergeCell ref="F2339:F2340"/>
    <mergeCell ref="F2380:F2381"/>
    <mergeCell ref="F2421:F2422"/>
    <mergeCell ref="F2462:F2463"/>
    <mergeCell ref="F2503:F2504"/>
    <mergeCell ref="F2544:F2545"/>
    <mergeCell ref="F2585:F2586"/>
    <mergeCell ref="F2626:F2627"/>
    <mergeCell ref="F2667:F2668"/>
    <mergeCell ref="F2708:F2709"/>
    <mergeCell ref="F2749:F2750"/>
    <mergeCell ref="F2790:F2791"/>
    <mergeCell ref="F2831:F2832"/>
    <mergeCell ref="F2872:F2873"/>
    <mergeCell ref="F2913:F2914"/>
    <mergeCell ref="F2954:F2955"/>
    <mergeCell ref="F2995:F2996"/>
    <mergeCell ref="F3036:F3037"/>
    <mergeCell ref="F3077:F3078"/>
    <mergeCell ref="F3118:F3119"/>
    <mergeCell ref="F3161:F3162"/>
    <mergeCell ref="F3204:F3205"/>
    <mergeCell ref="F3245:F3246"/>
    <mergeCell ref="F3286:F3287"/>
    <mergeCell ref="F3327:F3328"/>
    <mergeCell ref="F3368:F3369"/>
    <mergeCell ref="F3409:F3410"/>
    <mergeCell ref="F3450:F3451"/>
    <mergeCell ref="F3491:F3492"/>
    <mergeCell ref="F3532:F3533"/>
    <mergeCell ref="F3573:F3574"/>
    <mergeCell ref="F3614:F3615"/>
    <mergeCell ref="F3655:F3656"/>
    <mergeCell ref="G13:G14"/>
    <mergeCell ref="G56:G57"/>
    <mergeCell ref="G99:G100"/>
    <mergeCell ref="G142:G143"/>
    <mergeCell ref="G185:G186"/>
    <mergeCell ref="G228:G229"/>
    <mergeCell ref="G271:G272"/>
    <mergeCell ref="G314:G315"/>
    <mergeCell ref="G357:G358"/>
    <mergeCell ref="G400:G401"/>
    <mergeCell ref="G443:G444"/>
    <mergeCell ref="G486:G487"/>
    <mergeCell ref="G529:G530"/>
    <mergeCell ref="G572:G573"/>
    <mergeCell ref="G615:G616"/>
    <mergeCell ref="G658:G659"/>
    <mergeCell ref="G701:G702"/>
    <mergeCell ref="G744:G745"/>
    <mergeCell ref="G787:G788"/>
    <mergeCell ref="G830:G831"/>
    <mergeCell ref="G873:G874"/>
    <mergeCell ref="G916:G917"/>
    <mergeCell ref="G959:G960"/>
    <mergeCell ref="G1002:G1003"/>
    <mergeCell ref="G1045:G1046"/>
    <mergeCell ref="G1088:G1089"/>
    <mergeCell ref="G1131:G1132"/>
    <mergeCell ref="G1174:G1175"/>
    <mergeCell ref="G1217:G1218"/>
    <mergeCell ref="G1260:G1261"/>
    <mergeCell ref="G1303:G1304"/>
    <mergeCell ref="G1346:G1347"/>
    <mergeCell ref="G1389:G1390"/>
    <mergeCell ref="G1432:G1433"/>
    <mergeCell ref="G1475:G1476"/>
    <mergeCell ref="G1518:G1519"/>
    <mergeCell ref="G1561:G1562"/>
    <mergeCell ref="G1604:G1605"/>
    <mergeCell ref="G1647:G1648"/>
    <mergeCell ref="G1690:G1691"/>
    <mergeCell ref="G1733:G1734"/>
    <mergeCell ref="G1776:G1777"/>
    <mergeCell ref="G1816:G1817"/>
    <mergeCell ref="G1856:G1857"/>
    <mergeCell ref="G1896:G1897"/>
    <mergeCell ref="G1936:G1937"/>
    <mergeCell ref="G1976:G1977"/>
    <mergeCell ref="G2016:G2017"/>
    <mergeCell ref="G2056:G2057"/>
    <mergeCell ref="G2096:G2097"/>
    <mergeCell ref="G2136:G2137"/>
    <mergeCell ref="G2176:G2177"/>
    <mergeCell ref="G2216:G2217"/>
    <mergeCell ref="G2257:G2258"/>
    <mergeCell ref="G2298:G2299"/>
    <mergeCell ref="G2339:G2340"/>
    <mergeCell ref="G2380:G2381"/>
    <mergeCell ref="G2421:G2422"/>
    <mergeCell ref="G2462:G2463"/>
    <mergeCell ref="G2503:G2504"/>
    <mergeCell ref="G2544:G2545"/>
    <mergeCell ref="G2585:G2586"/>
    <mergeCell ref="G2626:G2627"/>
    <mergeCell ref="G2667:G2668"/>
    <mergeCell ref="G2708:G2709"/>
    <mergeCell ref="G2749:G2750"/>
    <mergeCell ref="G2790:G2791"/>
    <mergeCell ref="G2831:G2832"/>
    <mergeCell ref="G2872:G2873"/>
    <mergeCell ref="G2913:G2914"/>
    <mergeCell ref="G2954:G2955"/>
    <mergeCell ref="G2995:G2996"/>
    <mergeCell ref="G3036:G3037"/>
    <mergeCell ref="G3077:G3078"/>
    <mergeCell ref="G3118:G3119"/>
    <mergeCell ref="G3161:G3162"/>
    <mergeCell ref="G3204:G3205"/>
    <mergeCell ref="G3245:G3246"/>
    <mergeCell ref="G3286:G3287"/>
    <mergeCell ref="G3327:G3328"/>
    <mergeCell ref="G3368:G3369"/>
    <mergeCell ref="G3409:G3410"/>
    <mergeCell ref="G3450:G3451"/>
    <mergeCell ref="G3491:G3492"/>
    <mergeCell ref="G3532:G3533"/>
    <mergeCell ref="G3573:G3574"/>
    <mergeCell ref="G3614:G3615"/>
    <mergeCell ref="G3655:G3656"/>
    <mergeCell ref="H13:H14"/>
    <mergeCell ref="H56:H57"/>
    <mergeCell ref="H99:H100"/>
    <mergeCell ref="H142:H143"/>
    <mergeCell ref="H185:H186"/>
    <mergeCell ref="H228:H229"/>
    <mergeCell ref="H271:H272"/>
    <mergeCell ref="H314:H315"/>
    <mergeCell ref="H357:H358"/>
    <mergeCell ref="H400:H401"/>
    <mergeCell ref="H443:H444"/>
    <mergeCell ref="H486:H487"/>
    <mergeCell ref="H529:H530"/>
    <mergeCell ref="H572:H573"/>
    <mergeCell ref="H615:H616"/>
    <mergeCell ref="H658:H659"/>
    <mergeCell ref="H701:H702"/>
    <mergeCell ref="H744:H745"/>
    <mergeCell ref="H787:H788"/>
    <mergeCell ref="H830:H831"/>
    <mergeCell ref="H873:H874"/>
    <mergeCell ref="H916:H917"/>
    <mergeCell ref="H959:H960"/>
    <mergeCell ref="H1002:H1003"/>
    <mergeCell ref="H1045:H1046"/>
    <mergeCell ref="H1088:H1089"/>
    <mergeCell ref="H1131:H1132"/>
    <mergeCell ref="H1174:H1175"/>
    <mergeCell ref="H1217:H1218"/>
    <mergeCell ref="H1260:H1261"/>
    <mergeCell ref="H1303:H1304"/>
    <mergeCell ref="H1346:H1347"/>
    <mergeCell ref="H1389:H1390"/>
    <mergeCell ref="H1432:H1433"/>
    <mergeCell ref="H1475:H1476"/>
    <mergeCell ref="H1518:H1519"/>
    <mergeCell ref="H1561:H1562"/>
    <mergeCell ref="H1604:H1605"/>
    <mergeCell ref="H1647:H1648"/>
    <mergeCell ref="H1690:H1691"/>
    <mergeCell ref="H1733:H1734"/>
    <mergeCell ref="H1776:H1777"/>
    <mergeCell ref="H1816:H1817"/>
    <mergeCell ref="H1856:H1857"/>
    <mergeCell ref="H1896:H1897"/>
    <mergeCell ref="H1936:H1937"/>
    <mergeCell ref="H1976:H1977"/>
    <mergeCell ref="H2016:H2017"/>
    <mergeCell ref="H2056:H2057"/>
    <mergeCell ref="H2096:H2097"/>
    <mergeCell ref="H2136:H2137"/>
    <mergeCell ref="H2176:H2177"/>
    <mergeCell ref="H2216:H2217"/>
    <mergeCell ref="H2257:H2258"/>
    <mergeCell ref="H2298:H2299"/>
    <mergeCell ref="H2339:H2340"/>
    <mergeCell ref="H2380:H2381"/>
    <mergeCell ref="H2421:H2422"/>
    <mergeCell ref="H2462:H2463"/>
    <mergeCell ref="H2503:H2504"/>
    <mergeCell ref="H2544:H2545"/>
    <mergeCell ref="H2585:H2586"/>
    <mergeCell ref="H2626:H2627"/>
    <mergeCell ref="H2667:H2668"/>
    <mergeCell ref="H2708:H2709"/>
    <mergeCell ref="H2749:H2750"/>
    <mergeCell ref="H2790:H2791"/>
    <mergeCell ref="H2831:H2832"/>
    <mergeCell ref="H2872:H2873"/>
    <mergeCell ref="H2913:H2914"/>
    <mergeCell ref="H2954:H2955"/>
    <mergeCell ref="H2995:H2996"/>
    <mergeCell ref="H3036:H3037"/>
    <mergeCell ref="H3077:H3078"/>
    <mergeCell ref="H3118:H3119"/>
    <mergeCell ref="H3161:H3162"/>
    <mergeCell ref="H3204:H3205"/>
    <mergeCell ref="H3245:H3246"/>
    <mergeCell ref="H3286:H3287"/>
    <mergeCell ref="H3327:H3328"/>
    <mergeCell ref="H3368:H3369"/>
    <mergeCell ref="H3409:H3410"/>
    <mergeCell ref="H3450:H3451"/>
    <mergeCell ref="H3491:H3492"/>
    <mergeCell ref="H3532:H3533"/>
    <mergeCell ref="H3573:H3574"/>
    <mergeCell ref="H3614:H3615"/>
    <mergeCell ref="H3655:H3656"/>
    <mergeCell ref="I13:I14"/>
    <mergeCell ref="I56:I57"/>
    <mergeCell ref="I99:I100"/>
    <mergeCell ref="I142:I143"/>
    <mergeCell ref="I185:I186"/>
    <mergeCell ref="I228:I229"/>
    <mergeCell ref="I271:I272"/>
    <mergeCell ref="I314:I315"/>
    <mergeCell ref="I357:I358"/>
    <mergeCell ref="I400:I401"/>
    <mergeCell ref="I443:I444"/>
    <mergeCell ref="I486:I487"/>
    <mergeCell ref="I529:I530"/>
    <mergeCell ref="I572:I573"/>
    <mergeCell ref="I615:I616"/>
    <mergeCell ref="I658:I659"/>
    <mergeCell ref="I701:I702"/>
    <mergeCell ref="I744:I745"/>
    <mergeCell ref="I787:I788"/>
    <mergeCell ref="I830:I831"/>
    <mergeCell ref="I873:I874"/>
    <mergeCell ref="I916:I917"/>
    <mergeCell ref="I959:I960"/>
    <mergeCell ref="I1002:I1003"/>
    <mergeCell ref="I1045:I1046"/>
    <mergeCell ref="I1088:I1089"/>
    <mergeCell ref="I1131:I1132"/>
    <mergeCell ref="I1174:I1175"/>
    <mergeCell ref="I1217:I1218"/>
    <mergeCell ref="I1260:I1261"/>
    <mergeCell ref="I1303:I1304"/>
    <mergeCell ref="I1346:I1347"/>
    <mergeCell ref="I1389:I1390"/>
    <mergeCell ref="I1432:I1433"/>
    <mergeCell ref="I1475:I1476"/>
    <mergeCell ref="I1518:I1519"/>
    <mergeCell ref="I1561:I1562"/>
    <mergeCell ref="I1604:I1605"/>
    <mergeCell ref="I1647:I1648"/>
    <mergeCell ref="I1690:I1691"/>
    <mergeCell ref="I1733:I1734"/>
    <mergeCell ref="I1776:I1777"/>
    <mergeCell ref="I1816:I1817"/>
    <mergeCell ref="I1856:I1857"/>
    <mergeCell ref="I1896:I1897"/>
    <mergeCell ref="I1936:I1937"/>
    <mergeCell ref="I1976:I1977"/>
    <mergeCell ref="I2016:I2017"/>
    <mergeCell ref="I2056:I2057"/>
    <mergeCell ref="I2096:I2097"/>
    <mergeCell ref="I2136:I2137"/>
    <mergeCell ref="I2176:I2177"/>
    <mergeCell ref="I2216:I2217"/>
    <mergeCell ref="I2257:I2258"/>
    <mergeCell ref="I2298:I2299"/>
    <mergeCell ref="I2339:I2340"/>
    <mergeCell ref="I2380:I2381"/>
    <mergeCell ref="I2421:I2422"/>
    <mergeCell ref="I2462:I2463"/>
    <mergeCell ref="I2503:I2504"/>
    <mergeCell ref="I2544:I2545"/>
    <mergeCell ref="I2585:I2586"/>
    <mergeCell ref="I2626:I2627"/>
    <mergeCell ref="I2667:I2668"/>
    <mergeCell ref="I2708:I2709"/>
    <mergeCell ref="I2749:I2750"/>
    <mergeCell ref="I2790:I2791"/>
    <mergeCell ref="I2831:I2832"/>
    <mergeCell ref="I2872:I2873"/>
    <mergeCell ref="I2913:I2914"/>
    <mergeCell ref="I2954:I2955"/>
    <mergeCell ref="I2995:I2996"/>
    <mergeCell ref="I3036:I3037"/>
    <mergeCell ref="I3077:I3078"/>
    <mergeCell ref="I3118:I3119"/>
    <mergeCell ref="I3161:I3162"/>
    <mergeCell ref="I3204:I3205"/>
    <mergeCell ref="I3245:I3246"/>
    <mergeCell ref="I3286:I3287"/>
    <mergeCell ref="I3327:I3328"/>
    <mergeCell ref="I3368:I3369"/>
    <mergeCell ref="I3409:I3410"/>
    <mergeCell ref="I3450:I3451"/>
    <mergeCell ref="I3491:I3492"/>
    <mergeCell ref="I3532:I3533"/>
    <mergeCell ref="I3573:I3574"/>
    <mergeCell ref="I3614:I3615"/>
    <mergeCell ref="I3655:I3656"/>
    <mergeCell ref="J13:J14"/>
    <mergeCell ref="J56:J57"/>
    <mergeCell ref="J99:J100"/>
    <mergeCell ref="J142:J143"/>
    <mergeCell ref="J185:J186"/>
    <mergeCell ref="J228:J229"/>
    <mergeCell ref="J271:J272"/>
    <mergeCell ref="J314:J315"/>
    <mergeCell ref="J357:J358"/>
    <mergeCell ref="J400:J401"/>
    <mergeCell ref="J443:J444"/>
    <mergeCell ref="J486:J487"/>
    <mergeCell ref="J529:J530"/>
    <mergeCell ref="J572:J573"/>
    <mergeCell ref="J615:J616"/>
    <mergeCell ref="J658:J659"/>
    <mergeCell ref="J701:J702"/>
    <mergeCell ref="J744:J745"/>
    <mergeCell ref="J787:J788"/>
    <mergeCell ref="J830:J831"/>
    <mergeCell ref="J873:J874"/>
    <mergeCell ref="J916:J917"/>
    <mergeCell ref="J959:J960"/>
    <mergeCell ref="J1002:J1003"/>
    <mergeCell ref="J1045:J1046"/>
    <mergeCell ref="J1088:J1089"/>
    <mergeCell ref="J1131:J1132"/>
    <mergeCell ref="J1174:J1175"/>
    <mergeCell ref="J1217:J1218"/>
    <mergeCell ref="J1260:J1261"/>
    <mergeCell ref="J1303:J1304"/>
    <mergeCell ref="J1346:J1347"/>
    <mergeCell ref="J1389:J1390"/>
    <mergeCell ref="J1432:J1433"/>
    <mergeCell ref="J1475:J1476"/>
    <mergeCell ref="J1518:J1519"/>
    <mergeCell ref="J1561:J1562"/>
    <mergeCell ref="J1604:J1605"/>
    <mergeCell ref="J1647:J1648"/>
    <mergeCell ref="J1690:J1691"/>
    <mergeCell ref="J1733:J1734"/>
    <mergeCell ref="J1776:J1777"/>
    <mergeCell ref="J1816:J1817"/>
    <mergeCell ref="J1856:J1857"/>
    <mergeCell ref="J1896:J1897"/>
    <mergeCell ref="J1936:J1937"/>
    <mergeCell ref="J1976:J1977"/>
    <mergeCell ref="J2016:J2017"/>
    <mergeCell ref="J2056:J2057"/>
    <mergeCell ref="J2096:J2097"/>
    <mergeCell ref="J2136:J2137"/>
    <mergeCell ref="J2176:J2177"/>
    <mergeCell ref="J2216:J2217"/>
    <mergeCell ref="J2257:J2258"/>
    <mergeCell ref="J2298:J2299"/>
    <mergeCell ref="J2339:J2340"/>
    <mergeCell ref="J2380:J2381"/>
    <mergeCell ref="J2421:J2422"/>
    <mergeCell ref="J2462:J2463"/>
    <mergeCell ref="J2503:J2504"/>
    <mergeCell ref="J2544:J2545"/>
    <mergeCell ref="J2585:J2586"/>
    <mergeCell ref="J2626:J2627"/>
    <mergeCell ref="J2667:J2668"/>
    <mergeCell ref="J2708:J2709"/>
    <mergeCell ref="J2749:J2750"/>
    <mergeCell ref="J2790:J2791"/>
    <mergeCell ref="J2831:J2832"/>
    <mergeCell ref="J2872:J2873"/>
    <mergeCell ref="J2913:J2914"/>
    <mergeCell ref="J2954:J2955"/>
    <mergeCell ref="J2995:J2996"/>
    <mergeCell ref="J3036:J3037"/>
    <mergeCell ref="J3077:J3078"/>
    <mergeCell ref="J3118:J3119"/>
    <mergeCell ref="J3161:J3162"/>
    <mergeCell ref="J3204:J3205"/>
    <mergeCell ref="J3245:J3246"/>
    <mergeCell ref="J3286:J3287"/>
    <mergeCell ref="J3327:J3328"/>
    <mergeCell ref="J3368:J3369"/>
    <mergeCell ref="J3409:J3410"/>
    <mergeCell ref="J3450:J3451"/>
    <mergeCell ref="J3491:J3492"/>
    <mergeCell ref="J3532:J3533"/>
    <mergeCell ref="J3573:J3574"/>
    <mergeCell ref="J3614:J3615"/>
    <mergeCell ref="J3655:J3656"/>
  </mergeCells>
  <pageMargins left="0.75" right="0.75" top="1" bottom="1" header="0.5" footer="0.5"/>
  <pageSetup paperSize="9" scale="77" orientation="portrait"/>
  <headerFooter/>
  <rowBreaks count="87" manualBreakCount="87">
    <brk id="43" max="9" man="1"/>
    <brk id="86" max="16383" man="1"/>
    <brk id="129" max="9" man="1"/>
    <brk id="172" max="9" man="1"/>
    <brk id="215" max="9" man="1"/>
    <brk id="258" max="9" man="1"/>
    <brk id="301" max="9" man="1"/>
    <brk id="344" max="9" man="1"/>
    <brk id="387" max="9" man="1"/>
    <brk id="430" max="9" man="1"/>
    <brk id="473" max="9" man="1"/>
    <brk id="516" max="9" man="1"/>
    <brk id="559" max="9" man="1"/>
    <brk id="602" max="9" man="1"/>
    <brk id="645" max="9" man="1"/>
    <brk id="688" max="9" man="1"/>
    <brk id="731" max="9" man="1"/>
    <brk id="774" max="9" man="1"/>
    <brk id="817" max="9" man="1"/>
    <brk id="860" max="9" man="1"/>
    <brk id="903" max="9" man="1"/>
    <brk id="946" max="9" man="1"/>
    <brk id="989" max="9" man="1"/>
    <brk id="1032" max="9" man="1"/>
    <brk id="1075" max="9" man="1"/>
    <brk id="1118" max="9" man="1"/>
    <brk id="1161" max="9" man="1"/>
    <brk id="1204" max="9" man="1"/>
    <brk id="1247" max="9" man="1"/>
    <brk id="1290" max="9" man="1"/>
    <brk id="1333" max="9" man="1"/>
    <brk id="1376" max="9" man="1"/>
    <brk id="1419" max="9" man="1"/>
    <brk id="1462" max="9" man="1"/>
    <brk id="1505" max="9" man="1"/>
    <brk id="1548" max="9" man="1"/>
    <brk id="1591" max="9" man="1"/>
    <brk id="1634" max="9" man="1"/>
    <brk id="1677" max="9" man="1"/>
    <brk id="1720" max="9" man="1"/>
    <brk id="1763" max="9" man="1"/>
    <brk id="1803" max="9" man="1"/>
    <brk id="1843" max="9" man="1"/>
    <brk id="1883" max="9" man="1"/>
    <brk id="1923" max="9" man="1"/>
    <brk id="1963" max="9" man="1"/>
    <brk id="2003" max="9" man="1"/>
    <brk id="2043" max="9" man="1"/>
    <brk id="2083" max="9" man="1"/>
    <brk id="2123" max="9" man="1"/>
    <brk id="2163" max="9" man="1"/>
    <brk id="2203" max="9" man="1"/>
    <brk id="2244" max="9" man="1"/>
    <brk id="2285" max="9" man="1"/>
    <brk id="2326" max="9" man="1"/>
    <brk id="2367" max="9" man="1"/>
    <brk id="2408" max="9" man="1"/>
    <brk id="2449" max="9" man="1"/>
    <brk id="2490" max="9" man="1"/>
    <brk id="2531" max="9" man="1"/>
    <brk id="2572" max="9" man="1"/>
    <brk id="2613" max="9" man="1"/>
    <brk id="2654" max="9" man="1"/>
    <brk id="2695" max="9" man="1"/>
    <brk id="2736" max="9" man="1"/>
    <brk id="2777" max="9" man="1"/>
    <brk id="2818" max="9" man="1"/>
    <brk id="2859" max="9" man="1"/>
    <brk id="2900" max="9" man="1"/>
    <brk id="2941" max="9" man="1"/>
    <brk id="2982" max="9" man="1"/>
    <brk id="3023" max="9" man="1"/>
    <brk id="3064" max="9" man="1"/>
    <brk id="3105" max="9" man="1"/>
    <brk id="3148" max="9" man="1"/>
    <brk id="3191" max="9" man="1"/>
    <brk id="3232" max="9" man="1"/>
    <brk id="3273" max="9" man="1"/>
    <brk id="3314" max="9" man="1"/>
    <brk id="3355" max="9" man="1"/>
    <brk id="3396" max="9" man="1"/>
    <brk id="3437" max="9" man="1"/>
    <brk id="3478" max="9" man="1"/>
    <brk id="3519" max="9" man="1"/>
    <brk id="3560" max="9" man="1"/>
    <brk id="3601" max="9" man="1"/>
    <brk id="3642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2"/>
  <sheetViews>
    <sheetView view="pageBreakPreview" zoomScaleNormal="100" topLeftCell="A37" workbookViewId="0">
      <selection activeCell="D184" sqref="D184"/>
    </sheetView>
  </sheetViews>
  <sheetFormatPr defaultColWidth="9" defaultRowHeight="15.2" outlineLevelCol="7"/>
  <cols>
    <col min="1" max="1" width="45.625" style="1" customWidth="1"/>
    <col min="2" max="2" width="16.625" style="2" customWidth="1"/>
    <col min="3" max="3" width="6.25" style="3" customWidth="1"/>
    <col min="4" max="4" width="47.375" style="1" customWidth="1"/>
    <col min="5" max="5" width="11.125" style="4"/>
    <col min="6" max="6" width="9" style="3"/>
    <col min="7" max="8" width="9.25" style="1"/>
    <col min="9" max="16384" width="9" style="1"/>
  </cols>
  <sheetData>
    <row r="1" ht="25" customHeight="1" spans="1:6">
      <c r="A1" s="5" t="s">
        <v>396</v>
      </c>
      <c r="B1" s="6" t="s">
        <v>731</v>
      </c>
      <c r="C1" s="5" t="s">
        <v>37</v>
      </c>
      <c r="D1" s="5" t="s">
        <v>732</v>
      </c>
      <c r="E1" s="7" t="s">
        <v>733</v>
      </c>
      <c r="F1" s="5" t="s">
        <v>6</v>
      </c>
    </row>
    <row r="2" ht="25" customHeight="1" spans="1:6">
      <c r="A2" s="5" t="s">
        <v>225</v>
      </c>
      <c r="B2" s="6"/>
      <c r="C2" s="5"/>
      <c r="D2" s="5"/>
      <c r="E2" s="8">
        <f ca="1">SUM(E3:E56)</f>
        <v>1528.548795</v>
      </c>
      <c r="F2" s="5"/>
    </row>
    <row r="3" ht="27" customHeight="1" spans="1:6">
      <c r="A3" s="9" t="s">
        <v>226</v>
      </c>
      <c r="B3" s="10" t="s">
        <v>227</v>
      </c>
      <c r="C3" s="5" t="s">
        <v>423</v>
      </c>
      <c r="D3" s="7" t="s">
        <v>1080</v>
      </c>
      <c r="E3" s="11" cm="1">
        <f ca="1" t="array" ref="E3">+EVALUATE(D3)</f>
        <v>25.92</v>
      </c>
      <c r="F3" s="5" t="s">
        <v>1081</v>
      </c>
    </row>
    <row r="4" ht="30" customHeight="1" spans="1:6">
      <c r="A4" s="9" t="s">
        <v>228</v>
      </c>
      <c r="B4" s="10" t="s">
        <v>229</v>
      </c>
      <c r="C4" s="5" t="s">
        <v>423</v>
      </c>
      <c r="D4" s="7" t="s">
        <v>1082</v>
      </c>
      <c r="E4" s="11" cm="1">
        <f ca="1" t="array" ref="E4">+EVALUATE(D4)</f>
        <v>10.98</v>
      </c>
      <c r="F4" s="5" t="s">
        <v>1081</v>
      </c>
    </row>
    <row r="5" ht="35" customHeight="1" spans="1:6">
      <c r="A5" s="9" t="s">
        <v>230</v>
      </c>
      <c r="B5" s="10" t="s">
        <v>227</v>
      </c>
      <c r="C5" s="5" t="s">
        <v>423</v>
      </c>
      <c r="D5" s="7" t="s">
        <v>1083</v>
      </c>
      <c r="E5" s="11" cm="1">
        <f ca="1" t="array" ref="E5">+EVALUATE(D5)</f>
        <v>8.9424</v>
      </c>
      <c r="F5" s="5" t="s">
        <v>1081</v>
      </c>
    </row>
    <row r="6" ht="26" customHeight="1" spans="1:6">
      <c r="A6" s="12" t="s">
        <v>231</v>
      </c>
      <c r="B6" s="10" t="s">
        <v>232</v>
      </c>
      <c r="C6" s="5" t="s">
        <v>423</v>
      </c>
      <c r="D6" s="7" t="s">
        <v>1084</v>
      </c>
      <c r="E6" s="11" cm="1">
        <f ca="1" t="array" ref="E6">+EVALUATE(D6)</f>
        <v>164.232</v>
      </c>
      <c r="F6" s="5" t="s">
        <v>1081</v>
      </c>
    </row>
    <row r="7" ht="37" customHeight="1" spans="1:6">
      <c r="A7" s="9" t="s">
        <v>233</v>
      </c>
      <c r="B7" s="10" t="s">
        <v>232</v>
      </c>
      <c r="C7" s="5" t="s">
        <v>423</v>
      </c>
      <c r="D7" s="7" t="s">
        <v>1085</v>
      </c>
      <c r="E7" s="11" cm="1">
        <f ca="1" t="array" ref="E7">+EVALUATE(D7)</f>
        <v>20.3616</v>
      </c>
      <c r="F7" s="5" t="s">
        <v>1081</v>
      </c>
    </row>
    <row r="8" ht="27" customHeight="1" spans="1:6">
      <c r="A8" s="13" t="s">
        <v>245</v>
      </c>
      <c r="B8" s="10" t="s">
        <v>246</v>
      </c>
      <c r="C8" s="5" t="s">
        <v>423</v>
      </c>
      <c r="D8" s="10" t="s">
        <v>1086</v>
      </c>
      <c r="E8" s="11" cm="1">
        <f ca="1" t="array" ref="E8">+EVALUATE(D8)</f>
        <v>172.038975</v>
      </c>
      <c r="F8" s="5" t="s">
        <v>1081</v>
      </c>
    </row>
    <row r="9" ht="52" customHeight="1" spans="1:6">
      <c r="A9" s="13" t="s">
        <v>247</v>
      </c>
      <c r="B9" s="10" t="s">
        <v>246</v>
      </c>
      <c r="C9" s="5" t="s">
        <v>423</v>
      </c>
      <c r="D9" s="7" t="s">
        <v>1087</v>
      </c>
      <c r="E9" s="11" cm="1">
        <f ca="1" t="array" ref="E9">+EVALUATE(D9)</f>
        <v>7.53894</v>
      </c>
      <c r="F9" s="5" t="s">
        <v>1081</v>
      </c>
    </row>
    <row r="10" ht="52" customHeight="1" spans="1:6">
      <c r="A10" s="13" t="s">
        <v>248</v>
      </c>
      <c r="B10" s="10" t="s">
        <v>246</v>
      </c>
      <c r="C10" s="5" t="s">
        <v>423</v>
      </c>
      <c r="D10" s="7" t="s">
        <v>1088</v>
      </c>
      <c r="E10" s="11" cm="1">
        <f ca="1" t="array" ref="E10">+EVALUATE(D10)</f>
        <v>34.33192</v>
      </c>
      <c r="F10" s="5" t="s">
        <v>1081</v>
      </c>
    </row>
    <row r="11" ht="41" customHeight="1" spans="1:6">
      <c r="A11" s="14" t="s">
        <v>254</v>
      </c>
      <c r="B11" s="10" t="s">
        <v>1089</v>
      </c>
      <c r="C11" s="5" t="s">
        <v>423</v>
      </c>
      <c r="D11" s="7" t="s">
        <v>1090</v>
      </c>
      <c r="E11" s="11" cm="1">
        <f ca="1" t="array" ref="E11">+EVALUATE(D11)</f>
        <v>26.8</v>
      </c>
      <c r="F11" s="5" t="s">
        <v>1081</v>
      </c>
    </row>
    <row r="12" ht="53" customHeight="1" spans="1:6">
      <c r="A12" s="14" t="s">
        <v>256</v>
      </c>
      <c r="B12" s="10" t="s">
        <v>1091</v>
      </c>
      <c r="C12" s="5" t="s">
        <v>423</v>
      </c>
      <c r="D12" s="7" t="s">
        <v>1092</v>
      </c>
      <c r="E12" s="11" cm="1">
        <f ca="1" t="array" ref="E12">+EVALUATE(D12)</f>
        <v>22.925</v>
      </c>
      <c r="F12" s="5" t="s">
        <v>1081</v>
      </c>
    </row>
    <row r="13" ht="34" customHeight="1" spans="1:6">
      <c r="A13" s="14" t="s">
        <v>258</v>
      </c>
      <c r="B13" s="10" t="s">
        <v>259</v>
      </c>
      <c r="C13" s="5" t="s">
        <v>423</v>
      </c>
      <c r="D13" s="7" t="s">
        <v>1093</v>
      </c>
      <c r="E13" s="11" cm="1">
        <f ca="1" t="array" ref="E13">+EVALUATE(D13)</f>
        <v>15.515</v>
      </c>
      <c r="F13" s="5" t="s">
        <v>1081</v>
      </c>
    </row>
    <row r="14" ht="44" customHeight="1" spans="1:6">
      <c r="A14" s="14" t="s">
        <v>260</v>
      </c>
      <c r="B14" s="10" t="s">
        <v>261</v>
      </c>
      <c r="C14" s="5" t="s">
        <v>423</v>
      </c>
      <c r="D14" s="7" t="s">
        <v>1094</v>
      </c>
      <c r="E14" s="11" cm="1">
        <f ca="1" t="array" ref="E14">+EVALUATE(D14)</f>
        <v>14.79</v>
      </c>
      <c r="F14" s="5" t="s">
        <v>1081</v>
      </c>
    </row>
    <row r="15" ht="53" customHeight="1" spans="1:6">
      <c r="A15" s="14" t="s">
        <v>262</v>
      </c>
      <c r="B15" s="10" t="s">
        <v>263</v>
      </c>
      <c r="C15" s="5" t="s">
        <v>423</v>
      </c>
      <c r="D15" s="7" t="s">
        <v>1095</v>
      </c>
      <c r="E15" s="11" cm="1">
        <f ca="1" t="array" ref="E15">+EVALUATE(D15)</f>
        <v>6.81</v>
      </c>
      <c r="F15" s="5" t="s">
        <v>1081</v>
      </c>
    </row>
    <row r="16" ht="36" customHeight="1" spans="1:6">
      <c r="A16" s="14" t="s">
        <v>264</v>
      </c>
      <c r="B16" s="10" t="s">
        <v>263</v>
      </c>
      <c r="C16" s="5" t="s">
        <v>423</v>
      </c>
      <c r="D16" s="7" t="s">
        <v>1096</v>
      </c>
      <c r="E16" s="11" cm="1">
        <f ca="1" t="array" ref="E16">+EVALUATE(D16)</f>
        <v>13.95</v>
      </c>
      <c r="F16" s="5" t="s">
        <v>1081</v>
      </c>
    </row>
    <row r="17" ht="36" customHeight="1" spans="1:6">
      <c r="A17" s="14" t="s">
        <v>265</v>
      </c>
      <c r="B17" s="10" t="s">
        <v>263</v>
      </c>
      <c r="C17" s="5" t="s">
        <v>423</v>
      </c>
      <c r="D17" s="7" t="s">
        <v>1097</v>
      </c>
      <c r="E17" s="11" cm="1">
        <f ca="1" t="array" ref="E17">+EVALUATE(D17)</f>
        <v>3.375</v>
      </c>
      <c r="F17" s="5" t="s">
        <v>1081</v>
      </c>
    </row>
    <row r="18" ht="36" customHeight="1" spans="1:6">
      <c r="A18" s="15" t="s">
        <v>266</v>
      </c>
      <c r="B18" s="15" t="s">
        <v>267</v>
      </c>
      <c r="C18" s="5" t="s">
        <v>423</v>
      </c>
      <c r="D18" s="7" t="s">
        <v>1098</v>
      </c>
      <c r="E18" s="11" cm="1">
        <f ca="1" t="array" ref="E18">+EVALUATE(D18)</f>
        <v>10.0006</v>
      </c>
      <c r="F18" s="5" t="s">
        <v>1081</v>
      </c>
    </row>
    <row r="19" ht="43" customHeight="1" spans="1:6">
      <c r="A19" s="15" t="s">
        <v>268</v>
      </c>
      <c r="B19" s="15" t="s">
        <v>267</v>
      </c>
      <c r="C19" s="5" t="s">
        <v>423</v>
      </c>
      <c r="D19" s="7" t="s">
        <v>1099</v>
      </c>
      <c r="E19" s="11" cm="1">
        <f ca="1" t="array" ref="E19">+EVALUATE(D19)</f>
        <v>3.41124</v>
      </c>
      <c r="F19" s="5" t="s">
        <v>1081</v>
      </c>
    </row>
    <row r="20" ht="39" customHeight="1" spans="1:6">
      <c r="A20" s="15" t="s">
        <v>269</v>
      </c>
      <c r="B20" s="15" t="s">
        <v>267</v>
      </c>
      <c r="C20" s="5" t="s">
        <v>423</v>
      </c>
      <c r="D20" s="7" t="s">
        <v>1100</v>
      </c>
      <c r="E20" s="11" cm="1">
        <f ca="1" t="array" ref="E20">+EVALUATE(D20)</f>
        <v>29.38285</v>
      </c>
      <c r="F20" s="5" t="s">
        <v>1081</v>
      </c>
    </row>
    <row r="21" ht="43" customHeight="1" spans="1:6">
      <c r="A21" s="15" t="s">
        <v>270</v>
      </c>
      <c r="B21" s="15" t="s">
        <v>271</v>
      </c>
      <c r="C21" s="5" t="s">
        <v>423</v>
      </c>
      <c r="D21" s="7" t="s">
        <v>1101</v>
      </c>
      <c r="E21" s="11" cm="1">
        <f ca="1" t="array" ref="E21">+EVALUATE(D21)</f>
        <v>12.90219</v>
      </c>
      <c r="F21" s="5" t="s">
        <v>1081</v>
      </c>
    </row>
    <row r="22" ht="43" customHeight="1" spans="1:6">
      <c r="A22" s="15" t="s">
        <v>272</v>
      </c>
      <c r="B22" s="15" t="s">
        <v>273</v>
      </c>
      <c r="C22" s="5" t="s">
        <v>423</v>
      </c>
      <c r="D22" s="7" t="s">
        <v>1102</v>
      </c>
      <c r="E22" s="11" cm="1">
        <f ca="1" t="array" ref="E22">+EVALUATE(D22)</f>
        <v>19.33695</v>
      </c>
      <c r="F22" s="5" t="s">
        <v>1081</v>
      </c>
    </row>
    <row r="23" ht="43" customHeight="1" spans="1:6">
      <c r="A23" s="15" t="s">
        <v>274</v>
      </c>
      <c r="B23" s="15" t="s">
        <v>273</v>
      </c>
      <c r="C23" s="5" t="s">
        <v>423</v>
      </c>
      <c r="D23" s="7" t="s">
        <v>1103</v>
      </c>
      <c r="E23" s="11" cm="1">
        <f ca="1" t="array" ref="E23">+EVALUATE(D23)</f>
        <v>2.27416</v>
      </c>
      <c r="F23" s="5" t="s">
        <v>1081</v>
      </c>
    </row>
    <row r="24" ht="28" customHeight="1" spans="1:6">
      <c r="A24" s="15" t="s">
        <v>275</v>
      </c>
      <c r="B24" s="15" t="s">
        <v>273</v>
      </c>
      <c r="C24" s="5" t="s">
        <v>423</v>
      </c>
      <c r="D24" s="7" t="s">
        <v>1104</v>
      </c>
      <c r="E24" s="11" cm="1">
        <f ca="1" t="array" ref="E24">+EVALUATE(D24)</f>
        <v>42.95565</v>
      </c>
      <c r="F24" s="5" t="s">
        <v>1081</v>
      </c>
    </row>
    <row r="25" ht="48" customHeight="1" spans="1:6">
      <c r="A25" s="15" t="s">
        <v>276</v>
      </c>
      <c r="B25" s="15" t="s">
        <v>273</v>
      </c>
      <c r="C25" s="16" t="s">
        <v>423</v>
      </c>
      <c r="D25" s="17" t="s">
        <v>1105</v>
      </c>
      <c r="E25" s="18" cm="1">
        <f ca="1" t="array" ref="E25">+EVALUATE(D25)</f>
        <v>8.54644</v>
      </c>
      <c r="F25" s="5" t="s">
        <v>1081</v>
      </c>
    </row>
    <row r="26" ht="43" customHeight="1" spans="1:6">
      <c r="A26" s="15" t="s">
        <v>277</v>
      </c>
      <c r="B26" s="15" t="s">
        <v>273</v>
      </c>
      <c r="C26" s="5" t="s">
        <v>423</v>
      </c>
      <c r="D26" s="7" t="s">
        <v>1106</v>
      </c>
      <c r="E26" s="11" cm="1">
        <f ca="1" t="array" ref="E26">+EVALUATE(D26)</f>
        <v>1.68888</v>
      </c>
      <c r="F26" s="5" t="s">
        <v>1081</v>
      </c>
    </row>
    <row r="27" ht="32" customHeight="1" spans="1:6">
      <c r="A27" s="15" t="s">
        <v>278</v>
      </c>
      <c r="B27" s="15" t="s">
        <v>279</v>
      </c>
      <c r="C27" s="5" t="s">
        <v>423</v>
      </c>
      <c r="D27" s="7" t="s">
        <v>1107</v>
      </c>
      <c r="E27" s="11" cm="1">
        <f ca="1" t="array" ref="E27">+EVALUATE(D27)</f>
        <v>19.6137</v>
      </c>
      <c r="F27" s="5" t="s">
        <v>1081</v>
      </c>
    </row>
    <row r="28" ht="60" customHeight="1" spans="1:6">
      <c r="A28" s="15" t="s">
        <v>280</v>
      </c>
      <c r="B28" s="15" t="s">
        <v>279</v>
      </c>
      <c r="C28" s="5" t="s">
        <v>423</v>
      </c>
      <c r="D28" s="7" t="s">
        <v>1108</v>
      </c>
      <c r="E28" s="11" cm="1">
        <f ca="1" t="array" ref="E28">+EVALUATE(D28)</f>
        <v>9.57486</v>
      </c>
      <c r="F28" s="5" t="s">
        <v>1081</v>
      </c>
    </row>
    <row r="29" ht="37" customHeight="1" spans="1:6">
      <c r="A29" s="9" t="s">
        <v>234</v>
      </c>
      <c r="B29" s="10" t="s">
        <v>235</v>
      </c>
      <c r="C29" s="5" t="s">
        <v>423</v>
      </c>
      <c r="D29" s="7" t="s">
        <v>1109</v>
      </c>
      <c r="E29" s="11" cm="1">
        <f ca="1" t="array" ref="E29">+EVALUATE(D29)</f>
        <v>63.36</v>
      </c>
      <c r="F29" s="5" t="s">
        <v>1110</v>
      </c>
    </row>
    <row r="30" ht="37" customHeight="1" spans="1:6">
      <c r="A30" s="9" t="s">
        <v>236</v>
      </c>
      <c r="B30" s="10" t="s">
        <v>235</v>
      </c>
      <c r="C30" s="5" t="s">
        <v>423</v>
      </c>
      <c r="D30" s="7" t="s">
        <v>1111</v>
      </c>
      <c r="E30" s="11" cm="1">
        <f ca="1" t="array" ref="E30">+EVALUATE(D30)</f>
        <v>10.1808</v>
      </c>
      <c r="F30" s="5" t="s">
        <v>1110</v>
      </c>
    </row>
    <row r="31" ht="37" customHeight="1" spans="1:6">
      <c r="A31" s="9" t="s">
        <v>1015</v>
      </c>
      <c r="B31" s="10" t="s">
        <v>238</v>
      </c>
      <c r="C31" s="5" t="s">
        <v>423</v>
      </c>
      <c r="D31" s="7" t="s">
        <v>1112</v>
      </c>
      <c r="E31" s="11" cm="1">
        <f ca="1" t="array" ref="E31">+EVALUATE(D31)</f>
        <v>94.392</v>
      </c>
      <c r="F31" s="5" t="s">
        <v>1110</v>
      </c>
    </row>
    <row r="32" ht="37" customHeight="1" spans="1:6">
      <c r="A32" s="9" t="s">
        <v>237</v>
      </c>
      <c r="B32" s="10" t="s">
        <v>238</v>
      </c>
      <c r="C32" s="5" t="s">
        <v>423</v>
      </c>
      <c r="D32" s="7" t="s">
        <v>1113</v>
      </c>
      <c r="E32" s="11" cm="1">
        <f ca="1" t="array" ref="E32">+EVALUATE(D32)</f>
        <v>9.4788</v>
      </c>
      <c r="F32" s="5" t="s">
        <v>1110</v>
      </c>
    </row>
    <row r="33" ht="37" customHeight="1" spans="1:6">
      <c r="A33" s="9" t="s">
        <v>239</v>
      </c>
      <c r="B33" s="10" t="s">
        <v>238</v>
      </c>
      <c r="C33" s="5" t="s">
        <v>423</v>
      </c>
      <c r="D33" s="7" t="s">
        <v>1114</v>
      </c>
      <c r="E33" s="11" cm="1">
        <f ca="1" t="array" ref="E33">+EVALUATE(D33)</f>
        <v>7.11</v>
      </c>
      <c r="F33" s="5" t="s">
        <v>1110</v>
      </c>
    </row>
    <row r="34" ht="37" customHeight="1" spans="1:6">
      <c r="A34" s="9" t="s">
        <v>240</v>
      </c>
      <c r="B34" s="10" t="s">
        <v>238</v>
      </c>
      <c r="C34" s="5" t="s">
        <v>423</v>
      </c>
      <c r="D34" s="7" t="s">
        <v>1115</v>
      </c>
      <c r="E34" s="11" cm="1">
        <f ca="1" t="array" ref="E34">+EVALUATE(D34)</f>
        <v>8.9568</v>
      </c>
      <c r="F34" s="5" t="s">
        <v>1110</v>
      </c>
    </row>
    <row r="35" ht="33" customHeight="1" spans="1:6">
      <c r="A35" s="9" t="s">
        <v>241</v>
      </c>
      <c r="B35" s="10" t="s">
        <v>242</v>
      </c>
      <c r="C35" s="6" t="s">
        <v>423</v>
      </c>
      <c r="D35" s="10" t="s">
        <v>1116</v>
      </c>
      <c r="E35" s="11" cm="1">
        <f ca="1" t="array" ref="E35">+EVALUATE(D35)</f>
        <v>54.9</v>
      </c>
      <c r="F35" s="5" t="s">
        <v>1110</v>
      </c>
    </row>
    <row r="36" ht="41" customHeight="1" spans="1:6">
      <c r="A36" s="9" t="s">
        <v>243</v>
      </c>
      <c r="B36" s="10" t="s">
        <v>242</v>
      </c>
      <c r="C36" s="6" t="s">
        <v>423</v>
      </c>
      <c r="D36" s="10" t="s">
        <v>1117</v>
      </c>
      <c r="E36" s="11" cm="1">
        <f ca="1" t="array" ref="E36">+EVALUATE(D36)</f>
        <v>3.96</v>
      </c>
      <c r="F36" s="5" t="s">
        <v>1110</v>
      </c>
    </row>
    <row r="37" ht="47" customHeight="1" spans="1:6">
      <c r="A37" s="9" t="s">
        <v>244</v>
      </c>
      <c r="B37" s="10" t="s">
        <v>242</v>
      </c>
      <c r="C37" s="6" t="s">
        <v>423</v>
      </c>
      <c r="D37" s="10" t="s">
        <v>1118</v>
      </c>
      <c r="E37" s="11" cm="1">
        <f ca="1" t="array" ref="E37">+EVALUATE(D37)</f>
        <v>6.12</v>
      </c>
      <c r="F37" s="5" t="s">
        <v>1110</v>
      </c>
    </row>
    <row r="38" ht="28" customHeight="1" spans="1:6">
      <c r="A38" s="13" t="s">
        <v>249</v>
      </c>
      <c r="B38" s="10" t="s">
        <v>250</v>
      </c>
      <c r="C38" s="5" t="s">
        <v>423</v>
      </c>
      <c r="D38" s="7" t="s">
        <v>1119</v>
      </c>
      <c r="E38" s="11" cm="1">
        <f ca="1" t="array" ref="E38">+EVALUATE(D38)</f>
        <v>53.1125</v>
      </c>
      <c r="F38" s="5" t="s">
        <v>1110</v>
      </c>
    </row>
    <row r="39" ht="48" customHeight="1" spans="1:6">
      <c r="A39" s="13" t="s">
        <v>251</v>
      </c>
      <c r="B39" s="10" t="s">
        <v>250</v>
      </c>
      <c r="C39" s="5" t="s">
        <v>423</v>
      </c>
      <c r="D39" s="7" t="s">
        <v>1120</v>
      </c>
      <c r="E39" s="11" cm="1">
        <f ca="1" t="array" ref="E39">+EVALUATE(D39)</f>
        <v>17.16596</v>
      </c>
      <c r="F39" s="5" t="s">
        <v>1110</v>
      </c>
    </row>
    <row r="40" ht="48" customHeight="1" spans="1:6">
      <c r="A40" s="13" t="s">
        <v>245</v>
      </c>
      <c r="B40" s="10" t="s">
        <v>238</v>
      </c>
      <c r="C40" s="5" t="s">
        <v>423</v>
      </c>
      <c r="D40" s="7" t="s">
        <v>1121</v>
      </c>
      <c r="E40" s="11" cm="1">
        <f ca="1" t="array" ref="E40">+EVALUATE(D40)</f>
        <v>100.638</v>
      </c>
      <c r="F40" s="5" t="s">
        <v>1110</v>
      </c>
    </row>
    <row r="41" ht="48" customHeight="1" spans="1:6">
      <c r="A41" s="13" t="s">
        <v>248</v>
      </c>
      <c r="B41" s="10" t="s">
        <v>238</v>
      </c>
      <c r="C41" s="5" t="s">
        <v>423</v>
      </c>
      <c r="D41" s="7" t="s">
        <v>1122</v>
      </c>
      <c r="E41" s="11" cm="1">
        <f ca="1" t="array" ref="E41">+EVALUATE(D41)</f>
        <v>7.991155</v>
      </c>
      <c r="F41" s="5" t="s">
        <v>1110</v>
      </c>
    </row>
    <row r="42" ht="48" customHeight="1" spans="1:6">
      <c r="A42" s="13" t="s">
        <v>252</v>
      </c>
      <c r="B42" s="10" t="s">
        <v>238</v>
      </c>
      <c r="C42" s="5" t="s">
        <v>423</v>
      </c>
      <c r="D42" s="7" t="s">
        <v>1123</v>
      </c>
      <c r="E42" s="11" cm="1">
        <f ca="1" t="array" ref="E42">+EVALUATE(D42)</f>
        <v>5.994125</v>
      </c>
      <c r="F42" s="5" t="s">
        <v>1110</v>
      </c>
    </row>
    <row r="43" ht="48" customHeight="1" spans="1:6">
      <c r="A43" s="13" t="s">
        <v>253</v>
      </c>
      <c r="B43" s="10" t="s">
        <v>238</v>
      </c>
      <c r="C43" s="5" t="s">
        <v>423</v>
      </c>
      <c r="D43" s="7" t="s">
        <v>1124</v>
      </c>
      <c r="E43" s="11" cm="1">
        <f ca="1" t="array" ref="E43">+EVALUATE(D43)</f>
        <v>8.865235</v>
      </c>
      <c r="F43" s="5" t="s">
        <v>1110</v>
      </c>
    </row>
    <row r="44" ht="48" customHeight="1" spans="1:6">
      <c r="A44" s="13" t="s">
        <v>249</v>
      </c>
      <c r="B44" s="10" t="s">
        <v>242</v>
      </c>
      <c r="C44" s="6" t="s">
        <v>423</v>
      </c>
      <c r="D44" s="7" t="s">
        <v>1125</v>
      </c>
      <c r="E44" s="11" cm="1">
        <f ca="1" t="array" ref="E44">+EVALUATE(D44)</f>
        <v>53.26425</v>
      </c>
      <c r="F44" s="5" t="s">
        <v>1110</v>
      </c>
    </row>
    <row r="45" ht="48" customHeight="1" spans="1:6">
      <c r="A45" s="13" t="s">
        <v>251</v>
      </c>
      <c r="B45" s="10" t="s">
        <v>242</v>
      </c>
      <c r="C45" s="6" t="s">
        <v>423</v>
      </c>
      <c r="D45" s="7" t="s">
        <v>1126</v>
      </c>
      <c r="E45" s="11" cm="1">
        <f ca="1" t="array" ref="E45">+EVALUATE(D45)</f>
        <v>6.677</v>
      </c>
      <c r="F45" s="5" t="s">
        <v>1110</v>
      </c>
    </row>
    <row r="46" ht="48" customHeight="1" spans="1:6">
      <c r="A46" s="14" t="s">
        <v>254</v>
      </c>
      <c r="B46" s="10" t="s">
        <v>1127</v>
      </c>
      <c r="C46" s="5" t="s">
        <v>423</v>
      </c>
      <c r="D46" s="7" t="s">
        <v>1128</v>
      </c>
      <c r="E46" s="11" cm="1">
        <f ca="1" t="array" ref="E46">+EVALUATE(D46)</f>
        <v>75.4</v>
      </c>
      <c r="F46" s="5" t="s">
        <v>1110</v>
      </c>
    </row>
    <row r="47" ht="48" customHeight="1" spans="1:6">
      <c r="A47" s="14" t="s">
        <v>264</v>
      </c>
      <c r="B47" s="10" t="s">
        <v>1127</v>
      </c>
      <c r="C47" s="5" t="s">
        <v>423</v>
      </c>
      <c r="D47" s="7" t="s">
        <v>1129</v>
      </c>
      <c r="E47" s="11" cm="1">
        <f ca="1" t="array" ref="E47">+EVALUATE(D47)</f>
        <v>28</v>
      </c>
      <c r="F47" s="5" t="s">
        <v>1110</v>
      </c>
    </row>
    <row r="48" ht="48" customHeight="1" spans="1:6">
      <c r="A48" s="14" t="s">
        <v>256</v>
      </c>
      <c r="B48" s="10" t="s">
        <v>1127</v>
      </c>
      <c r="C48" s="5" t="s">
        <v>423</v>
      </c>
      <c r="D48" s="7" t="s">
        <v>1130</v>
      </c>
      <c r="E48" s="11" cm="1">
        <f ca="1" t="array" ref="E48">+EVALUATE(D48)</f>
        <v>18.34</v>
      </c>
      <c r="F48" s="5" t="s">
        <v>1110</v>
      </c>
    </row>
    <row r="49" ht="48" customHeight="1" spans="1:8">
      <c r="A49" s="15" t="s">
        <v>272</v>
      </c>
      <c r="B49" s="15" t="s">
        <v>1131</v>
      </c>
      <c r="C49" s="5" t="s">
        <v>423</v>
      </c>
      <c r="D49" s="7" t="s">
        <v>1132</v>
      </c>
      <c r="E49" s="11" cm="1">
        <f ca="1" t="array" ref="E49">+EVALUATE(D49)</f>
        <v>11.0236</v>
      </c>
      <c r="F49" s="5" t="s">
        <v>1110</v>
      </c>
    </row>
    <row r="50" ht="38" customHeight="1" spans="1:8">
      <c r="A50" s="15" t="s">
        <v>274</v>
      </c>
      <c r="B50" s="15" t="s">
        <v>1131</v>
      </c>
      <c r="C50" s="5" t="s">
        <v>423</v>
      </c>
      <c r="D50" s="7" t="s">
        <v>1133</v>
      </c>
      <c r="E50" s="11" cm="1">
        <f ca="1" t="array" ref="E50">+EVALUATE(D50)</f>
        <v>2.27416</v>
      </c>
      <c r="F50" s="5" t="s">
        <v>1110</v>
      </c>
    </row>
    <row r="51" ht="39" customHeight="1" spans="1:8">
      <c r="A51" s="15" t="s">
        <v>281</v>
      </c>
      <c r="B51" s="15" t="s">
        <v>282</v>
      </c>
      <c r="C51" s="5" t="s">
        <v>423</v>
      </c>
      <c r="D51" s="7" t="s">
        <v>1134</v>
      </c>
      <c r="E51" s="11" cm="1">
        <f ca="1" t="array" ref="E51">+EVALUATE(D51)</f>
        <v>37.2334</v>
      </c>
      <c r="F51" s="5" t="s">
        <v>1110</v>
      </c>
    </row>
    <row r="52" ht="56" customHeight="1" spans="1:8">
      <c r="A52" s="15" t="s">
        <v>283</v>
      </c>
      <c r="B52" s="15" t="s">
        <v>282</v>
      </c>
      <c r="C52" s="16" t="s">
        <v>423</v>
      </c>
      <c r="D52" s="17" t="s">
        <v>1135</v>
      </c>
      <c r="E52" s="18" cm="1">
        <f ca="1" t="array" ref="E52">+EVALUATE(D52)</f>
        <v>8.54644</v>
      </c>
      <c r="F52" s="5" t="s">
        <v>1110</v>
      </c>
    </row>
    <row r="53" ht="33" customHeight="1" spans="1:8">
      <c r="A53" s="15" t="s">
        <v>266</v>
      </c>
      <c r="B53" s="15" t="s">
        <v>1136</v>
      </c>
      <c r="C53" s="5" t="s">
        <v>423</v>
      </c>
      <c r="D53" s="10" t="s">
        <v>1137</v>
      </c>
      <c r="E53" s="11" cm="1">
        <f ca="1" t="array" ref="E53">+EVALUATE(D53)</f>
        <v>24.676</v>
      </c>
      <c r="F53" s="5" t="s">
        <v>1110</v>
      </c>
    </row>
    <row r="54" ht="43" customHeight="1" spans="1:8">
      <c r="A54" s="15" t="s">
        <v>268</v>
      </c>
      <c r="B54" s="15" t="s">
        <v>1136</v>
      </c>
      <c r="C54" s="5" t="s">
        <v>423</v>
      </c>
      <c r="D54" s="10" t="s">
        <v>1138</v>
      </c>
      <c r="E54" s="11" cm="1">
        <f ca="1" t="array" ref="E54">+EVALUATE(D54)</f>
        <v>5.48762</v>
      </c>
      <c r="F54" s="5" t="s">
        <v>1110</v>
      </c>
    </row>
    <row r="55" ht="33" customHeight="1" spans="1:8">
      <c r="A55" s="15" t="s">
        <v>269</v>
      </c>
      <c r="B55" s="15" t="s">
        <v>1139</v>
      </c>
      <c r="C55" s="5" t="s">
        <v>423</v>
      </c>
      <c r="D55" s="10" t="s">
        <v>1140</v>
      </c>
      <c r="E55" s="11" cm="1">
        <f ca="1" t="array" ref="E55">+EVALUATE(D55)</f>
        <v>76.447</v>
      </c>
      <c r="F55" s="5" t="s">
        <v>1110</v>
      </c>
    </row>
    <row r="56" ht="48" customHeight="1" spans="1:8">
      <c r="A56" s="15" t="s">
        <v>270</v>
      </c>
      <c r="B56" s="15" t="s">
        <v>1139</v>
      </c>
      <c r="C56" s="5" t="s">
        <v>423</v>
      </c>
      <c r="D56" s="10" t="s">
        <v>1141</v>
      </c>
      <c r="E56" s="11" cm="1">
        <f ca="1" t="array" ref="E56">+EVALUATE(D56)</f>
        <v>20.755595</v>
      </c>
      <c r="F56" s="5" t="s">
        <v>1110</v>
      </c>
      <c r="H56" s="1">
        <f ca="1">E56+E50</f>
        <v>23.029755</v>
      </c>
    </row>
    <row r="57" ht="33" customHeight="1" spans="1:8">
      <c r="A57" s="19" t="s">
        <v>1142</v>
      </c>
      <c r="B57" s="10"/>
      <c r="C57" s="5"/>
      <c r="D57" s="10"/>
      <c r="E57" s="11"/>
      <c r="F57" s="5"/>
    </row>
    <row r="58" ht="33" customHeight="1" spans="1:8">
      <c r="A58" s="7" t="s">
        <v>590</v>
      </c>
      <c r="B58" s="10" t="s">
        <v>1143</v>
      </c>
      <c r="C58" s="5" t="s">
        <v>708</v>
      </c>
      <c r="D58" s="10" t="s">
        <v>1144</v>
      </c>
      <c r="E58" s="11" cm="1">
        <f ca="1" t="array" ref="E58">+EVALUATE(D58)</f>
        <v>24.501</v>
      </c>
      <c r="F58" s="5" t="s">
        <v>1081</v>
      </c>
    </row>
    <row r="59" ht="33" customHeight="1" spans="1:8">
      <c r="A59" s="7" t="s">
        <v>358</v>
      </c>
      <c r="B59" s="10" t="s">
        <v>1143</v>
      </c>
      <c r="C59" s="5" t="s">
        <v>708</v>
      </c>
      <c r="D59" s="10" t="s">
        <v>1145</v>
      </c>
      <c r="E59" s="11" cm="1">
        <f ca="1" t="array" ref="E59">+EVALUATE(D59)</f>
        <v>2.048</v>
      </c>
      <c r="F59" s="5" t="s">
        <v>1081</v>
      </c>
    </row>
    <row r="60" ht="33" customHeight="1" spans="1:8">
      <c r="A60" s="7" t="s">
        <v>590</v>
      </c>
      <c r="B60" s="10" t="s">
        <v>1056</v>
      </c>
      <c r="C60" s="5" t="s">
        <v>708</v>
      </c>
      <c r="D60" s="10" t="s">
        <v>1146</v>
      </c>
      <c r="E60" s="11" cm="1">
        <f ca="1" t="array" ref="E60">+EVALUATE(D60)</f>
        <v>59.627</v>
      </c>
      <c r="F60" s="5" t="s">
        <v>1110</v>
      </c>
    </row>
    <row r="61" ht="33" customHeight="1" spans="1:8">
      <c r="A61" s="7" t="s">
        <v>358</v>
      </c>
      <c r="B61" s="10" t="s">
        <v>1056</v>
      </c>
      <c r="C61" s="5" t="s">
        <v>708</v>
      </c>
      <c r="D61" s="10" t="s">
        <v>1147</v>
      </c>
      <c r="E61" s="11" cm="1">
        <f ca="1" t="array" ref="E61">+EVALUATE(D61)</f>
        <v>6.654</v>
      </c>
      <c r="F61" s="5" t="s">
        <v>1110</v>
      </c>
    </row>
    <row r="62" ht="33" customHeight="1" spans="1:8">
      <c r="A62" s="10"/>
      <c r="B62" s="10"/>
      <c r="C62" s="6"/>
      <c r="D62" s="10"/>
      <c r="E62" s="11"/>
      <c r="F62" s="5"/>
    </row>
    <row r="63" ht="33" customHeight="1" spans="1:8">
      <c r="A63" s="20" t="s">
        <v>1148</v>
      </c>
      <c r="B63" s="10"/>
      <c r="C63" s="6"/>
      <c r="D63" s="10"/>
      <c r="E63" s="8">
        <f ca="1">SUM(E64:E70)</f>
        <v>138.492</v>
      </c>
      <c r="F63" s="5"/>
    </row>
    <row r="64" ht="31" customHeight="1" spans="1:8">
      <c r="A64" s="10" t="s">
        <v>285</v>
      </c>
      <c r="B64" s="10" t="s">
        <v>1005</v>
      </c>
      <c r="C64" s="5" t="s">
        <v>423</v>
      </c>
      <c r="D64" s="10" t="s">
        <v>1149</v>
      </c>
      <c r="E64" s="11" cm="1">
        <f ca="1" t="array" ref="E64">+EVALUATE(D64)</f>
        <v>6.48</v>
      </c>
      <c r="F64" s="5" t="s">
        <v>1081</v>
      </c>
    </row>
    <row r="65" ht="33" customHeight="1" spans="1:6">
      <c r="A65" s="10" t="s">
        <v>285</v>
      </c>
      <c r="B65" s="10" t="s">
        <v>1036</v>
      </c>
      <c r="C65" s="5" t="s">
        <v>423</v>
      </c>
      <c r="D65" s="10" t="s">
        <v>1150</v>
      </c>
      <c r="E65" s="11" cm="1">
        <f ca="1" t="array" ref="E65">+EVALUATE(D65)</f>
        <v>40.5</v>
      </c>
      <c r="F65" s="5" t="s">
        <v>1081</v>
      </c>
    </row>
    <row r="66" ht="33" customHeight="1" spans="1:6">
      <c r="A66" s="10" t="s">
        <v>285</v>
      </c>
      <c r="B66" s="10" t="s">
        <v>1019</v>
      </c>
      <c r="C66" s="5" t="s">
        <v>423</v>
      </c>
      <c r="D66" s="7" t="s">
        <v>1151</v>
      </c>
      <c r="E66" s="11" cm="1">
        <f ca="1" t="array" ref="E66">+EVALUATE(D66)</f>
        <v>6.48</v>
      </c>
      <c r="F66" s="5" t="s">
        <v>1110</v>
      </c>
    </row>
    <row r="67" ht="30" customHeight="1" spans="1:6">
      <c r="A67" s="10" t="s">
        <v>285</v>
      </c>
      <c r="B67" s="10" t="s">
        <v>1019</v>
      </c>
      <c r="C67" s="5" t="s">
        <v>423</v>
      </c>
      <c r="D67" s="7" t="s">
        <v>1152</v>
      </c>
      <c r="E67" s="11" cm="1">
        <f ca="1" t="array" ref="E67">+EVALUATE(D67)</f>
        <v>19.08</v>
      </c>
      <c r="F67" s="5" t="s">
        <v>1110</v>
      </c>
    </row>
    <row r="68" ht="29" customHeight="1" spans="1:6">
      <c r="A68" s="10" t="s">
        <v>285</v>
      </c>
      <c r="B68" s="10" t="s">
        <v>1054</v>
      </c>
      <c r="C68" s="5" t="s">
        <v>423</v>
      </c>
      <c r="D68" s="7" t="s">
        <v>1153</v>
      </c>
      <c r="E68" s="11" cm="1">
        <f ca="1" t="array" ref="E68">+EVALUATE(D68)</f>
        <v>36</v>
      </c>
      <c r="F68" s="5" t="s">
        <v>1110</v>
      </c>
    </row>
    <row r="69" ht="29" customHeight="1" spans="1:6">
      <c r="A69" s="10" t="s">
        <v>285</v>
      </c>
      <c r="B69" s="10" t="s">
        <v>1154</v>
      </c>
      <c r="C69" s="5" t="s">
        <v>423</v>
      </c>
      <c r="D69" s="7" t="s">
        <v>1155</v>
      </c>
      <c r="E69" s="11" cm="1">
        <f ca="1" t="array" ref="E69">+EVALUATE(D69)</f>
        <v>21.078</v>
      </c>
      <c r="F69" s="5" t="s">
        <v>1110</v>
      </c>
    </row>
    <row r="70" ht="28" customHeight="1" spans="1:6">
      <c r="A70" s="10" t="s">
        <v>285</v>
      </c>
      <c r="B70" s="10" t="s">
        <v>1156</v>
      </c>
      <c r="C70" s="5" t="s">
        <v>423</v>
      </c>
      <c r="D70" s="7" t="s">
        <v>1157</v>
      </c>
      <c r="E70" s="11" cm="1">
        <f ca="1" t="array" ref="E70">+EVALUATE(D70)</f>
        <v>8.874</v>
      </c>
      <c r="F70" s="5" t="s">
        <v>1110</v>
      </c>
    </row>
    <row r="71" ht="16" customHeight="1" spans="1:6">
      <c r="A71" s="7"/>
      <c r="B71" s="10"/>
      <c r="C71" s="5" t="s">
        <v>423</v>
      </c>
      <c r="D71" s="7"/>
      <c r="E71" s="11"/>
      <c r="F71" s="5"/>
    </row>
    <row r="72" ht="16" customHeight="1" spans="1:6">
      <c r="A72" s="21" t="s">
        <v>305</v>
      </c>
      <c r="B72" s="10"/>
      <c r="C72" s="5" t="s">
        <v>423</v>
      </c>
      <c r="D72" s="7"/>
      <c r="E72" s="8">
        <f ca="1">SUM(E73:E76)</f>
        <v>431.631292</v>
      </c>
      <c r="F72" s="5"/>
    </row>
    <row r="73" ht="32" customHeight="1" spans="1:6">
      <c r="A73" s="10" t="s">
        <v>343</v>
      </c>
      <c r="B73" s="10" t="s">
        <v>1158</v>
      </c>
      <c r="C73" s="5" t="s">
        <v>423</v>
      </c>
      <c r="D73" s="10" t="s">
        <v>1159</v>
      </c>
      <c r="E73" s="11" cm="1">
        <f ca="1" t="array" ref="E73">+EVALUATE(D73)</f>
        <v>173.870934</v>
      </c>
      <c r="F73" s="5" t="s">
        <v>1081</v>
      </c>
    </row>
    <row r="74" ht="24" customHeight="1" spans="1:6">
      <c r="A74" s="10" t="s">
        <v>345</v>
      </c>
      <c r="B74" s="10" t="s">
        <v>1158</v>
      </c>
      <c r="C74" s="5" t="s">
        <v>423</v>
      </c>
      <c r="D74" s="10" t="s">
        <v>1160</v>
      </c>
      <c r="E74" s="11" cm="1">
        <f ca="1" t="array" ref="E74">+EVALUATE(D74)</f>
        <v>27.825192</v>
      </c>
      <c r="F74" s="5" t="s">
        <v>1081</v>
      </c>
    </row>
    <row r="75" ht="25" customHeight="1" spans="1:6">
      <c r="A75" s="10" t="s">
        <v>343</v>
      </c>
      <c r="B75" s="10" t="s">
        <v>1161</v>
      </c>
      <c r="C75" s="5" t="s">
        <v>423</v>
      </c>
      <c r="D75" s="10" t="s">
        <v>1162</v>
      </c>
      <c r="E75" s="11" cm="1">
        <f ca="1" t="array" ref="E75">+EVALUATE(D75)</f>
        <v>198.053655</v>
      </c>
      <c r="F75" s="5" t="s">
        <v>1110</v>
      </c>
    </row>
    <row r="76" ht="27" customHeight="1" spans="1:6">
      <c r="A76" s="10" t="s">
        <v>345</v>
      </c>
      <c r="B76" s="10" t="s">
        <v>1161</v>
      </c>
      <c r="C76" s="5" t="s">
        <v>423</v>
      </c>
      <c r="D76" s="7" t="s">
        <v>1163</v>
      </c>
      <c r="E76" s="11" cm="1">
        <f ca="1" t="array" ref="E76">+EVALUATE(D76)</f>
        <v>31.881511</v>
      </c>
      <c r="F76" s="5" t="s">
        <v>1110</v>
      </c>
    </row>
    <row r="77" ht="27" customHeight="1" spans="1:6">
      <c r="A77" s="10"/>
      <c r="B77" s="10"/>
      <c r="C77" s="5"/>
      <c r="D77" s="7"/>
      <c r="E77" s="11"/>
      <c r="F77" s="5"/>
    </row>
    <row r="78" ht="16" customHeight="1" spans="1:6">
      <c r="A78" s="7"/>
      <c r="B78" s="10"/>
      <c r="C78" s="5" t="s">
        <v>423</v>
      </c>
      <c r="D78" s="7"/>
      <c r="E78" s="8">
        <f ca="1">SUM(E79:E119)</f>
        <v>4585.905278</v>
      </c>
      <c r="F78" s="5"/>
    </row>
    <row r="79" ht="16" customHeight="1" spans="1:6">
      <c r="A79" s="7" t="s">
        <v>306</v>
      </c>
      <c r="B79" s="10" t="s">
        <v>1036</v>
      </c>
      <c r="C79" s="5" t="s">
        <v>423</v>
      </c>
      <c r="D79" s="7" t="s">
        <v>1164</v>
      </c>
      <c r="E79" s="11" cm="1">
        <f ca="1" t="array" ref="E79">+EVALUATE(D79)</f>
        <v>20.437875</v>
      </c>
      <c r="F79" s="5" t="s">
        <v>1081</v>
      </c>
    </row>
    <row r="80" ht="16" customHeight="1" spans="1:6">
      <c r="A80" s="7" t="s">
        <v>308</v>
      </c>
      <c r="B80" s="10" t="s">
        <v>1036</v>
      </c>
      <c r="C80" s="5" t="s">
        <v>423</v>
      </c>
      <c r="D80" s="7" t="s">
        <v>1165</v>
      </c>
      <c r="E80" s="11" cm="1">
        <f ca="1" t="array" ref="E80">+EVALUATE(D80)</f>
        <v>4.41077</v>
      </c>
      <c r="F80" s="5" t="s">
        <v>1081</v>
      </c>
    </row>
    <row r="81" ht="30" customHeight="1" spans="1:6">
      <c r="A81" s="7" t="s">
        <v>309</v>
      </c>
      <c r="B81" s="10" t="s">
        <v>1166</v>
      </c>
      <c r="C81" s="5" t="s">
        <v>423</v>
      </c>
      <c r="D81" s="7" t="s">
        <v>1167</v>
      </c>
      <c r="E81" s="11" cm="1">
        <f ca="1" t="array" ref="E81">+EVALUATE(D81)</f>
        <v>14.79455</v>
      </c>
      <c r="F81" s="5" t="s">
        <v>1081</v>
      </c>
    </row>
    <row r="82" ht="20" customHeight="1" spans="1:6">
      <c r="A82" s="7" t="s">
        <v>311</v>
      </c>
      <c r="B82" s="10" t="s">
        <v>1036</v>
      </c>
      <c r="C82" s="5" t="s">
        <v>423</v>
      </c>
      <c r="D82" s="7" t="s">
        <v>1168</v>
      </c>
      <c r="E82" s="11" cm="1">
        <f ca="1" t="array" ref="E82">+EVALUATE(D82)</f>
        <v>4.51164</v>
      </c>
      <c r="F82" s="5" t="s">
        <v>1081</v>
      </c>
    </row>
    <row r="83" ht="21" customHeight="1" spans="1:6">
      <c r="A83" s="7" t="s">
        <v>312</v>
      </c>
      <c r="B83" s="10" t="s">
        <v>1169</v>
      </c>
      <c r="C83" s="5" t="s">
        <v>423</v>
      </c>
      <c r="D83" s="7" t="s">
        <v>1170</v>
      </c>
      <c r="E83" s="11" cm="1">
        <f ca="1" t="array" ref="E83">+EVALUATE(D83)</f>
        <v>9.56625</v>
      </c>
      <c r="F83" s="5" t="s">
        <v>1081</v>
      </c>
    </row>
    <row r="84" ht="36" customHeight="1" spans="1:6">
      <c r="A84" s="7" t="s">
        <v>314</v>
      </c>
      <c r="B84" s="10" t="s">
        <v>1169</v>
      </c>
      <c r="C84" s="5" t="s">
        <v>423</v>
      </c>
      <c r="D84" s="10" t="s">
        <v>1171</v>
      </c>
      <c r="E84" s="11" cm="1">
        <f ca="1" t="array" ref="E84">+EVALUATE(D84)</f>
        <v>2.9735</v>
      </c>
      <c r="F84" s="5" t="s">
        <v>1081</v>
      </c>
    </row>
    <row r="85" ht="16" customHeight="1" spans="1:6">
      <c r="A85" s="7" t="s">
        <v>315</v>
      </c>
      <c r="B85" s="10" t="s">
        <v>1172</v>
      </c>
      <c r="C85" s="5" t="s">
        <v>423</v>
      </c>
      <c r="D85" s="7" t="s">
        <v>1173</v>
      </c>
      <c r="E85" s="11" cm="1">
        <f ca="1" t="array" ref="E85">+EVALUATE(D85)</f>
        <v>1.05</v>
      </c>
      <c r="F85" s="5" t="s">
        <v>1081</v>
      </c>
    </row>
    <row r="86" ht="16" customHeight="1" spans="1:6">
      <c r="A86" s="7" t="s">
        <v>1072</v>
      </c>
      <c r="B86" s="10" t="s">
        <v>1143</v>
      </c>
      <c r="C86" s="5" t="s">
        <v>423</v>
      </c>
      <c r="D86" s="7" t="s">
        <v>1174</v>
      </c>
      <c r="E86" s="11" cm="1">
        <f ca="1" t="array" ref="E86">+EVALUATE(D86)</f>
        <v>193.8937</v>
      </c>
      <c r="F86" s="5" t="s">
        <v>1081</v>
      </c>
    </row>
    <row r="87" ht="16" customHeight="1" spans="1:6">
      <c r="A87" s="7" t="s">
        <v>330</v>
      </c>
      <c r="B87" s="10" t="s">
        <v>1143</v>
      </c>
      <c r="C87" s="5" t="s">
        <v>423</v>
      </c>
      <c r="D87" s="7" t="s">
        <v>1175</v>
      </c>
      <c r="E87" s="11" cm="1">
        <f ca="1" t="array" ref="E87">+EVALUATE(D87)</f>
        <v>329.8324</v>
      </c>
      <c r="F87" s="5" t="s">
        <v>1081</v>
      </c>
    </row>
    <row r="88" ht="16" customHeight="1" spans="1:6">
      <c r="A88" s="7" t="s">
        <v>334</v>
      </c>
      <c r="B88" s="10" t="s">
        <v>1176</v>
      </c>
      <c r="C88" s="5" t="s">
        <v>423</v>
      </c>
      <c r="D88" s="7" t="s">
        <v>1177</v>
      </c>
      <c r="E88" s="11" cm="1">
        <f ca="1" t="array" ref="E88">+EVALUATE(D88)</f>
        <v>482.629076</v>
      </c>
      <c r="F88" s="5" t="s">
        <v>1081</v>
      </c>
    </row>
    <row r="89" ht="33" customHeight="1" spans="1:6">
      <c r="A89" s="7" t="s">
        <v>322</v>
      </c>
      <c r="B89" s="10" t="s">
        <v>323</v>
      </c>
      <c r="C89" s="5" t="s">
        <v>423</v>
      </c>
      <c r="D89" s="7" t="s">
        <v>1178</v>
      </c>
      <c r="E89" s="11" cm="1">
        <f ca="1" t="array" ref="E89">+EVALUATE(D89)</f>
        <v>25.7971</v>
      </c>
      <c r="F89" s="5" t="s">
        <v>1081</v>
      </c>
    </row>
    <row r="90" ht="33" customHeight="1" spans="1:6">
      <c r="A90" s="7" t="s">
        <v>322</v>
      </c>
      <c r="B90" s="10" t="s">
        <v>1179</v>
      </c>
      <c r="C90" s="5" t="s">
        <v>423</v>
      </c>
      <c r="D90" s="7" t="s">
        <v>1180</v>
      </c>
      <c r="E90" s="11" cm="1">
        <f ca="1" t="array" ref="E90">+EVALUATE(D90)</f>
        <v>25.208</v>
      </c>
      <c r="F90" s="5" t="s">
        <v>1081</v>
      </c>
    </row>
    <row r="91" ht="28" customHeight="1" spans="1:6">
      <c r="A91" s="7" t="s">
        <v>327</v>
      </c>
      <c r="B91" s="10" t="s">
        <v>323</v>
      </c>
      <c r="C91" s="5" t="s">
        <v>423</v>
      </c>
      <c r="D91" s="7" t="s">
        <v>1181</v>
      </c>
      <c r="E91" s="11" cm="1">
        <f ca="1" t="array" ref="E91">+EVALUATE(D91)</f>
        <v>24.66</v>
      </c>
      <c r="F91" s="5" t="s">
        <v>1081</v>
      </c>
    </row>
    <row r="92" ht="28" customHeight="1" spans="1:6">
      <c r="A92" s="7" t="s">
        <v>327</v>
      </c>
      <c r="B92" s="10" t="s">
        <v>1179</v>
      </c>
      <c r="C92" s="5" t="s">
        <v>423</v>
      </c>
      <c r="D92" s="7" t="s">
        <v>1182</v>
      </c>
      <c r="E92" s="11" cm="1">
        <f ca="1" t="array" ref="E92">+EVALUATE(D92)</f>
        <v>26.25605</v>
      </c>
      <c r="F92" s="5" t="s">
        <v>1081</v>
      </c>
    </row>
    <row r="93" ht="28" customHeight="1" spans="1:6">
      <c r="A93" s="7" t="s">
        <v>327</v>
      </c>
      <c r="B93" s="10" t="s">
        <v>1183</v>
      </c>
      <c r="C93" s="5" t="s">
        <v>423</v>
      </c>
      <c r="D93" s="7" t="s">
        <v>1184</v>
      </c>
      <c r="E93" s="11" cm="1">
        <f ca="1" t="array" ref="E93">+EVALUATE(D93)</f>
        <v>59.20427</v>
      </c>
      <c r="F93" s="5" t="s">
        <v>1081</v>
      </c>
    </row>
    <row r="94" ht="36" customHeight="1" spans="1:6">
      <c r="A94" s="7" t="s">
        <v>335</v>
      </c>
      <c r="B94" s="10" t="s">
        <v>1143</v>
      </c>
      <c r="C94" s="5" t="s">
        <v>423</v>
      </c>
      <c r="D94" s="10" t="s">
        <v>1185</v>
      </c>
      <c r="E94" s="11" cm="1">
        <f ca="1" t="array" ref="E94">+EVALUATE(D94)</f>
        <v>699.8555</v>
      </c>
      <c r="F94" s="5" t="s">
        <v>1081</v>
      </c>
    </row>
    <row r="95" ht="33" customHeight="1" spans="1:6">
      <c r="A95" s="7" t="s">
        <v>312</v>
      </c>
      <c r="B95" s="10" t="s">
        <v>1186</v>
      </c>
      <c r="C95" s="5" t="s">
        <v>423</v>
      </c>
      <c r="D95" s="7" t="s">
        <v>1187</v>
      </c>
      <c r="E95" s="11" cm="1">
        <f ca="1" t="array" ref="E95">+EVALUATE(D95)</f>
        <v>16.4845</v>
      </c>
      <c r="F95" s="5" t="s">
        <v>1081</v>
      </c>
    </row>
    <row r="96" ht="37" customHeight="1" spans="1:6">
      <c r="A96" s="7" t="s">
        <v>322</v>
      </c>
      <c r="B96" s="10" t="s">
        <v>1188</v>
      </c>
      <c r="C96" s="5" t="s">
        <v>423</v>
      </c>
      <c r="D96" s="7" t="s">
        <v>1189</v>
      </c>
      <c r="E96" s="11" cm="1">
        <f ca="1" t="array" ref="E96">+EVALUATE(D96)</f>
        <v>59.79177</v>
      </c>
      <c r="F96" s="5" t="s">
        <v>1081</v>
      </c>
    </row>
    <row r="97" ht="33" customHeight="1" spans="1:6">
      <c r="A97" s="7" t="s">
        <v>327</v>
      </c>
      <c r="B97" s="10" t="s">
        <v>1188</v>
      </c>
      <c r="C97" s="5" t="s">
        <v>423</v>
      </c>
      <c r="D97" s="7" t="s">
        <v>1190</v>
      </c>
      <c r="E97" s="11" cm="1">
        <f ca="1" t="array" ref="E97">+EVALUATE(D97)</f>
        <v>18.4265</v>
      </c>
      <c r="F97" s="5" t="s">
        <v>1081</v>
      </c>
    </row>
    <row r="98" ht="27" customHeight="1" spans="1:6">
      <c r="A98" s="7" t="s">
        <v>309</v>
      </c>
      <c r="B98" s="10" t="s">
        <v>1191</v>
      </c>
      <c r="C98" s="5" t="s">
        <v>423</v>
      </c>
      <c r="D98" s="7" t="s">
        <v>1192</v>
      </c>
      <c r="E98" s="11" cm="1">
        <f ca="1" t="array" ref="E98">+EVALUATE(D98)</f>
        <v>5.8225</v>
      </c>
      <c r="F98" s="5" t="s">
        <v>1081</v>
      </c>
    </row>
    <row r="99" ht="16" customHeight="1" spans="1:6">
      <c r="A99" s="7" t="s">
        <v>320</v>
      </c>
      <c r="B99" s="10" t="s">
        <v>321</v>
      </c>
      <c r="C99" s="5" t="s">
        <v>423</v>
      </c>
      <c r="D99" s="7" t="s">
        <v>1193</v>
      </c>
      <c r="E99" s="11" cm="1">
        <f ca="1" t="array" ref="E99">+EVALUATE(D99)</f>
        <v>118.668</v>
      </c>
      <c r="F99" s="5" t="s">
        <v>1081</v>
      </c>
    </row>
    <row r="100" ht="16" customHeight="1" spans="1:6">
      <c r="A100" s="7" t="s">
        <v>336</v>
      </c>
      <c r="B100" s="10" t="s">
        <v>337</v>
      </c>
      <c r="C100" s="5" t="s">
        <v>423</v>
      </c>
      <c r="D100" s="7" t="s">
        <v>1194</v>
      </c>
      <c r="E100" s="11" cm="1">
        <f ca="1" t="array" ref="E100">+EVALUATE(D100)</f>
        <v>102</v>
      </c>
      <c r="F100" s="5" t="s">
        <v>1081</v>
      </c>
    </row>
    <row r="101" ht="32" customHeight="1" spans="1:6">
      <c r="A101" s="7" t="s">
        <v>338</v>
      </c>
      <c r="B101" s="10" t="s">
        <v>339</v>
      </c>
      <c r="C101" s="5" t="s">
        <v>423</v>
      </c>
      <c r="D101" s="7" t="s">
        <v>1195</v>
      </c>
      <c r="E101" s="11" cm="1">
        <f ca="1" t="array" ref="E101">+EVALUATE(D101)</f>
        <v>14.44686</v>
      </c>
      <c r="F101" s="5" t="s">
        <v>1081</v>
      </c>
    </row>
    <row r="102" ht="16" customHeight="1" spans="1:6">
      <c r="A102" s="7" t="s">
        <v>306</v>
      </c>
      <c r="B102" s="10" t="s">
        <v>1054</v>
      </c>
      <c r="C102" s="5" t="s">
        <v>423</v>
      </c>
      <c r="D102" s="7" t="s">
        <v>1196</v>
      </c>
      <c r="E102" s="11" cm="1">
        <f ca="1" t="array" ref="E102">+EVALUATE(D102)</f>
        <v>28.2694</v>
      </c>
      <c r="F102" s="5" t="s">
        <v>1110</v>
      </c>
    </row>
    <row r="103" ht="16" customHeight="1" spans="1:6">
      <c r="A103" s="7" t="s">
        <v>308</v>
      </c>
      <c r="B103" s="10" t="s">
        <v>1054</v>
      </c>
      <c r="C103" s="5" t="s">
        <v>423</v>
      </c>
      <c r="D103" s="7" t="s">
        <v>1197</v>
      </c>
      <c r="E103" s="11" cm="1">
        <f ca="1" t="array" ref="E103">+EVALUATE(D103)</f>
        <v>3.92476</v>
      </c>
      <c r="F103" s="5" t="s">
        <v>1110</v>
      </c>
    </row>
    <row r="104" ht="16" customHeight="1" spans="1:6">
      <c r="A104" s="7" t="s">
        <v>309</v>
      </c>
      <c r="B104" s="10" t="s">
        <v>1054</v>
      </c>
      <c r="C104" s="5" t="s">
        <v>423</v>
      </c>
      <c r="D104" s="7" t="s">
        <v>1198</v>
      </c>
      <c r="E104" s="11" cm="1">
        <f ca="1" t="array" ref="E104">+EVALUATE(D104)</f>
        <v>48.2848</v>
      </c>
      <c r="F104" s="5" t="s">
        <v>1110</v>
      </c>
    </row>
    <row r="105" ht="16" customHeight="1" spans="1:6">
      <c r="A105" s="7" t="s">
        <v>311</v>
      </c>
      <c r="B105" s="10" t="s">
        <v>1054</v>
      </c>
      <c r="C105" s="5" t="s">
        <v>423</v>
      </c>
      <c r="D105" s="7" t="s">
        <v>1199</v>
      </c>
      <c r="E105" s="11" cm="1">
        <f ca="1" t="array" ref="E105">+EVALUATE(D105)</f>
        <v>3.05664</v>
      </c>
      <c r="F105" s="5" t="s">
        <v>1110</v>
      </c>
    </row>
    <row r="106" ht="16" customHeight="1" spans="1:6">
      <c r="A106" s="7" t="s">
        <v>327</v>
      </c>
      <c r="B106" s="10" t="s">
        <v>1200</v>
      </c>
      <c r="C106" s="5" t="s">
        <v>423</v>
      </c>
      <c r="D106" s="7" t="s">
        <v>1201</v>
      </c>
      <c r="E106" s="11" cm="1">
        <f ca="1" t="array" ref="E106">+EVALUATE(D106)</f>
        <v>37.8394</v>
      </c>
      <c r="F106" s="5" t="s">
        <v>1110</v>
      </c>
    </row>
    <row r="107" ht="16" customHeight="1" spans="1:6">
      <c r="A107" s="7" t="s">
        <v>312</v>
      </c>
      <c r="B107" s="10" t="s">
        <v>1202</v>
      </c>
      <c r="C107" s="5" t="s">
        <v>423</v>
      </c>
      <c r="D107" s="7" t="s">
        <v>1203</v>
      </c>
      <c r="E107" s="11" cm="1">
        <f ca="1" t="array" ref="E107">+EVALUATE(D107)</f>
        <v>13.4025</v>
      </c>
      <c r="F107" s="5" t="s">
        <v>1110</v>
      </c>
    </row>
    <row r="108" ht="16" customHeight="1" spans="1:6">
      <c r="A108" s="7" t="s">
        <v>314</v>
      </c>
      <c r="B108" s="10" t="s">
        <v>1202</v>
      </c>
      <c r="C108" s="5" t="s">
        <v>423</v>
      </c>
      <c r="D108" s="7" t="s">
        <v>1204</v>
      </c>
      <c r="E108" s="11" cm="1">
        <f ca="1" t="array" ref="E108">+EVALUATE(D108)</f>
        <v>3.2095</v>
      </c>
      <c r="F108" s="5" t="s">
        <v>1110</v>
      </c>
    </row>
    <row r="109" ht="16" customHeight="1" spans="1:6">
      <c r="A109" s="7" t="s">
        <v>1072</v>
      </c>
      <c r="B109" s="10" t="s">
        <v>1056</v>
      </c>
      <c r="C109" s="5" t="s">
        <v>423</v>
      </c>
      <c r="D109" s="7" t="s">
        <v>1205</v>
      </c>
      <c r="E109" s="11" cm="1">
        <f ca="1" t="array" ref="E109">+EVALUATE(D109)</f>
        <v>253.325</v>
      </c>
      <c r="F109" s="5" t="s">
        <v>1110</v>
      </c>
    </row>
    <row r="110" ht="16" customHeight="1" spans="1:6">
      <c r="A110" s="7" t="s">
        <v>330</v>
      </c>
      <c r="B110" s="10" t="s">
        <v>1056</v>
      </c>
      <c r="C110" s="5" t="s">
        <v>423</v>
      </c>
      <c r="D110" s="7" t="s">
        <v>1206</v>
      </c>
      <c r="E110" s="11" cm="1">
        <f ca="1" t="array" ref="E110">+EVALUATE(D110)</f>
        <v>352.319</v>
      </c>
      <c r="F110" s="5" t="s">
        <v>1110</v>
      </c>
    </row>
    <row r="111" ht="16" customHeight="1" spans="1:6">
      <c r="A111" s="7" t="s">
        <v>334</v>
      </c>
      <c r="B111" s="10" t="s">
        <v>1056</v>
      </c>
      <c r="C111" s="5" t="s">
        <v>423</v>
      </c>
      <c r="D111" s="7" t="s">
        <v>1207</v>
      </c>
      <c r="E111" s="11" cm="1">
        <f ca="1" t="array" ref="E111">+EVALUATE(D111)</f>
        <v>504.804988</v>
      </c>
      <c r="F111" s="5" t="s">
        <v>1110</v>
      </c>
    </row>
    <row r="112" ht="30" customHeight="1" spans="1:6">
      <c r="A112" s="7" t="s">
        <v>335</v>
      </c>
      <c r="B112" s="10" t="s">
        <v>1056</v>
      </c>
      <c r="C112" s="5" t="s">
        <v>423</v>
      </c>
      <c r="D112" s="10" t="s">
        <v>1208</v>
      </c>
      <c r="E112" s="11" cm="1">
        <f ca="1" t="array" ref="E112">+EVALUATE(D112)</f>
        <v>243.616</v>
      </c>
      <c r="F112" s="5" t="s">
        <v>1110</v>
      </c>
    </row>
    <row r="113" ht="16" customHeight="1" spans="1:6">
      <c r="A113" s="7" t="s">
        <v>335</v>
      </c>
      <c r="B113" s="10" t="s">
        <v>1056</v>
      </c>
      <c r="C113" s="5" t="s">
        <v>423</v>
      </c>
      <c r="D113" s="7" t="s">
        <v>1209</v>
      </c>
      <c r="E113" s="11" cm="1">
        <f ca="1" t="array" ref="E113">+EVALUATE(D113)</f>
        <v>374.836</v>
      </c>
      <c r="F113" s="5" t="s">
        <v>1110</v>
      </c>
    </row>
    <row r="114" ht="34" customHeight="1" spans="1:6">
      <c r="A114" s="7" t="s">
        <v>316</v>
      </c>
      <c r="B114" s="10" t="s">
        <v>1156</v>
      </c>
      <c r="C114" s="5" t="s">
        <v>423</v>
      </c>
      <c r="D114" s="10" t="s">
        <v>1210</v>
      </c>
      <c r="E114" s="11" cm="1">
        <f ca="1" t="array" ref="E114">+EVALUATE(D114)</f>
        <v>171.446352</v>
      </c>
      <c r="F114" s="5" t="s">
        <v>1110</v>
      </c>
    </row>
    <row r="115" ht="16" customHeight="1" spans="1:6">
      <c r="A115" s="12" t="s">
        <v>326</v>
      </c>
      <c r="B115" s="9" t="s">
        <v>325</v>
      </c>
      <c r="C115" s="22" t="s">
        <v>423</v>
      </c>
      <c r="D115" s="12" t="s">
        <v>1211</v>
      </c>
      <c r="E115" s="11" cm="1">
        <f ca="1" t="array" ref="E115">+EVALUATE(D115)</f>
        <v>18.3579</v>
      </c>
      <c r="F115" s="5" t="s">
        <v>1081</v>
      </c>
    </row>
    <row r="116" ht="16" customHeight="1" spans="1:6">
      <c r="A116" s="12" t="s">
        <v>326</v>
      </c>
      <c r="B116" s="9" t="s">
        <v>325</v>
      </c>
      <c r="C116" s="22" t="s">
        <v>423</v>
      </c>
      <c r="D116" s="12" t="s">
        <v>1212</v>
      </c>
      <c r="E116" s="11" cm="1">
        <f ca="1" t="array" ref="E116">+EVALUATE(D116)</f>
        <v>12.807975</v>
      </c>
      <c r="F116" s="5" t="s">
        <v>1110</v>
      </c>
    </row>
    <row r="117" ht="16" customHeight="1" spans="1:6">
      <c r="A117" s="7" t="s">
        <v>336</v>
      </c>
      <c r="B117" s="10" t="s">
        <v>1213</v>
      </c>
      <c r="C117" s="5" t="s">
        <v>423</v>
      </c>
      <c r="D117" s="7" t="s">
        <v>1194</v>
      </c>
      <c r="E117" s="11" cm="1">
        <f ca="1" t="array" ref="E117">+EVALUATE(D117)</f>
        <v>102</v>
      </c>
      <c r="F117" s="5" t="s">
        <v>1110</v>
      </c>
    </row>
    <row r="118" ht="16" customHeight="1" spans="1:6">
      <c r="A118" s="7" t="s">
        <v>340</v>
      </c>
      <c r="B118" s="10" t="s">
        <v>341</v>
      </c>
      <c r="C118" s="5" t="s">
        <v>423</v>
      </c>
      <c r="D118" s="10" t="s">
        <v>1214</v>
      </c>
      <c r="E118" s="11" cm="1">
        <f ca="1" t="array" ref="E118">+EVALUATE(D118)</f>
        <v>82.2877</v>
      </c>
      <c r="F118" s="5" t="s">
        <v>1081</v>
      </c>
    </row>
    <row r="119" ht="16" customHeight="1" spans="1:6">
      <c r="A119" s="7" t="s">
        <v>340</v>
      </c>
      <c r="B119" s="10" t="s">
        <v>341</v>
      </c>
      <c r="C119" s="5" t="s">
        <v>423</v>
      </c>
      <c r="D119" s="10" t="s">
        <v>1215</v>
      </c>
      <c r="E119" s="11" cm="1">
        <f ca="1" t="array" ref="E119">+EVALUATE(D119)</f>
        <v>71.396552</v>
      </c>
      <c r="F119" s="5" t="s">
        <v>1110</v>
      </c>
    </row>
    <row r="120" ht="16" customHeight="1" spans="1:6">
      <c r="A120" s="20" t="s">
        <v>99</v>
      </c>
      <c r="B120" s="10"/>
      <c r="C120" s="5"/>
      <c r="D120" s="10"/>
      <c r="E120" s="8">
        <f ca="1">SUM(E121:E149)</f>
        <v>817.91032</v>
      </c>
      <c r="F120" s="5"/>
    </row>
    <row r="121" ht="31" customHeight="1" spans="1:6">
      <c r="A121" s="10" t="s">
        <v>289</v>
      </c>
      <c r="B121" s="10" t="s">
        <v>1216</v>
      </c>
      <c r="C121" s="5" t="s">
        <v>423</v>
      </c>
      <c r="D121" s="10" t="s">
        <v>1217</v>
      </c>
      <c r="E121" s="11" cm="1">
        <f ca="1" t="array" ref="E121">+EVALUATE(D121)</f>
        <v>15.15012</v>
      </c>
      <c r="F121" s="5" t="s">
        <v>1081</v>
      </c>
    </row>
    <row r="122" ht="25" customHeight="1" spans="1:6">
      <c r="A122" s="10" t="s">
        <v>289</v>
      </c>
      <c r="B122" s="10" t="s">
        <v>1218</v>
      </c>
      <c r="C122" s="5" t="s">
        <v>423</v>
      </c>
      <c r="D122" s="10" t="s">
        <v>1219</v>
      </c>
      <c r="E122" s="11" cm="1">
        <f ca="1" t="array" ref="E122">+EVALUATE(D122)</f>
        <v>63.24</v>
      </c>
      <c r="F122" s="5" t="s">
        <v>1081</v>
      </c>
    </row>
    <row r="123" ht="32" customHeight="1" spans="1:6">
      <c r="A123" s="10" t="s">
        <v>295</v>
      </c>
      <c r="B123" s="10" t="s">
        <v>1218</v>
      </c>
      <c r="C123" s="5" t="s">
        <v>423</v>
      </c>
      <c r="D123" s="7" t="s">
        <v>1220</v>
      </c>
      <c r="E123" s="11" cm="1">
        <f ca="1" t="array" ref="E123">+EVALUATE(D123)</f>
        <v>8.1584</v>
      </c>
      <c r="F123" s="5" t="s">
        <v>1081</v>
      </c>
    </row>
    <row r="124" ht="24" customHeight="1" spans="1:6">
      <c r="A124" s="7" t="s">
        <v>297</v>
      </c>
      <c r="B124" s="10" t="s">
        <v>1221</v>
      </c>
      <c r="C124" s="5" t="s">
        <v>423</v>
      </c>
      <c r="D124" s="7" t="s">
        <v>1222</v>
      </c>
      <c r="E124" s="11" cm="1">
        <f ca="1" t="array" ref="E124">+EVALUATE(D124)</f>
        <v>81.8236</v>
      </c>
      <c r="F124" s="5" t="s">
        <v>1081</v>
      </c>
    </row>
    <row r="125" ht="33" customHeight="1" spans="1:6">
      <c r="A125" s="12" t="s">
        <v>301</v>
      </c>
      <c r="B125" s="9" t="s">
        <v>302</v>
      </c>
      <c r="C125" s="22" t="s">
        <v>708</v>
      </c>
      <c r="D125" s="12" t="s">
        <v>1223</v>
      </c>
      <c r="E125" s="23" cm="1">
        <f ca="1" t="array" ref="E125">+EVALUATE(D125)</f>
        <v>24.28</v>
      </c>
      <c r="F125" s="5" t="s">
        <v>1081</v>
      </c>
    </row>
    <row r="126" ht="33" customHeight="1" spans="1:6">
      <c r="A126" s="12" t="s">
        <v>303</v>
      </c>
      <c r="B126" s="9" t="s">
        <v>304</v>
      </c>
      <c r="C126" s="22" t="s">
        <v>708</v>
      </c>
      <c r="D126" s="12" t="s">
        <v>1223</v>
      </c>
      <c r="E126" s="23" cm="1">
        <f ca="1" t="array" ref="E126">+EVALUATE(D126)</f>
        <v>24.28</v>
      </c>
      <c r="F126" s="5" t="s">
        <v>1081</v>
      </c>
    </row>
    <row r="127" ht="25" customHeight="1" spans="1:6">
      <c r="A127" s="7" t="s">
        <v>289</v>
      </c>
      <c r="B127" s="10" t="s">
        <v>1224</v>
      </c>
      <c r="C127" s="5" t="s">
        <v>423</v>
      </c>
      <c r="D127" s="7" t="s">
        <v>1225</v>
      </c>
      <c r="E127" s="11" cm="1">
        <f ca="1" t="array" ref="E127">+EVALUATE(D127)</f>
        <v>59.5544</v>
      </c>
      <c r="F127" s="5" t="s">
        <v>1081</v>
      </c>
    </row>
    <row r="128" ht="29" customHeight="1" spans="1:6">
      <c r="A128" s="7" t="s">
        <v>289</v>
      </c>
      <c r="B128" s="10" t="s">
        <v>1226</v>
      </c>
      <c r="C128" s="5" t="s">
        <v>708</v>
      </c>
      <c r="D128" s="7" t="s">
        <v>1227</v>
      </c>
      <c r="E128" s="11" cm="1">
        <f ca="1" t="array" ref="E128">+EVALUATE(D128)</f>
        <v>12.648</v>
      </c>
      <c r="F128" s="5" t="s">
        <v>1081</v>
      </c>
    </row>
    <row r="129" ht="29" customHeight="1" spans="1:6">
      <c r="A129" s="7" t="s">
        <v>289</v>
      </c>
      <c r="B129" s="10" t="s">
        <v>1228</v>
      </c>
      <c r="C129" s="5" t="s">
        <v>708</v>
      </c>
      <c r="D129" s="7" t="s">
        <v>1229</v>
      </c>
      <c r="E129" s="11" cm="1">
        <f ca="1" t="array" ref="E129">+EVALUATE(D129)</f>
        <v>6.963</v>
      </c>
      <c r="F129" s="5" t="s">
        <v>1081</v>
      </c>
    </row>
    <row r="130" ht="40" customHeight="1" spans="1:6">
      <c r="A130" s="7" t="s">
        <v>293</v>
      </c>
      <c r="B130" s="10" t="s">
        <v>1230</v>
      </c>
      <c r="C130" s="5" t="s">
        <v>423</v>
      </c>
      <c r="D130" s="7" t="s">
        <v>1231</v>
      </c>
      <c r="E130" s="11" cm="1">
        <f ca="1" t="array" ref="E130">+EVALUATE(D130)</f>
        <v>5.508</v>
      </c>
      <c r="F130" s="5" t="s">
        <v>1081</v>
      </c>
    </row>
    <row r="131" ht="29" customHeight="1" spans="1:6">
      <c r="A131" s="10" t="s">
        <v>293</v>
      </c>
      <c r="B131" s="10" t="s">
        <v>294</v>
      </c>
      <c r="C131" s="5" t="s">
        <v>423</v>
      </c>
      <c r="D131" s="10" t="s">
        <v>1232</v>
      </c>
      <c r="E131" s="11" cm="1">
        <f ca="1" t="array" ref="E131">+EVALUATE(D131)</f>
        <v>2.325</v>
      </c>
      <c r="F131" s="5" t="s">
        <v>1081</v>
      </c>
    </row>
    <row r="132" ht="35" customHeight="1" spans="1:6">
      <c r="A132" s="10" t="s">
        <v>288</v>
      </c>
      <c r="B132" s="10" t="s">
        <v>1233</v>
      </c>
      <c r="C132" s="5" t="s">
        <v>423</v>
      </c>
      <c r="D132" s="10" t="s">
        <v>1234</v>
      </c>
      <c r="E132" s="11" cm="1">
        <f ca="1" t="array" ref="E132">+EVALUATE(D132)</f>
        <v>6.3</v>
      </c>
      <c r="F132" s="5" t="s">
        <v>1081</v>
      </c>
    </row>
    <row r="133" ht="27" customHeight="1" spans="1:6">
      <c r="A133" s="10" t="s">
        <v>291</v>
      </c>
      <c r="B133" s="10" t="s">
        <v>292</v>
      </c>
      <c r="C133" s="5" t="s">
        <v>423</v>
      </c>
      <c r="D133" s="10" t="s">
        <v>1235</v>
      </c>
      <c r="E133" s="11" cm="1">
        <f ca="1" t="array" ref="E133">+EVALUATE(D133)</f>
        <v>13.6</v>
      </c>
      <c r="F133" s="5" t="s">
        <v>1081</v>
      </c>
    </row>
    <row r="134" ht="16" customHeight="1" spans="1:6">
      <c r="A134" s="10" t="s">
        <v>289</v>
      </c>
      <c r="B134" s="10" t="s">
        <v>1236</v>
      </c>
      <c r="C134" s="5" t="s">
        <v>423</v>
      </c>
      <c r="D134" s="7" t="s">
        <v>1237</v>
      </c>
      <c r="E134" s="11" cm="1">
        <f ca="1" t="array" ref="E134">+EVALUATE(D134)</f>
        <v>106.08</v>
      </c>
      <c r="F134" s="5" t="s">
        <v>1110</v>
      </c>
    </row>
    <row r="135" ht="16" customHeight="1" spans="1:6">
      <c r="A135" s="7" t="s">
        <v>295</v>
      </c>
      <c r="B135" s="10" t="s">
        <v>1236</v>
      </c>
      <c r="C135" s="5" t="s">
        <v>423</v>
      </c>
      <c r="D135" s="7" t="s">
        <v>1238</v>
      </c>
      <c r="E135" s="11" cm="1">
        <f ca="1" t="array" ref="E135">+EVALUATE(D135)</f>
        <v>8.7348</v>
      </c>
      <c r="F135" s="5" t="s">
        <v>1110</v>
      </c>
    </row>
    <row r="136" ht="16" customHeight="1" spans="1:6">
      <c r="A136" s="7" t="s">
        <v>297</v>
      </c>
      <c r="B136" s="10" t="s">
        <v>1236</v>
      </c>
      <c r="C136" s="5" t="s">
        <v>423</v>
      </c>
      <c r="D136" s="7" t="s">
        <v>1222</v>
      </c>
      <c r="E136" s="11" cm="1">
        <f ca="1" t="array" ref="E136">+EVALUATE(D136)</f>
        <v>81.8236</v>
      </c>
      <c r="F136" s="5" t="s">
        <v>1110</v>
      </c>
    </row>
    <row r="137" ht="27" customHeight="1" spans="1:6">
      <c r="A137" s="12" t="s">
        <v>301</v>
      </c>
      <c r="B137" s="9" t="s">
        <v>1239</v>
      </c>
      <c r="C137" s="22" t="s">
        <v>708</v>
      </c>
      <c r="D137" s="12" t="s">
        <v>1223</v>
      </c>
      <c r="E137" s="23" cm="1">
        <f ca="1" t="array" ref="E137">+EVALUATE(D137)</f>
        <v>24.28</v>
      </c>
      <c r="F137" s="5" t="s">
        <v>1110</v>
      </c>
    </row>
    <row r="138" ht="34" customHeight="1" spans="1:6">
      <c r="A138" s="12" t="s">
        <v>303</v>
      </c>
      <c r="B138" s="9" t="s">
        <v>1240</v>
      </c>
      <c r="C138" s="22" t="s">
        <v>708</v>
      </c>
      <c r="D138" s="12" t="s">
        <v>1223</v>
      </c>
      <c r="E138" s="23" cm="1">
        <f ca="1" t="array" ref="E138">+EVALUATE(D138)</f>
        <v>24.28</v>
      </c>
      <c r="F138" s="5" t="s">
        <v>1110</v>
      </c>
    </row>
    <row r="139" ht="16" customHeight="1" spans="1:6">
      <c r="A139" s="7" t="s">
        <v>289</v>
      </c>
      <c r="B139" s="10" t="s">
        <v>1200</v>
      </c>
      <c r="C139" s="5" t="s">
        <v>423</v>
      </c>
      <c r="D139" s="7">
        <v>7.29</v>
      </c>
      <c r="E139" s="11" cm="1">
        <f ca="1" t="array" ref="E139">+EVALUATE(D139)</f>
        <v>7.29</v>
      </c>
      <c r="F139" s="5" t="s">
        <v>1110</v>
      </c>
    </row>
    <row r="140" ht="16" customHeight="1" spans="1:6">
      <c r="A140" s="7" t="s">
        <v>289</v>
      </c>
      <c r="B140" s="10" t="s">
        <v>1241</v>
      </c>
      <c r="C140" s="5" t="s">
        <v>423</v>
      </c>
      <c r="D140" s="7">
        <f>(0.514+2.083)*3</f>
        <v>7.791</v>
      </c>
      <c r="E140" s="11" cm="1">
        <f ca="1" t="array" ref="E140">+EVALUATE(D140)</f>
        <v>7.791</v>
      </c>
      <c r="F140" s="5" t="s">
        <v>1110</v>
      </c>
    </row>
    <row r="141" ht="16" customHeight="1" spans="1:6">
      <c r="A141" s="7" t="s">
        <v>289</v>
      </c>
      <c r="B141" s="10" t="s">
        <v>1242</v>
      </c>
      <c r="C141" s="5" t="s">
        <v>423</v>
      </c>
      <c r="D141" s="7" t="s">
        <v>1243</v>
      </c>
      <c r="E141" s="11" cm="1">
        <f ca="1" t="array" ref="E141">+EVALUATE(D141)</f>
        <v>11.268</v>
      </c>
      <c r="F141" s="5" t="s">
        <v>1110</v>
      </c>
    </row>
    <row r="142" ht="16" customHeight="1" spans="1:6">
      <c r="A142" s="10" t="s">
        <v>289</v>
      </c>
      <c r="B142" s="10" t="s">
        <v>1244</v>
      </c>
      <c r="C142" s="5" t="s">
        <v>423</v>
      </c>
      <c r="D142" s="10" t="s">
        <v>1245</v>
      </c>
      <c r="E142" s="11" cm="1">
        <f ca="1" t="array" ref="E142">+EVALUATE(D142)</f>
        <v>14.724</v>
      </c>
      <c r="F142" s="5" t="s">
        <v>1110</v>
      </c>
    </row>
    <row r="143" ht="16" customHeight="1" spans="1:6">
      <c r="A143" s="10" t="s">
        <v>289</v>
      </c>
      <c r="B143" s="10" t="s">
        <v>1246</v>
      </c>
      <c r="C143" s="5" t="s">
        <v>423</v>
      </c>
      <c r="D143" s="10" t="s">
        <v>1229</v>
      </c>
      <c r="E143" s="11" cm="1">
        <f ca="1" t="array" ref="E143">+EVALUATE(D143)</f>
        <v>6.963</v>
      </c>
      <c r="F143" s="5" t="s">
        <v>1110</v>
      </c>
    </row>
    <row r="144" ht="16" customHeight="1" spans="1:6">
      <c r="A144" s="10" t="s">
        <v>289</v>
      </c>
      <c r="B144" s="10" t="s">
        <v>296</v>
      </c>
      <c r="C144" s="5" t="s">
        <v>423</v>
      </c>
      <c r="D144" s="10" t="s">
        <v>1247</v>
      </c>
      <c r="E144" s="11" cm="1">
        <f ca="1" t="array" ref="E144">+EVALUATE(D144)</f>
        <v>105.149</v>
      </c>
      <c r="F144" s="5" t="s">
        <v>1110</v>
      </c>
    </row>
    <row r="145" ht="16" customHeight="1" spans="1:6">
      <c r="A145" s="10" t="s">
        <v>289</v>
      </c>
      <c r="B145" s="10" t="s">
        <v>296</v>
      </c>
      <c r="C145" s="5" t="s">
        <v>423</v>
      </c>
      <c r="D145" s="7" t="s">
        <v>1248</v>
      </c>
      <c r="E145" s="11" cm="1">
        <f ca="1" t="array" ref="E145">+EVALUATE(D145)</f>
        <v>25.22</v>
      </c>
      <c r="F145" s="5" t="s">
        <v>1110</v>
      </c>
    </row>
    <row r="146" ht="16" customHeight="1" spans="1:6">
      <c r="A146" s="7" t="s">
        <v>295</v>
      </c>
      <c r="B146" s="10" t="s">
        <v>296</v>
      </c>
      <c r="C146" s="5" t="s">
        <v>423</v>
      </c>
      <c r="D146" s="7" t="s">
        <v>1249</v>
      </c>
      <c r="E146" s="11" cm="1">
        <f ca="1" t="array" ref="E146">+EVALUATE(D146)</f>
        <v>6.45</v>
      </c>
      <c r="F146" s="5" t="s">
        <v>1110</v>
      </c>
    </row>
    <row r="147" ht="16" customHeight="1" spans="1:6">
      <c r="A147" s="7" t="s">
        <v>297</v>
      </c>
      <c r="B147" s="10" t="s">
        <v>296</v>
      </c>
      <c r="C147" s="5" t="s">
        <v>423</v>
      </c>
      <c r="D147" s="7" t="s">
        <v>1250</v>
      </c>
      <c r="E147" s="11" cm="1">
        <f ca="1" t="array" ref="E147">+EVALUATE(D147)</f>
        <v>12.388</v>
      </c>
      <c r="F147" s="5" t="s">
        <v>1110</v>
      </c>
    </row>
    <row r="148" ht="27" customHeight="1" spans="1:6">
      <c r="A148" s="12" t="s">
        <v>298</v>
      </c>
      <c r="B148" s="9" t="s">
        <v>299</v>
      </c>
      <c r="C148" s="22" t="s">
        <v>423</v>
      </c>
      <c r="D148" s="12" t="s">
        <v>1251</v>
      </c>
      <c r="E148" s="23" cm="1">
        <f ca="1" t="array" ref="E148">+EVALUATE(D148)-E149</f>
        <v>30.828</v>
      </c>
      <c r="F148" s="5" t="s">
        <v>1110</v>
      </c>
    </row>
    <row r="149" ht="30" customHeight="1" spans="1:6">
      <c r="A149" s="12" t="s">
        <v>300</v>
      </c>
      <c r="B149" s="9" t="s">
        <v>299</v>
      </c>
      <c r="C149" s="22" t="s">
        <v>423</v>
      </c>
      <c r="D149" s="12" t="s">
        <v>1252</v>
      </c>
      <c r="E149" s="23" cm="1">
        <f ca="1" t="array" ref="E149">+EVALUATE(D149)</f>
        <v>20.8104</v>
      </c>
      <c r="F149" s="5" t="s">
        <v>1110</v>
      </c>
    </row>
    <row r="150" ht="16" customHeight="1" spans="1:6">
      <c r="A150" s="7"/>
      <c r="B150" s="10"/>
      <c r="C150" s="5"/>
      <c r="D150" s="7"/>
      <c r="E150" s="11"/>
      <c r="F150" s="5"/>
    </row>
    <row r="151" ht="16" customHeight="1" spans="1:6">
      <c r="A151" s="7"/>
      <c r="B151" s="10"/>
      <c r="C151" s="5"/>
      <c r="D151" s="7"/>
      <c r="E151" s="11"/>
      <c r="F151" s="5"/>
    </row>
    <row r="152" ht="16" customHeight="1" spans="1:6">
      <c r="A152" s="7"/>
      <c r="B152" s="10"/>
      <c r="C152" s="5"/>
      <c r="D152" s="7"/>
      <c r="E152" s="11"/>
      <c r="F152" s="5"/>
    </row>
    <row r="153" ht="16" customHeight="1" spans="1:6">
      <c r="A153" s="7"/>
      <c r="B153" s="10"/>
      <c r="C153" s="5"/>
      <c r="D153" s="7"/>
      <c r="E153" s="11"/>
      <c r="F153" s="5"/>
    </row>
    <row r="154" ht="16" customHeight="1" spans="1:6">
      <c r="A154" s="21" t="s">
        <v>1253</v>
      </c>
      <c r="B154" s="10"/>
      <c r="C154" s="5" t="s">
        <v>708</v>
      </c>
      <c r="D154" s="7"/>
      <c r="E154" s="8">
        <f ca="1">SUM(E155:E158)</f>
        <v>140.296</v>
      </c>
      <c r="F154" s="5"/>
    </row>
    <row r="155" ht="16" customHeight="1" spans="1:6">
      <c r="A155" s="7" t="s">
        <v>168</v>
      </c>
      <c r="B155" s="10" t="s">
        <v>1036</v>
      </c>
      <c r="C155" s="5" t="s">
        <v>423</v>
      </c>
      <c r="D155" s="7" t="s">
        <v>1254</v>
      </c>
      <c r="E155" s="11" cm="1">
        <f ca="1" t="array" ref="E155">+EVALUATE(D155)</f>
        <v>18.3</v>
      </c>
      <c r="F155" s="5" t="s">
        <v>1081</v>
      </c>
    </row>
    <row r="156" ht="16" customHeight="1" spans="1:6">
      <c r="A156" s="7" t="s">
        <v>168</v>
      </c>
      <c r="B156" s="10" t="s">
        <v>1054</v>
      </c>
      <c r="C156" s="5" t="s">
        <v>423</v>
      </c>
      <c r="D156" s="7" t="s">
        <v>1255</v>
      </c>
      <c r="E156" s="11" cm="1">
        <f ca="1" t="array" ref="E156">+EVALUATE(D156)</f>
        <v>14.11</v>
      </c>
      <c r="F156" s="5" t="s">
        <v>1110</v>
      </c>
    </row>
    <row r="157" ht="16" customHeight="1" spans="1:6">
      <c r="A157" s="7" t="s">
        <v>173</v>
      </c>
      <c r="B157" s="10" t="s">
        <v>1054</v>
      </c>
      <c r="C157" s="5" t="s">
        <v>423</v>
      </c>
      <c r="D157" s="7" t="s">
        <v>1256</v>
      </c>
      <c r="E157" s="11" cm="1">
        <f ca="1" t="array" ref="E157">+EVALUATE(D157)</f>
        <v>9.48</v>
      </c>
      <c r="F157" s="5" t="s">
        <v>1110</v>
      </c>
    </row>
    <row r="158" ht="16" customHeight="1" spans="1:6">
      <c r="A158" s="7" t="s">
        <v>173</v>
      </c>
      <c r="B158" s="10" t="s">
        <v>1156</v>
      </c>
      <c r="C158" s="5" t="s">
        <v>423</v>
      </c>
      <c r="D158" s="7" t="s">
        <v>1257</v>
      </c>
      <c r="E158" s="11" cm="1">
        <f ca="1" t="array" ref="E158">+EVALUATE(D158)</f>
        <v>98.406</v>
      </c>
      <c r="F158" s="5" t="s">
        <v>1110</v>
      </c>
    </row>
    <row r="159" ht="16" customHeight="1" spans="1:6">
      <c r="A159" s="7"/>
      <c r="B159" s="10"/>
      <c r="C159" s="5"/>
      <c r="D159" s="7"/>
      <c r="E159" s="11"/>
      <c r="F159" s="5"/>
    </row>
    <row r="160" ht="16" customHeight="1" spans="1:6">
      <c r="A160" s="7"/>
      <c r="B160" s="10"/>
      <c r="C160" s="5"/>
      <c r="D160" s="7"/>
      <c r="E160" s="11"/>
      <c r="F160" s="5"/>
    </row>
    <row r="161" ht="16" customHeight="1" spans="1:6">
      <c r="A161" s="7"/>
      <c r="B161" s="10"/>
      <c r="C161" s="5"/>
      <c r="D161" s="7"/>
      <c r="E161" s="11"/>
      <c r="F161" s="5"/>
    </row>
    <row r="162" ht="16" customHeight="1" spans="1:6">
      <c r="A162" s="7"/>
      <c r="B162" s="10"/>
      <c r="C162" s="5"/>
      <c r="D162" s="7"/>
      <c r="E162" s="11"/>
      <c r="F162" s="5"/>
    </row>
    <row r="163" ht="16" customHeight="1" spans="1:6">
      <c r="A163" s="7"/>
      <c r="B163" s="10"/>
      <c r="C163" s="5"/>
      <c r="D163" s="7"/>
      <c r="E163" s="11"/>
      <c r="F163" s="5"/>
    </row>
    <row r="164" ht="16" customHeight="1" spans="1:6">
      <c r="A164" s="21" t="s">
        <v>177</v>
      </c>
      <c r="B164" s="10"/>
      <c r="C164" s="5"/>
      <c r="D164" s="7"/>
      <c r="E164" s="8">
        <f ca="1">SUM(E165:E175)</f>
        <v>6195.201</v>
      </c>
      <c r="F164" s="5"/>
    </row>
    <row r="165" ht="16" customHeight="1" spans="1:6">
      <c r="A165" s="7" t="s">
        <v>348</v>
      </c>
      <c r="B165" s="10" t="s">
        <v>1036</v>
      </c>
      <c r="C165" s="5" t="s">
        <v>708</v>
      </c>
      <c r="D165" s="7" t="s">
        <v>1258</v>
      </c>
      <c r="E165" s="11" cm="1">
        <f ca="1" t="array" ref="E165">+EVALUATE(D165)</f>
        <v>2258.62</v>
      </c>
      <c r="F165" s="5" t="s">
        <v>1081</v>
      </c>
    </row>
    <row r="166" ht="16" customHeight="1" spans="1:6">
      <c r="A166" s="7" t="s">
        <v>349</v>
      </c>
      <c r="B166" s="10" t="s">
        <v>1259</v>
      </c>
      <c r="C166" s="5" t="s">
        <v>708</v>
      </c>
      <c r="D166" s="24" t="s">
        <v>1260</v>
      </c>
      <c r="E166" s="11" cm="1">
        <f ca="1" t="array" ref="E166">+EVALUATE(D166)</f>
        <v>163.271</v>
      </c>
      <c r="F166" s="5" t="s">
        <v>1081</v>
      </c>
    </row>
    <row r="167" ht="32" customHeight="1" spans="1:6">
      <c r="A167" s="7" t="s">
        <v>351</v>
      </c>
      <c r="B167" s="10" t="s">
        <v>1261</v>
      </c>
      <c r="C167" s="5" t="s">
        <v>708</v>
      </c>
      <c r="D167" s="24" t="s">
        <v>1262</v>
      </c>
      <c r="E167" s="11" cm="1">
        <f ca="1" t="array" ref="E167">+EVALUATE(D167)</f>
        <v>27.6</v>
      </c>
      <c r="F167" s="5" t="s">
        <v>1081</v>
      </c>
    </row>
    <row r="168" ht="16" customHeight="1" spans="1:6">
      <c r="A168" s="7" t="s">
        <v>353</v>
      </c>
      <c r="B168" s="10" t="s">
        <v>1036</v>
      </c>
      <c r="C168" s="5" t="s">
        <v>708</v>
      </c>
      <c r="D168" s="24">
        <v>114.395</v>
      </c>
      <c r="E168" s="11" cm="1">
        <f ca="1" t="array" ref="E168">+EVALUATE(D168)</f>
        <v>114.395</v>
      </c>
      <c r="F168" s="5" t="s">
        <v>1081</v>
      </c>
    </row>
    <row r="169" ht="16" customHeight="1" spans="1:6">
      <c r="A169" s="7" t="s">
        <v>353</v>
      </c>
      <c r="B169" s="10" t="s">
        <v>1005</v>
      </c>
      <c r="C169" s="5" t="s">
        <v>708</v>
      </c>
      <c r="D169" s="24">
        <v>68.777</v>
      </c>
      <c r="E169" s="11" cm="1">
        <f ca="1" t="array" ref="E169">+EVALUATE(D169)</f>
        <v>68.777</v>
      </c>
      <c r="F169" s="5" t="s">
        <v>1081</v>
      </c>
    </row>
    <row r="170" ht="21" customHeight="1" spans="1:6">
      <c r="A170" s="7" t="s">
        <v>349</v>
      </c>
      <c r="B170" s="10" t="s">
        <v>1263</v>
      </c>
      <c r="C170" s="5" t="s">
        <v>708</v>
      </c>
      <c r="D170" s="24" t="s">
        <v>1264</v>
      </c>
      <c r="E170" s="11" cm="1">
        <f ca="1" t="array" ref="E170">+EVALUATE(D170)</f>
        <v>30.628</v>
      </c>
      <c r="F170" s="5" t="s">
        <v>1081</v>
      </c>
    </row>
    <row r="171" ht="33" customHeight="1" spans="1:6">
      <c r="A171" s="7" t="s">
        <v>355</v>
      </c>
      <c r="B171" s="10" t="s">
        <v>1036</v>
      </c>
      <c r="C171" s="5" t="s">
        <v>708</v>
      </c>
      <c r="D171" s="25" t="s">
        <v>1265</v>
      </c>
      <c r="E171" s="11" cm="1">
        <f ca="1" t="array" ref="E171">+EVALUATE(D171)</f>
        <v>39.375</v>
      </c>
      <c r="F171" s="5" t="s">
        <v>1081</v>
      </c>
    </row>
    <row r="172" ht="33" customHeight="1" spans="1:6">
      <c r="A172" s="7" t="s">
        <v>349</v>
      </c>
      <c r="B172" s="10" t="s">
        <v>1266</v>
      </c>
      <c r="C172" s="5" t="s">
        <v>708</v>
      </c>
      <c r="D172" s="24">
        <v>7.8</v>
      </c>
      <c r="E172" s="11" cm="1">
        <f ca="1" t="array" ref="E172">+EVALUATE(D172)</f>
        <v>7.8</v>
      </c>
      <c r="F172" s="5" t="s">
        <v>1110</v>
      </c>
    </row>
    <row r="173" ht="16" customHeight="1" spans="1:6">
      <c r="A173" s="7" t="s">
        <v>353</v>
      </c>
      <c r="B173" s="10" t="s">
        <v>1019</v>
      </c>
      <c r="C173" s="5" t="s">
        <v>708</v>
      </c>
      <c r="D173" s="24">
        <v>170.773</v>
      </c>
      <c r="E173" s="11" cm="1">
        <f ca="1" t="array" ref="E173">+EVALUATE(D173)</f>
        <v>170.773</v>
      </c>
      <c r="F173" s="5" t="s">
        <v>1110</v>
      </c>
    </row>
    <row r="174" ht="16" customHeight="1" spans="1:6">
      <c r="A174" s="7" t="s">
        <v>349</v>
      </c>
      <c r="B174" s="10" t="s">
        <v>1267</v>
      </c>
      <c r="C174" s="5" t="s">
        <v>708</v>
      </c>
      <c r="D174" s="7" t="s">
        <v>1268</v>
      </c>
      <c r="E174" s="11" cm="1">
        <f ca="1" t="array" ref="E174">+EVALUATE(D174)</f>
        <v>139.962</v>
      </c>
      <c r="F174" s="5" t="s">
        <v>1110</v>
      </c>
    </row>
    <row r="175" ht="16" customHeight="1" spans="1:6">
      <c r="A175" s="7" t="s">
        <v>348</v>
      </c>
      <c r="B175" s="10" t="s">
        <v>1056</v>
      </c>
      <c r="C175" s="5" t="s">
        <v>708</v>
      </c>
      <c r="D175" s="7" t="s">
        <v>1269</v>
      </c>
      <c r="E175" s="11" cm="1">
        <f ca="1" t="array" ref="E175">+EVALUATE(D175)</f>
        <v>3174</v>
      </c>
      <c r="F175" s="5" t="s">
        <v>1110</v>
      </c>
    </row>
    <row r="176" ht="53" customHeight="1" spans="1:6">
      <c r="A176" s="7" t="s">
        <v>355</v>
      </c>
      <c r="B176" s="10" t="s">
        <v>1056</v>
      </c>
      <c r="C176" s="5" t="s">
        <v>708</v>
      </c>
      <c r="D176" s="10" t="s">
        <v>1270</v>
      </c>
      <c r="E176" s="11" cm="1">
        <f ca="1" t="array" ref="E176">+EVALUATE(D176)</f>
        <v>66.75</v>
      </c>
      <c r="F176" s="5" t="s">
        <v>1110</v>
      </c>
    </row>
    <row r="177" ht="16" customHeight="1" spans="1:6">
      <c r="A177" s="7"/>
      <c r="B177" s="10"/>
      <c r="C177" s="5"/>
      <c r="D177" s="7"/>
      <c r="E177" s="11"/>
      <c r="F177" s="5"/>
    </row>
    <row r="178" ht="16" customHeight="1" spans="1:6">
      <c r="A178" s="7"/>
      <c r="B178" s="10"/>
      <c r="C178" s="5"/>
      <c r="D178" s="7"/>
      <c r="E178" s="11"/>
      <c r="F178" s="5"/>
    </row>
    <row r="179" ht="40" customHeight="1" spans="1:6">
      <c r="A179" s="7" t="s">
        <v>218</v>
      </c>
      <c r="B179" s="10" t="s">
        <v>1143</v>
      </c>
      <c r="C179" s="5" t="s">
        <v>708</v>
      </c>
      <c r="D179" s="10" t="s">
        <v>1271</v>
      </c>
      <c r="E179" s="11" cm="1">
        <f ca="1" t="array" ref="E179">+EVALUATE(D179)</f>
        <v>262.9</v>
      </c>
      <c r="F179" s="5" t="s">
        <v>1081</v>
      </c>
    </row>
    <row r="180" ht="33" customHeight="1" spans="1:6">
      <c r="A180" s="7" t="s">
        <v>218</v>
      </c>
      <c r="B180" s="10" t="s">
        <v>1056</v>
      </c>
      <c r="C180" s="5" t="s">
        <v>708</v>
      </c>
      <c r="D180" s="7" t="s">
        <v>1272</v>
      </c>
      <c r="E180" s="11" cm="1">
        <f ca="1" t="array" ref="E180">+EVALUATE(D180)</f>
        <v>228.104</v>
      </c>
      <c r="F180" s="5" t="s">
        <v>1110</v>
      </c>
    </row>
    <row r="181" ht="16" customHeight="1" spans="1:6">
      <c r="A181" s="7"/>
      <c r="B181" s="10"/>
      <c r="C181" s="5" t="s">
        <v>708</v>
      </c>
      <c r="D181" s="7"/>
      <c r="E181" s="11" t="e" cm="1">
        <f ca="1" t="array" ref="E181">+EVALUATE(D181)</f>
        <v>#VALUE!</v>
      </c>
      <c r="F181" s="5"/>
    </row>
    <row r="182" ht="16" customHeight="1" spans="1:6">
      <c r="A182" s="7" t="s">
        <v>213</v>
      </c>
      <c r="B182" s="10" t="s">
        <v>1143</v>
      </c>
      <c r="C182" s="5" t="s">
        <v>708</v>
      </c>
      <c r="D182" s="7" t="s">
        <v>1273</v>
      </c>
      <c r="E182" s="11" cm="1">
        <f ca="1" t="array" ref="E182">+EVALUATE(D182)</f>
        <v>684</v>
      </c>
      <c r="F182" s="5"/>
    </row>
    <row r="183" ht="16" customHeight="1" spans="1:6">
      <c r="A183" s="7" t="s">
        <v>213</v>
      </c>
      <c r="B183" s="10" t="s">
        <v>1056</v>
      </c>
      <c r="C183" s="5" t="s">
        <v>708</v>
      </c>
      <c r="D183" s="7" t="s">
        <v>1273</v>
      </c>
      <c r="E183" s="11" cm="1">
        <f ca="1" t="array" ref="E183">+EVALUATE(D183)</f>
        <v>684</v>
      </c>
      <c r="F183" s="5"/>
    </row>
    <row r="184" ht="16" customHeight="1" spans="1:6">
      <c r="A184" s="7"/>
      <c r="B184" s="10"/>
      <c r="C184" s="5" t="s">
        <v>423</v>
      </c>
      <c r="D184" s="7"/>
      <c r="E184" s="11" t="e" cm="1">
        <f ca="1" t="array" ref="E184">+EVALUATE(D184)</f>
        <v>#VALUE!</v>
      </c>
      <c r="F184" s="5"/>
    </row>
    <row r="185" ht="16" customHeight="1" spans="1:6">
      <c r="A185" s="7" t="s">
        <v>605</v>
      </c>
      <c r="B185" s="10" t="s">
        <v>1143</v>
      </c>
      <c r="C185" s="5" t="s">
        <v>708</v>
      </c>
      <c r="D185" s="7" t="s">
        <v>1274</v>
      </c>
      <c r="E185" s="11" cm="1">
        <f ca="1" t="array" ref="E185">+EVALUATE(D185)</f>
        <v>25</v>
      </c>
      <c r="F185" s="5"/>
    </row>
    <row r="186" ht="16" customHeight="1" spans="1:6">
      <c r="A186" s="7" t="s">
        <v>605</v>
      </c>
      <c r="B186" s="10" t="s">
        <v>1056</v>
      </c>
      <c r="C186" s="5" t="s">
        <v>708</v>
      </c>
      <c r="D186" s="7" t="s">
        <v>1274</v>
      </c>
      <c r="E186" s="11" cm="1">
        <f ca="1" t="array" ref="E186">+EVALUATE(D186)</f>
        <v>25</v>
      </c>
      <c r="F186" s="5"/>
    </row>
    <row r="187" ht="16" customHeight="1" spans="1:6">
      <c r="A187" s="7"/>
      <c r="B187" s="10"/>
      <c r="C187" s="5" t="s">
        <v>423</v>
      </c>
      <c r="D187" s="7"/>
      <c r="E187" s="11" t="e" cm="1">
        <f ca="1" t="array" ref="E187">+EVALUATE(D187)</f>
        <v>#VALUE!</v>
      </c>
      <c r="F187" s="5"/>
    </row>
    <row r="188" ht="16" customHeight="1" spans="1:6">
      <c r="A188" s="7"/>
      <c r="B188" s="10"/>
      <c r="C188" s="5" t="s">
        <v>708</v>
      </c>
      <c r="D188" s="7"/>
      <c r="E188" s="11" t="e" cm="1">
        <f ca="1" t="array" ref="E188">+EVALUATE(D188)</f>
        <v>#VALUE!</v>
      </c>
      <c r="F188" s="5"/>
    </row>
    <row r="189" ht="16" customHeight="1" spans="1:6">
      <c r="A189" s="7"/>
      <c r="B189" s="10"/>
      <c r="C189" s="5" t="s">
        <v>708</v>
      </c>
      <c r="D189" s="7"/>
      <c r="E189" s="11" t="e" cm="1">
        <f ca="1" t="array" ref="E189">+EVALUATE(D189)</f>
        <v>#VALUE!</v>
      </c>
      <c r="F189" s="5"/>
    </row>
    <row r="190" ht="16" customHeight="1" spans="1:6">
      <c r="A190" s="7"/>
      <c r="B190" s="10"/>
      <c r="C190" s="5" t="s">
        <v>708</v>
      </c>
      <c r="D190" s="7"/>
      <c r="E190" s="11" t="e" cm="1">
        <f ca="1" t="array" ref="E190">+EVALUATE(D190)</f>
        <v>#VALUE!</v>
      </c>
      <c r="F190" s="5"/>
    </row>
    <row r="191" ht="16" customHeight="1" spans="1:6">
      <c r="A191" s="7"/>
      <c r="B191" s="10"/>
      <c r="C191" s="5" t="s">
        <v>708</v>
      </c>
      <c r="D191" s="7"/>
      <c r="E191" s="11" t="e" cm="1">
        <f ca="1" t="array" ref="E191">+EVALUATE(D191)</f>
        <v>#VALUE!</v>
      </c>
      <c r="F191" s="5"/>
    </row>
    <row r="192" ht="16" customHeight="1" spans="1:6">
      <c r="A192" s="7"/>
      <c r="B192" s="10"/>
      <c r="C192" s="5" t="s">
        <v>423</v>
      </c>
      <c r="D192" s="7"/>
      <c r="E192" s="11" t="e" cm="1">
        <f ca="1" t="array" ref="E192">+EVALUATE(D192)</f>
        <v>#VALUE!</v>
      </c>
      <c r="F192" s="5"/>
    </row>
    <row r="193" ht="16" customHeight="1" spans="1:6">
      <c r="A193" s="7"/>
      <c r="B193" s="10"/>
      <c r="C193" s="5" t="s">
        <v>423</v>
      </c>
      <c r="D193" s="7"/>
      <c r="E193" s="11" t="e" cm="1">
        <f ca="1" t="array" ref="E193">+EVALUATE(D193)</f>
        <v>#VALUE!</v>
      </c>
      <c r="F193" s="5"/>
    </row>
    <row r="194" ht="16" customHeight="1" spans="1:6">
      <c r="A194" s="7"/>
      <c r="B194" s="10"/>
      <c r="C194" s="5" t="s">
        <v>708</v>
      </c>
      <c r="D194" s="7"/>
      <c r="E194" s="11" t="e" cm="1">
        <f ca="1" t="array" ref="E194">+EVALUATE(D194)</f>
        <v>#VALUE!</v>
      </c>
      <c r="F194" s="5"/>
    </row>
    <row r="195" ht="16" customHeight="1" spans="1:6">
      <c r="A195" s="7"/>
      <c r="B195" s="10"/>
      <c r="C195" s="5" t="s">
        <v>423</v>
      </c>
      <c r="D195" s="7"/>
      <c r="E195" s="11" t="e" cm="1">
        <f ca="1" t="array" ref="E195">+EVALUATE(D195)</f>
        <v>#VALUE!</v>
      </c>
      <c r="F195" s="5"/>
    </row>
    <row r="196" ht="16" customHeight="1" spans="1:6">
      <c r="A196" s="7"/>
      <c r="B196" s="10"/>
      <c r="C196" s="5" t="s">
        <v>423</v>
      </c>
      <c r="D196" s="7"/>
      <c r="E196" s="11" t="e" cm="1">
        <f ca="1" t="array" ref="E196">+EVALUATE(D196)</f>
        <v>#VALUE!</v>
      </c>
      <c r="F196" s="5"/>
    </row>
    <row r="197" ht="16" customHeight="1" spans="1:6">
      <c r="A197" s="7"/>
      <c r="B197" s="10"/>
      <c r="C197" s="5" t="s">
        <v>423</v>
      </c>
      <c r="D197" s="7"/>
      <c r="E197" s="11" t="e" cm="1">
        <f ca="1" t="array" ref="E197">+EVALUATE(D197)</f>
        <v>#VALUE!</v>
      </c>
      <c r="F197" s="5"/>
    </row>
    <row r="198" ht="16" customHeight="1" spans="1:6">
      <c r="A198" s="7"/>
      <c r="B198" s="10"/>
      <c r="C198" s="5" t="s">
        <v>423</v>
      </c>
      <c r="D198" s="7"/>
      <c r="E198" s="11" t="e" cm="1">
        <f ca="1" t="array" ref="E198">+EVALUATE(D198)</f>
        <v>#VALUE!</v>
      </c>
      <c r="F198" s="5"/>
    </row>
    <row r="199" ht="16" customHeight="1" spans="1:6">
      <c r="A199" s="7"/>
      <c r="B199" s="10"/>
      <c r="C199" s="5" t="s">
        <v>423</v>
      </c>
      <c r="D199" s="7"/>
      <c r="E199" s="11"/>
      <c r="F199" s="5"/>
    </row>
    <row r="200" ht="16" customHeight="1" spans="1:6">
      <c r="A200" s="7"/>
      <c r="B200" s="10"/>
      <c r="C200" s="5" t="s">
        <v>708</v>
      </c>
      <c r="D200" s="7"/>
      <c r="E200" s="11"/>
      <c r="F200" s="5"/>
    </row>
    <row r="201" ht="16" customHeight="1" spans="1:6">
      <c r="A201" s="7"/>
      <c r="B201" s="10"/>
      <c r="C201" s="5" t="s">
        <v>423</v>
      </c>
      <c r="D201" s="7"/>
      <c r="E201" s="11"/>
      <c r="F201" s="5"/>
    </row>
    <row r="202" ht="16" customHeight="1" spans="1:6">
      <c r="A202" s="7"/>
      <c r="B202" s="10"/>
      <c r="C202" s="5" t="s">
        <v>708</v>
      </c>
      <c r="D202" s="7"/>
      <c r="E202" s="11"/>
      <c r="F202" s="5"/>
    </row>
    <row r="203" ht="16" customHeight="1" spans="1:6">
      <c r="A203" s="7"/>
      <c r="B203" s="10"/>
      <c r="C203" s="5" t="s">
        <v>423</v>
      </c>
      <c r="D203" s="7"/>
      <c r="E203" s="11"/>
      <c r="F203" s="5"/>
    </row>
    <row r="204" ht="16" customHeight="1" spans="1:6">
      <c r="A204" s="7"/>
      <c r="B204" s="10"/>
      <c r="C204" s="5" t="s">
        <v>423</v>
      </c>
      <c r="D204" s="7"/>
      <c r="E204" s="11"/>
      <c r="F204" s="5"/>
    </row>
    <row r="205" ht="16" customHeight="1" spans="1:6">
      <c r="A205" s="7"/>
      <c r="B205" s="10"/>
      <c r="C205" s="5" t="s">
        <v>708</v>
      </c>
      <c r="D205" s="7"/>
      <c r="E205" s="11"/>
      <c r="F205" s="5"/>
    </row>
    <row r="206" ht="16" customHeight="1" spans="1:6">
      <c r="A206" s="7"/>
      <c r="B206" s="10"/>
      <c r="C206" s="5" t="s">
        <v>423</v>
      </c>
      <c r="D206" s="7"/>
      <c r="E206" s="11"/>
      <c r="F206" s="5"/>
    </row>
    <row r="207" ht="16" customHeight="1" spans="1:6">
      <c r="A207" s="7"/>
      <c r="B207" s="10"/>
      <c r="C207" s="5" t="s">
        <v>423</v>
      </c>
      <c r="D207" s="7"/>
      <c r="E207" s="11"/>
      <c r="F207" s="5"/>
    </row>
    <row r="208" ht="16" customHeight="1" spans="1:6">
      <c r="A208" s="7"/>
      <c r="B208" s="10"/>
      <c r="C208" s="5" t="s">
        <v>708</v>
      </c>
      <c r="D208" s="7"/>
      <c r="E208" s="11"/>
      <c r="F208" s="5"/>
    </row>
    <row r="209" ht="16" customHeight="1" spans="1:6">
      <c r="A209" s="7"/>
      <c r="B209" s="10"/>
      <c r="C209" s="5" t="s">
        <v>423</v>
      </c>
      <c r="D209" s="7"/>
      <c r="E209" s="11"/>
      <c r="F209" s="5"/>
    </row>
    <row r="210" ht="16" customHeight="1" spans="1:6">
      <c r="A210" s="7"/>
      <c r="B210" s="10"/>
      <c r="C210" s="5" t="s">
        <v>423</v>
      </c>
      <c r="D210" s="7"/>
      <c r="E210" s="11"/>
      <c r="F210" s="5"/>
    </row>
    <row r="211" ht="16" customHeight="1" spans="1:6">
      <c r="A211" s="7"/>
      <c r="B211" s="10"/>
      <c r="C211" s="5" t="s">
        <v>423</v>
      </c>
      <c r="D211" s="7"/>
      <c r="E211" s="11"/>
      <c r="F211" s="5"/>
    </row>
    <row r="212" ht="16" customHeight="1" spans="1:6">
      <c r="A212" s="7"/>
      <c r="B212" s="10"/>
      <c r="C212" s="5" t="s">
        <v>423</v>
      </c>
      <c r="D212" s="7"/>
      <c r="E212" s="11"/>
      <c r="F212" s="5"/>
    </row>
    <row r="213" ht="16" customHeight="1" spans="1:6">
      <c r="A213" s="7"/>
      <c r="B213" s="10"/>
      <c r="C213" s="5" t="s">
        <v>423</v>
      </c>
      <c r="D213" s="7"/>
      <c r="E213" s="11"/>
      <c r="F213" s="5"/>
    </row>
    <row r="214" ht="16" customHeight="1" spans="1:6">
      <c r="A214" s="7"/>
      <c r="B214" s="10"/>
      <c r="C214" s="5" t="s">
        <v>708</v>
      </c>
      <c r="D214" s="7"/>
      <c r="E214" s="11"/>
      <c r="F214" s="5"/>
    </row>
    <row r="215" ht="16" customHeight="1" spans="1:6">
      <c r="A215" s="7"/>
      <c r="B215" s="10"/>
      <c r="C215" s="5" t="s">
        <v>708</v>
      </c>
      <c r="D215" s="7"/>
      <c r="E215" s="11"/>
      <c r="F215" s="5"/>
    </row>
    <row r="216" ht="16" customHeight="1" spans="1:6">
      <c r="A216" s="7"/>
      <c r="B216" s="10"/>
      <c r="C216" s="5" t="s">
        <v>708</v>
      </c>
      <c r="D216" s="7"/>
      <c r="E216" s="11"/>
      <c r="F216" s="5"/>
    </row>
    <row r="217" ht="16" customHeight="1" spans="1:6">
      <c r="A217" s="7"/>
      <c r="B217" s="10"/>
      <c r="C217" s="5" t="s">
        <v>708</v>
      </c>
      <c r="D217" s="7"/>
      <c r="E217" s="11"/>
      <c r="F217" s="5"/>
    </row>
    <row r="218" ht="16" customHeight="1" spans="1:6">
      <c r="A218" s="7"/>
      <c r="B218" s="10"/>
      <c r="C218" s="5" t="s">
        <v>423</v>
      </c>
      <c r="D218" s="7"/>
      <c r="E218" s="11"/>
      <c r="F218" s="5"/>
    </row>
    <row r="219" ht="16" customHeight="1" spans="1:6">
      <c r="A219" s="7"/>
      <c r="B219" s="10"/>
      <c r="C219" s="5" t="s">
        <v>423</v>
      </c>
      <c r="D219" s="7"/>
      <c r="E219" s="11"/>
      <c r="F219" s="5"/>
    </row>
    <row r="220" ht="16" customHeight="1" spans="1:6">
      <c r="A220" s="7"/>
      <c r="B220" s="10"/>
      <c r="C220" s="5" t="s">
        <v>708</v>
      </c>
      <c r="D220" s="7"/>
      <c r="E220" s="11"/>
      <c r="F220" s="5"/>
    </row>
    <row r="221" ht="16" customHeight="1" spans="1:6">
      <c r="A221" s="7"/>
      <c r="B221" s="10"/>
      <c r="C221" s="5" t="s">
        <v>423</v>
      </c>
      <c r="D221" s="7"/>
      <c r="E221" s="11"/>
      <c r="F221" s="5"/>
    </row>
    <row r="222" ht="16" customHeight="1" spans="1:6">
      <c r="A222" s="7"/>
      <c r="B222" s="10"/>
      <c r="C222" s="5" t="s">
        <v>423</v>
      </c>
      <c r="D222" s="7"/>
      <c r="E222" s="11"/>
      <c r="F222" s="5"/>
    </row>
    <row r="223" ht="16" customHeight="1" spans="1:6">
      <c r="A223" s="7"/>
      <c r="B223" s="10"/>
      <c r="C223" s="5" t="s">
        <v>423</v>
      </c>
      <c r="D223" s="7"/>
      <c r="E223" s="11"/>
      <c r="F223" s="5"/>
    </row>
    <row r="224" ht="16" customHeight="1" spans="1:6">
      <c r="A224" s="7"/>
      <c r="B224" s="10"/>
      <c r="C224" s="5" t="s">
        <v>423</v>
      </c>
      <c r="D224" s="7"/>
      <c r="E224" s="11"/>
      <c r="F224" s="5"/>
    </row>
    <row r="225" ht="16" customHeight="1" spans="1:6">
      <c r="A225" s="7"/>
      <c r="B225" s="10"/>
      <c r="C225" s="5" t="s">
        <v>423</v>
      </c>
      <c r="D225" s="7"/>
      <c r="E225" s="11"/>
      <c r="F225" s="5"/>
    </row>
    <row r="226" ht="16" customHeight="1" spans="1:6">
      <c r="A226" s="7"/>
      <c r="B226" s="10"/>
      <c r="C226" s="5" t="s">
        <v>423</v>
      </c>
      <c r="D226" s="7"/>
      <c r="E226" s="11"/>
      <c r="F226" s="5"/>
    </row>
    <row r="227" ht="16" customHeight="1" spans="1:6">
      <c r="A227" s="7"/>
      <c r="B227" s="10"/>
      <c r="C227" s="5" t="s">
        <v>423</v>
      </c>
      <c r="D227" s="7"/>
      <c r="E227" s="11"/>
      <c r="F227" s="5"/>
    </row>
    <row r="228" ht="16" customHeight="1" spans="1:6">
      <c r="A228" s="7"/>
      <c r="B228" s="10"/>
      <c r="C228" s="5" t="s">
        <v>423</v>
      </c>
      <c r="D228" s="7"/>
      <c r="E228" s="11"/>
      <c r="F228" s="5"/>
    </row>
    <row r="229" ht="16" customHeight="1" spans="1:6">
      <c r="A229" s="7"/>
      <c r="B229" s="10"/>
      <c r="C229" s="5" t="s">
        <v>423</v>
      </c>
      <c r="D229" s="7"/>
      <c r="E229" s="11"/>
      <c r="F229" s="5"/>
    </row>
    <row r="230" ht="16" customHeight="1" spans="1:6">
      <c r="A230" s="7"/>
      <c r="B230" s="10"/>
      <c r="C230" s="5" t="s">
        <v>423</v>
      </c>
      <c r="D230" s="7"/>
      <c r="E230" s="11"/>
      <c r="F230" s="5"/>
    </row>
    <row r="231" ht="16" customHeight="1" spans="1:6">
      <c r="A231" s="7"/>
      <c r="B231" s="10"/>
      <c r="C231" s="5" t="s">
        <v>423</v>
      </c>
      <c r="D231" s="7"/>
      <c r="E231" s="11"/>
      <c r="F231" s="5"/>
    </row>
    <row r="232" ht="16" customHeight="1" spans="1:6">
      <c r="A232" s="7"/>
      <c r="B232" s="10"/>
      <c r="C232" s="5" t="s">
        <v>423</v>
      </c>
      <c r="D232" s="7"/>
      <c r="E232" s="11"/>
      <c r="F232" s="5"/>
    </row>
    <row r="233" ht="16" customHeight="1" spans="1:6">
      <c r="A233" s="7"/>
      <c r="B233" s="10"/>
      <c r="C233" s="5" t="s">
        <v>423</v>
      </c>
      <c r="D233" s="7"/>
      <c r="E233" s="11"/>
      <c r="F233" s="5"/>
    </row>
    <row r="234" ht="16" customHeight="1" spans="1:6">
      <c r="A234" s="7"/>
      <c r="B234" s="10"/>
      <c r="C234" s="5" t="s">
        <v>423</v>
      </c>
      <c r="D234" s="7"/>
      <c r="E234" s="11"/>
      <c r="F234" s="5"/>
    </row>
    <row r="235" ht="16" customHeight="1" spans="1:6">
      <c r="A235" s="7"/>
      <c r="B235" s="10"/>
      <c r="C235" s="5" t="s">
        <v>423</v>
      </c>
      <c r="D235" s="7"/>
      <c r="E235" s="11"/>
      <c r="F235" s="5"/>
    </row>
    <row r="236" ht="16" customHeight="1" spans="1:6">
      <c r="A236" s="7"/>
      <c r="B236" s="10"/>
      <c r="C236" s="5" t="s">
        <v>423</v>
      </c>
      <c r="D236" s="7"/>
      <c r="E236" s="11"/>
      <c r="F236" s="5"/>
    </row>
    <row r="237" ht="16" customHeight="1" spans="1:6">
      <c r="A237" s="7"/>
      <c r="B237" s="10"/>
      <c r="C237" s="5" t="s">
        <v>423</v>
      </c>
      <c r="D237" s="7"/>
      <c r="E237" s="11"/>
      <c r="F237" s="5"/>
    </row>
    <row r="238" ht="16" customHeight="1" spans="1:6">
      <c r="A238" s="7"/>
      <c r="B238" s="10"/>
      <c r="C238" s="5" t="s">
        <v>423</v>
      </c>
      <c r="D238" s="7"/>
      <c r="E238" s="11"/>
      <c r="F238" s="5"/>
    </row>
    <row r="239" ht="16" customHeight="1" spans="1:6">
      <c r="A239" s="7"/>
      <c r="B239" s="10"/>
      <c r="C239" s="5" t="s">
        <v>423</v>
      </c>
      <c r="D239" s="7"/>
      <c r="E239" s="11"/>
      <c r="F239" s="5"/>
    </row>
    <row r="240" ht="16" customHeight="1" spans="1:6">
      <c r="A240" s="7"/>
      <c r="B240" s="10"/>
      <c r="C240" s="5" t="s">
        <v>423</v>
      </c>
      <c r="D240" s="7"/>
      <c r="E240" s="11"/>
      <c r="F240" s="5"/>
    </row>
    <row r="241" ht="16" customHeight="1" spans="1:6">
      <c r="A241" s="7"/>
      <c r="B241" s="10"/>
      <c r="C241" s="5" t="s">
        <v>423</v>
      </c>
      <c r="D241" s="7"/>
      <c r="E241" s="11"/>
      <c r="F241" s="5"/>
    </row>
    <row r="242" ht="16" customHeight="1" spans="1:6">
      <c r="A242" s="7"/>
      <c r="B242" s="10"/>
      <c r="C242" s="5" t="s">
        <v>423</v>
      </c>
      <c r="D242" s="7"/>
      <c r="E242" s="11"/>
      <c r="F242" s="5"/>
    </row>
    <row r="243" ht="16" customHeight="1" spans="1:6">
      <c r="A243" s="7"/>
      <c r="B243" s="10"/>
      <c r="C243" s="5" t="s">
        <v>423</v>
      </c>
      <c r="D243" s="7"/>
      <c r="E243" s="11"/>
      <c r="F243" s="5"/>
    </row>
    <row r="244" ht="16" customHeight="1" spans="1:6">
      <c r="A244" s="7"/>
      <c r="B244" s="10"/>
      <c r="C244" s="5" t="s">
        <v>423</v>
      </c>
      <c r="D244" s="7"/>
      <c r="E244" s="11"/>
      <c r="F244" s="5"/>
    </row>
    <row r="245" ht="16" customHeight="1" spans="1:6">
      <c r="A245" s="7"/>
      <c r="B245" s="10"/>
      <c r="C245" s="5" t="s">
        <v>423</v>
      </c>
      <c r="D245" s="10"/>
      <c r="E245" s="11"/>
      <c r="F245" s="5"/>
    </row>
    <row r="246" ht="16" customHeight="1" spans="1:6">
      <c r="A246" s="7"/>
      <c r="B246" s="10"/>
      <c r="C246" s="5" t="s">
        <v>423</v>
      </c>
      <c r="D246" s="10"/>
      <c r="E246" s="11"/>
      <c r="F246" s="5"/>
    </row>
    <row r="247" ht="16" customHeight="1" spans="1:6">
      <c r="A247" s="7"/>
      <c r="B247" s="10"/>
      <c r="C247" s="5" t="s">
        <v>708</v>
      </c>
      <c r="D247" s="10"/>
      <c r="E247" s="11"/>
      <c r="F247" s="5"/>
    </row>
    <row r="248" ht="16" customHeight="1" spans="1:6">
      <c r="A248" s="7"/>
      <c r="B248" s="10"/>
      <c r="C248" s="5" t="s">
        <v>423</v>
      </c>
      <c r="D248" s="7"/>
      <c r="E248" s="11"/>
      <c r="F248" s="5"/>
    </row>
    <row r="249" ht="16" customHeight="1" spans="1:6">
      <c r="A249" s="7"/>
      <c r="B249" s="10"/>
      <c r="C249" s="5" t="s">
        <v>423</v>
      </c>
      <c r="D249" s="7"/>
      <c r="E249" s="11"/>
      <c r="F249" s="5"/>
    </row>
    <row r="250" ht="16" customHeight="1" spans="1:6">
      <c r="A250" s="7"/>
      <c r="B250" s="10"/>
      <c r="C250" s="5" t="s">
        <v>423</v>
      </c>
      <c r="D250" s="7"/>
      <c r="E250" s="11"/>
      <c r="F250" s="5"/>
    </row>
    <row r="251" ht="16" customHeight="1" spans="1:6">
      <c r="A251" s="7"/>
      <c r="B251" s="10"/>
      <c r="C251" s="5" t="s">
        <v>423</v>
      </c>
      <c r="D251" s="7"/>
      <c r="E251" s="11"/>
      <c r="F251" s="5"/>
    </row>
    <row r="252" ht="16" customHeight="1" spans="1:6">
      <c r="A252" s="7"/>
      <c r="B252" s="10"/>
      <c r="C252" s="5" t="s">
        <v>423</v>
      </c>
      <c r="D252" s="7"/>
      <c r="E252" s="11"/>
      <c r="F252" s="5"/>
    </row>
    <row r="253" ht="16" customHeight="1" spans="1:6">
      <c r="A253" s="7"/>
      <c r="B253" s="10"/>
      <c r="C253" s="5" t="s">
        <v>423</v>
      </c>
      <c r="D253" s="7"/>
      <c r="E253" s="11"/>
      <c r="F253" s="5"/>
    </row>
    <row r="254" ht="16" customHeight="1" spans="1:6">
      <c r="A254" s="7"/>
      <c r="B254" s="10"/>
      <c r="C254" s="5" t="s">
        <v>423</v>
      </c>
      <c r="D254" s="7"/>
      <c r="E254" s="11"/>
      <c r="F254" s="5"/>
    </row>
    <row r="255" ht="16" customHeight="1" spans="1:6">
      <c r="A255" s="7"/>
      <c r="B255" s="10"/>
      <c r="C255" s="5" t="s">
        <v>708</v>
      </c>
      <c r="D255" s="7"/>
      <c r="E255" s="11"/>
      <c r="F255" s="5"/>
    </row>
    <row r="256" ht="16" customHeight="1" spans="1:6">
      <c r="A256" s="7"/>
      <c r="B256" s="10"/>
      <c r="C256" s="5" t="s">
        <v>708</v>
      </c>
      <c r="D256" s="7"/>
      <c r="E256" s="11"/>
      <c r="F256" s="5"/>
    </row>
    <row r="257" ht="16" customHeight="1" spans="1:6">
      <c r="A257" s="7"/>
      <c r="B257" s="10"/>
      <c r="C257" s="5" t="s">
        <v>423</v>
      </c>
      <c r="D257" s="7"/>
      <c r="E257" s="11"/>
      <c r="F257" s="5"/>
    </row>
    <row r="258" ht="16" customHeight="1" spans="1:6">
      <c r="A258" s="7"/>
      <c r="B258" s="10"/>
      <c r="C258" s="5" t="s">
        <v>423</v>
      </c>
      <c r="D258" s="7"/>
      <c r="E258" s="11"/>
      <c r="F258" s="5"/>
    </row>
    <row r="259" ht="16" customHeight="1" spans="1:6">
      <c r="A259" s="7"/>
      <c r="B259" s="10"/>
      <c r="C259" s="5" t="s">
        <v>423</v>
      </c>
      <c r="D259" s="7"/>
      <c r="E259" s="11"/>
      <c r="F259" s="5"/>
    </row>
    <row r="260" ht="16" customHeight="1" spans="1:6">
      <c r="A260" s="7"/>
      <c r="B260" s="10"/>
      <c r="C260" s="5" t="s">
        <v>423</v>
      </c>
      <c r="D260" s="7"/>
      <c r="E260" s="11"/>
      <c r="F260" s="5"/>
    </row>
    <row r="261" ht="16" customHeight="1" spans="1:6">
      <c r="A261" s="7"/>
      <c r="B261" s="10"/>
      <c r="C261" s="5" t="s">
        <v>708</v>
      </c>
      <c r="D261" s="7"/>
      <c r="E261" s="11"/>
      <c r="F261" s="5"/>
    </row>
    <row r="262" ht="16" customHeight="1" spans="1:6">
      <c r="A262" s="7"/>
      <c r="B262" s="10"/>
      <c r="C262" s="5" t="s">
        <v>708</v>
      </c>
      <c r="D262" s="7"/>
      <c r="E262" s="11"/>
      <c r="F262" s="5"/>
    </row>
    <row r="263" ht="16" customHeight="1" spans="1:6">
      <c r="A263" s="7"/>
      <c r="B263" s="10"/>
      <c r="C263" s="5" t="s">
        <v>423</v>
      </c>
      <c r="D263" s="7"/>
      <c r="E263" s="11"/>
      <c r="F263" s="5"/>
    </row>
    <row r="264" ht="16" customHeight="1" spans="1:6">
      <c r="A264" s="7"/>
      <c r="B264" s="10"/>
      <c r="C264" s="5" t="s">
        <v>423</v>
      </c>
      <c r="D264" s="7"/>
      <c r="E264" s="11"/>
      <c r="F264" s="5"/>
    </row>
    <row r="265" ht="16" customHeight="1" spans="1:6">
      <c r="A265" s="7"/>
      <c r="B265" s="10"/>
      <c r="C265" s="5" t="s">
        <v>423</v>
      </c>
      <c r="D265" s="7"/>
      <c r="E265" s="11"/>
      <c r="F265" s="5"/>
    </row>
    <row r="266" ht="16" customHeight="1" spans="1:6">
      <c r="A266" s="7"/>
      <c r="B266" s="10"/>
      <c r="C266" s="5" t="s">
        <v>423</v>
      </c>
      <c r="D266" s="7"/>
      <c r="E266" s="11"/>
      <c r="F266" s="5"/>
    </row>
    <row r="267" ht="16" customHeight="1" spans="1:6">
      <c r="A267" s="7"/>
      <c r="B267" s="10"/>
      <c r="C267" s="5" t="s">
        <v>423</v>
      </c>
      <c r="D267" s="7"/>
      <c r="E267" s="11"/>
      <c r="F267" s="5"/>
    </row>
    <row r="268" ht="16" customHeight="1" spans="1:6">
      <c r="A268" s="7"/>
      <c r="B268" s="10"/>
      <c r="C268" s="5" t="s">
        <v>423</v>
      </c>
      <c r="D268" s="7"/>
      <c r="E268" s="11"/>
      <c r="F268" s="5"/>
    </row>
    <row r="269" ht="16" customHeight="1" spans="1:6">
      <c r="A269" s="7"/>
      <c r="B269" s="10"/>
      <c r="C269" s="5" t="s">
        <v>708</v>
      </c>
      <c r="D269" s="7"/>
      <c r="E269" s="11"/>
      <c r="F269" s="5"/>
    </row>
    <row r="270" ht="16" customHeight="1" spans="1:6">
      <c r="A270" s="7"/>
      <c r="B270" s="10"/>
      <c r="C270" s="5" t="s">
        <v>708</v>
      </c>
      <c r="D270" s="7"/>
      <c r="E270" s="11"/>
      <c r="F270" s="6"/>
    </row>
    <row r="271" ht="16" customHeight="1" spans="1:6">
      <c r="A271" s="5"/>
      <c r="B271" s="10"/>
      <c r="C271" s="5" t="s">
        <v>423</v>
      </c>
      <c r="D271" s="7"/>
      <c r="E271" s="11"/>
      <c r="F271" s="6"/>
    </row>
    <row r="272" ht="16" customHeight="1" spans="1:6">
      <c r="A272" s="7"/>
      <c r="B272" s="10"/>
      <c r="C272" s="5" t="s">
        <v>423</v>
      </c>
      <c r="D272" s="7"/>
      <c r="E272" s="11"/>
      <c r="F272" s="5"/>
    </row>
    <row r="273" ht="16" customHeight="1" spans="1:6">
      <c r="A273" s="10"/>
      <c r="B273" s="10"/>
      <c r="C273" s="5" t="s">
        <v>423</v>
      </c>
      <c r="D273" s="7"/>
      <c r="E273" s="11"/>
      <c r="F273" s="5"/>
    </row>
    <row r="274" ht="16" customHeight="1" spans="1:6">
      <c r="A274" s="10"/>
      <c r="B274" s="10"/>
      <c r="C274" s="5" t="s">
        <v>423</v>
      </c>
      <c r="D274" s="7"/>
      <c r="E274" s="11"/>
      <c r="F274" s="5"/>
    </row>
    <row r="275" ht="16" customHeight="1" spans="1:6">
      <c r="A275" s="7"/>
      <c r="B275" s="10"/>
      <c r="C275" s="5" t="s">
        <v>423</v>
      </c>
      <c r="D275" s="7"/>
      <c r="E275" s="11"/>
      <c r="F275" s="5"/>
    </row>
    <row r="276" ht="16" customHeight="1" spans="1:6">
      <c r="A276" s="7"/>
      <c r="B276" s="10"/>
      <c r="C276" s="5" t="s">
        <v>423</v>
      </c>
      <c r="D276" s="7"/>
      <c r="E276" s="11"/>
      <c r="F276" s="5"/>
    </row>
    <row r="277" ht="16" customHeight="1" spans="1:6">
      <c r="A277" s="7"/>
      <c r="B277" s="10"/>
      <c r="C277" s="5" t="s">
        <v>423</v>
      </c>
      <c r="D277" s="7"/>
      <c r="E277" s="11"/>
      <c r="F277" s="5"/>
    </row>
    <row r="278" ht="16" customHeight="1" spans="1:6">
      <c r="A278" s="7"/>
      <c r="B278" s="10"/>
      <c r="C278" s="5" t="s">
        <v>423</v>
      </c>
      <c r="D278" s="7"/>
      <c r="E278" s="11"/>
      <c r="F278" s="5"/>
    </row>
    <row r="279" ht="16" customHeight="1" spans="1:6">
      <c r="A279" s="7"/>
      <c r="B279" s="10"/>
      <c r="C279" s="5" t="s">
        <v>423</v>
      </c>
      <c r="D279" s="7"/>
      <c r="E279" s="11"/>
      <c r="F279" s="5"/>
    </row>
    <row r="280" ht="16" customHeight="1" spans="1:6">
      <c r="A280" s="7"/>
      <c r="B280" s="10"/>
      <c r="C280" s="5" t="s">
        <v>423</v>
      </c>
      <c r="D280" s="7"/>
      <c r="E280" s="11"/>
      <c r="F280" s="6"/>
    </row>
    <row r="281" ht="16" customHeight="1" spans="1:6">
      <c r="A281" s="7"/>
      <c r="B281" s="10"/>
      <c r="C281" s="5" t="s">
        <v>423</v>
      </c>
      <c r="D281" s="7"/>
      <c r="E281" s="11"/>
      <c r="F281" s="6"/>
    </row>
    <row r="282" ht="16" customHeight="1" spans="1:6">
      <c r="A282" s="7"/>
      <c r="B282" s="10"/>
      <c r="C282" s="5" t="s">
        <v>708</v>
      </c>
      <c r="D282" s="7"/>
      <c r="E282" s="11"/>
      <c r="F282" s="5"/>
    </row>
    <row r="283" ht="16" customHeight="1" spans="1:6">
      <c r="A283" s="7"/>
      <c r="B283" s="10"/>
      <c r="C283" s="5" t="s">
        <v>708</v>
      </c>
      <c r="D283" s="7"/>
      <c r="E283" s="11"/>
      <c r="F283" s="5"/>
    </row>
    <row r="284" ht="16" customHeight="1" spans="1:6">
      <c r="A284" s="7"/>
      <c r="B284" s="10"/>
      <c r="C284" s="5" t="s">
        <v>423</v>
      </c>
      <c r="D284" s="7"/>
      <c r="E284" s="11"/>
      <c r="F284" s="5"/>
    </row>
    <row r="285" ht="16" customHeight="1" spans="1:6">
      <c r="A285" s="7"/>
      <c r="B285" s="10"/>
      <c r="C285" s="5" t="s">
        <v>708</v>
      </c>
      <c r="D285" s="7"/>
      <c r="E285" s="11"/>
      <c r="F285" s="5"/>
    </row>
    <row r="286" ht="16" customHeight="1" spans="1:6">
      <c r="A286" s="7"/>
      <c r="B286" s="10"/>
      <c r="C286" s="5" t="s">
        <v>708</v>
      </c>
      <c r="D286" s="7"/>
      <c r="E286" s="11"/>
      <c r="F286" s="5"/>
    </row>
    <row r="287" ht="16" customHeight="1" spans="1:6">
      <c r="A287" s="7"/>
      <c r="B287" s="10"/>
      <c r="C287" s="5" t="s">
        <v>423</v>
      </c>
      <c r="D287" s="7"/>
      <c r="E287" s="11"/>
      <c r="F287" s="5"/>
    </row>
    <row r="288" ht="16" customHeight="1" spans="1:6">
      <c r="A288" s="7"/>
      <c r="B288" s="10"/>
      <c r="C288" s="5" t="s">
        <v>423</v>
      </c>
      <c r="D288" s="7"/>
      <c r="E288" s="11"/>
      <c r="F288" s="5"/>
    </row>
    <row r="289" ht="16" customHeight="1" spans="1:6">
      <c r="A289" s="7"/>
      <c r="B289" s="10"/>
      <c r="C289" s="5" t="s">
        <v>423</v>
      </c>
      <c r="D289" s="7"/>
      <c r="E289" s="11"/>
      <c r="F289" s="5"/>
    </row>
    <row r="290" ht="16" customHeight="1" spans="1:6">
      <c r="A290" s="7"/>
      <c r="B290" s="10"/>
      <c r="C290" s="5" t="s">
        <v>423</v>
      </c>
      <c r="D290" s="7"/>
      <c r="E290" s="11"/>
      <c r="F290" s="6"/>
    </row>
    <row r="291" ht="16" customHeight="1" spans="1:6">
      <c r="A291" s="7"/>
      <c r="B291" s="10"/>
      <c r="C291" s="5" t="s">
        <v>423</v>
      </c>
      <c r="D291" s="7"/>
      <c r="E291" s="11"/>
      <c r="F291" s="6"/>
    </row>
    <row r="292" ht="16" customHeight="1" spans="1:6">
      <c r="A292" s="7"/>
      <c r="B292" s="10"/>
      <c r="C292" s="5" t="s">
        <v>423</v>
      </c>
      <c r="D292" s="7"/>
      <c r="E292" s="11"/>
      <c r="F292" s="5"/>
    </row>
    <row r="293" ht="16" customHeight="1" spans="1:6">
      <c r="A293" s="7"/>
      <c r="B293" s="10"/>
      <c r="C293" s="5" t="s">
        <v>423</v>
      </c>
      <c r="D293" s="7"/>
      <c r="E293" s="11"/>
      <c r="F293" s="5"/>
    </row>
    <row r="294" ht="16" customHeight="1" spans="1:6">
      <c r="A294" s="7"/>
      <c r="B294" s="10"/>
      <c r="C294" s="5" t="s">
        <v>423</v>
      </c>
      <c r="D294" s="7"/>
      <c r="E294" s="11"/>
      <c r="F294" s="5"/>
    </row>
    <row r="295" ht="16" customHeight="1" spans="1:6">
      <c r="A295" s="7"/>
      <c r="B295" s="10"/>
      <c r="C295" s="5" t="s">
        <v>423</v>
      </c>
      <c r="D295" s="7"/>
      <c r="E295" s="11"/>
      <c r="F295" s="5"/>
    </row>
    <row r="296" ht="16" customHeight="1" spans="1:6">
      <c r="A296" s="7"/>
      <c r="B296" s="10"/>
      <c r="C296" s="5" t="s">
        <v>423</v>
      </c>
      <c r="D296" s="7"/>
      <c r="E296" s="11"/>
      <c r="F296" s="5"/>
    </row>
    <row r="297" ht="16" customHeight="1" spans="1:6">
      <c r="A297" s="7"/>
      <c r="B297" s="10"/>
      <c r="C297" s="5" t="s">
        <v>423</v>
      </c>
      <c r="D297" s="7"/>
      <c r="E297" s="11"/>
      <c r="F297" s="5"/>
    </row>
    <row r="298" ht="16" customHeight="1" spans="1:6">
      <c r="A298" s="7"/>
      <c r="B298" s="10"/>
      <c r="C298" s="5" t="s">
        <v>423</v>
      </c>
      <c r="D298" s="7"/>
      <c r="E298" s="11"/>
      <c r="F298" s="5"/>
    </row>
    <row r="299" ht="16" customHeight="1" spans="1:6">
      <c r="A299" s="7"/>
      <c r="B299" s="10"/>
      <c r="C299" s="5" t="s">
        <v>423</v>
      </c>
      <c r="D299" s="7"/>
      <c r="E299" s="11"/>
      <c r="F299" s="5"/>
    </row>
    <row r="300" ht="16" customHeight="1" spans="1:6">
      <c r="A300" s="7"/>
      <c r="B300" s="10"/>
      <c r="C300" s="5" t="s">
        <v>423</v>
      </c>
      <c r="D300" s="7"/>
      <c r="E300" s="11"/>
      <c r="F300" s="6"/>
    </row>
    <row r="301" ht="16" customHeight="1" spans="1:6">
      <c r="A301" s="7"/>
      <c r="B301" s="10"/>
      <c r="C301" s="5" t="s">
        <v>423</v>
      </c>
      <c r="D301" s="7"/>
      <c r="E301" s="11"/>
      <c r="F301" s="6"/>
    </row>
    <row r="302" ht="16" customHeight="1" spans="1:6">
      <c r="A302" s="7"/>
      <c r="B302" s="10"/>
      <c r="C302" s="5" t="s">
        <v>423</v>
      </c>
      <c r="D302" s="10"/>
      <c r="E302" s="11"/>
      <c r="F302" s="5"/>
    </row>
  </sheetData>
  <autoFilter xmlns:etc="http://www.wps.cn/officeDocument/2017/etCustomData" ref="A1:E302" etc:filterBottomFollowUsedRange="0">
    <extLst/>
  </autoFilter>
  <pageMargins left="0.75" right="0.75" top="1" bottom="1" header="0.5" footer="0.5"/>
  <pageSetup paperSize="9" scale="6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汇总表</vt:lpstr>
      <vt:lpstr>排屋工程量清单</vt:lpstr>
      <vt:lpstr>商业工程量清单 </vt:lpstr>
      <vt:lpstr>11#楼措施费</vt:lpstr>
      <vt:lpstr>措施费 (商业)</vt:lpstr>
      <vt:lpstr>综合单价分析表 (11#楼)</vt:lpstr>
      <vt:lpstr>材料表 </vt:lpstr>
      <vt:lpstr>工程量计算式 (11#楼)</vt:lpstr>
      <vt:lpstr>辅材及安装费</vt:lpstr>
      <vt:lpstr>措施</vt:lpstr>
      <vt:lpstr>综合单价分析表（商业）</vt:lpstr>
      <vt:lpstr>工程量计算式（商业）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2025-11-18T09:15:00Z</dcterms:created>
  <dcterms:modified xsi:type="dcterms:W3CDTF">2026-04-18T22:49:14Z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375FFC65894C3209EA99E369FDAF09A2_43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