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Arduino\angle_calculator\"/>
    </mc:Choice>
  </mc:AlternateContent>
  <xr:revisionPtr revIDLastSave="0" documentId="13_ncr:1_{DF89DDAA-C88E-41A1-83BB-A3EEA87AD006}" xr6:coauthVersionLast="47" xr6:coauthVersionMax="47" xr10:uidLastSave="{00000000-0000-0000-0000-000000000000}"/>
  <bookViews>
    <workbookView xWindow="-120" yWindow="-120" windowWidth="37470" windowHeight="21840" xr2:uid="{DFFFD8FD-3FB1-4B76-9832-5FADB95B7C6A}"/>
  </bookViews>
  <sheets>
    <sheet name="Arkusz1" sheetId="1" r:id="rId1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F61" i="1" s="1"/>
  <c r="F1" i="1"/>
  <c r="F24" i="1"/>
  <c r="F59" i="1"/>
  <c r="C40" i="1"/>
  <c r="F44" i="1" s="1"/>
  <c r="C46" i="1"/>
  <c r="B46" i="1"/>
  <c r="B7" i="1"/>
  <c r="B55" i="1"/>
  <c r="L53" i="1" s="1"/>
  <c r="C55" i="1"/>
  <c r="B39" i="1"/>
  <c r="C41" i="1"/>
  <c r="B41" i="1"/>
  <c r="B40" i="1"/>
  <c r="C39" i="1"/>
  <c r="F42" i="1" s="1"/>
  <c r="B8" i="1"/>
  <c r="B19" i="1" s="1"/>
  <c r="C7" i="1"/>
  <c r="C8" i="1"/>
  <c r="C19" i="1" s="1"/>
  <c r="K3" i="1" l="1"/>
  <c r="L3" i="1"/>
  <c r="I3" i="1" s="1"/>
  <c r="H3" i="1" s="1"/>
  <c r="F45" i="1"/>
  <c r="F31" i="1"/>
  <c r="J3" i="1"/>
  <c r="F41" i="1"/>
  <c r="F43" i="1"/>
  <c r="F47" i="1" l="1"/>
  <c r="F49" i="1" s="1"/>
  <c r="G3" i="1"/>
  <c r="F3" i="1" s="1"/>
  <c r="F7" i="1" s="1"/>
  <c r="F48" i="1" l="1"/>
  <c r="F5" i="1"/>
  <c r="F8" i="1"/>
  <c r="C11" i="1" s="1"/>
  <c r="C14" i="1" s="1"/>
  <c r="F6" i="1"/>
  <c r="F10" i="1" s="1"/>
  <c r="C10" i="1" l="1"/>
  <c r="C13" i="1" s="1"/>
  <c r="B11" i="1"/>
  <c r="F20" i="1" s="1"/>
  <c r="B10" i="1"/>
  <c r="B14" i="1" l="1"/>
  <c r="F14" i="1" s="1"/>
  <c r="E14" i="1" s="1"/>
  <c r="C17" i="1" s="1"/>
  <c r="B13" i="1"/>
  <c r="F13" i="1" s="1"/>
  <c r="E13" i="1" s="1"/>
  <c r="B16" i="1" s="1"/>
  <c r="F19" i="1"/>
  <c r="F21" i="1" s="1"/>
  <c r="B17" i="1" l="1"/>
  <c r="B23" i="1" s="1"/>
  <c r="C16" i="1"/>
  <c r="C23" i="1" l="1"/>
  <c r="F26" i="1" s="1"/>
  <c r="F25" i="1" l="1"/>
  <c r="F33" i="1"/>
  <c r="F32" i="1"/>
  <c r="G27" i="1" l="1"/>
  <c r="F27" i="1" s="1"/>
  <c r="F28" i="1" s="1"/>
  <c r="B24" i="1" s="1"/>
  <c r="B47" i="1" s="1"/>
  <c r="G34" i="1"/>
  <c r="F34" i="1" s="1"/>
  <c r="F35" i="1" s="1"/>
  <c r="C25" i="1" s="1"/>
  <c r="C24" i="1" l="1"/>
  <c r="C47" i="1" s="1"/>
  <c r="C54" i="1" s="1"/>
  <c r="F60" i="1"/>
  <c r="B54" i="1"/>
  <c r="J53" i="1" s="1"/>
  <c r="B25" i="1"/>
  <c r="H62" i="1" l="1"/>
  <c r="G62" i="1" s="1"/>
  <c r="K53" i="1"/>
  <c r="I53" i="1" s="1"/>
  <c r="H53" i="1" s="1"/>
  <c r="G53" i="1" s="1"/>
  <c r="F62" i="1" l="1"/>
  <c r="F64" i="1" s="1"/>
  <c r="F63" i="1" l="1"/>
</calcChain>
</file>

<file path=xl/sharedStrings.xml><?xml version="1.0" encoding="utf-8"?>
<sst xmlns="http://schemas.openxmlformats.org/spreadsheetml/2006/main" count="82" uniqueCount="63">
  <si>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</si>
  <si>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</si>
  <si>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</si>
  <si>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</si>
  <si>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</si>
  <si>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</si>
  <si>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</si>
  <si>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</si>
  <si>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</si>
  <si>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</si>
  <si>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</si>
  <si>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</si>
  <si>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</si>
  <si>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</si>
  <si>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</si>
  <si>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</si>
  <si>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</si>
  <si>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</si>
  <si>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</si>
  <si>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</si>
  <si>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</si>
  <si>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</si>
  <si>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</si>
  <si>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</si>
  <si>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</si>
  <si>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</si>
  <si>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</si>
  <si>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</si>
  <si>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</si>
  <si>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</si>
  <si>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</si>
  <si>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</si>
  <si>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</si>
  <si>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</si>
  <si>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</si>
  <si>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</si>
  <si>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</si>
  <si>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</si>
  <si>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</si>
  <si>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</si>
  <si>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</si>
  <si>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</si>
  <si>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sin lat1</t>
  </si>
  <si>
    <t>cos lat1</t>
  </si>
  <si>
    <t>sin lat2</t>
  </si>
  <si>
    <t>cos lat2</t>
  </si>
  <si>
    <t>cos lon1-2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</si>
  <si>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</si>
  <si>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</si>
  <si>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</si>
  <si>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</si>
  <si>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</si>
  <si>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</si>
  <si>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</si>
  <si>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</si>
  <si>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vector samo</t>
  </si>
  <si>
    <t>vector gps</t>
  </si>
  <si>
    <t>gps1</t>
  </si>
  <si>
    <t>gps2</t>
  </si>
  <si>
    <t>https://math.stackexchange.com/questions/311921/get-location-of-vector-circle-intersection</t>
  </si>
  <si>
    <t>t+</t>
  </si>
  <si>
    <t>t-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</si>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</sst>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3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5"/>
          <c:tx>
            <c:strRef>
              <c:f>Arkusz1!$A$7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(Arkusz1!$B$2,Arkusz1!$B$5)</c:f>
              <c:numCache>
                <c:formatCode>0.0000</c:formatCode>
                <c:ptCount val="2"/>
                <c:pt idx="0">
                  <c:v>16.897958760000002</c:v>
                </c:pt>
                <c:pt idx="1">
                  <c:v>16.826385500000001</c:v>
                </c:pt>
              </c:numCache>
            </c:numRef>
          </c:xVal>
          <c:yVal>
            <c:numRef>
              <c:f>(Arkusz1!$C$2,Arkusz1!$C$5)</c:f>
              <c:numCache>
                <c:formatCode>0.0000</c:formatCode>
                <c:ptCount val="2"/>
                <c:pt idx="0">
                  <c:v>51.09896088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F-4E81-8096-2F242D21CE66}"/>
            </c:ext>
          </c:extLst>
        </c:ser>
        <c:ser>
          <c:idx val="5"/>
          <c:order val="6"/>
          <c:tx>
            <c:strRef>
              <c:f>Arkusz1!$A$8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(Arkusz1!$B$3,Arkusz1!$B$5)</c:f>
              <c:numCache>
                <c:formatCode>0.0000</c:formatCode>
                <c:ptCount val="2"/>
                <c:pt idx="0">
                  <c:v>16.934444429999999</c:v>
                </c:pt>
                <c:pt idx="1">
                  <c:v>16.826385500000001</c:v>
                </c:pt>
              </c:numCache>
            </c:numRef>
          </c:xVal>
          <c:yVal>
            <c:numRef>
              <c:f>(Arkusz1!$C$3,Arkusz1!$C$5)</c:f>
              <c:numCache>
                <c:formatCode>0.0000</c:formatCode>
                <c:ptCount val="2"/>
                <c:pt idx="0">
                  <c:v>51.185832980000001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6F-4E81-8096-2F242D21CE66}"/>
            </c:ext>
          </c:extLst>
        </c:ser>
        <c:ser>
          <c:idx val="7"/>
          <c:order val="7"/>
          <c:tx>
            <c:strRef>
              <c:f>Arkusz1!$A$16</c:f>
              <c:strCache>
                <c:ptCount val="1"/>
                <c:pt idx="0">
                  <c:v>CIRC CENT +2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(Arkusz1!$B$16,Arkusz1!$B$5)</c:f>
              <c:numCache>
                <c:formatCode>0.0000</c:formatCode>
                <c:ptCount val="2"/>
                <c:pt idx="0" formatCode="0.00">
                  <c:v>16.842643586095157</c:v>
                </c:pt>
                <c:pt idx="1">
                  <c:v>16.826385500000001</c:v>
                </c:pt>
              </c:numCache>
            </c:numRef>
          </c:xVal>
          <c:yVal>
            <c:numRef>
              <c:f>(Arkusz1!$C$16,Arkusz1!$C$5)</c:f>
              <c:numCache>
                <c:formatCode>0.0000</c:formatCode>
                <c:ptCount val="2"/>
                <c:pt idx="0" formatCode="0.00">
                  <c:v>51.122864233368119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6F-4E81-8096-2F242D21CE66}"/>
            </c:ext>
          </c:extLst>
        </c:ser>
        <c:ser>
          <c:idx val="8"/>
          <c:order val="8"/>
          <c:tx>
            <c:strRef>
              <c:f>Arkusz1!$A$17</c:f>
              <c:strCache>
                <c:ptCount val="1"/>
                <c:pt idx="0">
                  <c:v>CIRC CENT -2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(Arkusz1!$B$17,Arkusz1!$B$5)</c:f>
              <c:numCache>
                <c:formatCode>0.0000</c:formatCode>
                <c:ptCount val="2"/>
                <c:pt idx="0" formatCode="0.00">
                  <c:v>16.838741117029578</c:v>
                </c:pt>
                <c:pt idx="1">
                  <c:v>16.826385500000001</c:v>
                </c:pt>
              </c:numCache>
            </c:numRef>
          </c:xVal>
          <c:yVal>
            <c:numRef>
              <c:f>(Arkusz1!$C$17,Arkusz1!$C$5)</c:f>
              <c:numCache>
                <c:formatCode>0.0000</c:formatCode>
                <c:ptCount val="2"/>
                <c:pt idx="0" formatCode="0.00">
                  <c:v>51.1101147818909</c:v>
                </c:pt>
                <c:pt idx="1">
                  <c:v>51.120868680000001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F-4E81-8096-2F242D21CE66}"/>
            </c:ext>
          </c:extLst>
        </c:ser>
        <c:ser>
          <c:idx val="9"/>
          <c:order val="9"/>
          <c:tx>
            <c:strRef>
              <c:f>Arkusz1!$A$19</c:f>
              <c:strCache>
                <c:ptCount val="1"/>
                <c:pt idx="0">
                  <c:v>pkt pomiarowy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(Arkusz1!$B$2,Arkusz1!$B$19)</c:f>
              <c:numCache>
                <c:formatCode>General</c:formatCode>
                <c:ptCount val="2"/>
                <c:pt idx="0" formatCode="0.0000">
                  <c:v>16.897958760000002</c:v>
                </c:pt>
                <c:pt idx="1">
                  <c:v>17.00601769</c:v>
                </c:pt>
              </c:numCache>
            </c:numRef>
          </c:xVal>
          <c:yVal>
            <c:numRef>
              <c:f>(Arkusz1!$C$2,Arkusz1!$C$19)</c:f>
              <c:numCache>
                <c:formatCode>General</c:formatCode>
                <c:ptCount val="2"/>
                <c:pt idx="0" formatCode="0.0000">
                  <c:v>51.09896088</c:v>
                </c:pt>
                <c:pt idx="1">
                  <c:v>51.16392518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6F-4E81-8096-2F242D21CE66}"/>
            </c:ext>
          </c:extLst>
        </c:ser>
        <c:ser>
          <c:idx val="10"/>
          <c:order val="10"/>
          <c:tx>
            <c:strRef>
              <c:f>Arkusz1!$A$25</c:f>
              <c:strCache>
                <c:ptCount val="1"/>
                <c:pt idx="0">
                  <c:v>tangent_2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(Arkusz1!$B$25,Arkusz1!$B$23)</c:f>
              <c:numCache>
                <c:formatCode>0.0000</c:formatCode>
                <c:ptCount val="2"/>
                <c:pt idx="0">
                  <c:v>16.839208602622524</c:v>
                </c:pt>
                <c:pt idx="1">
                  <c:v>16.842643586095157</c:v>
                </c:pt>
              </c:numCache>
            </c:numRef>
          </c:xVal>
          <c:yVal>
            <c:numRef>
              <c:f>(Arkusz1!$C$25,Arkusz1!$C$23)</c:f>
              <c:numCache>
                <c:formatCode>0.0000</c:formatCode>
                <c:ptCount val="2"/>
                <c:pt idx="0">
                  <c:v>51.128577842821628</c:v>
                </c:pt>
                <c:pt idx="1">
                  <c:v>51.122864233368119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6F-4E81-8096-2F242D21CE66}"/>
            </c:ext>
          </c:extLst>
        </c:ser>
        <c:ser>
          <c:idx val="11"/>
          <c:order val="11"/>
          <c:tx>
            <c:strRef>
              <c:f>Arkusz1!$A$24</c:f>
              <c:strCache>
                <c:ptCount val="1"/>
                <c:pt idx="0">
                  <c:v>tangent_1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(Arkusz1!$B$24,Arkusz1!$B$23)</c:f>
              <c:numCache>
                <c:formatCode>0.0000</c:formatCode>
                <c:ptCount val="2"/>
                <c:pt idx="0">
                  <c:v>16.840692351562367</c:v>
                </c:pt>
                <c:pt idx="1">
                  <c:v>16.842643586095157</c:v>
                </c:pt>
              </c:numCache>
            </c:numRef>
          </c:xVal>
          <c:yVal>
            <c:numRef>
              <c:f>(Arkusz1!$C$24,Arkusz1!$C$23)</c:f>
              <c:numCache>
                <c:formatCode>0.0000</c:formatCode>
                <c:ptCount val="2"/>
                <c:pt idx="0">
                  <c:v>51.11648950762951</c:v>
                </c:pt>
                <c:pt idx="1">
                  <c:v>51.122864233368119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6F-4E81-8096-2F242D21C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16.897958760000002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51.09896088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16.934444429999999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51.185832980000001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16.826385500000001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51.120868680000001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16.826385500000001</c:v>
                      </c:pt>
                      <c:pt idx="1">
                        <c:v>16.900679025792819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51.120868680000001</c:v>
                      </c:pt>
                      <c:pt idx="1">
                        <c:v>51.129987631317981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16.826385500000001</c:v>
                      </c:pt>
                      <c:pt idx="1">
                        <c:v>16.882846164994668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51.120868680000001</c:v>
                      </c:pt>
                      <c:pt idx="1">
                        <c:v>51.071727286488745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</xdr:colOff>
      <xdr:row>3</xdr:row>
      <xdr:rowOff>187569</xdr:rowOff>
    </xdr:from>
    <xdr:to>
      <xdr:col>17</xdr:col>
      <xdr:colOff>413604</xdr:colOff>
      <xdr:row>33</xdr:row>
      <xdr:rowOff>35169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64"/>
  <sheetViews>
    <sheetView tabSelected="1" topLeftCell="A22" zoomScaleNormal="100" workbookViewId="0">
      <selection activeCell="Y51" sqref="Y51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9.7109375" style="1" bestFit="1" customWidth="1"/>
    <col min="7" max="7" width="13.85546875" style="1" bestFit="1" customWidth="1"/>
    <col min="8" max="8" width="9.5703125" style="1" bestFit="1" customWidth="1"/>
    <col min="9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1">
        <v>0.4</v>
      </c>
      <c r="I1" s="1" t="s">
        <v>62</v>
      </c>
    </row>
    <row r="2" spans="1:12" x14ac:dyDescent="0.25">
      <c r="A2" s="1" t="s">
        <v>0</v>
      </c>
      <c r="B2" s="6">
        <v>16.897958760000002</v>
      </c>
      <c r="C2" s="6">
        <v>51.09896088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 s="6">
        <v>16.934444429999999</v>
      </c>
      <c r="C3" s="6">
        <v>51.185832980000001</v>
      </c>
      <c r="E3" s="1" t="s">
        <v>8</v>
      </c>
      <c r="F3" s="2">
        <f>G3/2</f>
        <v>24.016391734788133</v>
      </c>
      <c r="G3" s="2">
        <f>DEGREES(H3)</f>
        <v>48.032783469576266</v>
      </c>
      <c r="H3" s="2">
        <f>ACOS(I3)</f>
        <v>0.83833022044161143</v>
      </c>
      <c r="I3" s="1">
        <f>J3/(K3*L3)</f>
        <v>0.66870528462591494</v>
      </c>
      <c r="J3" s="1">
        <f>B7*B8+C7*C8</f>
        <v>6.310905000671739E-3</v>
      </c>
      <c r="K3" s="1">
        <f>SQRT(SUMSQ(B7:C7))</f>
        <v>7.4851073792349732E-2</v>
      </c>
      <c r="L3" s="1">
        <f>SQRT(SUMSQ(B8:C8))</f>
        <v>0.12608367311922092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16.826385500000001</v>
      </c>
      <c r="C5" s="6">
        <v>51.120868680000001</v>
      </c>
      <c r="E5" s="1" t="s">
        <v>17</v>
      </c>
      <c r="F5" s="2">
        <f>COS(RADIANS(F3))</f>
        <v>0.91342905707720812</v>
      </c>
    </row>
    <row r="6" spans="1:12" x14ac:dyDescent="0.25">
      <c r="B6" s="2"/>
      <c r="C6" s="2"/>
      <c r="E6" s="1" t="s">
        <v>18</v>
      </c>
      <c r="F6" s="2">
        <f>SIN(RADIANS(F3))</f>
        <v>0.4069979824115133</v>
      </c>
    </row>
    <row r="7" spans="1:12" x14ac:dyDescent="0.25">
      <c r="A7" s="1" t="s">
        <v>6</v>
      </c>
      <c r="B7" s="2">
        <f>B5-B2</f>
        <v>-7.1573260000000971E-2</v>
      </c>
      <c r="C7" s="2">
        <f>C5-C2</f>
        <v>2.1907800000001032E-2</v>
      </c>
      <c r="E7" s="1" t="s">
        <v>19</v>
      </c>
      <c r="F7" s="2">
        <f>COS(RADIANS(-F3))</f>
        <v>0.91342905707720812</v>
      </c>
    </row>
    <row r="8" spans="1:12" x14ac:dyDescent="0.25">
      <c r="A8" s="1" t="s">
        <v>7</v>
      </c>
      <c r="B8" s="2">
        <f>B5-B3</f>
        <v>-0.10805892999999855</v>
      </c>
      <c r="C8" s="2">
        <f>C5-C3</f>
        <v>-6.4964299999999753E-2</v>
      </c>
      <c r="E8" s="1" t="s">
        <v>20</v>
      </c>
      <c r="F8" s="2">
        <f>SIN(RADIANS(-F3))</f>
        <v>-0.4069979824115133</v>
      </c>
    </row>
    <row r="10" spans="1:12" x14ac:dyDescent="0.25">
      <c r="A10" s="1" t="s">
        <v>15</v>
      </c>
      <c r="B10" s="4">
        <f>B5+F5*(B2-B5)-F6*(C2-C5)</f>
        <v>16.900679025792819</v>
      </c>
      <c r="C10" s="4">
        <f>C5+F6*(B2-B5)+F5*(C2-C5)</f>
        <v>51.129987631317981</v>
      </c>
      <c r="E10" s="1" t="s">
        <v>25</v>
      </c>
      <c r="F10" s="1">
        <f>(F1/2)/(F6)</f>
        <v>1.6380097579761561E-2</v>
      </c>
    </row>
    <row r="11" spans="1:12" x14ac:dyDescent="0.25">
      <c r="A11" s="1" t="s">
        <v>16</v>
      </c>
      <c r="B11" s="4">
        <f>B5+F7*(B2-B5)-F8*(C2-C5)</f>
        <v>16.882846164994668</v>
      </c>
      <c r="C11" s="4">
        <f>C5+F8*(B2-B5)+F7*(C2-C5)</f>
        <v>51.071727286488745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7.4293525792818116E-2</v>
      </c>
      <c r="C13" s="4">
        <f>C10-C5</f>
        <v>9.1189513179799064E-3</v>
      </c>
      <c r="E13" s="3">
        <f>F10/F13</f>
        <v>0.21883583961938655</v>
      </c>
      <c r="F13" s="3">
        <f>SQRT(SUMSQ(B13:C13))</f>
        <v>7.4851073792349954E-2</v>
      </c>
    </row>
    <row r="14" spans="1:12" x14ac:dyDescent="0.25">
      <c r="A14" s="1" t="s">
        <v>22</v>
      </c>
      <c r="B14" s="4">
        <f>B11-B5</f>
        <v>5.6460664994666843E-2</v>
      </c>
      <c r="C14" s="4">
        <f>C11-C5</f>
        <v>-4.9141393511256126E-2</v>
      </c>
      <c r="E14" s="3">
        <f>F10/F14</f>
        <v>0.21883583961938058</v>
      </c>
      <c r="F14" s="3">
        <f>SQRT(SUMSQ(B14:C14))</f>
        <v>7.4851073792351994E-2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16.842643586095157</v>
      </c>
      <c r="C16" s="4">
        <f>C13*$E$13+$C$5</f>
        <v>51.122864233368119</v>
      </c>
    </row>
    <row r="17" spans="1:23" x14ac:dyDescent="0.25">
      <c r="A17" s="1" t="s">
        <v>27</v>
      </c>
      <c r="B17" s="4">
        <f>B14*$E$14+$B$5</f>
        <v>16.838741117029578</v>
      </c>
      <c r="C17" s="4">
        <f>C14*$E$14+$C$5</f>
        <v>51.1101147818909</v>
      </c>
    </row>
    <row r="19" spans="1:23" x14ac:dyDescent="0.25">
      <c r="A19" s="1" t="s">
        <v>28</v>
      </c>
      <c r="B19" s="1">
        <f>B2-B8</f>
        <v>17.00601769</v>
      </c>
      <c r="C19" s="1">
        <f>C2-C8</f>
        <v>51.16392518</v>
      </c>
      <c r="E19" s="1" t="s">
        <v>29</v>
      </c>
      <c r="F19" s="2">
        <f>SQRT(($B$19-B10)^2+(C19-C10)^2)</f>
        <v>0.11067064374755267</v>
      </c>
    </row>
    <row r="20" spans="1:23" x14ac:dyDescent="0.25">
      <c r="E20" s="1" t="s">
        <v>30</v>
      </c>
      <c r="F20" s="2">
        <f>SQRT(($B$19-B11)^2+(C19-C11)^2)</f>
        <v>0.15385602406162713</v>
      </c>
    </row>
    <row r="21" spans="1:23" x14ac:dyDescent="0.25">
      <c r="F21" s="2">
        <f>F20-F19</f>
        <v>4.3185380314074456E-2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16.842643586095157</v>
      </c>
      <c r="C23" s="2">
        <f>IF(F21&gt;0,C16,C17)</f>
        <v>51.122864233368119</v>
      </c>
      <c r="E23" s="8" t="s">
        <v>38</v>
      </c>
      <c r="F23" s="8"/>
      <c r="G23" s="1" t="s">
        <v>59</v>
      </c>
      <c r="W23" s="9"/>
    </row>
    <row r="24" spans="1:23" x14ac:dyDescent="0.25">
      <c r="A24" s="1" t="s">
        <v>37</v>
      </c>
      <c r="B24" s="2">
        <f>(B5-B2)*F28+B2</f>
        <v>16.840692351562367</v>
      </c>
      <c r="C24" s="2">
        <f>(C5-C2)*F28+C2</f>
        <v>51.11648950762951</v>
      </c>
      <c r="E24" s="1" t="s">
        <v>32</v>
      </c>
      <c r="F24" s="2">
        <f>(B5-B2)^2+(C5-C2)^2</f>
        <v>5.6026832478677843E-3</v>
      </c>
      <c r="W24" s="2"/>
    </row>
    <row r="25" spans="1:23" x14ac:dyDescent="0.25">
      <c r="A25" s="1" t="s">
        <v>36</v>
      </c>
      <c r="B25" s="2">
        <f>(B5-B3)*F35+B3</f>
        <v>16.839208602622524</v>
      </c>
      <c r="C25" s="2">
        <f>(C5-C3)*F35+C3</f>
        <v>51.128577842821628</v>
      </c>
      <c r="E25" s="1" t="s">
        <v>33</v>
      </c>
      <c r="F25" s="2">
        <f>(2*(B5-B2)*(B2-B23))+(2*(C5-C2)*(C2-C23))</f>
        <v>-8.9655144175096371E-3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3.5866943219199352E-3</v>
      </c>
      <c r="W26" s="2"/>
    </row>
    <row r="27" spans="1:23" x14ac:dyDescent="0.25">
      <c r="F27" s="4">
        <f>ROUNDDOWN(G27,10)</f>
        <v>0</v>
      </c>
      <c r="G27" s="1">
        <f>(F25^2)-(4*F24*F26)</f>
        <v>-1.2197274440461925E-19</v>
      </c>
      <c r="W27" s="4"/>
    </row>
    <row r="28" spans="1:23" x14ac:dyDescent="0.25">
      <c r="E28" s="1" t="s">
        <v>35</v>
      </c>
      <c r="F28" s="2">
        <f>(2*F26)/(-F25+SQRT(F27))</f>
        <v>0.80010898536176045</v>
      </c>
      <c r="W28" s="2"/>
    </row>
    <row r="29" spans="1:23" x14ac:dyDescent="0.25">
      <c r="B29" s="5"/>
      <c r="C29" s="5"/>
    </row>
    <row r="30" spans="1:23" x14ac:dyDescent="0.25">
      <c r="C30" s="5"/>
      <c r="E30" s="8" t="s">
        <v>52</v>
      </c>
      <c r="F30" s="8"/>
    </row>
    <row r="31" spans="1:23" x14ac:dyDescent="0.25">
      <c r="E31" s="1" t="s">
        <v>32</v>
      </c>
      <c r="F31" s="2">
        <f>B8^2+C8^2</f>
        <v>1.5897092627234554E-2</v>
      </c>
    </row>
    <row r="32" spans="1:23" x14ac:dyDescent="0.25">
      <c r="E32" s="1" t="s">
        <v>33</v>
      </c>
      <c r="F32" s="2">
        <f>2*B8*(B3-B23)+2*C8*(C3-C23)</f>
        <v>-2.8021243024543282E-2</v>
      </c>
    </row>
    <row r="33" spans="1:23" x14ac:dyDescent="0.25">
      <c r="E33" s="1" t="s">
        <v>34</v>
      </c>
      <c r="F33" s="2">
        <f>(B3-B23)^2+(C3-C23)^2-(F1/2)^2</f>
        <v>1.2348013549586812E-2</v>
      </c>
      <c r="W33" s="9"/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48</v>
      </c>
      <c r="E35" s="1" t="s">
        <v>35</v>
      </c>
      <c r="F35" s="2">
        <f>(2*F33)/(-F32+SQRT(F34))</f>
        <v>0.88133231911028487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0.29492501722821829</v>
      </c>
      <c r="C39" s="1">
        <f>RADIANS(C2)</f>
        <v>0.89184511170377911</v>
      </c>
    </row>
    <row r="40" spans="1:23" x14ac:dyDescent="0.25">
      <c r="A40" s="1" t="s">
        <v>4</v>
      </c>
      <c r="B40" s="1">
        <f>RADIANS(B5)</f>
        <v>0.29367582818483234</v>
      </c>
      <c r="C40" s="1">
        <f>RADIANS(C5)</f>
        <v>0.89222747494564747</v>
      </c>
    </row>
    <row r="41" spans="1:23" x14ac:dyDescent="0.25">
      <c r="A41" s="1" t="s">
        <v>3</v>
      </c>
      <c r="B41" s="1">
        <f>RADIANS(B3)</f>
        <v>0.29556181229951439</v>
      </c>
      <c r="C41" s="1">
        <f>RADIANS(C3)</f>
        <v>0.89336131587690082</v>
      </c>
      <c r="E41" s="1" t="s">
        <v>42</v>
      </c>
      <c r="F41" s="1">
        <f>SIN(C39)</f>
        <v>0.77823175961899882</v>
      </c>
      <c r="H41" s="1" t="s">
        <v>47</v>
      </c>
    </row>
    <row r="42" spans="1:23" x14ac:dyDescent="0.25">
      <c r="E42" s="1" t="s">
        <v>43</v>
      </c>
      <c r="F42" s="1">
        <f>COS(C39)</f>
        <v>0.62797717181464241</v>
      </c>
    </row>
    <row r="43" spans="1:23" x14ac:dyDescent="0.25">
      <c r="E43" s="1" t="s">
        <v>44</v>
      </c>
      <c r="F43" s="1">
        <f>SIN(C40)</f>
        <v>0.77847181811099975</v>
      </c>
    </row>
    <row r="44" spans="1:23" x14ac:dyDescent="0.25">
      <c r="E44" s="1" t="s">
        <v>45</v>
      </c>
      <c r="F44" s="1">
        <f>COS(C40)</f>
        <v>0.62767955869771197</v>
      </c>
    </row>
    <row r="45" spans="1:23" x14ac:dyDescent="0.25">
      <c r="E45" s="1" t="s">
        <v>46</v>
      </c>
      <c r="F45" s="1">
        <f>COS(B39-B40)</f>
        <v>0.99999921976346839</v>
      </c>
    </row>
    <row r="46" spans="1:23" x14ac:dyDescent="0.25">
      <c r="A46" s="1" t="s">
        <v>57</v>
      </c>
      <c r="B46" s="2">
        <f>B2</f>
        <v>16.897958760000002</v>
      </c>
      <c r="C46" s="2">
        <f>C2</f>
        <v>51.09896088</v>
      </c>
    </row>
    <row r="47" spans="1:23" x14ac:dyDescent="0.25">
      <c r="A47" s="1" t="s">
        <v>58</v>
      </c>
      <c r="B47" s="2">
        <f>B24</f>
        <v>16.840692351562367</v>
      </c>
      <c r="C47" s="2">
        <f>C24</f>
        <v>51.11648950762951</v>
      </c>
      <c r="E47" s="1" t="s">
        <v>50</v>
      </c>
      <c r="F47" s="1">
        <f>ACOS(F41*F43+F42*F44*F45)</f>
        <v>8.7251986744396604E-4</v>
      </c>
    </row>
    <row r="48" spans="1:23" x14ac:dyDescent="0.25">
      <c r="E48" s="1" t="s">
        <v>49</v>
      </c>
      <c r="F48" s="3">
        <f>DEGREES(F47*60)</f>
        <v>2.9995023567511976</v>
      </c>
      <c r="G48" s="3"/>
    </row>
    <row r="49" spans="1:12" x14ac:dyDescent="0.25">
      <c r="A49" s="1" t="s">
        <v>54</v>
      </c>
      <c r="B49" s="1">
        <v>16.8979</v>
      </c>
      <c r="C49" s="1">
        <v>51.095500000000001</v>
      </c>
      <c r="E49" s="1" t="s">
        <v>51</v>
      </c>
      <c r="F49" s="3">
        <f>F47*B35</f>
        <v>5.5588240754855072</v>
      </c>
    </row>
    <row r="50" spans="1:12" x14ac:dyDescent="0.25">
      <c r="A50" s="1" t="s">
        <v>53</v>
      </c>
      <c r="B50" s="2">
        <v>16.8857</v>
      </c>
      <c r="C50" s="1">
        <v>51.0991</v>
      </c>
      <c r="F50" s="10"/>
    </row>
    <row r="52" spans="1:12" x14ac:dyDescent="0.25">
      <c r="C52" s="1">
        <f>D52/60</f>
        <v>3.3333333333333335E-3</v>
      </c>
      <c r="D52" s="1">
        <v>0.2</v>
      </c>
      <c r="E52" s="1" t="s">
        <v>62</v>
      </c>
      <c r="F52" s="10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0.57840288633225312</v>
      </c>
      <c r="H53" s="2">
        <f>ACOS(I53)</f>
        <v>1.0095034769536326E-2</v>
      </c>
      <c r="I53" s="1">
        <f>J53/(K53*L53)</f>
        <v>0.99994904556923248</v>
      </c>
      <c r="J53" s="1">
        <f>B54*B55+C54*C55</f>
        <v>7.6175324240534894E-4</v>
      </c>
      <c r="K53" s="1">
        <f>SQRT(SUMSQ(B54:C54))</f>
        <v>5.988901670523529E-2</v>
      </c>
      <c r="L53" s="1">
        <f>SQRT(SUMSQ(B55:C55))</f>
        <v>1.2720062892925902E-2</v>
      </c>
    </row>
    <row r="54" spans="1:12" x14ac:dyDescent="0.25">
      <c r="A54" s="1" t="s">
        <v>56</v>
      </c>
      <c r="B54" s="2">
        <f>B47-B46</f>
        <v>-5.7266408437634198E-2</v>
      </c>
      <c r="C54" s="2">
        <f>C47-C46</f>
        <v>1.7528627629509685E-2</v>
      </c>
    </row>
    <row r="55" spans="1:12" x14ac:dyDescent="0.25">
      <c r="A55" s="1" t="s">
        <v>55</v>
      </c>
      <c r="B55" s="2">
        <f>B50-B49</f>
        <v>-1.2199999999999989E-2</v>
      </c>
      <c r="C55" s="1">
        <f>C50-C49</f>
        <v>3.5999999999987153E-3</v>
      </c>
    </row>
    <row r="59" spans="1:12" x14ac:dyDescent="0.25">
      <c r="E59" s="1" t="s">
        <v>32</v>
      </c>
      <c r="F59" s="2">
        <f>(B50-B49)^2+(C50-C49)^2</f>
        <v>1.6179999999999046E-4</v>
      </c>
    </row>
    <row r="60" spans="1:12" x14ac:dyDescent="0.25">
      <c r="E60" s="1" t="s">
        <v>33</v>
      </c>
      <c r="F60" s="1">
        <f>2*(B49-B50)*(B50-B47)+2*(C49-C50)*(C50-C47)</f>
        <v>1.2233910768106567E-3</v>
      </c>
    </row>
    <row r="61" spans="1:12" x14ac:dyDescent="0.25">
      <c r="E61" s="1" t="s">
        <v>34</v>
      </c>
      <c r="F61" s="2">
        <f>(B49-B47)^2+(C49-C47)^2-C52^2</f>
        <v>3.7021633591818328E-3</v>
      </c>
    </row>
    <row r="62" spans="1:12" x14ac:dyDescent="0.25">
      <c r="F62" s="1" t="e">
        <f>SQRT(H62)</f>
        <v>#NUM!</v>
      </c>
      <c r="G62" s="11">
        <f>ROUNDDOWN(H62,10)</f>
        <v>-8.9930000000000001E-7</v>
      </c>
      <c r="H62" s="1">
        <f>F60^2-4*F59*F61</f>
        <v>-8.9935439924240271E-7</v>
      </c>
    </row>
    <row r="63" spans="1:12" x14ac:dyDescent="0.25">
      <c r="E63" s="1" t="s">
        <v>60</v>
      </c>
      <c r="F63" s="1" t="e">
        <f>(-F60+F62)/(2*F59)</f>
        <v>#NUM!</v>
      </c>
    </row>
    <row r="64" spans="1:12" x14ac:dyDescent="0.25">
      <c r="E64" s="1" t="s">
        <v>61</v>
      </c>
      <c r="F64" s="1" t="e">
        <f>(-F60-F62)/(2*F59)</f>
        <v>#NUM!</v>
      </c>
    </row>
  </sheetData>
  <mergeCells count="2">
    <mergeCell ref="E30:F30"/>
    <mergeCell ref="E23:F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2024-05-07T08:44:55Z</dcterms:modified>
</cp:coreProperties>
</file>