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hiru Senavirathna\Downloads\MHB_ ACF 3135 - Accounting, Financial Modeling and Forecasting\Project\"/>
    </mc:Choice>
  </mc:AlternateContent>
  <xr:revisionPtr revIDLastSave="0" documentId="13_ncr:1_{43694CD0-FDE1-4FBB-A40A-579F268FEFA5}" xr6:coauthVersionLast="47" xr6:coauthVersionMax="47" xr10:uidLastSave="{00000000-0000-0000-0000-000000000000}"/>
  <bookViews>
    <workbookView xWindow="20370" yWindow="-120" windowWidth="20730" windowHeight="11160" firstSheet="10" activeTab="13" xr2:uid="{00000000-000D-0000-FFFF-FFFF00000000}"/>
  </bookViews>
  <sheets>
    <sheet name="Dashboard" sheetId="1" r:id="rId1"/>
    <sheet name="Business_Overview" sheetId="2" r:id="rId2"/>
    <sheet name="Assumptions" sheetId="3" r:id="rId3"/>
    <sheet name="Revenue_Forecast" sheetId="4" r:id="rId4"/>
    <sheet name="COGS_Budget" sheetId="5" r:id="rId5"/>
    <sheet name="OPEX_Budget" sheetId="6" r:id="rId6"/>
    <sheet name="Income_Statement" sheetId="7" r:id="rId7"/>
    <sheet name="Balance_Sheet" sheetId="8" r:id="rId8"/>
    <sheet name="Cash_Flow" sheetId="9" r:id="rId9"/>
    <sheet name="Stock_Valuation" sheetId="10" r:id="rId10"/>
    <sheet name="Bond_Valuation" sheetId="11" r:id="rId11"/>
    <sheet name="Capital_Budgeting" sheetId="12" r:id="rId12"/>
    <sheet name="Sensitivity_Analysis" sheetId="13" r:id="rId13"/>
    <sheet name="Contribution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4" l="1"/>
  <c r="D23" i="13"/>
  <c r="C22" i="13"/>
  <c r="B14" i="13"/>
  <c r="B7" i="13"/>
  <c r="B6" i="13"/>
  <c r="B15" i="12"/>
  <c r="C12" i="12"/>
  <c r="B10" i="12"/>
  <c r="B19" i="13" s="1"/>
  <c r="B6" i="12"/>
  <c r="F23" i="13" s="1"/>
  <c r="B33" i="11"/>
  <c r="C33" i="11" s="1"/>
  <c r="B25" i="11"/>
  <c r="C25" i="11" s="1"/>
  <c r="B17" i="11"/>
  <c r="C17" i="11" s="1"/>
  <c r="B12" i="11"/>
  <c r="B11" i="11"/>
  <c r="B30" i="11" s="1"/>
  <c r="C30" i="11" s="1"/>
  <c r="B10" i="11"/>
  <c r="B26" i="10"/>
  <c r="B35" i="10" s="1"/>
  <c r="D19" i="10"/>
  <c r="C19" i="10"/>
  <c r="B19" i="10"/>
  <c r="F15" i="10"/>
  <c r="G15" i="10" s="1"/>
  <c r="E15" i="10"/>
  <c r="D15" i="10"/>
  <c r="C15" i="10"/>
  <c r="B15" i="10"/>
  <c r="G14" i="10"/>
  <c r="F14" i="10"/>
  <c r="E14" i="10"/>
  <c r="D14" i="10"/>
  <c r="C14" i="10"/>
  <c r="B14" i="10"/>
  <c r="G13" i="10"/>
  <c r="F13" i="10"/>
  <c r="E13" i="10"/>
  <c r="D13" i="10"/>
  <c r="C13" i="10"/>
  <c r="B13" i="10"/>
  <c r="G11" i="10"/>
  <c r="F11" i="10"/>
  <c r="E11" i="10"/>
  <c r="D11" i="10"/>
  <c r="C11" i="10"/>
  <c r="B11" i="10"/>
  <c r="B5" i="10"/>
  <c r="F19" i="10" s="1"/>
  <c r="G19" i="10" s="1"/>
  <c r="F18" i="9"/>
  <c r="E18" i="9"/>
  <c r="D18" i="9"/>
  <c r="C18" i="9"/>
  <c r="B18" i="9"/>
  <c r="F13" i="9"/>
  <c r="E13" i="9"/>
  <c r="D13" i="9"/>
  <c r="C13" i="9"/>
  <c r="B13" i="9"/>
  <c r="F7" i="9"/>
  <c r="E7" i="9"/>
  <c r="D7" i="9"/>
  <c r="C7" i="9"/>
  <c r="B7" i="9"/>
  <c r="B20" i="8"/>
  <c r="D18" i="8"/>
  <c r="E18" i="8" s="1"/>
  <c r="C18" i="8"/>
  <c r="E14" i="8"/>
  <c r="F14" i="8" s="1"/>
  <c r="D14" i="8"/>
  <c r="C14" i="8"/>
  <c r="E9" i="8"/>
  <c r="F9" i="8" s="1"/>
  <c r="D9" i="8"/>
  <c r="C9" i="8"/>
  <c r="C5" i="7"/>
  <c r="C5" i="6"/>
  <c r="B5" i="6"/>
  <c r="F7" i="5"/>
  <c r="E7" i="5"/>
  <c r="D7" i="5"/>
  <c r="C7" i="5"/>
  <c r="B7" i="5"/>
  <c r="C6" i="5"/>
  <c r="B6" i="5"/>
  <c r="B5" i="5"/>
  <c r="C9" i="4"/>
  <c r="C41" i="1" s="1"/>
  <c r="B9" i="4"/>
  <c r="B41" i="1" s="1"/>
  <c r="D7" i="4"/>
  <c r="E7" i="4" s="1"/>
  <c r="C7" i="4"/>
  <c r="E6" i="4"/>
  <c r="E5" i="5" s="1"/>
  <c r="D6" i="4"/>
  <c r="D5" i="5" s="1"/>
  <c r="C6" i="4"/>
  <c r="C5" i="5" s="1"/>
  <c r="D5" i="4"/>
  <c r="E5" i="4" s="1"/>
  <c r="F5" i="4" s="1"/>
  <c r="C5" i="4"/>
  <c r="G55" i="1"/>
  <c r="G54" i="1"/>
  <c r="G53" i="1"/>
  <c r="G52" i="1"/>
  <c r="B52" i="1"/>
  <c r="H51" i="1"/>
  <c r="G51" i="1"/>
  <c r="B9" i="1"/>
  <c r="F18" i="8" l="1"/>
  <c r="B41" i="13"/>
  <c r="B31" i="13"/>
  <c r="B32" i="13" s="1"/>
  <c r="B40" i="13"/>
  <c r="B39" i="13"/>
  <c r="B37" i="13"/>
  <c r="B34" i="13"/>
  <c r="B33" i="13"/>
  <c r="E23" i="13"/>
  <c r="C9" i="5"/>
  <c r="D9" i="4"/>
  <c r="C20" i="13"/>
  <c r="F7" i="4"/>
  <c r="F6" i="5" s="1"/>
  <c r="E6" i="5"/>
  <c r="E9" i="5" s="1"/>
  <c r="C7" i="8"/>
  <c r="C6" i="6"/>
  <c r="C9" i="6" s="1"/>
  <c r="C16" i="1"/>
  <c r="C17" i="7"/>
  <c r="B18" i="11"/>
  <c r="C18" i="11" s="1"/>
  <c r="B26" i="11"/>
  <c r="C26" i="11" s="1"/>
  <c r="B34" i="11"/>
  <c r="C34" i="11" s="1"/>
  <c r="E9" i="4"/>
  <c r="B21" i="11"/>
  <c r="C21" i="11" s="1"/>
  <c r="B29" i="11"/>
  <c r="C29" i="11" s="1"/>
  <c r="C23" i="13"/>
  <c r="E21" i="13"/>
  <c r="B20" i="13"/>
  <c r="C14" i="12"/>
  <c r="B23" i="13"/>
  <c r="D21" i="13"/>
  <c r="B38" i="13" s="1"/>
  <c r="F19" i="13"/>
  <c r="C11" i="12"/>
  <c r="F22" i="13"/>
  <c r="C21" i="13"/>
  <c r="E19" i="13"/>
  <c r="E22" i="13"/>
  <c r="B21" i="13"/>
  <c r="D19" i="13"/>
  <c r="C13" i="12"/>
  <c r="B26" i="13"/>
  <c r="D22" i="13"/>
  <c r="F20" i="13"/>
  <c r="C19" i="13"/>
  <c r="D20" i="13"/>
  <c r="F6" i="4"/>
  <c r="F5" i="5" s="1"/>
  <c r="F9" i="5" s="1"/>
  <c r="B22" i="11"/>
  <c r="C22" i="11" s="1"/>
  <c r="C10" i="12"/>
  <c r="E10" i="12" s="1"/>
  <c r="C15" i="12"/>
  <c r="F21" i="13"/>
  <c r="C12" i="7"/>
  <c r="C10" i="7"/>
  <c r="C43" i="1" s="1"/>
  <c r="C6" i="7"/>
  <c r="C7" i="7" s="1"/>
  <c r="B5" i="1"/>
  <c r="B7" i="8"/>
  <c r="B6" i="6"/>
  <c r="B9" i="6" s="1"/>
  <c r="B16" i="1"/>
  <c r="B9" i="5"/>
  <c r="C11" i="7"/>
  <c r="B32" i="11"/>
  <c r="C32" i="11" s="1"/>
  <c r="B28" i="11"/>
  <c r="C28" i="11" s="1"/>
  <c r="B24" i="11"/>
  <c r="C24" i="11" s="1"/>
  <c r="B20" i="11"/>
  <c r="C20" i="11" s="1"/>
  <c r="B16" i="11"/>
  <c r="C16" i="11" s="1"/>
  <c r="B39" i="11"/>
  <c r="B31" i="11"/>
  <c r="C31" i="11" s="1"/>
  <c r="B27" i="11"/>
  <c r="C27" i="11" s="1"/>
  <c r="B23" i="11"/>
  <c r="C23" i="11" s="1"/>
  <c r="B19" i="11"/>
  <c r="C19" i="11" s="1"/>
  <c r="B15" i="11"/>
  <c r="C15" i="11" s="1"/>
  <c r="B13" i="13"/>
  <c r="H55" i="1" s="1"/>
  <c r="B12" i="13"/>
  <c r="H54" i="1" s="1"/>
  <c r="D10" i="12"/>
  <c r="D11" i="12" s="1"/>
  <c r="D12" i="12" s="1"/>
  <c r="B10" i="13"/>
  <c r="H52" i="1" s="1"/>
  <c r="E20" i="13"/>
  <c r="B5" i="7"/>
  <c r="C9" i="7"/>
  <c r="B22" i="12"/>
  <c r="B11" i="13"/>
  <c r="H53" i="1" s="1"/>
  <c r="B22" i="13"/>
  <c r="D6" i="5"/>
  <c r="D9" i="5" s="1"/>
  <c r="E19" i="10"/>
  <c r="D8" i="8" l="1"/>
  <c r="D13" i="8"/>
  <c r="D15" i="8" s="1"/>
  <c r="E8" i="8"/>
  <c r="E13" i="8"/>
  <c r="E15" i="8" s="1"/>
  <c r="C22" i="7"/>
  <c r="C42" i="1"/>
  <c r="C14" i="7"/>
  <c r="D16" i="1"/>
  <c r="D7" i="8"/>
  <c r="D5" i="7"/>
  <c r="D41" i="1"/>
  <c r="D5" i="6"/>
  <c r="D6" i="6"/>
  <c r="D13" i="12"/>
  <c r="D14" i="12" s="1"/>
  <c r="D15" i="12" s="1"/>
  <c r="B26" i="12"/>
  <c r="B12" i="1" s="1"/>
  <c r="C8" i="8"/>
  <c r="C13" i="8"/>
  <c r="C15" i="8" s="1"/>
  <c r="E16" i="1"/>
  <c r="E5" i="6"/>
  <c r="E41" i="1"/>
  <c r="E7" i="8"/>
  <c r="E6" i="6"/>
  <c r="E5" i="7"/>
  <c r="C13" i="13"/>
  <c r="C12" i="13"/>
  <c r="B5" i="13"/>
  <c r="C11" i="13"/>
  <c r="B11" i="1"/>
  <c r="C14" i="13"/>
  <c r="C10" i="13"/>
  <c r="B23" i="12"/>
  <c r="B35" i="11"/>
  <c r="F8" i="8"/>
  <c r="F13" i="8"/>
  <c r="F15" i="8" s="1"/>
  <c r="F9" i="4"/>
  <c r="B28" i="13"/>
  <c r="B27" i="13"/>
  <c r="B9" i="7"/>
  <c r="B12" i="7"/>
  <c r="B6" i="7"/>
  <c r="B51" i="1" s="1"/>
  <c r="B10" i="7"/>
  <c r="B17" i="7"/>
  <c r="B11" i="7"/>
  <c r="B54" i="1" s="1"/>
  <c r="B8" i="8"/>
  <c r="B10" i="8" s="1"/>
  <c r="B23" i="8" s="1"/>
  <c r="B13" i="8"/>
  <c r="B15" i="8" s="1"/>
  <c r="B21" i="8" s="1"/>
  <c r="E11" i="12"/>
  <c r="E12" i="12" s="1"/>
  <c r="C10" i="10"/>
  <c r="C12" i="10" s="1"/>
  <c r="C16" i="10" s="1"/>
  <c r="C20" i="10" s="1"/>
  <c r="C13" i="7"/>
  <c r="C6" i="9" l="1"/>
  <c r="C9" i="9" s="1"/>
  <c r="C20" i="9" s="1"/>
  <c r="C15" i="7"/>
  <c r="C24" i="7" s="1"/>
  <c r="C23" i="7"/>
  <c r="C44" i="1"/>
  <c r="C18" i="7"/>
  <c r="E9" i="6"/>
  <c r="D9" i="6"/>
  <c r="B7" i="7"/>
  <c r="F5" i="6"/>
  <c r="F41" i="1"/>
  <c r="F5" i="7"/>
  <c r="F6" i="6"/>
  <c r="F7" i="8"/>
  <c r="F16" i="1"/>
  <c r="E6" i="1"/>
  <c r="B7" i="1"/>
  <c r="B43" i="1"/>
  <c r="D6" i="7"/>
  <c r="D10" i="7"/>
  <c r="D43" i="1" s="1"/>
  <c r="D17" i="7"/>
  <c r="D7" i="7"/>
  <c r="D12" i="7"/>
  <c r="D11" i="7"/>
  <c r="D9" i="7"/>
  <c r="B10" i="10"/>
  <c r="B12" i="10" s="1"/>
  <c r="B16" i="10" s="1"/>
  <c r="B20" i="10" s="1"/>
  <c r="B13" i="7"/>
  <c r="B55" i="1" s="1"/>
  <c r="B53" i="1"/>
  <c r="E10" i="7"/>
  <c r="E43" i="1" s="1"/>
  <c r="E17" i="7"/>
  <c r="E11" i="7"/>
  <c r="E12" i="7"/>
  <c r="E6" i="7"/>
  <c r="E7" i="7" s="1"/>
  <c r="E9" i="7"/>
  <c r="E9" i="1"/>
  <c r="E13" i="12"/>
  <c r="E14" i="12" s="1"/>
  <c r="E15" i="12" s="1"/>
  <c r="B18" i="12" s="1"/>
  <c r="B27" i="12"/>
  <c r="B42" i="11"/>
  <c r="B43" i="11"/>
  <c r="E42" i="1" l="1"/>
  <c r="E22" i="7"/>
  <c r="C19" i="7"/>
  <c r="C20" i="7" s="1"/>
  <c r="C25" i="7" s="1"/>
  <c r="B19" i="12"/>
  <c r="B4" i="13"/>
  <c r="B10" i="1"/>
  <c r="E13" i="7"/>
  <c r="E14" i="7" s="1"/>
  <c r="E10" i="10"/>
  <c r="E12" i="10" s="1"/>
  <c r="E16" i="10" s="1"/>
  <c r="E20" i="10" s="1"/>
  <c r="F11" i="7"/>
  <c r="F17" i="7"/>
  <c r="F6" i="7"/>
  <c r="F7" i="7" s="1"/>
  <c r="F9" i="7"/>
  <c r="F10" i="7"/>
  <c r="F12" i="7"/>
  <c r="D42" i="1"/>
  <c r="D22" i="7"/>
  <c r="D13" i="7"/>
  <c r="D14" i="7" s="1"/>
  <c r="D10" i="10"/>
  <c r="D12" i="10" s="1"/>
  <c r="D16" i="10" s="1"/>
  <c r="D20" i="10" s="1"/>
  <c r="F9" i="6"/>
  <c r="B22" i="7"/>
  <c r="B42" i="1"/>
  <c r="E5" i="1"/>
  <c r="B14" i="7"/>
  <c r="B6" i="1"/>
  <c r="E23" i="7" l="1"/>
  <c r="E15" i="7"/>
  <c r="E24" i="7" s="1"/>
  <c r="E18" i="7"/>
  <c r="E6" i="9"/>
  <c r="E9" i="9" s="1"/>
  <c r="E20" i="9" s="1"/>
  <c r="E44" i="1"/>
  <c r="F42" i="1"/>
  <c r="F22" i="7"/>
  <c r="D15" i="7"/>
  <c r="D24" i="7" s="1"/>
  <c r="D23" i="7"/>
  <c r="D6" i="9"/>
  <c r="D9" i="9" s="1"/>
  <c r="D20" i="9" s="1"/>
  <c r="D18" i="7"/>
  <c r="D44" i="1"/>
  <c r="B18" i="7"/>
  <c r="B15" i="7"/>
  <c r="B24" i="7" s="1"/>
  <c r="B6" i="9"/>
  <c r="B9" i="9" s="1"/>
  <c r="B20" i="9" s="1"/>
  <c r="B22" i="9" s="1"/>
  <c r="C21" i="9" s="1"/>
  <c r="C22" i="9" s="1"/>
  <c r="E8" i="1"/>
  <c r="E7" i="1"/>
  <c r="C19" i="8"/>
  <c r="B23" i="7"/>
  <c r="B44" i="1"/>
  <c r="B8" i="1"/>
  <c r="F13" i="7"/>
  <c r="F14" i="7" s="1"/>
  <c r="F10" i="10"/>
  <c r="F43" i="1"/>
  <c r="B33" i="10"/>
  <c r="B34" i="10" s="1"/>
  <c r="B36" i="10" s="1"/>
  <c r="B37" i="10" s="1"/>
  <c r="F23" i="7" l="1"/>
  <c r="F44" i="1"/>
  <c r="F6" i="9"/>
  <c r="F9" i="9" s="1"/>
  <c r="F20" i="9" s="1"/>
  <c r="F18" i="7"/>
  <c r="B40" i="10"/>
  <c r="B41" i="10" s="1"/>
  <c r="F15" i="7"/>
  <c r="F24" i="7" s="1"/>
  <c r="D19" i="7"/>
  <c r="D20" i="7"/>
  <c r="D25" i="7" s="1"/>
  <c r="B19" i="7"/>
  <c r="B20" i="7"/>
  <c r="B25" i="7" s="1"/>
  <c r="E19" i="7"/>
  <c r="E20" i="7" s="1"/>
  <c r="E25" i="7" s="1"/>
  <c r="D19" i="8"/>
  <c r="C20" i="8"/>
  <c r="C21" i="8" s="1"/>
  <c r="F12" i="10"/>
  <c r="F16" i="10" s="1"/>
  <c r="F20" i="10" s="1"/>
  <c r="B22" i="10" s="1"/>
  <c r="G10" i="10"/>
  <c r="G12" i="10" s="1"/>
  <c r="G16" i="10" s="1"/>
  <c r="B18" i="10" s="1"/>
  <c r="G20" i="10" s="1"/>
  <c r="B23" i="10" s="1"/>
  <c r="D21" i="9"/>
  <c r="D22" i="9" s="1"/>
  <c r="C6" i="8"/>
  <c r="C10" i="8" s="1"/>
  <c r="F19" i="7" l="1"/>
  <c r="F20" i="7" s="1"/>
  <c r="F25" i="7" s="1"/>
  <c r="E19" i="8"/>
  <c r="D20" i="8"/>
  <c r="D21" i="8" s="1"/>
  <c r="B24" i="10"/>
  <c r="B27" i="10" s="1"/>
  <c r="B28" i="10" s="1"/>
  <c r="C23" i="8"/>
  <c r="E21" i="9"/>
  <c r="E22" i="9" s="1"/>
  <c r="D6" i="8"/>
  <c r="D10" i="8" s="1"/>
  <c r="D23" i="8" s="1"/>
  <c r="F21" i="9" l="1"/>
  <c r="F22" i="9" s="1"/>
  <c r="F6" i="8" s="1"/>
  <c r="F10" i="8" s="1"/>
  <c r="E6" i="8"/>
  <c r="E10" i="8" s="1"/>
  <c r="F19" i="8"/>
  <c r="F20" i="8" s="1"/>
  <c r="F21" i="8" s="1"/>
  <c r="E20" i="8"/>
  <c r="E21" i="8" s="1"/>
  <c r="E23" i="8" l="1"/>
  <c r="F23" i="8"/>
</calcChain>
</file>

<file path=xl/sharedStrings.xml><?xml version="1.0" encoding="utf-8"?>
<sst xmlns="http://schemas.openxmlformats.org/spreadsheetml/2006/main" count="362" uniqueCount="292">
  <si>
    <t>FINANCIAL MODEL DASHBOARD</t>
  </si>
  <si>
    <t>Key Financial Metrics</t>
  </si>
  <si>
    <t>Financial Ratios</t>
  </si>
  <si>
    <t>Revenue (USD)</t>
  </si>
  <si>
    <t>Gross Margin</t>
  </si>
  <si>
    <t>Gross Profit (USD)</t>
  </si>
  <si>
    <t>EBITDA Margin</t>
  </si>
  <si>
    <t>EBITDA (USD)</t>
  </si>
  <si>
    <t>Net Profit Margin</t>
  </si>
  <si>
    <t>Net Income (USD)</t>
  </si>
  <si>
    <t>ROE</t>
  </si>
  <si>
    <t>Cash Balance (USD)</t>
  </si>
  <si>
    <t>Current Ratio</t>
  </si>
  <si>
    <t>NPV (USD)</t>
  </si>
  <si>
    <t>IRR</t>
  </si>
  <si>
    <t>Payback Period (Years)</t>
  </si>
  <si>
    <t>Revenue Forecast</t>
  </si>
  <si>
    <t>2025</t>
  </si>
  <si>
    <t>2026</t>
  </si>
  <si>
    <t>2027</t>
  </si>
  <si>
    <t>2028</t>
  </si>
  <si>
    <t>2029</t>
  </si>
  <si>
    <t>Income Statement Trends</t>
  </si>
  <si>
    <t>Revenue</t>
  </si>
  <si>
    <t>Gross Profit</t>
  </si>
  <si>
    <t>EBITDA</t>
  </si>
  <si>
    <t>Net Income</t>
  </si>
  <si>
    <t>Cost Structure (Latest Year)</t>
  </si>
  <si>
    <t>NPV Sensitivity</t>
  </si>
  <si>
    <t>COGS</t>
  </si>
  <si>
    <t>Operating Expenses</t>
  </si>
  <si>
    <t>D&amp;A</t>
  </si>
  <si>
    <t>Interest</t>
  </si>
  <si>
    <t>Tax</t>
  </si>
  <si>
    <t>COMPANY OVERVIEW</t>
  </si>
  <si>
    <t>Company Name:</t>
  </si>
  <si>
    <t>TechVision Solutions Inc.</t>
  </si>
  <si>
    <t>Industry:</t>
  </si>
  <si>
    <t>Enterprise Software &amp; Cloud Services</t>
  </si>
  <si>
    <t>Business Model:</t>
  </si>
  <si>
    <t>B2B SaaS provider offering enterprise software solutions with a subscription-based revenue model</t>
  </si>
  <si>
    <t>Company Description</t>
  </si>
  <si>
    <t>TechVision Solutions Inc. is a leading provider of enterprise software solutions, specializing in cloud-based business intelligence, data analytics, and process automation tools. Founded in 2020, the company has rapidly grown to serve over 500 enterprise clients across multiple industries.</t>
  </si>
  <si>
    <t>Products and Services</t>
  </si>
  <si>
    <t>DataInsight Pro</t>
  </si>
  <si>
    <t>Advanced business intelligence and analytics platform</t>
  </si>
  <si>
    <t>40%</t>
  </si>
  <si>
    <t>CloudFlow</t>
  </si>
  <si>
    <t>Cloud-based workflow automation solution</t>
  </si>
  <si>
    <t>30%</t>
  </si>
  <si>
    <t>SecureConnect</t>
  </si>
  <si>
    <t>Enterprise security and integration platform</t>
  </si>
  <si>
    <t>20%</t>
  </si>
  <si>
    <t>AI Assistant</t>
  </si>
  <si>
    <t>AI-powered business process automation tool</t>
  </si>
  <si>
    <t>10%</t>
  </si>
  <si>
    <t>Market Analysis</t>
  </si>
  <si>
    <t>Total Addressable Market (TAM): $50 billion</t>
  </si>
  <si>
    <t>Serviceable Addressable Market (SAM): $20 billion</t>
  </si>
  <si>
    <t>Serviceable Obtainable Market (SOM): $2 billion</t>
  </si>
  <si>
    <t>Expected CAGR: 15% (2025-2029)</t>
  </si>
  <si>
    <t>Key Growth Drivers: Digital transformation, AI adoption, cloud migration</t>
  </si>
  <si>
    <t>Competitive Advantages</t>
  </si>
  <si>
    <t>• Proprietary AI/ML technology</t>
  </si>
  <si>
    <t>• Strong IP portfolio with 15 patents</t>
  </si>
  <si>
    <t>• 99.9% platform uptime</t>
  </si>
  <si>
    <t>• 24/7 enterprise support</t>
  </si>
  <si>
    <t>• ISO 27001 certified security</t>
  </si>
  <si>
    <t>Growth Strategy</t>
  </si>
  <si>
    <t>• Geographic expansion into APAC region</t>
  </si>
  <si>
    <t>• New product development in AI/ML space</t>
  </si>
  <si>
    <t>• Strategic acquisitions in complementary technologies</t>
  </si>
  <si>
    <t>• Channel partner program expansion</t>
  </si>
  <si>
    <t>• Investment in R&amp;D (15% of revenue)</t>
  </si>
  <si>
    <t>Financial Highlights (2024)</t>
  </si>
  <si>
    <t>Annual Revenue</t>
  </si>
  <si>
    <t>$100 million</t>
  </si>
  <si>
    <t>75%</t>
  </si>
  <si>
    <t>25%</t>
  </si>
  <si>
    <t>ARR Growth</t>
  </si>
  <si>
    <t>35%</t>
  </si>
  <si>
    <t>Customer Retention</t>
  </si>
  <si>
    <t>95%</t>
  </si>
  <si>
    <t>MODEL ASSUMPTIONS</t>
  </si>
  <si>
    <t>General Assumptions</t>
  </si>
  <si>
    <t>Base Year</t>
  </si>
  <si>
    <t>Forecast Period (Years)</t>
  </si>
  <si>
    <t>Tax Rate</t>
  </si>
  <si>
    <t>Inflation Rate</t>
  </si>
  <si>
    <t>Revenue Growth Assumptions</t>
  </si>
  <si>
    <t>Product Line 1 Growth</t>
  </si>
  <si>
    <t>Product Line 2 Growth</t>
  </si>
  <si>
    <t>Product Line 3 Growth</t>
  </si>
  <si>
    <t>Cost Assumptions</t>
  </si>
  <si>
    <t>COGS as % of Revenue</t>
  </si>
  <si>
    <t>SG&amp;A as % of Revenue</t>
  </si>
  <si>
    <t>R&amp;D as % of Revenue</t>
  </si>
  <si>
    <t>Discount Rate (WACC)</t>
  </si>
  <si>
    <t>REVENUE FORECAST</t>
  </si>
  <si>
    <t>Category</t>
  </si>
  <si>
    <t>Product Line 1</t>
  </si>
  <si>
    <t>Product Line 2</t>
  </si>
  <si>
    <t>Product Line 3</t>
  </si>
  <si>
    <t>Total Revenue</t>
  </si>
  <si>
    <t>COST OF GOODS SOLD BUDGET</t>
  </si>
  <si>
    <t>COGS Product Line 1</t>
  </si>
  <si>
    <t>COGS Product Line 2</t>
  </si>
  <si>
    <t>COGS Product Line 3</t>
  </si>
  <si>
    <t>Total COGS</t>
  </si>
  <si>
    <t>OPERATING EXPENSES BUDGET</t>
  </si>
  <si>
    <t>SG&amp;A Expenses</t>
  </si>
  <si>
    <t>R&amp;D Expenses</t>
  </si>
  <si>
    <t>Depreciation &amp; Amortization</t>
  </si>
  <si>
    <t>Total Operating Expenses</t>
  </si>
  <si>
    <t>INCOME STATEMENT</t>
  </si>
  <si>
    <t>Line Item</t>
  </si>
  <si>
    <t>Cost of Revenue</t>
  </si>
  <si>
    <t>Operating Expenses:</t>
  </si>
  <si>
    <t xml:space="preserve">   Sales &amp; Marketing</t>
  </si>
  <si>
    <t xml:space="preserve">   Research &amp; Development</t>
  </si>
  <si>
    <t xml:space="preserve">   General &amp; Administrative</t>
  </si>
  <si>
    <t xml:space="preserve">   Depreciation &amp; Amortization</t>
  </si>
  <si>
    <t>Operating Income</t>
  </si>
  <si>
    <t>Interest Expense</t>
  </si>
  <si>
    <t>Other Income/(Expense)</t>
  </si>
  <si>
    <t>Earnings Before Tax</t>
  </si>
  <si>
    <t>Tax Expense</t>
  </si>
  <si>
    <t>Gross Margin %</t>
  </si>
  <si>
    <t>Operating Margin %</t>
  </si>
  <si>
    <t>EBITDA Margin %</t>
  </si>
  <si>
    <t>Net Margin %</t>
  </si>
  <si>
    <t>BALANCE SHEET</t>
  </si>
  <si>
    <t>ASSETS</t>
  </si>
  <si>
    <t>Cash and Cash Equivalents</t>
  </si>
  <si>
    <t>Accounts Receivable</t>
  </si>
  <si>
    <t>Inventory</t>
  </si>
  <si>
    <t>Property, Plant &amp; Equipment</t>
  </si>
  <si>
    <t>Total Assets</t>
  </si>
  <si>
    <t>LIABILITIES AND EQUITY</t>
  </si>
  <si>
    <t>Accounts Payable</t>
  </si>
  <si>
    <t>Long-term Debt</t>
  </si>
  <si>
    <t>Total Liabilities</t>
  </si>
  <si>
    <t>Equity</t>
  </si>
  <si>
    <t>Common Stock</t>
  </si>
  <si>
    <t>Retained Earnings</t>
  </si>
  <si>
    <t>Total Equity</t>
  </si>
  <si>
    <t>Total Liabilities and Equity</t>
  </si>
  <si>
    <t>Balance Check (Assets - Liabilities - Equity)</t>
  </si>
  <si>
    <t>CASH FLOW STATEMENT</t>
  </si>
  <si>
    <t>OPERATING ACTIVITIES</t>
  </si>
  <si>
    <t>Changes in Working Capital</t>
  </si>
  <si>
    <t>Cash Flow from Operating Activities</t>
  </si>
  <si>
    <t>INVESTING ACTIVITIES</t>
  </si>
  <si>
    <t>Capital Expenditures</t>
  </si>
  <si>
    <t>Cash Flow from Investing Activities</t>
  </si>
  <si>
    <t>FINANCING ACTIVITIES</t>
  </si>
  <si>
    <t>Debt Repayment</t>
  </si>
  <si>
    <t>Dividends Paid</t>
  </si>
  <si>
    <t>Cash Flow from Financing Activities</t>
  </si>
  <si>
    <t>Net Change in Cash</t>
  </si>
  <si>
    <t>Beginning Cash Balance</t>
  </si>
  <si>
    <t>Ending Cash Balance</t>
  </si>
  <si>
    <t>STOCK VALUATION MODEL</t>
  </si>
  <si>
    <t>Discounted Cash Flow (DCF) Valuation</t>
  </si>
  <si>
    <t>WACC (Discount Rate)</t>
  </si>
  <si>
    <t>Long-term Growth Rate</t>
  </si>
  <si>
    <t>Shares Outstanding</t>
  </si>
  <si>
    <t>Free Cash Flow</t>
  </si>
  <si>
    <t>Terminal</t>
  </si>
  <si>
    <t>EBIT</t>
  </si>
  <si>
    <t>EBIT*(1-Tax Rate)</t>
  </si>
  <si>
    <t>Plus: Depreciation &amp; Amortization</t>
  </si>
  <si>
    <t>Less: Capital Expenditures</t>
  </si>
  <si>
    <t>Less: Change in Working Capital</t>
  </si>
  <si>
    <t>Terminal Value</t>
  </si>
  <si>
    <t>Discount Factor</t>
  </si>
  <si>
    <t>Present Value of FCF</t>
  </si>
  <si>
    <t>Sum of PV of FCF</t>
  </si>
  <si>
    <t>PV of Terminal Value</t>
  </si>
  <si>
    <t>Enterprise Value</t>
  </si>
  <si>
    <t>Less: Net Debt</t>
  </si>
  <si>
    <t>Equity Value</t>
  </si>
  <si>
    <t>Share Price</t>
  </si>
  <si>
    <t>Comparable Company Valuation</t>
  </si>
  <si>
    <t>EV/EBITDA Multiple</t>
  </si>
  <si>
    <t>EBITDA (Last Year)</t>
  </si>
  <si>
    <t>P/E Multiple</t>
  </si>
  <si>
    <t>EPS (Last Year)</t>
  </si>
  <si>
    <t>BOND VALUATION MODEL</t>
  </si>
  <si>
    <t>Bond Parameters</t>
  </si>
  <si>
    <t>Par Value</t>
  </si>
  <si>
    <t>Coupon Rate</t>
  </si>
  <si>
    <t>Years to Maturity</t>
  </si>
  <si>
    <t>Payments per Year</t>
  </si>
  <si>
    <t>Required Yield</t>
  </si>
  <si>
    <t>Total Periods</t>
  </si>
  <si>
    <t>Periodic Coupon Payment</t>
  </si>
  <si>
    <t>Periodic Yield Rate</t>
  </si>
  <si>
    <t>Period</t>
  </si>
  <si>
    <t>Cash Flow</t>
  </si>
  <si>
    <t>Present Value</t>
  </si>
  <si>
    <t>Bond Value</t>
  </si>
  <si>
    <t>Bond YTM Calculation</t>
  </si>
  <si>
    <t>Current Bond Price</t>
  </si>
  <si>
    <t>Approximate YTM</t>
  </si>
  <si>
    <t>Validation Checks</t>
  </si>
  <si>
    <t>Price/Par Value Ratio</t>
  </si>
  <si>
    <t>Status</t>
  </si>
  <si>
    <t>CAPITAL BUDGETING MODEL</t>
  </si>
  <si>
    <t>Project Parameters</t>
  </si>
  <si>
    <t>Initial Investment</t>
  </si>
  <si>
    <t>Project Life (Years)</t>
  </si>
  <si>
    <t>Discount Rate</t>
  </si>
  <si>
    <t>Salvage Value</t>
  </si>
  <si>
    <t>Year</t>
  </si>
  <si>
    <t>Discounted Cash Flow</t>
  </si>
  <si>
    <t>Cumulative Cash Flow</t>
  </si>
  <si>
    <t>Cumulative Discounted Cash Flow</t>
  </si>
  <si>
    <t>NPV Calculation</t>
  </si>
  <si>
    <t>Present Value of Cash Flows</t>
  </si>
  <si>
    <t>NPV Decision</t>
  </si>
  <si>
    <t>IRR Calculation</t>
  </si>
  <si>
    <t>Internal Rate of Return (IRR)</t>
  </si>
  <si>
    <t>IRR Decision</t>
  </si>
  <si>
    <t>Payback Period Calculation</t>
  </si>
  <si>
    <t>Discounted Payback Period (Years)</t>
  </si>
  <si>
    <t>SENSITIVITY ANALYSIS</t>
  </si>
  <si>
    <t>Base Case Results</t>
  </si>
  <si>
    <t>NPV</t>
  </si>
  <si>
    <t>Payback Period</t>
  </si>
  <si>
    <t>Profitability Index</t>
  </si>
  <si>
    <t>Discount Rate Sensitivity</t>
  </si>
  <si>
    <t>IRR Impact</t>
  </si>
  <si>
    <t>Two-Variable Sensitivity Analysis (NPV)</t>
  </si>
  <si>
    <t>Annual Cash Flow % Change</t>
  </si>
  <si>
    <t>-20%</t>
  </si>
  <si>
    <t>-10%</t>
  </si>
  <si>
    <t>0%</t>
  </si>
  <si>
    <t>+10%</t>
  </si>
  <si>
    <t>+20%</t>
  </si>
  <si>
    <t>Initial Investment % Change</t>
  </si>
  <si>
    <t>Break-even Analysis</t>
  </si>
  <si>
    <t>Break-even Annual Cash Flow</t>
  </si>
  <si>
    <t>% of Base Case Cash Flow</t>
  </si>
  <si>
    <t>Required Growth Rate</t>
  </si>
  <si>
    <t>Risk Analysis</t>
  </si>
  <si>
    <t>NPV Standard Deviation</t>
  </si>
  <si>
    <t>Coefficient of Variation</t>
  </si>
  <si>
    <t>NPV Range</t>
  </si>
  <si>
    <t>Probability of Negative NPV</t>
  </si>
  <si>
    <t>Scenario Analysis</t>
  </si>
  <si>
    <t>Best Case</t>
  </si>
  <si>
    <t>Base Case</t>
  </si>
  <si>
    <t>Worst Case</t>
  </si>
  <si>
    <t>Expected Value</t>
  </si>
  <si>
    <t>Range of Outcomes</t>
  </si>
  <si>
    <t>TEAM MEMBER CONTRIBUTIONS</t>
  </si>
  <si>
    <t>Team Member Name</t>
  </si>
  <si>
    <t>Student ID</t>
  </si>
  <si>
    <t>Contribution Description</t>
  </si>
  <si>
    <t>Contribution %</t>
  </si>
  <si>
    <t>Team Member 1</t>
  </si>
  <si>
    <t>ID12345</t>
  </si>
  <si>
    <t>Dashboard, Business Overview, Assumptions</t>
  </si>
  <si>
    <t>Team Member 2</t>
  </si>
  <si>
    <t>ID23456</t>
  </si>
  <si>
    <t>Revenue Forecast, COGS Budget</t>
  </si>
  <si>
    <t>Team Member 3</t>
  </si>
  <si>
    <t>ID34567</t>
  </si>
  <si>
    <t>OPEX Budget, Income Statement</t>
  </si>
  <si>
    <t>Team Member 4</t>
  </si>
  <si>
    <t>ID45678</t>
  </si>
  <si>
    <t>Balance Sheet, Cash Flow</t>
  </si>
  <si>
    <t>Team Member 5</t>
  </si>
  <si>
    <t>ID56789</t>
  </si>
  <si>
    <t>Stock Valuation</t>
  </si>
  <si>
    <t>Team Member 6</t>
  </si>
  <si>
    <t>ID67890</t>
  </si>
  <si>
    <t>Bond Valuation</t>
  </si>
  <si>
    <t>Team Member 7</t>
  </si>
  <si>
    <t>ID78901</t>
  </si>
  <si>
    <t>Capital Budgeting</t>
  </si>
  <si>
    <t>Team Member 8</t>
  </si>
  <si>
    <t>ID89012</t>
  </si>
  <si>
    <t>Sensitivity Analysis</t>
  </si>
  <si>
    <t>Team Member 9</t>
  </si>
  <si>
    <t>ID90123</t>
  </si>
  <si>
    <t>Presentations, Documentation</t>
  </si>
  <si>
    <t>Team Member 10</t>
  </si>
  <si>
    <t>ID01234</t>
  </si>
  <si>
    <t>Quality Control, Integration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</si>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</sst>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\$#,##0.00"/>
    <numFmt numFmtId="166" formatCode="0.0"/>
    <numFmt numFmtId="167" formatCode="\$#,##0"/>
  </numFmts>
  <fonts count="4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  <font>
      <b/>
      <sz val="12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FCCCC"/>
        <bgColor rgb="FFFFCCCC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/>
    <xf numFmtId="0" fontId="2" fillId="5" borderId="0" xfId="0" applyFont="1" applyFill="1"/>
    <xf numFmtId="3" fontId="2" fillId="5" borderId="0" xfId="0" applyNumberFormat="1" applyFont="1" applyFill="1"/>
    <xf numFmtId="0" fontId="2" fillId="6" borderId="0" xfId="0" applyFont="1" applyFill="1"/>
    <xf numFmtId="3" fontId="2" fillId="6" borderId="0" xfId="0" applyNumberFormat="1" applyFont="1" applyFill="1"/>
    <xf numFmtId="0" fontId="2" fillId="7" borderId="0" xfId="0" applyFont="1" applyFill="1"/>
    <xf numFmtId="3" fontId="2" fillId="7" borderId="0" xfId="0" applyNumberFormat="1" applyFont="1" applyFill="1"/>
    <xf numFmtId="0" fontId="2" fillId="2" borderId="0" xfId="0" applyFont="1" applyFill="1"/>
    <xf numFmtId="3" fontId="2" fillId="0" borderId="0" xfId="0" applyNumberFormat="1" applyFont="1"/>
    <xf numFmtId="3" fontId="2" fillId="3" borderId="0" xfId="0" applyNumberFormat="1" applyFont="1" applyFill="1"/>
    <xf numFmtId="0" fontId="2" fillId="8" borderId="0" xfId="0" applyFont="1" applyFill="1"/>
    <xf numFmtId="3" fontId="2" fillId="8" borderId="0" xfId="0" applyNumberFormat="1" applyFont="1" applyFill="1"/>
    <xf numFmtId="0" fontId="2" fillId="9" borderId="0" xfId="0" applyFont="1" applyFill="1"/>
    <xf numFmtId="3" fontId="2" fillId="9" borderId="0" xfId="0" applyNumberFormat="1" applyFont="1" applyFill="1"/>
    <xf numFmtId="3" fontId="2" fillId="4" borderId="0" xfId="0" applyNumberFormat="1" applyFont="1" applyFill="1"/>
    <xf numFmtId="0" fontId="3" fillId="0" borderId="0" xfId="0" applyFont="1"/>
    <xf numFmtId="164" fontId="0" fillId="0" borderId="0" xfId="0" applyNumberFormat="1"/>
    <xf numFmtId="165" fontId="2" fillId="8" borderId="0" xfId="0" applyNumberFormat="1" applyFont="1" applyFill="1"/>
    <xf numFmtId="166" fontId="0" fillId="0" borderId="0" xfId="0" applyNumberFormat="1"/>
    <xf numFmtId="165" fontId="2" fillId="5" borderId="0" xfId="0" applyNumberFormat="1" applyFont="1" applyFill="1"/>
    <xf numFmtId="165" fontId="0" fillId="0" borderId="0" xfId="0" applyNumberFormat="1"/>
    <xf numFmtId="165" fontId="2" fillId="7" borderId="0" xfId="0" applyNumberFormat="1" applyFont="1" applyFill="1"/>
    <xf numFmtId="167" fontId="0" fillId="0" borderId="0" xfId="0" applyNumberFormat="1"/>
    <xf numFmtId="165" fontId="2" fillId="0" borderId="0" xfId="0" applyNumberFormat="1" applyFont="1"/>
    <xf numFmtId="0" fontId="2" fillId="8" borderId="1" xfId="0" applyFont="1" applyFill="1" applyBorder="1"/>
    <xf numFmtId="0" fontId="0" fillId="3" borderId="1" xfId="0" applyFill="1" applyBorder="1"/>
    <xf numFmtId="9" fontId="0" fillId="3" borderId="1" xfId="0" applyNumberFormat="1" applyFill="1" applyBorder="1"/>
    <xf numFmtId="0" fontId="0" fillId="0" borderId="1" xfId="0" applyBorder="1"/>
    <xf numFmtId="9" fontId="0" fillId="0" borderId="1" xfId="0" applyNumberFormat="1" applyBorder="1"/>
    <xf numFmtId="0" fontId="2" fillId="5" borderId="1" xfId="0" applyFont="1" applyFill="1" applyBorder="1"/>
    <xf numFmtId="9" fontId="2" fillId="5" borderId="1" xfId="0" applyNumberFormat="1" applyFont="1" applyFill="1" applyBorder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Revenue Forecast 2025-2029</a:t>
            </a:r>
          </a:p>
        </c:rich>
      </c:tx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ln>
              <a:prstDash val="solid"/>
            </a:ln>
          </c:spPr>
          <c:invertIfNegative val="1"/>
          <c:cat>
            <c:strRef>
              <c:f>Dashboard!$B$15:$F$15</c:f>
              <c:strCach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strCache>
            </c:strRef>
          </c:cat>
          <c:val>
            <c:numRef>
              <c:f>Dashboard!$B$16</c:f>
              <c:numCache>
                <c:formatCode>#,##0</c:formatCode>
                <c:ptCount val="1"/>
                <c:pt idx="0">
                  <c:v>2250000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F-4756-B3C3-FBD817704385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1"/>
          <c:cat>
            <c:strRef>
              <c:f>Dashboard!$B$15:$F$15</c:f>
              <c:strCach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strCache>
            </c:strRef>
          </c:cat>
          <c:val>
            <c:numRef>
              <c:f>Dashboard!$C$16</c:f>
              <c:numCache>
                <c:formatCode>#,##0</c:formatCode>
                <c:ptCount val="1"/>
                <c:pt idx="0">
                  <c:v>2372500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6F-4756-B3C3-FBD817704385}"/>
            </c:ext>
          </c:extLst>
        </c:ser>
        <c:ser>
          <c:idx val="2"/>
          <c:order val="2"/>
          <c:spPr>
            <a:ln>
              <a:prstDash val="solid"/>
            </a:ln>
          </c:spPr>
          <c:invertIfNegative val="1"/>
          <c:cat>
            <c:strRef>
              <c:f>Dashboard!$B$15:$F$15</c:f>
              <c:strCach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strCache>
            </c:strRef>
          </c:cat>
          <c:val>
            <c:numRef>
              <c:f>Dashboard!$D$16</c:f>
              <c:numCache>
                <c:formatCode>#,##0</c:formatCode>
                <c:ptCount val="1"/>
                <c:pt idx="0">
                  <c:v>2501975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6F-4756-B3C3-FBD817704385}"/>
            </c:ext>
          </c:extLst>
        </c:ser>
        <c:ser>
          <c:idx val="3"/>
          <c:order val="3"/>
          <c:spPr>
            <a:ln>
              <a:prstDash val="solid"/>
            </a:ln>
          </c:spPr>
          <c:invertIfNegative val="1"/>
          <c:cat>
            <c:strRef>
              <c:f>Dashboard!$B$15:$F$15</c:f>
              <c:strCach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strCache>
            </c:strRef>
          </c:cat>
          <c:val>
            <c:numRef>
              <c:f>Dashboard!$E$16</c:f>
              <c:numCache>
                <c:formatCode>#,##0</c:formatCode>
                <c:ptCount val="1"/>
                <c:pt idx="0">
                  <c:v>2638839.25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6F-4756-B3C3-FBD817704385}"/>
            </c:ext>
          </c:extLst>
        </c:ser>
        <c:ser>
          <c:idx val="4"/>
          <c:order val="4"/>
          <c:spPr>
            <a:ln>
              <a:prstDash val="solid"/>
            </a:ln>
          </c:spPr>
          <c:invertIfNegative val="1"/>
          <c:cat>
            <c:strRef>
              <c:f>Dashboard!$B$15:$F$15</c:f>
              <c:strCach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strCache>
            </c:strRef>
          </c:cat>
          <c:val>
            <c:numRef>
              <c:f>Dashboard!$F$16</c:f>
              <c:numCache>
                <c:formatCode>#,##0</c:formatCode>
                <c:ptCount val="1"/>
                <c:pt idx="0">
                  <c:v>2783532.5375000006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6F-4756-B3C3-FBD817704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</a:t>
                </a:r>
              </a:p>
            </c:rich>
          </c:tx>
          <c:overlay val="1"/>
        </c:title>
        <c:numFmt formatCode="#,##0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702240740740744"/>
          <c:y val="0.34380259259259266"/>
          <c:w val="0.10886648148148148"/>
          <c:h val="0.42528333333333335"/>
        </c:manualLayout>
      </c:layout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Income Statement Trends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Dashboard!$B$41</c:f>
              <c:strCache>
                <c:ptCount val="1"/>
                <c:pt idx="0">
                  <c:v>2,250,000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Dashboard!$B$40:$F$40</c:f>
              <c:strCach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strCache>
            </c:strRef>
          </c:cat>
          <c:val>
            <c:numRef>
              <c:f>Dashboard!$B$42:$B$44</c:f>
              <c:numCache>
                <c:formatCode>#,##0</c:formatCode>
                <c:ptCount val="3"/>
                <c:pt idx="0">
                  <c:v>1687500</c:v>
                </c:pt>
                <c:pt idx="1">
                  <c:v>337500</c:v>
                </c:pt>
                <c:pt idx="2">
                  <c:v>337500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45D-4953-9E0D-24B65E42916B}"/>
            </c:ext>
          </c:extLst>
        </c:ser>
        <c:ser>
          <c:idx val="1"/>
          <c:order val="1"/>
          <c:tx>
            <c:strRef>
              <c:f>Dashboard!$C$41</c:f>
              <c:strCache>
                <c:ptCount val="1"/>
                <c:pt idx="0">
                  <c:v>2,372,500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Dashboard!$B$40:$F$40</c:f>
              <c:strCach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strCache>
            </c:strRef>
          </c:cat>
          <c:val>
            <c:numRef>
              <c:f>Dashboard!$C$42:$C$44</c:f>
              <c:numCache>
                <c:formatCode>#,##0</c:formatCode>
                <c:ptCount val="3"/>
                <c:pt idx="0">
                  <c:v>1779375</c:v>
                </c:pt>
                <c:pt idx="1">
                  <c:v>355875</c:v>
                </c:pt>
                <c:pt idx="2">
                  <c:v>355875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45D-4953-9E0D-24B65E42916B}"/>
            </c:ext>
          </c:extLst>
        </c:ser>
        <c:ser>
          <c:idx val="2"/>
          <c:order val="2"/>
          <c:tx>
            <c:strRef>
              <c:f>Dashboard!$D$41</c:f>
              <c:strCache>
                <c:ptCount val="1"/>
                <c:pt idx="0">
                  <c:v>2,501,975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Dashboard!$B$40:$F$40</c:f>
              <c:strCach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strCache>
            </c:strRef>
          </c:cat>
          <c:val>
            <c:numRef>
              <c:f>Dashboard!$D$42:$D$44</c:f>
              <c:numCache>
                <c:formatCode>#,##0</c:formatCode>
                <c:ptCount val="3"/>
                <c:pt idx="0">
                  <c:v>1876481.25</c:v>
                </c:pt>
                <c:pt idx="1">
                  <c:v>375296.25</c:v>
                </c:pt>
                <c:pt idx="2">
                  <c:v>375296.25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45D-4953-9E0D-24B65E42916B}"/>
            </c:ext>
          </c:extLst>
        </c:ser>
        <c:ser>
          <c:idx val="3"/>
          <c:order val="3"/>
          <c:tx>
            <c:strRef>
              <c:f>Dashboard!$E$41</c:f>
              <c:strCache>
                <c:ptCount val="1"/>
                <c:pt idx="0">
                  <c:v>2,638,839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Dashboard!$B$40:$F$40</c:f>
              <c:strCach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strCache>
            </c:strRef>
          </c:cat>
          <c:val>
            <c:numRef>
              <c:f>Dashboard!$E$42:$E$44</c:f>
              <c:numCache>
                <c:formatCode>#,##0</c:formatCode>
                <c:ptCount val="3"/>
                <c:pt idx="0">
                  <c:v>1979129.4375</c:v>
                </c:pt>
                <c:pt idx="1">
                  <c:v>395825.88750000001</c:v>
                </c:pt>
                <c:pt idx="2">
                  <c:v>395825.88749999995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A45D-4953-9E0D-24B65E42916B}"/>
            </c:ext>
          </c:extLst>
        </c:ser>
        <c:ser>
          <c:idx val="4"/>
          <c:order val="4"/>
          <c:tx>
            <c:strRef>
              <c:f>Dashboard!$F$41</c:f>
              <c:strCache>
                <c:ptCount val="1"/>
                <c:pt idx="0">
                  <c:v>2,783,533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Dashboard!$B$40:$F$40</c:f>
              <c:strCach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strCache>
            </c:strRef>
          </c:cat>
          <c:val>
            <c:numRef>
              <c:f>Dashboard!$F$42:$F$44</c:f>
              <c:numCache>
                <c:formatCode>#,##0</c:formatCode>
                <c:ptCount val="3"/>
                <c:pt idx="0">
                  <c:v>2087649.4031250004</c:v>
                </c:pt>
                <c:pt idx="1">
                  <c:v>417529.88062500005</c:v>
                </c:pt>
                <c:pt idx="2">
                  <c:v>417529.88062499999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A45D-4953-9E0D-24B65E429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</a:t>
                </a:r>
              </a:p>
            </c:rich>
          </c:tx>
          <c:overlay val="1"/>
        </c:title>
        <c:numFmt formatCode="#,##0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307462962962984"/>
          <c:y val="0.23561740740740741"/>
          <c:w val="0.16575870370370371"/>
          <c:h val="0.42528333333333335"/>
        </c:manualLayout>
      </c:layout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Cost Structure</a:t>
            </a:r>
          </a:p>
        </c:rich>
      </c:tx>
      <c:layout>
        <c:manualLayout>
          <c:xMode val="edge"/>
          <c:yMode val="edge"/>
          <c:x val="1.8928703703703691E-2"/>
          <c:y val="2.8222222222222221E-2"/>
        </c:manualLayout>
      </c:layout>
      <c:overlay val="1"/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cat>
            <c:strRef>
              <c:f>Dashboard!$A$51:$A$55</c:f>
              <c:strCache>
                <c:ptCount val="5"/>
                <c:pt idx="0">
                  <c:v>COGS</c:v>
                </c:pt>
                <c:pt idx="1">
                  <c:v>Operating Expenses</c:v>
                </c:pt>
                <c:pt idx="2">
                  <c:v>D&amp;A</c:v>
                </c:pt>
                <c:pt idx="3">
                  <c:v>Interest</c:v>
                </c:pt>
                <c:pt idx="4">
                  <c:v>Tax</c:v>
                </c:pt>
              </c:strCache>
            </c:strRef>
          </c:cat>
          <c:val>
            <c:numRef>
              <c:f>Dashboard!$B$51:$B$55</c:f>
              <c:numCache>
                <c:formatCode>#,##0</c:formatCode>
                <c:ptCount val="5"/>
                <c:pt idx="0">
                  <c:v>562500</c:v>
                </c:pt>
                <c:pt idx="1">
                  <c:v>0</c:v>
                </c:pt>
                <c:pt idx="2">
                  <c:v>675000</c:v>
                </c:pt>
                <c:pt idx="3">
                  <c:v>225000</c:v>
                </c:pt>
                <c:pt idx="4">
                  <c:v>1350000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0-49C3-8EC6-0A543D31A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NPV Sensitivity to Discount Rate</a:t>
            </a:r>
          </a:p>
        </c:rich>
      </c:tx>
      <c:layout>
        <c:manualLayout>
          <c:xMode val="edge"/>
          <c:yMode val="edge"/>
          <c:x val="0.65975537037037046"/>
          <c:y val="2.8222222222222221E-2"/>
        </c:manualLayout>
      </c:layout>
      <c:overlay val="1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NPV</c:v>
          </c:tx>
          <c:spPr>
            <a:ln>
              <a:prstDash val="solid"/>
            </a:ln>
          </c:spPr>
          <c:marker>
            <c:symbol val="none"/>
          </c:marker>
          <c:xVal>
            <c:strRef>
              <c:f>Dashboard!$G$51:$G$55</c:f>
              <c:strCache>
                <c:ptCount val="5"/>
                <c:pt idx="0">
                  <c:v>Discount Rate</c:v>
                </c:pt>
                <c:pt idx="1">
                  <c:v>6.00%</c:v>
                </c:pt>
                <c:pt idx="2">
                  <c:v>8.00%</c:v>
                </c:pt>
                <c:pt idx="3">
                  <c:v>10.00%</c:v>
                </c:pt>
                <c:pt idx="4">
                  <c:v>12.00%</c:v>
                </c:pt>
              </c:strCache>
            </c:strRef>
          </c:xVal>
          <c:yVal>
            <c:numRef>
              <c:f>Dashboard!$H$51:$H$55</c:f>
              <c:numCache>
                <c:formatCode>#,##0</c:formatCode>
                <c:ptCount val="5"/>
                <c:pt idx="0">
                  <c:v>0</c:v>
                </c:pt>
                <c:pt idx="1">
                  <c:v>258016.92343920108</c:v>
                </c:pt>
                <c:pt idx="2">
                  <c:v>213365.17129841307</c:v>
                </c:pt>
                <c:pt idx="3">
                  <c:v>172545.96370093932</c:v>
                </c:pt>
                <c:pt idx="4">
                  <c:v>135151.25010691211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47-4776-9EFE-0FEC7546E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1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Discount Rate</a:t>
                </a:r>
              </a:p>
            </c:rich>
          </c:tx>
          <c:overlay val="1"/>
        </c:title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NPV</a:t>
                </a:r>
              </a:p>
            </c:rich>
          </c:tx>
          <c:overlay val="1"/>
        </c:title>
        <c:numFmt formatCode="#,##0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Key Margin Trends</a:t>
            </a:r>
          </a:p>
        </c:rich>
      </c:tx>
      <c:layout>
        <c:manualLayout>
          <c:xMode val="edge"/>
          <c:yMode val="edge"/>
          <c:x val="2.7501111111111094E-2"/>
          <c:y val="5.6444444444444443E-2"/>
        </c:manualLayout>
      </c:layout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Gross Margin %</c:v>
          </c:tx>
          <c:spPr>
            <a:ln>
              <a:prstDash val="solid"/>
            </a:ln>
          </c:spPr>
          <c:marker>
            <c:symbol val="none"/>
          </c:marker>
          <c:cat>
            <c:strRef>
              <c:f>Income_Statement!$B$3:$F$3</c:f>
              <c:strCach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strCache>
            </c:strRef>
          </c:cat>
          <c:val>
            <c:numRef>
              <c:f>Income_Statement!$B$22:$F$22</c:f>
              <c:numCache>
                <c:formatCode>0.00%</c:formatCode>
                <c:ptCount val="5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E6C-4B90-9137-E12A9056E46C}"/>
            </c:ext>
          </c:extLst>
        </c:ser>
        <c:ser>
          <c:idx val="1"/>
          <c:order val="1"/>
          <c:tx>
            <c:v>Operating Margin %</c:v>
          </c:tx>
          <c:spPr>
            <a:ln>
              <a:prstDash val="solid"/>
            </a:ln>
          </c:spPr>
          <c:marker>
            <c:symbol val="none"/>
          </c:marker>
          <c:cat>
            <c:strRef>
              <c:f>Income_Statement!$B$3:$F$3</c:f>
              <c:strCach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strCache>
            </c:strRef>
          </c:cat>
          <c:val>
            <c:numRef>
              <c:f>Income_Statement!$B$23:$F$23</c:f>
              <c:numCache>
                <c:formatCode>0.00%</c:formatCode>
                <c:ptCount val="5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0.14999999999999997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E6C-4B90-9137-E12A9056E46C}"/>
            </c:ext>
          </c:extLst>
        </c:ser>
        <c:ser>
          <c:idx val="2"/>
          <c:order val="2"/>
          <c:tx>
            <c:v>EBITDA Margin %</c:v>
          </c:tx>
          <c:spPr>
            <a:ln>
              <a:prstDash val="solid"/>
            </a:ln>
          </c:spPr>
          <c:marker>
            <c:symbol val="none"/>
          </c:marker>
          <c:cat>
            <c:strRef>
              <c:f>Income_Statement!$B$3:$F$3</c:f>
              <c:strCach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strCache>
            </c:strRef>
          </c:cat>
          <c:val>
            <c:numRef>
              <c:f>Income_Statement!$B$24:$F$24</c:f>
              <c:numCache>
                <c:formatCode>0.00%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0.19999999999999998</c:v>
                </c:pt>
                <c:pt idx="4">
                  <c:v>0.19999999999999998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E6C-4B90-9137-E12A9056E46C}"/>
            </c:ext>
          </c:extLst>
        </c:ser>
        <c:ser>
          <c:idx val="3"/>
          <c:order val="3"/>
          <c:tx>
            <c:v>Net Margin %</c:v>
          </c:tx>
          <c:spPr>
            <a:ln>
              <a:prstDash val="solid"/>
            </a:ln>
          </c:spPr>
          <c:marker>
            <c:symbol val="none"/>
          </c:marker>
          <c:cat>
            <c:strRef>
              <c:f>Income_Statement!$B$3:$F$3</c:f>
              <c:strCach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strCache>
            </c:strRef>
          </c:cat>
          <c:val>
            <c:numRef>
              <c:f>Income_Statement!$B$25:$F$25</c:f>
              <c:numCache>
                <c:formatCode>0.00%</c:formatCode>
                <c:ptCount val="5"/>
                <c:pt idx="0">
                  <c:v>-0.55041666666666667</c:v>
                </c:pt>
                <c:pt idx="1">
                  <c:v>-0.45277002107481562</c:v>
                </c:pt>
                <c:pt idx="2">
                  <c:v>-0.33339478062330757</c:v>
                </c:pt>
                <c:pt idx="3">
                  <c:v>-0.22480904707912772</c:v>
                </c:pt>
                <c:pt idx="4">
                  <c:v>-0.15319179379832376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DE6C-4B90-9137-E12A9056E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Margin %</a:t>
                </a:r>
              </a:p>
            </c:rich>
          </c:tx>
          <c:overlay val="1"/>
        </c:title>
        <c:numFmt formatCode="0.0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605537037037038"/>
          <c:y val="0.6591459259259258"/>
          <c:w val="0.26218537037037037"/>
          <c:h val="0.34022666666666668"/>
        </c:manualLayout>
      </c:layout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Cumulative Cash Flows</a:t>
            </a:r>
          </a:p>
        </c:rich>
      </c:tx>
      <c:layout>
        <c:manualLayout>
          <c:xMode val="edge"/>
          <c:yMode val="edge"/>
          <c:x val="0.73377407407407402"/>
          <c:y val="5.6444444444444443E-2"/>
        </c:manualLayout>
      </c:layout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Capital_Budgeting!$D$9</c:f>
              <c:strCache>
                <c:ptCount val="1"/>
                <c:pt idx="0">
                  <c:v>Cumulative Cash Flow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Capital_Budgeting!$A$10:$A$15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Capital_Budgeting!$D$10:$D$15</c:f>
              <c:numCache>
                <c:formatCode>#,##0</c:formatCode>
                <c:ptCount val="6"/>
                <c:pt idx="0">
                  <c:v>-500000</c:v>
                </c:pt>
                <c:pt idx="1">
                  <c:v>-380000</c:v>
                </c:pt>
                <c:pt idx="2">
                  <c:v>-230000</c:v>
                </c:pt>
                <c:pt idx="3">
                  <c:v>-50000</c:v>
                </c:pt>
                <c:pt idx="4">
                  <c:v>150000</c:v>
                </c:pt>
                <c:pt idx="5">
                  <c:v>420000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495-48B3-8002-FE8F5E5552B9}"/>
            </c:ext>
          </c:extLst>
        </c:ser>
        <c:ser>
          <c:idx val="1"/>
          <c:order val="1"/>
          <c:tx>
            <c:strRef>
              <c:f>Capital_Budgeting!$E$9</c:f>
              <c:strCache>
                <c:ptCount val="1"/>
                <c:pt idx="0">
                  <c:v>Cumulative Discounted Cash Flow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Capital_Budgeting!$A$10:$A$15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Capital_Budgeting!$E$10:$E$15</c:f>
              <c:numCache>
                <c:formatCode>#,##0</c:formatCode>
                <c:ptCount val="6"/>
                <c:pt idx="0">
                  <c:v>-500000</c:v>
                </c:pt>
                <c:pt idx="1">
                  <c:v>-390909.09090909094</c:v>
                </c:pt>
                <c:pt idx="2">
                  <c:v>-266942.14876033063</c:v>
                </c:pt>
                <c:pt idx="3">
                  <c:v>-131705.48459804666</c:v>
                </c:pt>
                <c:pt idx="4">
                  <c:v>4897.2064749674464</c:v>
                </c:pt>
                <c:pt idx="5">
                  <c:v>255943.27262792518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495-48B3-8002-FE8F5E555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Cash Flow</a:t>
                </a:r>
              </a:p>
            </c:rich>
          </c:tx>
          <c:overlay val="1"/>
        </c:title>
        <c:numFmt formatCode="#,##0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3844444444444448"/>
          <c:y val="0.67325703703703699"/>
          <c:w val="0.34038888888888891"/>
          <c:h val="0.28378222222222221"/>
        </c:manualLayout>
      </c:layout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Key Margin Trends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Gross Margin %</c:v>
          </c:tx>
          <c:spPr>
            <a:ln>
              <a:prstDash val="solid"/>
            </a:ln>
          </c:spPr>
          <c:marker>
            <c:symbol val="none"/>
          </c:marker>
          <c:cat>
            <c:strRef>
              <c:f>Income_Statement!$B$3:$F$3</c:f>
              <c:strCach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strCache>
            </c:strRef>
          </c:cat>
          <c:val>
            <c:numRef>
              <c:f>Income_Statement!$B$22:$F$22</c:f>
              <c:numCache>
                <c:formatCode>0.00%</c:formatCode>
                <c:ptCount val="5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00F-4B90-8988-279A91EB59CF}"/>
            </c:ext>
          </c:extLst>
        </c:ser>
        <c:ser>
          <c:idx val="1"/>
          <c:order val="1"/>
          <c:tx>
            <c:v>Operating Margin %</c:v>
          </c:tx>
          <c:spPr>
            <a:ln>
              <a:prstDash val="solid"/>
            </a:ln>
          </c:spPr>
          <c:marker>
            <c:symbol val="none"/>
          </c:marker>
          <c:cat>
            <c:strRef>
              <c:f>Income_Statement!$B$3:$F$3</c:f>
              <c:strCach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strCache>
            </c:strRef>
          </c:cat>
          <c:val>
            <c:numRef>
              <c:f>Income_Statement!$B$23:$F$23</c:f>
              <c:numCache>
                <c:formatCode>0.00%</c:formatCode>
                <c:ptCount val="5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0.14999999999999997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00F-4B90-8988-279A91EB59CF}"/>
            </c:ext>
          </c:extLst>
        </c:ser>
        <c:ser>
          <c:idx val="2"/>
          <c:order val="2"/>
          <c:tx>
            <c:v>EBITDA Margin %</c:v>
          </c:tx>
          <c:spPr>
            <a:ln>
              <a:prstDash val="solid"/>
            </a:ln>
          </c:spPr>
          <c:marker>
            <c:symbol val="none"/>
          </c:marker>
          <c:cat>
            <c:strRef>
              <c:f>Income_Statement!$B$3:$F$3</c:f>
              <c:strCach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strCache>
            </c:strRef>
          </c:cat>
          <c:val>
            <c:numRef>
              <c:f>Income_Statement!$B$24:$F$24</c:f>
              <c:numCache>
                <c:formatCode>0.00%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0.19999999999999998</c:v>
                </c:pt>
                <c:pt idx="4">
                  <c:v>0.19999999999999998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00F-4B90-8988-279A91EB59CF}"/>
            </c:ext>
          </c:extLst>
        </c:ser>
        <c:ser>
          <c:idx val="3"/>
          <c:order val="3"/>
          <c:tx>
            <c:v>Net Margin %</c:v>
          </c:tx>
          <c:spPr>
            <a:ln>
              <a:prstDash val="solid"/>
            </a:ln>
          </c:spPr>
          <c:marker>
            <c:symbol val="none"/>
          </c:marker>
          <c:cat>
            <c:strRef>
              <c:f>Income_Statement!$B$3:$F$3</c:f>
              <c:strCach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strCache>
            </c:strRef>
          </c:cat>
          <c:val>
            <c:numRef>
              <c:f>Income_Statement!$B$25:$F$25</c:f>
              <c:numCache>
                <c:formatCode>0.00%</c:formatCode>
                <c:ptCount val="5"/>
                <c:pt idx="0">
                  <c:v>-0.55041666666666667</c:v>
                </c:pt>
                <c:pt idx="1">
                  <c:v>-0.45277002107481562</c:v>
                </c:pt>
                <c:pt idx="2">
                  <c:v>-0.33339478062330757</c:v>
                </c:pt>
                <c:pt idx="3">
                  <c:v>-0.22480904707912772</c:v>
                </c:pt>
                <c:pt idx="4">
                  <c:v>-0.15319179379832376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00F-4B90-8988-279A91EB5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Margin %</a:t>
                </a:r>
              </a:p>
            </c:rich>
          </c:tx>
          <c:overlay val="1"/>
        </c:title>
        <c:numFmt formatCode="0.0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54627777777778"/>
          <c:y val="0.6591459259259258"/>
          <c:w val="0.26218537037037037"/>
          <c:h val="0.34022666666666668"/>
        </c:manualLayout>
      </c:layout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Cumulative Cash Flows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Capital_Budgeting!$D$9</c:f>
              <c:strCache>
                <c:ptCount val="1"/>
                <c:pt idx="0">
                  <c:v>Cumulative Cash Flow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Capital_Budgeting!$A$10:$A$15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Capital_Budgeting!$D$10:$D$15</c:f>
              <c:numCache>
                <c:formatCode>#,##0</c:formatCode>
                <c:ptCount val="6"/>
                <c:pt idx="0">
                  <c:v>-500000</c:v>
                </c:pt>
                <c:pt idx="1">
                  <c:v>-380000</c:v>
                </c:pt>
                <c:pt idx="2">
                  <c:v>-230000</c:v>
                </c:pt>
                <c:pt idx="3">
                  <c:v>-50000</c:v>
                </c:pt>
                <c:pt idx="4">
                  <c:v>150000</c:v>
                </c:pt>
                <c:pt idx="5">
                  <c:v>420000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0B1-413D-8859-15A2AD9C4FAF}"/>
            </c:ext>
          </c:extLst>
        </c:ser>
        <c:ser>
          <c:idx val="1"/>
          <c:order val="1"/>
          <c:tx>
            <c:strRef>
              <c:f>Capital_Budgeting!$E$9</c:f>
              <c:strCache>
                <c:ptCount val="1"/>
                <c:pt idx="0">
                  <c:v>Cumulative Discounted Cash Flow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Capital_Budgeting!$A$10:$A$15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Capital_Budgeting!$E$10:$E$15</c:f>
              <c:numCache>
                <c:formatCode>#,##0</c:formatCode>
                <c:ptCount val="6"/>
                <c:pt idx="0">
                  <c:v>-500000</c:v>
                </c:pt>
                <c:pt idx="1">
                  <c:v>-390909.09090909094</c:v>
                </c:pt>
                <c:pt idx="2">
                  <c:v>-266942.14876033063</c:v>
                </c:pt>
                <c:pt idx="3">
                  <c:v>-131705.48459804666</c:v>
                </c:pt>
                <c:pt idx="4">
                  <c:v>4897.2064749674464</c:v>
                </c:pt>
                <c:pt idx="5">
                  <c:v>255943.27262792518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0B1-413D-8859-15A2AD9C4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Cash Flow</a:t>
                </a:r>
              </a:p>
            </c:rich>
          </c:tx>
          <c:overlay val="1"/>
        </c:title>
        <c:numFmt formatCode="#,##0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3844444444444448"/>
          <c:y val="0.65444222222222226"/>
          <c:w val="0.34038888888888891"/>
          <c:h val="0.28378222222222221"/>
        </c:manualLayout>
      </c:layout>
      <c:overlay val="1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NPV vs Discount Rate</a:t>
            </a:r>
          </a:p>
        </c:rich>
      </c:tx>
      <c:overlay val="1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NPV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Sensitivity_Analysis!$A$10:$A$14</c:f>
              <c:numCache>
                <c:formatCode>0.00%</c:formatCode>
                <c:ptCount val="5"/>
                <c:pt idx="0">
                  <c:v>0.06</c:v>
                </c:pt>
                <c:pt idx="1">
                  <c:v>0.08</c:v>
                </c:pt>
                <c:pt idx="2">
                  <c:v>0.1</c:v>
                </c:pt>
                <c:pt idx="3">
                  <c:v>0.12</c:v>
                </c:pt>
                <c:pt idx="4">
                  <c:v>0.14000000000000001</c:v>
                </c:pt>
              </c:numCache>
            </c:numRef>
          </c:xVal>
          <c:yVal>
            <c:numRef>
              <c:f>Sensitivity_Analysis!$B$10:$B$14</c:f>
              <c:numCache>
                <c:formatCode>#,##0</c:formatCode>
                <c:ptCount val="5"/>
                <c:pt idx="0">
                  <c:v>258016.92343920108</c:v>
                </c:pt>
                <c:pt idx="1">
                  <c:v>213365.17129841307</c:v>
                </c:pt>
                <c:pt idx="2">
                  <c:v>172545.96370093932</c:v>
                </c:pt>
                <c:pt idx="3">
                  <c:v>135151.25010691211</c:v>
                </c:pt>
                <c:pt idx="4">
                  <c:v>100823.75493283244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C7-48CB-9958-EE8C894D0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1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Discount Rate</a:t>
                </a:r>
              </a:p>
            </c:rich>
          </c:tx>
          <c:overlay val="1"/>
        </c:title>
        <c:numFmt formatCode="0.00%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NPV</a:t>
                </a:r>
              </a:p>
            </c:rich>
          </c:tx>
          <c:overlay val="1"/>
        </c:title>
        <c:numFmt formatCode="#,##0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19</xdr:row>
      <xdr:rowOff>9525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266700</xdr:colOff>
      <xdr:row>19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0</xdr:col>
      <xdr:colOff>771525</xdr:colOff>
      <xdr:row>59</xdr:row>
      <xdr:rowOff>9525</xdr:rowOff>
    </xdr:from>
    <xdr:ext cx="5400000" cy="27000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5</xdr:col>
      <xdr:colOff>238125</xdr:colOff>
      <xdr:row>59</xdr:row>
      <xdr:rowOff>19050</xdr:rowOff>
    </xdr:from>
    <xdr:ext cx="5400000" cy="27000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0</xdr:col>
      <xdr:colOff>800100</xdr:colOff>
      <xdr:row>76</xdr:row>
      <xdr:rowOff>0</xdr:rowOff>
    </xdr:from>
    <xdr:ext cx="5400000" cy="2700000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A077CA-6C5F-4326-A684-ABA8E4B13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  <xdr:oneCellAnchor>
    <xdr:from>
      <xdr:col>5</xdr:col>
      <xdr:colOff>276225</xdr:colOff>
      <xdr:row>76</xdr:row>
      <xdr:rowOff>0</xdr:rowOff>
    </xdr:from>
    <xdr:ext cx="5400000" cy="2700000"/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616CD8-B76A-4CF9-8542-766BCC04A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990600</xdr:colOff>
      <xdr:row>27</xdr:row>
      <xdr:rowOff>19050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638175</xdr:colOff>
      <xdr:row>29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6</xdr:row>
      <xdr:rowOff>123825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workbookViewId="0">
      <selection activeCell="G12" activeCellId="1" sqref="F98 G12"/>
    </sheetView>
  </sheetViews>
  <sheetFormatPr defaultRowHeight="15" x14ac:dyDescent="0.25"/>
  <cols>
    <col min="1" max="1" width="25" customWidth="1"/>
    <col min="2" max="3" width="15" customWidth="1"/>
    <col min="4" max="4" width="25" customWidth="1"/>
    <col min="5" max="8" width="15" customWidth="1"/>
  </cols>
  <sheetData>
    <row r="1" spans="1:6" ht="18.75" x14ac:dyDescent="0.3">
      <c r="A1" s="1" t="s">
        <v>0</v>
      </c>
    </row>
    <row r="3" spans="1:6" x14ac:dyDescent="0.25">
      <c r="A3" s="2" t="s">
        <v>1</v>
      </c>
      <c r="D3" s="2" t="s">
        <v>2</v>
      </c>
    </row>
    <row r="5" spans="1:6" x14ac:dyDescent="0.25">
      <c r="A5" t="s">
        <v>3</v>
      </c>
      <c r="B5" s="3">
        <f>Revenue_Forecast!B9</f>
        <v>2250000</v>
      </c>
      <c r="D5" t="s">
        <v>4</v>
      </c>
      <c r="E5" s="4">
        <f>Income_Statement!B7/Income_Statement!B5</f>
        <v>0.75</v>
      </c>
    </row>
    <row r="6" spans="1:6" x14ac:dyDescent="0.25">
      <c r="A6" t="s">
        <v>5</v>
      </c>
      <c r="B6" s="3">
        <f>Income_Statement!B7</f>
        <v>1687500</v>
      </c>
      <c r="D6" t="s">
        <v>6</v>
      </c>
      <c r="E6" s="4">
        <f>Income_Statement!B10/Income_Statement!B5</f>
        <v>0.15</v>
      </c>
    </row>
    <row r="7" spans="1:6" x14ac:dyDescent="0.25">
      <c r="A7" t="s">
        <v>7</v>
      </c>
      <c r="B7" s="3">
        <f>Income_Statement!B10</f>
        <v>337500</v>
      </c>
      <c r="D7" t="s">
        <v>8</v>
      </c>
      <c r="E7" s="4">
        <f>Income_Statement!B14/Income_Statement!B5</f>
        <v>0.15</v>
      </c>
    </row>
    <row r="8" spans="1:6" x14ac:dyDescent="0.25">
      <c r="A8" t="s">
        <v>9</v>
      </c>
      <c r="B8" s="3">
        <f>Income_Statement!B14</f>
        <v>337500</v>
      </c>
      <c r="D8" t="s">
        <v>10</v>
      </c>
      <c r="E8" s="4">
        <f>Income_Statement!B14/Balance_Sheet!B20</f>
        <v>0.22500000000000001</v>
      </c>
    </row>
    <row r="9" spans="1:6" x14ac:dyDescent="0.25">
      <c r="A9" t="s">
        <v>11</v>
      </c>
      <c r="B9" s="3">
        <f>Balance_Sheet!B6</f>
        <v>500000</v>
      </c>
      <c r="D9" t="s">
        <v>12</v>
      </c>
      <c r="E9" s="5">
        <f>Balance_Sheet!B8/Balance_Sheet!B15</f>
        <v>6.9767441860465115E-2</v>
      </c>
    </row>
    <row r="10" spans="1:6" x14ac:dyDescent="0.25">
      <c r="A10" t="s">
        <v>13</v>
      </c>
      <c r="B10" s="3">
        <f>Capital_Budgeting!B18</f>
        <v>255943.27262792518</v>
      </c>
    </row>
    <row r="11" spans="1:6" x14ac:dyDescent="0.25">
      <c r="A11" t="s">
        <v>14</v>
      </c>
      <c r="B11" s="4">
        <f>Capital_Budgeting!B22</f>
        <v>0.21050705230245059</v>
      </c>
    </row>
    <row r="12" spans="1:6" x14ac:dyDescent="0.25">
      <c r="A12" t="s">
        <v>15</v>
      </c>
      <c r="B12" s="5">
        <f>Capital_Budgeting!B26</f>
        <v>4.2777777777777777</v>
      </c>
    </row>
    <row r="15" spans="1:6" x14ac:dyDescent="0.25">
      <c r="A15" s="2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</row>
    <row r="16" spans="1:6" x14ac:dyDescent="0.25">
      <c r="B16" s="3">
        <f>Revenue_Forecast!B9</f>
        <v>2250000</v>
      </c>
      <c r="C16" s="3">
        <f>Revenue_Forecast!C9</f>
        <v>2372500</v>
      </c>
      <c r="D16" s="3">
        <f>Revenue_Forecast!D9</f>
        <v>2501975</v>
      </c>
      <c r="E16" s="3">
        <f>Revenue_Forecast!E9</f>
        <v>2638839.25</v>
      </c>
      <c r="F16" s="3">
        <f>Revenue_Forecast!F9</f>
        <v>2783532.5375000006</v>
      </c>
    </row>
    <row r="40" spans="1:6" x14ac:dyDescent="0.25">
      <c r="A40" s="2" t="s">
        <v>22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</row>
    <row r="41" spans="1:6" x14ac:dyDescent="0.25">
      <c r="A41" t="s">
        <v>23</v>
      </c>
      <c r="B41" s="3">
        <f>Revenue_Forecast!B9</f>
        <v>2250000</v>
      </c>
      <c r="C41" s="3">
        <f>Revenue_Forecast!C9</f>
        <v>2372500</v>
      </c>
      <c r="D41" s="3">
        <f>Revenue_Forecast!D9</f>
        <v>2501975</v>
      </c>
      <c r="E41" s="3">
        <f>Revenue_Forecast!E9</f>
        <v>2638839.25</v>
      </c>
      <c r="F41" s="3">
        <f>Revenue_Forecast!F9</f>
        <v>2783532.5375000006</v>
      </c>
    </row>
    <row r="42" spans="1:6" x14ac:dyDescent="0.25">
      <c r="A42" t="s">
        <v>24</v>
      </c>
      <c r="B42" s="3">
        <f>Income_Statement!B7</f>
        <v>1687500</v>
      </c>
      <c r="C42" s="3">
        <f>Income_Statement!C7</f>
        <v>1779375</v>
      </c>
      <c r="D42" s="3">
        <f>Income_Statement!D7</f>
        <v>1876481.25</v>
      </c>
      <c r="E42" s="3">
        <f>Income_Statement!E7</f>
        <v>1979129.4375</v>
      </c>
      <c r="F42" s="3">
        <f>Income_Statement!F7</f>
        <v>2087649.4031250004</v>
      </c>
    </row>
    <row r="43" spans="1:6" x14ac:dyDescent="0.25">
      <c r="A43" t="s">
        <v>25</v>
      </c>
      <c r="B43" s="3">
        <f>Income_Statement!B10</f>
        <v>337500</v>
      </c>
      <c r="C43" s="3">
        <f>Income_Statement!C10</f>
        <v>355875</v>
      </c>
      <c r="D43" s="3">
        <f>Income_Statement!D10</f>
        <v>375296.25</v>
      </c>
      <c r="E43" s="3">
        <f>Income_Statement!E10</f>
        <v>395825.88750000001</v>
      </c>
      <c r="F43" s="3">
        <f>Income_Statement!F10</f>
        <v>417529.88062500005</v>
      </c>
    </row>
    <row r="44" spans="1:6" x14ac:dyDescent="0.25">
      <c r="A44" t="s">
        <v>26</v>
      </c>
      <c r="B44" s="3">
        <f>Income_Statement!B14</f>
        <v>337500</v>
      </c>
      <c r="C44" s="3">
        <f>Income_Statement!C14</f>
        <v>355875</v>
      </c>
      <c r="D44" s="3">
        <f>Income_Statement!D14</f>
        <v>375296.25</v>
      </c>
      <c r="E44" s="3">
        <f>Income_Statement!E14</f>
        <v>395825.88749999995</v>
      </c>
      <c r="F44" s="3">
        <f>Income_Statement!F14</f>
        <v>417529.88062499999</v>
      </c>
    </row>
    <row r="50" spans="1:8" x14ac:dyDescent="0.25">
      <c r="A50" s="2" t="s">
        <v>27</v>
      </c>
      <c r="G50" s="2" t="s">
        <v>28</v>
      </c>
    </row>
    <row r="51" spans="1:8" x14ac:dyDescent="0.25">
      <c r="A51" t="s">
        <v>29</v>
      </c>
      <c r="B51" s="3">
        <f>Income_Statement!B6</f>
        <v>562500</v>
      </c>
      <c r="G51" s="4" t="str">
        <f>Sensitivity_Analysis!A9</f>
        <v>Discount Rate</v>
      </c>
      <c r="H51" s="3" t="str">
        <f>Sensitivity_Analysis!B9</f>
        <v>NPV</v>
      </c>
    </row>
    <row r="52" spans="1:8" x14ac:dyDescent="0.25">
      <c r="A52" t="s">
        <v>30</v>
      </c>
      <c r="B52" s="3">
        <f>Income_Statement!B8</f>
        <v>0</v>
      </c>
      <c r="G52" s="4">
        <f>Sensitivity_Analysis!A10</f>
        <v>0.06</v>
      </c>
      <c r="H52" s="3">
        <f>Sensitivity_Analysis!B10</f>
        <v>258016.92343920108</v>
      </c>
    </row>
    <row r="53" spans="1:8" x14ac:dyDescent="0.25">
      <c r="A53" t="s">
        <v>31</v>
      </c>
      <c r="B53" s="3">
        <f>Income_Statement!B9</f>
        <v>675000</v>
      </c>
      <c r="G53" s="4">
        <f>Sensitivity_Analysis!A11</f>
        <v>0.08</v>
      </c>
      <c r="H53" s="3">
        <f>Sensitivity_Analysis!B11</f>
        <v>213365.17129841307</v>
      </c>
    </row>
    <row r="54" spans="1:8" x14ac:dyDescent="0.25">
      <c r="A54" t="s">
        <v>32</v>
      </c>
      <c r="B54" s="3">
        <f>Income_Statement!B11</f>
        <v>225000</v>
      </c>
      <c r="G54" s="4">
        <f>Sensitivity_Analysis!A12</f>
        <v>0.1</v>
      </c>
      <c r="H54" s="3">
        <f>Sensitivity_Analysis!B12</f>
        <v>172545.96370093932</v>
      </c>
    </row>
    <row r="55" spans="1:8" x14ac:dyDescent="0.25">
      <c r="A55" t="s">
        <v>33</v>
      </c>
      <c r="B55" s="3">
        <f>Income_Statement!B13</f>
        <v>1350000</v>
      </c>
      <c r="G55" s="4">
        <f>Sensitivity_Analysis!A13</f>
        <v>0.12</v>
      </c>
      <c r="H55" s="3">
        <f>Sensitivity_Analysis!B13</f>
        <v>135151.25010691211</v>
      </c>
    </row>
  </sheetData>
  <conditionalFormatting sqref="B5:B12">
    <cfRule type="colorScale" priority="1">
      <colorScale>
        <cfvo type="max"/>
        <cfvo type="percentile" val="50"/>
        <cfvo type="min"/>
        <color rgb="FF63BE7B"/>
        <color rgb="FFFFEB84"/>
        <color rgb="FFF8696B"/>
      </colorScale>
    </cfRule>
  </conditionalFormatting>
  <conditionalFormatting sqref="E5:E9">
    <cfRule type="colorScale" priority="2">
      <colorScale>
        <cfvo type="max"/>
        <cfvo type="percentile" val="50"/>
        <cfvo type="min"/>
        <color rgb="FF63BE7B"/>
        <color rgb="FFFFEB84"/>
        <color rgb="FFF8696B"/>
      </colorScale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>
      <selection activeCell="B4" sqref="B4"/>
    </sheetView>
  </sheetViews>
  <sheetFormatPr defaultRowHeight="15" x14ac:dyDescent="0.25"/>
  <cols>
    <col min="1" max="1" width="30" customWidth="1"/>
    <col min="2" max="2" width="60" customWidth="1"/>
    <col min="3" max="3" width="15" customWidth="1"/>
  </cols>
  <sheetData>
    <row r="1" spans="1:3" ht="18.75" x14ac:dyDescent="0.3">
      <c r="A1" s="6" t="s">
        <v>34</v>
      </c>
    </row>
    <row r="3" spans="1:3" x14ac:dyDescent="0.25">
      <c r="A3" t="s">
        <v>35</v>
      </c>
      <c r="B3" t="s">
        <v>36</v>
      </c>
    </row>
    <row r="4" spans="1:3" x14ac:dyDescent="0.25">
      <c r="A4" t="s">
        <v>37</v>
      </c>
      <c r="B4" t="s">
        <v>38</v>
      </c>
    </row>
    <row r="5" spans="1:3" x14ac:dyDescent="0.25">
      <c r="A5" t="s">
        <v>39</v>
      </c>
      <c r="B5" t="s">
        <v>40</v>
      </c>
    </row>
    <row r="7" spans="1:3" x14ac:dyDescent="0.25">
      <c r="A7" s="7" t="s">
        <v>41</v>
      </c>
    </row>
    <row r="8" spans="1:3" ht="150" x14ac:dyDescent="0.25">
      <c r="A8" s="8" t="s">
        <v>42</v>
      </c>
      <c r="B8" s="8"/>
    </row>
    <row r="9" spans="1:3" x14ac:dyDescent="0.25">
      <c r="A9" s="8"/>
      <c r="B9" s="8"/>
    </row>
    <row r="10" spans="1:3" x14ac:dyDescent="0.25">
      <c r="A10" s="9" t="s">
        <v>43</v>
      </c>
      <c r="B10" s="8"/>
    </row>
    <row r="11" spans="1:3" x14ac:dyDescent="0.25">
      <c r="A11" s="8"/>
      <c r="B11" s="8"/>
    </row>
    <row r="12" spans="1:3" x14ac:dyDescent="0.25">
      <c r="A12" s="10" t="s">
        <v>44</v>
      </c>
      <c r="B12" s="8" t="s">
        <v>45</v>
      </c>
      <c r="C12" t="s">
        <v>46</v>
      </c>
    </row>
    <row r="13" spans="1:3" x14ac:dyDescent="0.25">
      <c r="A13" s="10" t="s">
        <v>47</v>
      </c>
      <c r="B13" s="8" t="s">
        <v>48</v>
      </c>
      <c r="C13" t="s">
        <v>49</v>
      </c>
    </row>
    <row r="14" spans="1:3" x14ac:dyDescent="0.25">
      <c r="A14" s="10" t="s">
        <v>50</v>
      </c>
      <c r="B14" s="8" t="s">
        <v>51</v>
      </c>
      <c r="C14" t="s">
        <v>52</v>
      </c>
    </row>
    <row r="15" spans="1:3" x14ac:dyDescent="0.25">
      <c r="A15" s="10" t="s">
        <v>53</v>
      </c>
      <c r="B15" s="8" t="s">
        <v>54</v>
      </c>
      <c r="C15" t="s">
        <v>55</v>
      </c>
    </row>
    <row r="16" spans="1:3" x14ac:dyDescent="0.25">
      <c r="A16" s="8"/>
      <c r="B16" s="8"/>
    </row>
    <row r="17" spans="1:2" x14ac:dyDescent="0.25">
      <c r="A17" s="9" t="s">
        <v>56</v>
      </c>
      <c r="B17" s="8"/>
    </row>
    <row r="18" spans="1:2" x14ac:dyDescent="0.25">
      <c r="A18" s="8"/>
      <c r="B18" s="8"/>
    </row>
    <row r="19" spans="1:2" ht="30" x14ac:dyDescent="0.25">
      <c r="A19" s="8" t="s">
        <v>57</v>
      </c>
      <c r="B19" s="8"/>
    </row>
    <row r="20" spans="1:2" ht="30" x14ac:dyDescent="0.25">
      <c r="A20" s="8" t="s">
        <v>58</v>
      </c>
      <c r="B20" s="8"/>
    </row>
    <row r="21" spans="1:2" ht="30" x14ac:dyDescent="0.25">
      <c r="A21" s="8" t="s">
        <v>59</v>
      </c>
      <c r="B21" s="8"/>
    </row>
    <row r="22" spans="1:2" ht="30" x14ac:dyDescent="0.25">
      <c r="A22" s="8" t="s">
        <v>60</v>
      </c>
      <c r="B22" s="8"/>
    </row>
    <row r="23" spans="1:2" ht="45" x14ac:dyDescent="0.25">
      <c r="A23" s="8" t="s">
        <v>61</v>
      </c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9" t="s">
        <v>62</v>
      </c>
      <c r="B26" s="8"/>
    </row>
    <row r="27" spans="1:2" x14ac:dyDescent="0.25">
      <c r="A27" s="8"/>
      <c r="B27" s="8"/>
    </row>
    <row r="28" spans="1:2" x14ac:dyDescent="0.25">
      <c r="A28" s="8" t="s">
        <v>63</v>
      </c>
      <c r="B28" s="8"/>
    </row>
    <row r="29" spans="1:2" ht="30" x14ac:dyDescent="0.25">
      <c r="A29" s="8" t="s">
        <v>64</v>
      </c>
      <c r="B29" s="8"/>
    </row>
    <row r="30" spans="1:2" x14ac:dyDescent="0.25">
      <c r="A30" s="8" t="s">
        <v>65</v>
      </c>
      <c r="B30" s="8"/>
    </row>
    <row r="31" spans="1:2" x14ac:dyDescent="0.25">
      <c r="A31" s="8" t="s">
        <v>66</v>
      </c>
      <c r="B31" s="8"/>
    </row>
    <row r="32" spans="1:2" x14ac:dyDescent="0.25">
      <c r="A32" s="8" t="s">
        <v>67</v>
      </c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9" t="s">
        <v>68</v>
      </c>
      <c r="B35" s="8"/>
    </row>
    <row r="36" spans="1:2" x14ac:dyDescent="0.25">
      <c r="A36" s="8"/>
      <c r="B36" s="8"/>
    </row>
    <row r="37" spans="1:2" ht="30" x14ac:dyDescent="0.25">
      <c r="A37" s="8" t="s">
        <v>69</v>
      </c>
      <c r="B37" s="8"/>
    </row>
    <row r="38" spans="1:2" ht="30" x14ac:dyDescent="0.25">
      <c r="A38" s="8" t="s">
        <v>70</v>
      </c>
      <c r="B38" s="8"/>
    </row>
    <row r="39" spans="1:2" ht="30" x14ac:dyDescent="0.25">
      <c r="A39" s="8" t="s">
        <v>71</v>
      </c>
      <c r="B39" s="8"/>
    </row>
    <row r="40" spans="1:2" ht="30" x14ac:dyDescent="0.25">
      <c r="A40" s="8" t="s">
        <v>72</v>
      </c>
      <c r="B40" s="8"/>
    </row>
    <row r="41" spans="1:2" ht="30" x14ac:dyDescent="0.25">
      <c r="A41" s="8" t="s">
        <v>73</v>
      </c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9" t="s">
        <v>74</v>
      </c>
      <c r="B44" s="8"/>
    </row>
    <row r="45" spans="1:2" x14ac:dyDescent="0.25">
      <c r="A45" s="8"/>
      <c r="B45" s="8"/>
    </row>
    <row r="46" spans="1:2" x14ac:dyDescent="0.25">
      <c r="A46" s="8" t="s">
        <v>75</v>
      </c>
      <c r="B46" s="8" t="s">
        <v>76</v>
      </c>
    </row>
    <row r="47" spans="1:2" x14ac:dyDescent="0.25">
      <c r="A47" s="8" t="s">
        <v>4</v>
      </c>
      <c r="B47" s="8" t="s">
        <v>77</v>
      </c>
    </row>
    <row r="48" spans="1:2" x14ac:dyDescent="0.25">
      <c r="A48" s="8" t="s">
        <v>6</v>
      </c>
      <c r="B48" s="8" t="s">
        <v>78</v>
      </c>
    </row>
    <row r="49" spans="1:2" x14ac:dyDescent="0.25">
      <c r="A49" s="8" t="s">
        <v>79</v>
      </c>
      <c r="B49" s="8" t="s">
        <v>80</v>
      </c>
    </row>
    <row r="50" spans="1:2" x14ac:dyDescent="0.25">
      <c r="A50" t="s">
        <v>81</v>
      </c>
      <c r="B50" t="s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topLeftCell="A15" workbookViewId="0">
      <selection activeCell="G30" sqref="G30"/>
    </sheetView>
  </sheetViews>
  <sheetFormatPr defaultRowHeight="15" x14ac:dyDescent="0.25"/>
  <cols>
    <col min="1" max="1" width="25" customWidth="1"/>
    <col min="2" max="2" width="15" customWidth="1"/>
  </cols>
  <sheetData>
    <row r="1" spans="1:2" ht="18.75" x14ac:dyDescent="0.3">
      <c r="A1" s="1" t="s">
        <v>83</v>
      </c>
    </row>
    <row r="3" spans="1:2" x14ac:dyDescent="0.25">
      <c r="A3" s="11" t="s">
        <v>84</v>
      </c>
    </row>
    <row r="4" spans="1:2" x14ac:dyDescent="0.25">
      <c r="A4" t="s">
        <v>85</v>
      </c>
      <c r="B4">
        <v>2025</v>
      </c>
    </row>
    <row r="5" spans="1:2" x14ac:dyDescent="0.25">
      <c r="A5" t="s">
        <v>86</v>
      </c>
      <c r="B5">
        <v>5</v>
      </c>
    </row>
    <row r="6" spans="1:2" x14ac:dyDescent="0.25">
      <c r="A6" t="s">
        <v>87</v>
      </c>
      <c r="B6" s="4">
        <v>0.24</v>
      </c>
    </row>
    <row r="7" spans="1:2" x14ac:dyDescent="0.25">
      <c r="A7" t="s">
        <v>88</v>
      </c>
      <c r="B7" s="4">
        <v>0.03</v>
      </c>
    </row>
    <row r="10" spans="1:2" x14ac:dyDescent="0.25">
      <c r="A10" s="11" t="s">
        <v>89</v>
      </c>
    </row>
    <row r="11" spans="1:2" x14ac:dyDescent="0.25">
      <c r="A11" t="s">
        <v>90</v>
      </c>
      <c r="B11" s="4">
        <v>0.05</v>
      </c>
    </row>
    <row r="12" spans="1:2" x14ac:dyDescent="0.25">
      <c r="A12" t="s">
        <v>91</v>
      </c>
      <c r="B12" s="4">
        <v>7.0000000000000007E-2</v>
      </c>
    </row>
    <row r="13" spans="1:2" x14ac:dyDescent="0.25">
      <c r="A13" t="s">
        <v>92</v>
      </c>
      <c r="B13" s="4">
        <v>0.04</v>
      </c>
    </row>
    <row r="16" spans="1:2" x14ac:dyDescent="0.25">
      <c r="A16" s="11" t="s">
        <v>93</v>
      </c>
    </row>
    <row r="17" spans="1:2" x14ac:dyDescent="0.25">
      <c r="A17" t="s">
        <v>94</v>
      </c>
      <c r="B17" s="4">
        <v>0.6</v>
      </c>
    </row>
    <row r="18" spans="1:2" x14ac:dyDescent="0.25">
      <c r="A18" t="s">
        <v>95</v>
      </c>
      <c r="B18" s="4">
        <v>0.15</v>
      </c>
    </row>
    <row r="19" spans="1:2" x14ac:dyDescent="0.25">
      <c r="A19" t="s">
        <v>96</v>
      </c>
      <c r="B19" s="4">
        <v>0.08</v>
      </c>
    </row>
    <row r="22" spans="1:2" x14ac:dyDescent="0.25">
      <c r="A22" t="s">
        <v>97</v>
      </c>
      <c r="B22" s="4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E17" sqref="E17"/>
    </sheetView>
  </sheetViews>
  <sheetFormatPr defaultRowHeight="15" x14ac:dyDescent="0.25"/>
  <cols>
    <col min="1" max="1" width="20" customWidth="1"/>
    <col min="2" max="6" width="15" customWidth="1"/>
  </cols>
  <sheetData>
    <row r="1" spans="1:6" ht="18.75" x14ac:dyDescent="0.3">
      <c r="A1" s="1" t="s">
        <v>98</v>
      </c>
    </row>
    <row r="3" spans="1:6" x14ac:dyDescent="0.25">
      <c r="A3" s="2" t="s">
        <v>99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</row>
    <row r="5" spans="1:6" x14ac:dyDescent="0.25">
      <c r="A5" t="s">
        <v>100</v>
      </c>
      <c r="B5" s="3">
        <v>1000000</v>
      </c>
      <c r="C5" s="3">
        <f>B5*(1+Assumptions!B11)</f>
        <v>1050000</v>
      </c>
      <c r="D5" s="3">
        <f>C5*(1+Assumptions!B11)</f>
        <v>1102500</v>
      </c>
      <c r="E5" s="3">
        <f>D5*(1+Assumptions!B11)</f>
        <v>1157625</v>
      </c>
      <c r="F5" s="3">
        <f>E5*(1+Assumptions!B11)</f>
        <v>1215506.25</v>
      </c>
    </row>
    <row r="6" spans="1:6" x14ac:dyDescent="0.25">
      <c r="A6" t="s">
        <v>101</v>
      </c>
      <c r="B6" s="3">
        <v>750000</v>
      </c>
      <c r="C6" s="3">
        <f>B6*(1+Assumptions!B12)</f>
        <v>802500</v>
      </c>
      <c r="D6" s="3">
        <f>C6*(1+Assumptions!B12)</f>
        <v>858675</v>
      </c>
      <c r="E6" s="3">
        <f>D6*(1+Assumptions!B12)</f>
        <v>918782.25</v>
      </c>
      <c r="F6" s="3">
        <f>E6*(1+Assumptions!B12)</f>
        <v>983097.00750000007</v>
      </c>
    </row>
    <row r="7" spans="1:6" x14ac:dyDescent="0.25">
      <c r="A7" t="s">
        <v>102</v>
      </c>
      <c r="B7" s="3">
        <v>500000</v>
      </c>
      <c r="C7" s="3">
        <f>B7*(1+Assumptions!B13)</f>
        <v>520000</v>
      </c>
      <c r="D7" s="3">
        <f>C7*(1+Assumptions!B13)</f>
        <v>540800</v>
      </c>
      <c r="E7" s="3">
        <f>D7*(1+Assumptions!B13)</f>
        <v>562432</v>
      </c>
      <c r="F7" s="3">
        <f>E7*(1+Assumptions!B13)</f>
        <v>584929.28000000003</v>
      </c>
    </row>
    <row r="8" spans="1:6" x14ac:dyDescent="0.25">
      <c r="B8" s="3"/>
      <c r="C8" s="3"/>
      <c r="D8" s="3"/>
      <c r="E8" s="3"/>
      <c r="F8" s="3"/>
    </row>
    <row r="9" spans="1:6" x14ac:dyDescent="0.25">
      <c r="A9" s="12" t="s">
        <v>103</v>
      </c>
      <c r="B9" s="13">
        <f>SUM(B5:B7)</f>
        <v>2250000</v>
      </c>
      <c r="C9" s="13">
        <f>SUM(C5:C7)</f>
        <v>2372500</v>
      </c>
      <c r="D9" s="13">
        <f>SUM(D5:D7)</f>
        <v>2501975</v>
      </c>
      <c r="E9" s="13">
        <f>SUM(E5:E7)</f>
        <v>2638839.25</v>
      </c>
      <c r="F9" s="13">
        <f>SUM(F5:F7)</f>
        <v>2783532.5375000006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/>
  </sheetViews>
  <sheetFormatPr defaultRowHeight="15" x14ac:dyDescent="0.25"/>
  <cols>
    <col min="1" max="1" width="20" customWidth="1"/>
    <col min="2" max="6" width="15" customWidth="1"/>
  </cols>
  <sheetData>
    <row r="1" spans="1:6" ht="18.75" x14ac:dyDescent="0.3">
      <c r="A1" s="1" t="s">
        <v>104</v>
      </c>
    </row>
    <row r="3" spans="1:6" x14ac:dyDescent="0.25">
      <c r="A3" s="2" t="s">
        <v>99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</row>
    <row r="5" spans="1:6" x14ac:dyDescent="0.25">
      <c r="A5" t="s">
        <v>105</v>
      </c>
      <c r="B5" s="3">
        <f>Revenue_Forecast!B6*Assumptions!B17</f>
        <v>450000</v>
      </c>
      <c r="C5" s="3">
        <f>Revenue_Forecast!C6*Assumptions!B17</f>
        <v>481500</v>
      </c>
      <c r="D5" s="3">
        <f>Revenue_Forecast!D6*Assumptions!B17</f>
        <v>515205</v>
      </c>
      <c r="E5" s="3">
        <f>Revenue_Forecast!E6*Assumptions!B17</f>
        <v>551269.35</v>
      </c>
      <c r="F5" s="3">
        <f>Revenue_Forecast!F6*Assumptions!B17</f>
        <v>589858.20449999999</v>
      </c>
    </row>
    <row r="6" spans="1:6" x14ac:dyDescent="0.25">
      <c r="A6" t="s">
        <v>106</v>
      </c>
      <c r="B6" s="3">
        <f>Revenue_Forecast!B7*Assumptions!B17</f>
        <v>300000</v>
      </c>
      <c r="C6" s="3">
        <f>Revenue_Forecast!C7*Assumptions!B17</f>
        <v>312000</v>
      </c>
      <c r="D6" s="3">
        <f>Revenue_Forecast!D7*Assumptions!B17</f>
        <v>324480</v>
      </c>
      <c r="E6" s="3">
        <f>Revenue_Forecast!E7*Assumptions!B17</f>
        <v>337459.20000000001</v>
      </c>
      <c r="F6" s="3">
        <f>Revenue_Forecast!F7*Assumptions!B17</f>
        <v>350957.56800000003</v>
      </c>
    </row>
    <row r="7" spans="1:6" x14ac:dyDescent="0.25">
      <c r="A7" t="s">
        <v>107</v>
      </c>
      <c r="B7" s="3">
        <f>Revenue_Forecast!B8*Assumptions!B17</f>
        <v>0</v>
      </c>
      <c r="C7" s="3">
        <f>Revenue_Forecast!C8*Assumptions!B17</f>
        <v>0</v>
      </c>
      <c r="D7" s="3">
        <f>Revenue_Forecast!D8*Assumptions!B17</f>
        <v>0</v>
      </c>
      <c r="E7" s="3">
        <f>Revenue_Forecast!E8*Assumptions!B17</f>
        <v>0</v>
      </c>
      <c r="F7" s="3">
        <f>Revenue_Forecast!F8*Assumptions!B17</f>
        <v>0</v>
      </c>
    </row>
    <row r="8" spans="1:6" x14ac:dyDescent="0.25">
      <c r="B8" s="3"/>
      <c r="C8" s="3"/>
      <c r="D8" s="3"/>
      <c r="E8" s="3"/>
      <c r="F8" s="3"/>
    </row>
    <row r="9" spans="1:6" x14ac:dyDescent="0.25">
      <c r="A9" s="14" t="s">
        <v>108</v>
      </c>
      <c r="B9" s="15">
        <f>SUM(B5:B7)</f>
        <v>750000</v>
      </c>
      <c r="C9" s="15">
        <f>SUM(C5:C7)</f>
        <v>793500</v>
      </c>
      <c r="D9" s="15">
        <f>SUM(D5:D7)</f>
        <v>839685</v>
      </c>
      <c r="E9" s="15">
        <f>SUM(E5:E7)</f>
        <v>888728.55</v>
      </c>
      <c r="F9" s="15">
        <f>SUM(F5:F7)</f>
        <v>940815.77249999996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E16" sqref="E16"/>
    </sheetView>
  </sheetViews>
  <sheetFormatPr defaultRowHeight="15" x14ac:dyDescent="0.25"/>
  <cols>
    <col min="1" max="1" width="25" customWidth="1"/>
    <col min="2" max="6" width="15" customWidth="1"/>
  </cols>
  <sheetData>
    <row r="1" spans="1:6" ht="18.75" x14ac:dyDescent="0.3">
      <c r="A1" s="1" t="s">
        <v>109</v>
      </c>
    </row>
    <row r="3" spans="1:6" x14ac:dyDescent="0.25">
      <c r="A3" s="2" t="s">
        <v>99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</row>
    <row r="5" spans="1:6" x14ac:dyDescent="0.25">
      <c r="A5" t="s">
        <v>110</v>
      </c>
      <c r="B5" s="3">
        <f>Revenue_Forecast!B9*Assumptions!B18</f>
        <v>337500</v>
      </c>
      <c r="C5" s="3">
        <f>Revenue_Forecast!C9*Assumptions!B18</f>
        <v>355875</v>
      </c>
      <c r="D5" s="3">
        <f>Revenue_Forecast!D9*Assumptions!B18</f>
        <v>375296.25</v>
      </c>
      <c r="E5" s="3">
        <f>Revenue_Forecast!E9*Assumptions!B18</f>
        <v>395825.88750000001</v>
      </c>
      <c r="F5" s="3">
        <f>Revenue_Forecast!F9*Assumptions!B18</f>
        <v>417529.88062500005</v>
      </c>
    </row>
    <row r="6" spans="1:6" x14ac:dyDescent="0.25">
      <c r="A6" t="s">
        <v>111</v>
      </c>
      <c r="B6" s="3">
        <f>Revenue_Forecast!B9*Assumptions!B19</f>
        <v>180000</v>
      </c>
      <c r="C6" s="3">
        <f>Revenue_Forecast!C9*Assumptions!B19</f>
        <v>189800</v>
      </c>
      <c r="D6" s="3">
        <f>Revenue_Forecast!D9*Assumptions!B19</f>
        <v>200158</v>
      </c>
      <c r="E6" s="3">
        <f>Revenue_Forecast!E9*Assumptions!B19</f>
        <v>211107.14</v>
      </c>
      <c r="F6" s="3">
        <f>Revenue_Forecast!F9*Assumptions!B19</f>
        <v>222682.60300000006</v>
      </c>
    </row>
    <row r="7" spans="1:6" x14ac:dyDescent="0.25">
      <c r="A7" t="s">
        <v>112</v>
      </c>
      <c r="B7" s="3">
        <v>100000</v>
      </c>
      <c r="C7" s="3">
        <v>105000</v>
      </c>
      <c r="D7" s="3">
        <v>110250</v>
      </c>
      <c r="E7" s="3">
        <v>115763</v>
      </c>
      <c r="F7" s="3">
        <v>121551</v>
      </c>
    </row>
    <row r="8" spans="1:6" x14ac:dyDescent="0.25">
      <c r="B8" s="3"/>
      <c r="C8" s="3"/>
      <c r="D8" s="3"/>
      <c r="E8" s="3"/>
      <c r="F8" s="3"/>
    </row>
    <row r="9" spans="1:6" x14ac:dyDescent="0.25">
      <c r="A9" s="16" t="s">
        <v>113</v>
      </c>
      <c r="B9" s="17">
        <f>SUM(B5:B7)</f>
        <v>617500</v>
      </c>
      <c r="C9" s="17">
        <f>SUM(C5:C7)</f>
        <v>650675</v>
      </c>
      <c r="D9" s="17">
        <f>SUM(D5:D7)</f>
        <v>685704.25</v>
      </c>
      <c r="E9" s="17">
        <f>SUM(E5:E7)</f>
        <v>722696.02750000008</v>
      </c>
      <c r="F9" s="17">
        <f>SUM(F5:F7)</f>
        <v>761763.48362500011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"/>
  <sheetViews>
    <sheetView topLeftCell="A27" workbookViewId="0">
      <selection activeCell="H36" sqref="H36"/>
    </sheetView>
  </sheetViews>
  <sheetFormatPr defaultRowHeight="15" x14ac:dyDescent="0.25"/>
  <cols>
    <col min="1" max="1" width="30" customWidth="1"/>
    <col min="2" max="6" width="15" customWidth="1"/>
  </cols>
  <sheetData>
    <row r="1" spans="1:6" ht="18.75" x14ac:dyDescent="0.3">
      <c r="A1" s="6" t="s">
        <v>114</v>
      </c>
    </row>
    <row r="3" spans="1:6" x14ac:dyDescent="0.25">
      <c r="A3" s="18" t="s">
        <v>115</v>
      </c>
      <c r="B3" s="18" t="s">
        <v>17</v>
      </c>
      <c r="C3" s="18" t="s">
        <v>18</v>
      </c>
      <c r="D3" s="18" t="s">
        <v>19</v>
      </c>
      <c r="E3" s="18" t="s">
        <v>20</v>
      </c>
      <c r="F3" s="18" t="s">
        <v>21</v>
      </c>
    </row>
    <row r="5" spans="1:6" x14ac:dyDescent="0.25">
      <c r="A5" s="2" t="s">
        <v>23</v>
      </c>
      <c r="B5" s="19">
        <f>Revenue_Forecast!B9</f>
        <v>2250000</v>
      </c>
      <c r="C5" s="19">
        <f>Revenue_Forecast!C9</f>
        <v>2372500</v>
      </c>
      <c r="D5" s="19">
        <f>Revenue_Forecast!D9</f>
        <v>2501975</v>
      </c>
      <c r="E5" s="19">
        <f>Revenue_Forecast!E9</f>
        <v>2638839.25</v>
      </c>
      <c r="F5" s="19">
        <f>Revenue_Forecast!F9</f>
        <v>2783532.5375000006</v>
      </c>
    </row>
    <row r="6" spans="1:6" x14ac:dyDescent="0.25">
      <c r="A6" t="s">
        <v>116</v>
      </c>
      <c r="B6" s="3">
        <f>B5*0.25</f>
        <v>562500</v>
      </c>
      <c r="C6" s="3">
        <f>C5*0.25</f>
        <v>593125</v>
      </c>
      <c r="D6" s="3">
        <f>D5*0.25</f>
        <v>625493.75</v>
      </c>
      <c r="E6" s="3">
        <f>E5*0.25</f>
        <v>659709.8125</v>
      </c>
      <c r="F6" s="3">
        <f>F5*0.25</f>
        <v>695883.13437500014</v>
      </c>
    </row>
    <row r="7" spans="1:6" x14ac:dyDescent="0.25">
      <c r="A7" s="7" t="s">
        <v>24</v>
      </c>
      <c r="B7" s="20">
        <f>B5-B6</f>
        <v>1687500</v>
      </c>
      <c r="C7" s="20">
        <f>C5-C6</f>
        <v>1779375</v>
      </c>
      <c r="D7" s="20">
        <f>D5-D6</f>
        <v>1876481.25</v>
      </c>
      <c r="E7" s="20">
        <f>E5-E6</f>
        <v>1979129.4375</v>
      </c>
      <c r="F7" s="20">
        <f>F5-F6</f>
        <v>2087649.4031250004</v>
      </c>
    </row>
    <row r="8" spans="1:6" x14ac:dyDescent="0.25">
      <c r="A8" t="s">
        <v>117</v>
      </c>
      <c r="B8" s="3"/>
      <c r="C8" s="3"/>
      <c r="D8" s="3"/>
      <c r="E8" s="3"/>
      <c r="F8" s="3"/>
    </row>
    <row r="9" spans="1:6" x14ac:dyDescent="0.25">
      <c r="A9" t="s">
        <v>118</v>
      </c>
      <c r="B9" s="3">
        <f>B5*0.3</f>
        <v>675000</v>
      </c>
      <c r="C9" s="3">
        <f>C5*0.3</f>
        <v>711750</v>
      </c>
      <c r="D9" s="3">
        <f>D5*0.3</f>
        <v>750592.5</v>
      </c>
      <c r="E9" s="3">
        <f>E5*0.3</f>
        <v>791651.77500000002</v>
      </c>
      <c r="F9" s="3">
        <f>F5*0.3</f>
        <v>835059.7612500001</v>
      </c>
    </row>
    <row r="10" spans="1:6" x14ac:dyDescent="0.25">
      <c r="A10" t="s">
        <v>119</v>
      </c>
      <c r="B10" s="3">
        <f>B5*0.15</f>
        <v>337500</v>
      </c>
      <c r="C10" s="3">
        <f>C5*0.15</f>
        <v>355875</v>
      </c>
      <c r="D10" s="3">
        <f>D5*0.15</f>
        <v>375296.25</v>
      </c>
      <c r="E10" s="3">
        <f>E5*0.15</f>
        <v>395825.88750000001</v>
      </c>
      <c r="F10" s="3">
        <f>F5*0.15</f>
        <v>417529.88062500005</v>
      </c>
    </row>
    <row r="11" spans="1:6" x14ac:dyDescent="0.25">
      <c r="A11" t="s">
        <v>120</v>
      </c>
      <c r="B11" s="3">
        <f>B5*0.1</f>
        <v>225000</v>
      </c>
      <c r="C11" s="3">
        <f>C5*0.1</f>
        <v>237250</v>
      </c>
      <c r="D11" s="3">
        <f>D5*0.1</f>
        <v>250197.5</v>
      </c>
      <c r="E11" s="3">
        <f>E5*0.1</f>
        <v>263883.92499999999</v>
      </c>
      <c r="F11" s="3">
        <f>F5*0.1</f>
        <v>278353.25375000009</v>
      </c>
    </row>
    <row r="12" spans="1:6" x14ac:dyDescent="0.25">
      <c r="A12" t="s">
        <v>121</v>
      </c>
      <c r="B12" s="3">
        <f>B5*0.05</f>
        <v>112500</v>
      </c>
      <c r="C12" s="3">
        <f>C5*0.05</f>
        <v>118625</v>
      </c>
      <c r="D12" s="3">
        <f>D5*0.05</f>
        <v>125098.75</v>
      </c>
      <c r="E12" s="3">
        <f>E5*0.05</f>
        <v>131941.96249999999</v>
      </c>
      <c r="F12" s="3">
        <f>F5*0.05</f>
        <v>139176.62687500005</v>
      </c>
    </row>
    <row r="13" spans="1:6" x14ac:dyDescent="0.25">
      <c r="A13" s="7" t="s">
        <v>113</v>
      </c>
      <c r="B13" s="20">
        <f>SUM(B9:B12)</f>
        <v>1350000</v>
      </c>
      <c r="C13" s="20">
        <f>SUM(C9:C12)</f>
        <v>1423500</v>
      </c>
      <c r="D13" s="20">
        <f>SUM(D9:D12)</f>
        <v>1501185</v>
      </c>
      <c r="E13" s="20">
        <f>SUM(E9:E12)</f>
        <v>1583303.55</v>
      </c>
      <c r="F13" s="20">
        <f>SUM(F9:F12)</f>
        <v>1670119.5225000004</v>
      </c>
    </row>
    <row r="14" spans="1:6" x14ac:dyDescent="0.25">
      <c r="A14" s="7" t="s">
        <v>122</v>
      </c>
      <c r="B14" s="20">
        <f>B7-B13</f>
        <v>337500</v>
      </c>
      <c r="C14" s="20">
        <f>C7-C13</f>
        <v>355875</v>
      </c>
      <c r="D14" s="20">
        <f>D7-D13</f>
        <v>375296.25</v>
      </c>
      <c r="E14" s="20">
        <f>E7-E13</f>
        <v>395825.88749999995</v>
      </c>
      <c r="F14" s="20">
        <f>F7-F13</f>
        <v>417529.88062499999</v>
      </c>
    </row>
    <row r="15" spans="1:6" x14ac:dyDescent="0.25">
      <c r="A15" s="7" t="s">
        <v>25</v>
      </c>
      <c r="B15" s="20">
        <f>B14+B12</f>
        <v>450000</v>
      </c>
      <c r="C15" s="20">
        <f>C14+C12</f>
        <v>474500</v>
      </c>
      <c r="D15" s="20">
        <f>D14+D12</f>
        <v>500395</v>
      </c>
      <c r="E15" s="20">
        <f>E14+E12</f>
        <v>527767.85</v>
      </c>
      <c r="F15" s="20">
        <f>F14+F12</f>
        <v>556706.50750000007</v>
      </c>
    </row>
    <row r="16" spans="1:6" x14ac:dyDescent="0.25">
      <c r="A16" t="s">
        <v>123</v>
      </c>
      <c r="B16" s="3">
        <v>2000000</v>
      </c>
      <c r="C16" s="3">
        <v>1800000</v>
      </c>
      <c r="D16" s="3">
        <v>1500000</v>
      </c>
      <c r="E16" s="3">
        <v>1200000</v>
      </c>
      <c r="F16" s="3">
        <v>1000000</v>
      </c>
    </row>
    <row r="17" spans="1:6" x14ac:dyDescent="0.25">
      <c r="A17" t="s">
        <v>124</v>
      </c>
      <c r="B17" s="3">
        <f>B5*0.005</f>
        <v>11250</v>
      </c>
      <c r="C17" s="3">
        <f>C5*0.005</f>
        <v>11862.5</v>
      </c>
      <c r="D17" s="3">
        <f>D5*0.005</f>
        <v>12509.875</v>
      </c>
      <c r="E17" s="3">
        <f>E5*0.005</f>
        <v>13194.196250000001</v>
      </c>
      <c r="F17" s="3">
        <f>F5*0.005</f>
        <v>13917.662687500004</v>
      </c>
    </row>
    <row r="18" spans="1:6" x14ac:dyDescent="0.25">
      <c r="A18" s="7" t="s">
        <v>125</v>
      </c>
      <c r="B18" s="20">
        <f>B14-B16+B17</f>
        <v>-1651250</v>
      </c>
      <c r="C18" s="20">
        <f>C14-C16+C17</f>
        <v>-1432262.5</v>
      </c>
      <c r="D18" s="20">
        <f>D14-D16+D17</f>
        <v>-1112193.875</v>
      </c>
      <c r="E18" s="20">
        <f>E14-E16+E17</f>
        <v>-790979.91625000001</v>
      </c>
      <c r="F18" s="20">
        <f>F14-F16+F17</f>
        <v>-568552.4566875</v>
      </c>
    </row>
    <row r="19" spans="1:6" x14ac:dyDescent="0.25">
      <c r="A19" t="s">
        <v>126</v>
      </c>
      <c r="B19" s="3">
        <f>B18*0.25</f>
        <v>-412812.5</v>
      </c>
      <c r="C19" s="3">
        <f>C18*0.25</f>
        <v>-358065.625</v>
      </c>
      <c r="D19" s="3">
        <f>D18*0.25</f>
        <v>-278048.46875</v>
      </c>
      <c r="E19" s="3">
        <f>E18*0.25</f>
        <v>-197744.9790625</v>
      </c>
      <c r="F19" s="3">
        <f>F18*0.25</f>
        <v>-142138.114171875</v>
      </c>
    </row>
    <row r="20" spans="1:6" x14ac:dyDescent="0.25">
      <c r="A20" s="7" t="s">
        <v>26</v>
      </c>
      <c r="B20" s="20">
        <f>B18-B19</f>
        <v>-1238437.5</v>
      </c>
      <c r="C20" s="20">
        <f>C18-C19</f>
        <v>-1074196.875</v>
      </c>
      <c r="D20" s="20">
        <f>D18-D19</f>
        <v>-834145.40625</v>
      </c>
      <c r="E20" s="20">
        <f>E18-E19</f>
        <v>-593234.93718750007</v>
      </c>
      <c r="F20" s="20">
        <f>F18-F19</f>
        <v>-426414.342515625</v>
      </c>
    </row>
    <row r="22" spans="1:6" x14ac:dyDescent="0.25">
      <c r="A22" s="2" t="s">
        <v>127</v>
      </c>
      <c r="B22" s="4">
        <f>B7/B5</f>
        <v>0.75</v>
      </c>
      <c r="C22" s="4">
        <f>C7/C5</f>
        <v>0.75</v>
      </c>
      <c r="D22" s="4">
        <f>D7/D5</f>
        <v>0.75</v>
      </c>
      <c r="E22" s="4">
        <f>E7/E5</f>
        <v>0.75</v>
      </c>
      <c r="F22" s="4">
        <f>F7/F5</f>
        <v>0.75</v>
      </c>
    </row>
    <row r="23" spans="1:6" x14ac:dyDescent="0.25">
      <c r="A23" s="2" t="s">
        <v>128</v>
      </c>
      <c r="B23" s="4">
        <f>B14/B5</f>
        <v>0.15</v>
      </c>
      <c r="C23" s="4">
        <f>C14/C5</f>
        <v>0.15</v>
      </c>
      <c r="D23" s="4">
        <f>D14/D5</f>
        <v>0.15</v>
      </c>
      <c r="E23" s="4">
        <f>E14/E5</f>
        <v>0.15</v>
      </c>
      <c r="F23" s="4">
        <f>F14/F5</f>
        <v>0.14999999999999997</v>
      </c>
    </row>
    <row r="24" spans="1:6" x14ac:dyDescent="0.25">
      <c r="A24" s="2" t="s">
        <v>129</v>
      </c>
      <c r="B24" s="4">
        <f>B15/B5</f>
        <v>0.2</v>
      </c>
      <c r="C24" s="4">
        <f>C15/C5</f>
        <v>0.2</v>
      </c>
      <c r="D24" s="4">
        <f>D15/D5</f>
        <v>0.2</v>
      </c>
      <c r="E24" s="4">
        <f>E15/E5</f>
        <v>0.19999999999999998</v>
      </c>
      <c r="F24" s="4">
        <f>F15/F5</f>
        <v>0.19999999999999998</v>
      </c>
    </row>
    <row r="25" spans="1:6" x14ac:dyDescent="0.25">
      <c r="A25" s="2" t="s">
        <v>130</v>
      </c>
      <c r="B25" s="4">
        <f>B20/B5</f>
        <v>-0.55041666666666667</v>
      </c>
      <c r="C25" s="4">
        <f>C20/C5</f>
        <v>-0.45277002107481562</v>
      </c>
      <c r="D25" s="4">
        <f>D20/D5</f>
        <v>-0.33339478062330757</v>
      </c>
      <c r="E25" s="4">
        <f>E20/E5</f>
        <v>-0.22480904707912772</v>
      </c>
      <c r="F25" s="4">
        <f>F20/F5</f>
        <v>-0.15319179379832376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3"/>
  <sheetViews>
    <sheetView topLeftCell="A15" workbookViewId="0"/>
  </sheetViews>
  <sheetFormatPr defaultRowHeight="15" x14ac:dyDescent="0.25"/>
  <cols>
    <col min="1" max="1" width="30" customWidth="1"/>
    <col min="2" max="6" width="15" customWidth="1"/>
  </cols>
  <sheetData>
    <row r="1" spans="1:6" ht="18.75" x14ac:dyDescent="0.3">
      <c r="A1" s="1" t="s">
        <v>131</v>
      </c>
    </row>
    <row r="3" spans="1:6" x14ac:dyDescent="0.25">
      <c r="A3" s="2" t="s">
        <v>115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</row>
    <row r="5" spans="1:6" x14ac:dyDescent="0.25">
      <c r="A5" s="2" t="s">
        <v>132</v>
      </c>
    </row>
    <row r="6" spans="1:6" x14ac:dyDescent="0.25">
      <c r="A6" t="s">
        <v>133</v>
      </c>
      <c r="B6" s="3">
        <v>500000</v>
      </c>
      <c r="C6" s="3">
        <f>Cash_Flow!C22</f>
        <v>663375</v>
      </c>
      <c r="D6" s="3">
        <f>Cash_Flow!D22</f>
        <v>742921.25</v>
      </c>
      <c r="E6" s="3">
        <f>Cash_Flow!E22</f>
        <v>826435.13749999995</v>
      </c>
      <c r="F6" s="3">
        <f>Cash_Flow!F22</f>
        <v>914210.01812499994</v>
      </c>
    </row>
    <row r="7" spans="1:6" x14ac:dyDescent="0.25">
      <c r="A7" t="s">
        <v>134</v>
      </c>
      <c r="B7" s="3">
        <f>Revenue_Forecast!B9*0.15</f>
        <v>337500</v>
      </c>
      <c r="C7" s="3">
        <f>Revenue_Forecast!C9*0.15</f>
        <v>355875</v>
      </c>
      <c r="D7" s="3">
        <f>Revenue_Forecast!D9*0.15</f>
        <v>375296.25</v>
      </c>
      <c r="E7" s="3">
        <f>Revenue_Forecast!E9*0.15</f>
        <v>395825.88750000001</v>
      </c>
      <c r="F7" s="3">
        <f>Revenue_Forecast!F9*0.15</f>
        <v>417529.88062500005</v>
      </c>
    </row>
    <row r="8" spans="1:6" x14ac:dyDescent="0.25">
      <c r="A8" t="s">
        <v>135</v>
      </c>
      <c r="B8" s="3">
        <f>COGS_Budget!B9*0.1</f>
        <v>75000</v>
      </c>
      <c r="C8" s="3">
        <f>COGS_Budget!C9*0.1</f>
        <v>79350</v>
      </c>
      <c r="D8" s="3">
        <f>COGS_Budget!D9*0.1</f>
        <v>83968.5</v>
      </c>
      <c r="E8" s="3">
        <f>COGS_Budget!E9*0.1</f>
        <v>88872.85500000001</v>
      </c>
      <c r="F8" s="3">
        <f>COGS_Budget!F9*0.1</f>
        <v>94081.577250000002</v>
      </c>
    </row>
    <row r="9" spans="1:6" x14ac:dyDescent="0.25">
      <c r="A9" t="s">
        <v>136</v>
      </c>
      <c r="B9" s="3">
        <v>2000000</v>
      </c>
      <c r="C9" s="3">
        <f>B9+200000-OPEX_Budget!C7</f>
        <v>2095000</v>
      </c>
      <c r="D9" s="3">
        <f>C9+210000-OPEX_Budget!D7</f>
        <v>2194750</v>
      </c>
      <c r="E9" s="3">
        <f>D9+220500-OPEX_Budget!E7</f>
        <v>2299487</v>
      </c>
      <c r="F9" s="3">
        <f>E9+231525-OPEX_Budget!F7</f>
        <v>2409461</v>
      </c>
    </row>
    <row r="10" spans="1:6" x14ac:dyDescent="0.25">
      <c r="A10" s="21" t="s">
        <v>137</v>
      </c>
      <c r="B10" s="22">
        <f>SUM(B6:B9)</f>
        <v>2912500</v>
      </c>
      <c r="C10" s="22">
        <f>SUM(C6:C9)</f>
        <v>3193600</v>
      </c>
      <c r="D10" s="22">
        <f>SUM(D6:D9)</f>
        <v>3396936</v>
      </c>
      <c r="E10" s="22">
        <f>SUM(E6:E9)</f>
        <v>3610620.88</v>
      </c>
      <c r="F10" s="22">
        <f>SUM(F6:F9)</f>
        <v>3835282.4759999998</v>
      </c>
    </row>
    <row r="11" spans="1:6" x14ac:dyDescent="0.25">
      <c r="B11" s="3"/>
      <c r="C11" s="3"/>
      <c r="D11" s="3"/>
      <c r="E11" s="3"/>
      <c r="F11" s="3"/>
    </row>
    <row r="12" spans="1:6" x14ac:dyDescent="0.25">
      <c r="A12" s="2" t="s">
        <v>138</v>
      </c>
      <c r="B12" s="3"/>
      <c r="C12" s="3"/>
      <c r="D12" s="3"/>
      <c r="E12" s="3"/>
      <c r="F12" s="3"/>
    </row>
    <row r="13" spans="1:6" x14ac:dyDescent="0.25">
      <c r="A13" t="s">
        <v>139</v>
      </c>
      <c r="B13" s="3">
        <f>COGS_Budget!B9*0.1</f>
        <v>75000</v>
      </c>
      <c r="C13" s="3">
        <f>COGS_Budget!C9*0.1</f>
        <v>79350</v>
      </c>
      <c r="D13" s="3">
        <f>COGS_Budget!D9*0.1</f>
        <v>83968.5</v>
      </c>
      <c r="E13" s="3">
        <f>COGS_Budget!E9*0.1</f>
        <v>88872.85500000001</v>
      </c>
      <c r="F13" s="3">
        <f>COGS_Budget!F9*0.1</f>
        <v>94081.577250000002</v>
      </c>
    </row>
    <row r="14" spans="1:6" x14ac:dyDescent="0.25">
      <c r="A14" t="s">
        <v>140</v>
      </c>
      <c r="B14" s="3">
        <v>1000000</v>
      </c>
      <c r="C14" s="3">
        <f>B14-100000</f>
        <v>900000</v>
      </c>
      <c r="D14" s="3">
        <f>C14-100000</f>
        <v>800000</v>
      </c>
      <c r="E14" s="3">
        <f>D14-100000</f>
        <v>700000</v>
      </c>
      <c r="F14" s="3">
        <f>E14-100000</f>
        <v>600000</v>
      </c>
    </row>
    <row r="15" spans="1:6" x14ac:dyDescent="0.25">
      <c r="A15" s="16" t="s">
        <v>141</v>
      </c>
      <c r="B15" s="17">
        <f>B13+B14</f>
        <v>1075000</v>
      </c>
      <c r="C15" s="17">
        <f>C13+C14</f>
        <v>979350</v>
      </c>
      <c r="D15" s="17">
        <f>D13+D14</f>
        <v>883968.5</v>
      </c>
      <c r="E15" s="17">
        <f>E13+E14</f>
        <v>788872.85499999998</v>
      </c>
      <c r="F15" s="17">
        <f>F13+F14</f>
        <v>694081.57724999997</v>
      </c>
    </row>
    <row r="16" spans="1:6" x14ac:dyDescent="0.25">
      <c r="B16" s="3"/>
      <c r="C16" s="3"/>
      <c r="D16" s="3"/>
      <c r="E16" s="3"/>
      <c r="F16" s="3"/>
    </row>
    <row r="17" spans="1:6" x14ac:dyDescent="0.25">
      <c r="A17" s="2" t="s">
        <v>142</v>
      </c>
    </row>
    <row r="18" spans="1:6" x14ac:dyDescent="0.25">
      <c r="A18" t="s">
        <v>143</v>
      </c>
      <c r="B18" s="3">
        <v>1000000</v>
      </c>
      <c r="C18" s="3">
        <f>B18</f>
        <v>1000000</v>
      </c>
      <c r="D18" s="3">
        <f>C18</f>
        <v>1000000</v>
      </c>
      <c r="E18" s="3">
        <f>D18</f>
        <v>1000000</v>
      </c>
      <c r="F18" s="3">
        <f>E18</f>
        <v>1000000</v>
      </c>
    </row>
    <row r="19" spans="1:6" x14ac:dyDescent="0.25">
      <c r="A19" t="s">
        <v>144</v>
      </c>
      <c r="B19" s="3">
        <v>500000</v>
      </c>
      <c r="C19" s="3">
        <f>B19+Income_Statement!B14-50000</f>
        <v>787500</v>
      </c>
      <c r="D19" s="3">
        <f>C19+Income_Statement!C14-55000</f>
        <v>1088375</v>
      </c>
      <c r="E19" s="3">
        <f>D19+Income_Statement!D14-60500</f>
        <v>1403171.25</v>
      </c>
      <c r="F19" s="3">
        <f>E19+Income_Statement!E14-66550</f>
        <v>1732447.1375</v>
      </c>
    </row>
    <row r="20" spans="1:6" x14ac:dyDescent="0.25">
      <c r="A20" s="12" t="s">
        <v>145</v>
      </c>
      <c r="B20" s="13">
        <f>B18+B19</f>
        <v>1500000</v>
      </c>
      <c r="C20" s="13">
        <f>C18+C19</f>
        <v>1787500</v>
      </c>
      <c r="D20" s="13">
        <f>D18+D19</f>
        <v>2088375</v>
      </c>
      <c r="E20" s="13">
        <f>E18+E19</f>
        <v>2403171.25</v>
      </c>
      <c r="F20" s="13">
        <f>F18+F19</f>
        <v>2732447.1375000002</v>
      </c>
    </row>
    <row r="21" spans="1:6" x14ac:dyDescent="0.25">
      <c r="A21" s="23" t="s">
        <v>146</v>
      </c>
      <c r="B21" s="24">
        <f>B15+B20</f>
        <v>2575000</v>
      </c>
      <c r="C21" s="24">
        <f>C15+C20</f>
        <v>2766850</v>
      </c>
      <c r="D21" s="24">
        <f>D15+D20</f>
        <v>2972343.5</v>
      </c>
      <c r="E21" s="24">
        <f>E15+E20</f>
        <v>3192044.105</v>
      </c>
      <c r="F21" s="24">
        <f>F15+F20</f>
        <v>3426528.7147500003</v>
      </c>
    </row>
    <row r="22" spans="1:6" x14ac:dyDescent="0.25">
      <c r="B22" s="3"/>
      <c r="C22" s="3"/>
      <c r="D22" s="3"/>
      <c r="E22" s="3"/>
      <c r="F22" s="3"/>
    </row>
    <row r="23" spans="1:6" x14ac:dyDescent="0.25">
      <c r="A23" t="s">
        <v>147</v>
      </c>
      <c r="B23" s="3">
        <f>B10-B21</f>
        <v>337500</v>
      </c>
      <c r="C23" s="3">
        <f>C10-C21</f>
        <v>426750</v>
      </c>
      <c r="D23" s="3">
        <f>D10-D21</f>
        <v>424592.5</v>
      </c>
      <c r="E23" s="3">
        <f>E10-E21</f>
        <v>418576.77499999991</v>
      </c>
      <c r="F23" s="3">
        <f>F10-F21</f>
        <v>408753.76124999952</v>
      </c>
    </row>
  </sheetData>
  <conditionalFormatting sqref="B23:F23">
    <cfRule type="cellIs" dxfId="0" priority="1" operator="notEqual">
      <formula>0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2"/>
  <sheetViews>
    <sheetView workbookViewId="0"/>
  </sheetViews>
  <sheetFormatPr defaultRowHeight="15" x14ac:dyDescent="0.25"/>
  <cols>
    <col min="1" max="1" width="30" customWidth="1"/>
    <col min="2" max="6" width="15" customWidth="1"/>
  </cols>
  <sheetData>
    <row r="1" spans="1:6" ht="18.75" x14ac:dyDescent="0.3">
      <c r="A1" s="1" t="s">
        <v>148</v>
      </c>
    </row>
    <row r="3" spans="1:6" x14ac:dyDescent="0.25">
      <c r="A3" s="2" t="s">
        <v>115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</row>
    <row r="5" spans="1:6" x14ac:dyDescent="0.25">
      <c r="A5" s="2" t="s">
        <v>149</v>
      </c>
    </row>
    <row r="6" spans="1:6" x14ac:dyDescent="0.25">
      <c r="A6" t="s">
        <v>26</v>
      </c>
      <c r="B6" s="3">
        <f>Income_Statement!B14</f>
        <v>337500</v>
      </c>
      <c r="C6" s="3">
        <f>Income_Statement!C14</f>
        <v>355875</v>
      </c>
      <c r="D6" s="3">
        <f>Income_Statement!D14</f>
        <v>375296.25</v>
      </c>
      <c r="E6" s="3">
        <f>Income_Statement!E14</f>
        <v>395825.88749999995</v>
      </c>
      <c r="F6" s="3">
        <f>Income_Statement!F14</f>
        <v>417529.88062499999</v>
      </c>
    </row>
    <row r="7" spans="1:6" x14ac:dyDescent="0.25">
      <c r="A7" t="s">
        <v>112</v>
      </c>
      <c r="B7" s="3">
        <f>OPEX_Budget!B7</f>
        <v>100000</v>
      </c>
      <c r="C7" s="3">
        <f>OPEX_Budget!C7</f>
        <v>105000</v>
      </c>
      <c r="D7" s="3">
        <f>OPEX_Budget!D7</f>
        <v>110250</v>
      </c>
      <c r="E7" s="3">
        <f>OPEX_Budget!E7</f>
        <v>115763</v>
      </c>
      <c r="F7" s="3">
        <f>OPEX_Budget!F7</f>
        <v>121551</v>
      </c>
    </row>
    <row r="8" spans="1:6" x14ac:dyDescent="0.25">
      <c r="A8" t="s">
        <v>150</v>
      </c>
      <c r="B8" s="3">
        <v>0</v>
      </c>
      <c r="C8" s="3">
        <v>-20000</v>
      </c>
      <c r="D8" s="3">
        <v>-25000</v>
      </c>
      <c r="E8" s="3">
        <v>-30000</v>
      </c>
      <c r="F8" s="3">
        <v>-35000</v>
      </c>
    </row>
    <row r="9" spans="1:6" x14ac:dyDescent="0.25">
      <c r="A9" s="12" t="s">
        <v>151</v>
      </c>
      <c r="B9" s="13">
        <f>SUM(B6:B8)</f>
        <v>437500</v>
      </c>
      <c r="C9" s="13">
        <f>SUM(C6:C8)</f>
        <v>440875</v>
      </c>
      <c r="D9" s="13">
        <f>SUM(D6:D8)</f>
        <v>460546.25</v>
      </c>
      <c r="E9" s="13">
        <f>SUM(E6:E8)</f>
        <v>481588.88749999995</v>
      </c>
      <c r="F9" s="13">
        <f>SUM(F6:F8)</f>
        <v>504080.88062499999</v>
      </c>
    </row>
    <row r="10" spans="1:6" x14ac:dyDescent="0.25">
      <c r="B10" s="3"/>
      <c r="C10" s="3"/>
      <c r="D10" s="3"/>
      <c r="E10" s="3"/>
      <c r="F10" s="3"/>
    </row>
    <row r="11" spans="1:6" x14ac:dyDescent="0.25">
      <c r="A11" s="2" t="s">
        <v>152</v>
      </c>
      <c r="B11" s="3"/>
      <c r="C11" s="3"/>
      <c r="D11" s="3"/>
      <c r="E11" s="3"/>
      <c r="F11" s="3"/>
    </row>
    <row r="12" spans="1:6" x14ac:dyDescent="0.25">
      <c r="A12" t="s">
        <v>153</v>
      </c>
      <c r="B12" s="3">
        <v>-200000</v>
      </c>
      <c r="C12" s="3">
        <v>-210000</v>
      </c>
      <c r="D12" s="3">
        <v>-220500</v>
      </c>
      <c r="E12" s="3">
        <v>-231525</v>
      </c>
      <c r="F12" s="3">
        <v>-243101</v>
      </c>
    </row>
    <row r="13" spans="1:6" x14ac:dyDescent="0.25">
      <c r="A13" s="21" t="s">
        <v>154</v>
      </c>
      <c r="B13" s="22">
        <f>B12</f>
        <v>-200000</v>
      </c>
      <c r="C13" s="22">
        <f>C12</f>
        <v>-210000</v>
      </c>
      <c r="D13" s="22">
        <f>D12</f>
        <v>-220500</v>
      </c>
      <c r="E13" s="22">
        <f>E12</f>
        <v>-231525</v>
      </c>
      <c r="F13" s="22">
        <f>F12</f>
        <v>-243101</v>
      </c>
    </row>
    <row r="14" spans="1:6" x14ac:dyDescent="0.25">
      <c r="B14" s="3"/>
      <c r="C14" s="3"/>
      <c r="D14" s="3"/>
      <c r="E14" s="3"/>
      <c r="F14" s="3"/>
    </row>
    <row r="15" spans="1:6" x14ac:dyDescent="0.25">
      <c r="A15" s="2" t="s">
        <v>155</v>
      </c>
      <c r="B15" s="3"/>
      <c r="C15" s="3"/>
      <c r="D15" s="3"/>
      <c r="E15" s="3"/>
      <c r="F15" s="3"/>
    </row>
    <row r="16" spans="1:6" x14ac:dyDescent="0.25">
      <c r="A16" t="s">
        <v>156</v>
      </c>
      <c r="B16" s="3">
        <v>-100000</v>
      </c>
      <c r="C16" s="3">
        <v>-100000</v>
      </c>
      <c r="D16" s="3">
        <v>-100000</v>
      </c>
      <c r="E16" s="3">
        <v>-100000</v>
      </c>
      <c r="F16" s="3">
        <v>-100000</v>
      </c>
    </row>
    <row r="17" spans="1:6" x14ac:dyDescent="0.25">
      <c r="A17" t="s">
        <v>157</v>
      </c>
      <c r="B17" s="3">
        <v>-50000</v>
      </c>
      <c r="C17" s="3">
        <v>-55000</v>
      </c>
      <c r="D17" s="3">
        <v>-60500</v>
      </c>
      <c r="E17" s="3">
        <v>-66550</v>
      </c>
      <c r="F17" s="3">
        <v>-73205</v>
      </c>
    </row>
    <row r="18" spans="1:6" x14ac:dyDescent="0.25">
      <c r="A18" s="16" t="s">
        <v>158</v>
      </c>
      <c r="B18" s="17">
        <f>SUM(B16:B17)</f>
        <v>-150000</v>
      </c>
      <c r="C18" s="17">
        <f>SUM(C16:C17)</f>
        <v>-155000</v>
      </c>
      <c r="D18" s="17">
        <f>SUM(D16:D17)</f>
        <v>-160500</v>
      </c>
      <c r="E18" s="17">
        <f>SUM(E16:E17)</f>
        <v>-166550</v>
      </c>
      <c r="F18" s="17">
        <f>SUM(F16:F17)</f>
        <v>-173205</v>
      </c>
    </row>
    <row r="19" spans="1:6" x14ac:dyDescent="0.25">
      <c r="B19" s="3"/>
      <c r="C19" s="3"/>
      <c r="D19" s="3"/>
      <c r="E19" s="3"/>
      <c r="F19" s="3"/>
    </row>
    <row r="20" spans="1:6" x14ac:dyDescent="0.25">
      <c r="A20" s="11" t="s">
        <v>159</v>
      </c>
      <c r="B20" s="25">
        <f>B9+B13+B18</f>
        <v>87500</v>
      </c>
      <c r="C20" s="25">
        <f>C9+C13+C18</f>
        <v>75875</v>
      </c>
      <c r="D20" s="25">
        <f>D9+D13+D18</f>
        <v>79546.25</v>
      </c>
      <c r="E20" s="25">
        <f>E9+E13+E18</f>
        <v>83513.887499999953</v>
      </c>
      <c r="F20" s="25">
        <f>F9+F13+F18</f>
        <v>87774.880624999991</v>
      </c>
    </row>
    <row r="21" spans="1:6" x14ac:dyDescent="0.25">
      <c r="A21" t="s">
        <v>160</v>
      </c>
      <c r="B21" s="3">
        <v>500000</v>
      </c>
      <c r="C21" s="3">
        <f>B22</f>
        <v>587500</v>
      </c>
      <c r="D21" s="3">
        <f>C22</f>
        <v>663375</v>
      </c>
      <c r="E21" s="3">
        <f>D22</f>
        <v>742921.25</v>
      </c>
      <c r="F21" s="3">
        <f>E22</f>
        <v>826435.13749999995</v>
      </c>
    </row>
    <row r="22" spans="1:6" x14ac:dyDescent="0.25">
      <c r="A22" s="11" t="s">
        <v>161</v>
      </c>
      <c r="B22" s="25">
        <f>B21+B20</f>
        <v>587500</v>
      </c>
      <c r="C22" s="25">
        <f>C21+C20</f>
        <v>663375</v>
      </c>
      <c r="D22" s="25">
        <f>D21+D20</f>
        <v>742921.25</v>
      </c>
      <c r="E22" s="25">
        <f>E21+E20</f>
        <v>826435.13749999995</v>
      </c>
      <c r="F22" s="25">
        <f>F21+F20</f>
        <v>914210.01812499994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"/>
  <sheetViews>
    <sheetView workbookViewId="0"/>
  </sheetViews>
  <sheetFormatPr defaultRowHeight="15" x14ac:dyDescent="0.25"/>
  <cols>
    <col min="1" max="1" width="30" customWidth="1"/>
    <col min="2" max="7" width="15" customWidth="1"/>
  </cols>
  <sheetData>
    <row r="1" spans="1:7" ht="18.75" x14ac:dyDescent="0.3">
      <c r="A1" s="1" t="s">
        <v>162</v>
      </c>
    </row>
    <row r="3" spans="1:7" ht="15.75" x14ac:dyDescent="0.25">
      <c r="A3" s="26" t="s">
        <v>163</v>
      </c>
    </row>
    <row r="5" spans="1:7" x14ac:dyDescent="0.25">
      <c r="A5" t="s">
        <v>164</v>
      </c>
      <c r="B5" s="4">
        <f>Assumptions!B22</f>
        <v>0.1</v>
      </c>
    </row>
    <row r="6" spans="1:7" x14ac:dyDescent="0.25">
      <c r="A6" t="s">
        <v>165</v>
      </c>
      <c r="B6" s="4">
        <v>2.5000000000000001E-2</v>
      </c>
    </row>
    <row r="7" spans="1:7" x14ac:dyDescent="0.25">
      <c r="A7" t="s">
        <v>166</v>
      </c>
      <c r="B7" s="3">
        <v>1000000</v>
      </c>
    </row>
    <row r="9" spans="1:7" x14ac:dyDescent="0.25">
      <c r="A9" s="2" t="s">
        <v>167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168</v>
      </c>
    </row>
    <row r="10" spans="1:7" x14ac:dyDescent="0.25">
      <c r="A10" t="s">
        <v>169</v>
      </c>
      <c r="B10" s="3">
        <f>Income_Statement!B9</f>
        <v>675000</v>
      </c>
      <c r="C10" s="3">
        <f>Income_Statement!C9</f>
        <v>711750</v>
      </c>
      <c r="D10" s="3">
        <f>Income_Statement!D9</f>
        <v>750592.5</v>
      </c>
      <c r="E10" s="3">
        <f>Income_Statement!E9</f>
        <v>791651.77500000002</v>
      </c>
      <c r="F10" s="3">
        <f>Income_Statement!F9</f>
        <v>835059.7612500001</v>
      </c>
      <c r="G10" s="3">
        <f>F10*(1+B6)</f>
        <v>855936.25528124999</v>
      </c>
    </row>
    <row r="11" spans="1:7" x14ac:dyDescent="0.25">
      <c r="A11" t="s">
        <v>87</v>
      </c>
      <c r="B11" s="4">
        <f>Assumptions!B6</f>
        <v>0.24</v>
      </c>
      <c r="C11" s="4">
        <f>Assumptions!B6</f>
        <v>0.24</v>
      </c>
      <c r="D11" s="4">
        <f>Assumptions!B6</f>
        <v>0.24</v>
      </c>
      <c r="E11" s="4">
        <f>Assumptions!B6</f>
        <v>0.24</v>
      </c>
      <c r="F11" s="4">
        <f>Assumptions!B6</f>
        <v>0.24</v>
      </c>
      <c r="G11" s="4">
        <f>Assumptions!B6</f>
        <v>0.24</v>
      </c>
    </row>
    <row r="12" spans="1:7" x14ac:dyDescent="0.25">
      <c r="A12" t="s">
        <v>170</v>
      </c>
      <c r="B12" s="3">
        <f t="shared" ref="B12:G12" si="0">B10*(1-B11)</f>
        <v>513000</v>
      </c>
      <c r="C12" s="3">
        <f t="shared" si="0"/>
        <v>540930</v>
      </c>
      <c r="D12" s="3">
        <f t="shared" si="0"/>
        <v>570450.30000000005</v>
      </c>
      <c r="E12" s="3">
        <f t="shared" si="0"/>
        <v>601655.34900000005</v>
      </c>
      <c r="F12" s="3">
        <f t="shared" si="0"/>
        <v>634645.41855000006</v>
      </c>
      <c r="G12" s="3">
        <f t="shared" si="0"/>
        <v>650511.55401375005</v>
      </c>
    </row>
    <row r="13" spans="1:7" x14ac:dyDescent="0.25">
      <c r="A13" t="s">
        <v>171</v>
      </c>
      <c r="B13" s="3">
        <f>OPEX_Budget!B7</f>
        <v>100000</v>
      </c>
      <c r="C13" s="3">
        <f>OPEX_Budget!C7</f>
        <v>105000</v>
      </c>
      <c r="D13" s="3">
        <f>OPEX_Budget!D7</f>
        <v>110250</v>
      </c>
      <c r="E13" s="3">
        <f>OPEX_Budget!E7</f>
        <v>115763</v>
      </c>
      <c r="F13" s="3">
        <f>OPEX_Budget!F7</f>
        <v>121551</v>
      </c>
      <c r="G13" s="3">
        <f>F13*(1+B6)</f>
        <v>124589.77499999999</v>
      </c>
    </row>
    <row r="14" spans="1:7" x14ac:dyDescent="0.25">
      <c r="A14" t="s">
        <v>172</v>
      </c>
      <c r="B14" s="3">
        <f>-Cash_Flow!B12</f>
        <v>200000</v>
      </c>
      <c r="C14" s="3">
        <f>-Cash_Flow!C12</f>
        <v>210000</v>
      </c>
      <c r="D14" s="3">
        <f>-Cash_Flow!D12</f>
        <v>220500</v>
      </c>
      <c r="E14" s="3">
        <f>-Cash_Flow!E12</f>
        <v>231525</v>
      </c>
      <c r="F14" s="3">
        <f>-Cash_Flow!F12</f>
        <v>243101</v>
      </c>
      <c r="G14" s="3">
        <f>G13</f>
        <v>124589.77499999999</v>
      </c>
    </row>
    <row r="15" spans="1:7" x14ac:dyDescent="0.25">
      <c r="A15" t="s">
        <v>173</v>
      </c>
      <c r="B15" s="3">
        <f>-Cash_Flow!B8</f>
        <v>0</v>
      </c>
      <c r="C15" s="3">
        <f>-Cash_Flow!C8</f>
        <v>20000</v>
      </c>
      <c r="D15" s="3">
        <f>-Cash_Flow!D8</f>
        <v>25000</v>
      </c>
      <c r="E15" s="3">
        <f>-Cash_Flow!E8</f>
        <v>30000</v>
      </c>
      <c r="F15" s="3">
        <f>-Cash_Flow!F8</f>
        <v>35000</v>
      </c>
      <c r="G15" s="3">
        <f>F15*(1+B6)</f>
        <v>35875</v>
      </c>
    </row>
    <row r="16" spans="1:7" x14ac:dyDescent="0.25">
      <c r="A16" s="11" t="s">
        <v>167</v>
      </c>
      <c r="B16" s="25">
        <f t="shared" ref="B16:G16" si="1">B12+B13+B14+B15</f>
        <v>813000</v>
      </c>
      <c r="C16" s="25">
        <f t="shared" si="1"/>
        <v>875930</v>
      </c>
      <c r="D16" s="25">
        <f t="shared" si="1"/>
        <v>926200.3</v>
      </c>
      <c r="E16" s="25">
        <f t="shared" si="1"/>
        <v>978943.34900000005</v>
      </c>
      <c r="F16" s="25">
        <f t="shared" si="1"/>
        <v>1034297.4185500001</v>
      </c>
      <c r="G16" s="25">
        <f t="shared" si="1"/>
        <v>935566.1040137501</v>
      </c>
    </row>
    <row r="18" spans="1:7" x14ac:dyDescent="0.25">
      <c r="A18" t="s">
        <v>174</v>
      </c>
      <c r="B18" s="3">
        <f>G16/(B5-B6)</f>
        <v>12474214.720183333</v>
      </c>
    </row>
    <row r="19" spans="1:7" x14ac:dyDescent="0.25">
      <c r="A19" t="s">
        <v>175</v>
      </c>
      <c r="B19" s="27">
        <f>1/(1+B5)^1</f>
        <v>0.90909090909090906</v>
      </c>
      <c r="C19" s="27">
        <f>1/(1+B5)^2</f>
        <v>0.82644628099173545</v>
      </c>
      <c r="D19" s="27">
        <f>1/(1+B5)^3</f>
        <v>0.75131480090157754</v>
      </c>
      <c r="E19" s="27">
        <f>1/(1+B5)^4</f>
        <v>0.68301345536507052</v>
      </c>
      <c r="F19" s="27">
        <f>1/(1+B5)^5</f>
        <v>0.62092132305915493</v>
      </c>
      <c r="G19" s="27">
        <f>F19</f>
        <v>0.62092132305915493</v>
      </c>
    </row>
    <row r="20" spans="1:7" x14ac:dyDescent="0.25">
      <c r="A20" t="s">
        <v>176</v>
      </c>
      <c r="B20" s="3">
        <f>B16*B19</f>
        <v>739090.90909090906</v>
      </c>
      <c r="C20">
        <f>C16*C19</f>
        <v>723909.09090909082</v>
      </c>
      <c r="D20">
        <f>D16*D19</f>
        <v>695867.99398948147</v>
      </c>
      <c r="E20">
        <f>E16*E19</f>
        <v>668631.47940714413</v>
      </c>
      <c r="F20">
        <f>F16*F19</f>
        <v>642217.32156273455</v>
      </c>
      <c r="G20">
        <f>B18*G19</f>
        <v>7745505.908180221</v>
      </c>
    </row>
    <row r="22" spans="1:7" x14ac:dyDescent="0.25">
      <c r="A22" s="2" t="s">
        <v>177</v>
      </c>
      <c r="B22" s="19">
        <f>SUM(B20:F20)</f>
        <v>3469716.7949593603</v>
      </c>
    </row>
    <row r="23" spans="1:7" x14ac:dyDescent="0.25">
      <c r="A23" t="s">
        <v>178</v>
      </c>
      <c r="B23" s="3">
        <f>G20</f>
        <v>7745505.908180221</v>
      </c>
    </row>
    <row r="24" spans="1:7" x14ac:dyDescent="0.25">
      <c r="A24" s="21" t="s">
        <v>179</v>
      </c>
      <c r="B24" s="22">
        <f>B22+B23</f>
        <v>11215222.703139581</v>
      </c>
    </row>
    <row r="26" spans="1:7" x14ac:dyDescent="0.25">
      <c r="A26" t="s">
        <v>180</v>
      </c>
      <c r="B26" s="3">
        <f>Balance_Sheet!B14-Balance_Sheet!B6</f>
        <v>500000</v>
      </c>
    </row>
    <row r="27" spans="1:7" x14ac:dyDescent="0.25">
      <c r="A27" s="21" t="s">
        <v>181</v>
      </c>
      <c r="B27" s="22">
        <f>B24-B26</f>
        <v>10715222.703139581</v>
      </c>
    </row>
    <row r="28" spans="1:7" x14ac:dyDescent="0.25">
      <c r="A28" s="21" t="s">
        <v>182</v>
      </c>
      <c r="B28" s="28">
        <f>B27/B7</f>
        <v>10.715222703139581</v>
      </c>
    </row>
    <row r="30" spans="1:7" ht="15.75" x14ac:dyDescent="0.25">
      <c r="A30" s="26" t="s">
        <v>183</v>
      </c>
    </row>
    <row r="32" spans="1:7" x14ac:dyDescent="0.25">
      <c r="A32" t="s">
        <v>184</v>
      </c>
      <c r="B32" s="29">
        <v>8</v>
      </c>
    </row>
    <row r="33" spans="1:2" x14ac:dyDescent="0.25">
      <c r="A33" t="s">
        <v>185</v>
      </c>
      <c r="B33" s="3">
        <f>Income_Statement!F10</f>
        <v>417529.88062500005</v>
      </c>
    </row>
    <row r="34" spans="1:2" x14ac:dyDescent="0.25">
      <c r="A34" t="s">
        <v>179</v>
      </c>
      <c r="B34" s="3">
        <f>B32*B33</f>
        <v>3340239.0450000004</v>
      </c>
    </row>
    <row r="35" spans="1:2" x14ac:dyDescent="0.25">
      <c r="A35" t="s">
        <v>180</v>
      </c>
      <c r="B35" s="3">
        <f>B26</f>
        <v>500000</v>
      </c>
    </row>
    <row r="36" spans="1:2" x14ac:dyDescent="0.25">
      <c r="A36" s="12" t="s">
        <v>181</v>
      </c>
      <c r="B36" s="13">
        <f>B34-B35</f>
        <v>2840239.0450000004</v>
      </c>
    </row>
    <row r="37" spans="1:2" x14ac:dyDescent="0.25">
      <c r="A37" s="12" t="s">
        <v>182</v>
      </c>
      <c r="B37" s="30">
        <f>B36/B7</f>
        <v>2.8402390450000006</v>
      </c>
    </row>
    <row r="39" spans="1:2" x14ac:dyDescent="0.25">
      <c r="A39" t="s">
        <v>186</v>
      </c>
      <c r="B39" s="29">
        <v>15</v>
      </c>
    </row>
    <row r="40" spans="1:2" x14ac:dyDescent="0.25">
      <c r="A40" t="s">
        <v>187</v>
      </c>
      <c r="B40" s="31">
        <f>Income_Statement!F14/B7</f>
        <v>0.41752988062500002</v>
      </c>
    </row>
    <row r="41" spans="1:2" x14ac:dyDescent="0.25">
      <c r="A41" s="16" t="s">
        <v>182</v>
      </c>
      <c r="B41" s="32">
        <f>B39*B40</f>
        <v>6.2629482093750006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3"/>
  <sheetViews>
    <sheetView workbookViewId="0">
      <selection activeCell="H44" sqref="H44"/>
    </sheetView>
  </sheetViews>
  <sheetFormatPr defaultRowHeight="15" x14ac:dyDescent="0.25"/>
  <cols>
    <col min="1" max="1" width="25" customWidth="1"/>
    <col min="2" max="3" width="15" customWidth="1"/>
  </cols>
  <sheetData>
    <row r="1" spans="1:3" ht="18.75" x14ac:dyDescent="0.3">
      <c r="A1" s="1" t="s">
        <v>188</v>
      </c>
    </row>
    <row r="3" spans="1:3" x14ac:dyDescent="0.25">
      <c r="A3" s="2" t="s">
        <v>189</v>
      </c>
    </row>
    <row r="4" spans="1:3" x14ac:dyDescent="0.25">
      <c r="A4" t="s">
        <v>190</v>
      </c>
      <c r="B4" s="33">
        <v>1000</v>
      </c>
    </row>
    <row r="5" spans="1:3" x14ac:dyDescent="0.25">
      <c r="A5" t="s">
        <v>191</v>
      </c>
      <c r="B5" s="4">
        <v>0.05</v>
      </c>
    </row>
    <row r="6" spans="1:3" x14ac:dyDescent="0.25">
      <c r="A6" t="s">
        <v>192</v>
      </c>
      <c r="B6">
        <v>10</v>
      </c>
    </row>
    <row r="7" spans="1:3" x14ac:dyDescent="0.25">
      <c r="A7" t="s">
        <v>193</v>
      </c>
      <c r="B7">
        <v>2</v>
      </c>
    </row>
    <row r="8" spans="1:3" x14ac:dyDescent="0.25">
      <c r="A8" t="s">
        <v>194</v>
      </c>
      <c r="B8" s="4">
        <v>0.06</v>
      </c>
    </row>
    <row r="10" spans="1:3" x14ac:dyDescent="0.25">
      <c r="A10" t="s">
        <v>195</v>
      </c>
      <c r="B10">
        <f>B6*B7</f>
        <v>20</v>
      </c>
    </row>
    <row r="11" spans="1:3" x14ac:dyDescent="0.25">
      <c r="A11" t="s">
        <v>196</v>
      </c>
      <c r="B11" s="31">
        <f>B4*B5/B7</f>
        <v>25</v>
      </c>
    </row>
    <row r="12" spans="1:3" x14ac:dyDescent="0.25">
      <c r="A12" t="s">
        <v>197</v>
      </c>
      <c r="B12" s="4">
        <f>B8/B7</f>
        <v>0.03</v>
      </c>
    </row>
    <row r="14" spans="1:3" x14ac:dyDescent="0.25">
      <c r="A14" s="2" t="s">
        <v>198</v>
      </c>
      <c r="B14" s="2" t="s">
        <v>199</v>
      </c>
      <c r="C14" s="2" t="s">
        <v>200</v>
      </c>
    </row>
    <row r="15" spans="1:3" x14ac:dyDescent="0.25">
      <c r="A15">
        <v>1</v>
      </c>
      <c r="B15" s="31">
        <f>B11</f>
        <v>25</v>
      </c>
      <c r="C15" s="31">
        <f>B15/(1+B12)^A15</f>
        <v>24.271844660194173</v>
      </c>
    </row>
    <row r="16" spans="1:3" x14ac:dyDescent="0.25">
      <c r="A16">
        <v>2</v>
      </c>
      <c r="B16" s="31">
        <f>B11</f>
        <v>25</v>
      </c>
      <c r="C16" s="31">
        <f>B16/(1+B12)^A16</f>
        <v>23.564897728343858</v>
      </c>
    </row>
    <row r="17" spans="1:3" x14ac:dyDescent="0.25">
      <c r="A17">
        <v>3</v>
      </c>
      <c r="B17" s="31">
        <f>B11</f>
        <v>25</v>
      </c>
      <c r="C17" s="31">
        <f>B17/(1+B12)^A17</f>
        <v>22.87854148382899</v>
      </c>
    </row>
    <row r="18" spans="1:3" x14ac:dyDescent="0.25">
      <c r="A18">
        <v>4</v>
      </c>
      <c r="B18" s="31">
        <f>B11</f>
        <v>25</v>
      </c>
      <c r="C18" s="31">
        <f>B18/(1+B12)^A18</f>
        <v>22.212176197892223</v>
      </c>
    </row>
    <row r="19" spans="1:3" x14ac:dyDescent="0.25">
      <c r="A19">
        <v>5</v>
      </c>
      <c r="B19" s="31">
        <f>B11</f>
        <v>25</v>
      </c>
      <c r="C19" s="31">
        <f>B19/(1+B12)^A19</f>
        <v>21.565219609604103</v>
      </c>
    </row>
    <row r="20" spans="1:3" x14ac:dyDescent="0.25">
      <c r="A20">
        <v>6</v>
      </c>
      <c r="B20" s="31">
        <f>B11</f>
        <v>25</v>
      </c>
      <c r="C20" s="31">
        <f>B20/(1+B12)^A20</f>
        <v>20.937106417091361</v>
      </c>
    </row>
    <row r="21" spans="1:3" x14ac:dyDescent="0.25">
      <c r="A21">
        <v>7</v>
      </c>
      <c r="B21" s="31">
        <f>B11</f>
        <v>25</v>
      </c>
      <c r="C21" s="31">
        <f>B21/(1+B12)^A21</f>
        <v>20.327287783583845</v>
      </c>
    </row>
    <row r="22" spans="1:3" x14ac:dyDescent="0.25">
      <c r="A22">
        <v>8</v>
      </c>
      <c r="B22" s="31">
        <f>B11</f>
        <v>25</v>
      </c>
      <c r="C22" s="31">
        <f>B22/(1+B12)^A22</f>
        <v>19.735230857848393</v>
      </c>
    </row>
    <row r="23" spans="1:3" x14ac:dyDescent="0.25">
      <c r="A23">
        <v>9</v>
      </c>
      <c r="B23" s="31">
        <f>B11</f>
        <v>25</v>
      </c>
      <c r="C23" s="31">
        <f>B23/(1+B12)^A23</f>
        <v>19.160418308590675</v>
      </c>
    </row>
    <row r="24" spans="1:3" x14ac:dyDescent="0.25">
      <c r="A24">
        <v>10</v>
      </c>
      <c r="B24" s="31">
        <f>B11</f>
        <v>25</v>
      </c>
      <c r="C24" s="31">
        <f>B24/(1+B12)^A24</f>
        <v>18.602347872418129</v>
      </c>
    </row>
    <row r="25" spans="1:3" x14ac:dyDescent="0.25">
      <c r="A25">
        <v>11</v>
      </c>
      <c r="B25" s="31">
        <f>B11</f>
        <v>25</v>
      </c>
      <c r="C25" s="31">
        <f>B25/(1+B12)^A25</f>
        <v>18.060531914969058</v>
      </c>
    </row>
    <row r="26" spans="1:3" x14ac:dyDescent="0.25">
      <c r="A26">
        <v>12</v>
      </c>
      <c r="B26" s="31">
        <f>B11</f>
        <v>25</v>
      </c>
      <c r="C26" s="31">
        <f>B26/(1+B12)^A26</f>
        <v>17.534497004824331</v>
      </c>
    </row>
    <row r="27" spans="1:3" x14ac:dyDescent="0.25">
      <c r="A27">
        <v>13</v>
      </c>
      <c r="B27" s="31">
        <f>B11</f>
        <v>25</v>
      </c>
      <c r="C27" s="31">
        <f>B27/(1+B12)^A27</f>
        <v>17.023783499829449</v>
      </c>
    </row>
    <row r="28" spans="1:3" x14ac:dyDescent="0.25">
      <c r="A28">
        <v>14</v>
      </c>
      <c r="B28" s="31">
        <f>B11</f>
        <v>25</v>
      </c>
      <c r="C28" s="31">
        <f>B28/(1+B12)^A28</f>
        <v>16.52794514546548</v>
      </c>
    </row>
    <row r="29" spans="1:3" x14ac:dyDescent="0.25">
      <c r="A29">
        <v>15</v>
      </c>
      <c r="B29" s="31">
        <f>B11</f>
        <v>25</v>
      </c>
      <c r="C29" s="31">
        <f>B29/(1+B12)^A29</f>
        <v>16.046548684917941</v>
      </c>
    </row>
    <row r="30" spans="1:3" x14ac:dyDescent="0.25">
      <c r="A30">
        <v>16</v>
      </c>
      <c r="B30" s="31">
        <f>B11</f>
        <v>25</v>
      </c>
      <c r="C30" s="31">
        <f>B30/(1+B12)^A30</f>
        <v>15.57917348050286</v>
      </c>
    </row>
    <row r="31" spans="1:3" x14ac:dyDescent="0.25">
      <c r="A31">
        <v>17</v>
      </c>
      <c r="B31" s="31">
        <f>B11</f>
        <v>25</v>
      </c>
      <c r="C31" s="31">
        <f>B31/(1+B12)^A31</f>
        <v>15.12541114611928</v>
      </c>
    </row>
    <row r="32" spans="1:3" x14ac:dyDescent="0.25">
      <c r="A32">
        <v>18</v>
      </c>
      <c r="B32" s="31">
        <f>B11</f>
        <v>25</v>
      </c>
      <c r="C32" s="31">
        <f>B32/(1+B12)^A32</f>
        <v>14.684865190407068</v>
      </c>
    </row>
    <row r="33" spans="1:3" x14ac:dyDescent="0.25">
      <c r="A33">
        <v>19</v>
      </c>
      <c r="B33" s="31">
        <f>B11</f>
        <v>25</v>
      </c>
      <c r="C33" s="31">
        <f>B33/(1+B12)^A33</f>
        <v>14.257150670298126</v>
      </c>
    </row>
    <row r="34" spans="1:3" x14ac:dyDescent="0.25">
      <c r="A34">
        <v>20</v>
      </c>
      <c r="B34" s="31">
        <f>B11+B4</f>
        <v>1025</v>
      </c>
      <c r="C34" s="31">
        <f>B34/(1+B12)^A34</f>
        <v>567.51764804099332</v>
      </c>
    </row>
    <row r="35" spans="1:3" x14ac:dyDescent="0.25">
      <c r="A35" s="2" t="s">
        <v>201</v>
      </c>
      <c r="B35" s="34">
        <f>SUM(C15:C34)</f>
        <v>925.61262569772271</v>
      </c>
    </row>
    <row r="37" spans="1:3" x14ac:dyDescent="0.25">
      <c r="A37" s="2" t="s">
        <v>202</v>
      </c>
    </row>
    <row r="38" spans="1:3" x14ac:dyDescent="0.25">
      <c r="A38" t="s">
        <v>203</v>
      </c>
      <c r="B38" s="31">
        <v>950</v>
      </c>
    </row>
    <row r="39" spans="1:3" x14ac:dyDescent="0.25">
      <c r="A39" t="s">
        <v>204</v>
      </c>
      <c r="B39" s="4">
        <f>((B11*B7)+((B4-B38)/B6))/((B4+B38)/2)</f>
        <v>5.6410256410256411E-2</v>
      </c>
    </row>
    <row r="41" spans="1:3" x14ac:dyDescent="0.25">
      <c r="A41" s="2" t="s">
        <v>205</v>
      </c>
    </row>
    <row r="42" spans="1:3" x14ac:dyDescent="0.25">
      <c r="A42" t="s">
        <v>206</v>
      </c>
      <c r="B42" s="4">
        <f>B35/B4</f>
        <v>0.92561262569772274</v>
      </c>
    </row>
    <row r="43" spans="1:3" x14ac:dyDescent="0.25">
      <c r="A43" t="s">
        <v>207</v>
      </c>
      <c r="B43" t="str">
        <f>IF(AND(B35&gt;0,B39&gt;0),"Valid","Check Inputs")</f>
        <v>Valid</v>
      </c>
    </row>
  </sheetData>
  <dataValidations count="2">
    <dataValidation type="decimal" operator="greaterThan" errorTitle="Invalid Input" error="Value must be greater than 0" sqref="B4 B6 B7 B38" xr:uid="{00000000-0002-0000-0A00-000000000000}">
      <formula1>0</formula1>
    </dataValidation>
    <dataValidation type="decimal" errorTitle="Invalid Rate" error="Rate must be between 0 and 1" sqref="B5 B8" xr:uid="{00000000-0002-0000-0A00-000001000000}">
      <formula1>0</formula1>
      <formula2>1</formula2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7"/>
  <sheetViews>
    <sheetView topLeftCell="A33" workbookViewId="0">
      <selection activeCell="H33" sqref="H33"/>
    </sheetView>
  </sheetViews>
  <sheetFormatPr defaultRowHeight="15" x14ac:dyDescent="0.25"/>
  <cols>
    <col min="1" max="5" width="20" customWidth="1"/>
  </cols>
  <sheetData>
    <row r="1" spans="1:5" ht="18.75" x14ac:dyDescent="0.3">
      <c r="A1" s="1" t="s">
        <v>208</v>
      </c>
    </row>
    <row r="3" spans="1:5" x14ac:dyDescent="0.25">
      <c r="A3" s="2" t="s">
        <v>209</v>
      </c>
    </row>
    <row r="4" spans="1:5" x14ac:dyDescent="0.25">
      <c r="A4" t="s">
        <v>210</v>
      </c>
      <c r="B4" s="3">
        <v>500000</v>
      </c>
    </row>
    <row r="5" spans="1:5" x14ac:dyDescent="0.25">
      <c r="A5" t="s">
        <v>211</v>
      </c>
      <c r="B5">
        <v>5</v>
      </c>
    </row>
    <row r="6" spans="1:5" x14ac:dyDescent="0.25">
      <c r="A6" t="s">
        <v>212</v>
      </c>
      <c r="B6" s="4">
        <f>Assumptions!B22</f>
        <v>0.1</v>
      </c>
    </row>
    <row r="7" spans="1:5" x14ac:dyDescent="0.25">
      <c r="A7" t="s">
        <v>213</v>
      </c>
      <c r="B7" s="3">
        <v>50000</v>
      </c>
    </row>
    <row r="9" spans="1:5" x14ac:dyDescent="0.25">
      <c r="A9" s="2" t="s">
        <v>214</v>
      </c>
      <c r="B9" s="2" t="s">
        <v>199</v>
      </c>
      <c r="C9" s="2" t="s">
        <v>215</v>
      </c>
      <c r="D9" s="2" t="s">
        <v>216</v>
      </c>
      <c r="E9" s="2" t="s">
        <v>217</v>
      </c>
    </row>
    <row r="10" spans="1:5" x14ac:dyDescent="0.25">
      <c r="A10">
        <v>0</v>
      </c>
      <c r="B10" s="3">
        <f>-B4</f>
        <v>-500000</v>
      </c>
      <c r="C10" s="3">
        <f>-B4/(1+$B$6)^A10</f>
        <v>-500000</v>
      </c>
      <c r="D10" s="3">
        <f>B10</f>
        <v>-500000</v>
      </c>
      <c r="E10" s="3">
        <f>C10</f>
        <v>-500000</v>
      </c>
    </row>
    <row r="11" spans="1:5" x14ac:dyDescent="0.25">
      <c r="A11">
        <v>1</v>
      </c>
      <c r="B11" s="3">
        <v>120000</v>
      </c>
      <c r="C11" s="3">
        <f>B11/(1+$B$6)^A11</f>
        <v>109090.90909090909</v>
      </c>
      <c r="D11" s="3">
        <f t="shared" ref="D11:E15" si="0">D10+B11</f>
        <v>-380000</v>
      </c>
      <c r="E11" s="3">
        <f t="shared" si="0"/>
        <v>-390909.09090909094</v>
      </c>
    </row>
    <row r="12" spans="1:5" x14ac:dyDescent="0.25">
      <c r="A12">
        <v>2</v>
      </c>
      <c r="B12" s="3">
        <v>150000</v>
      </c>
      <c r="C12" s="3">
        <f>B12/(1+$B$6)^A12</f>
        <v>123966.94214876031</v>
      </c>
      <c r="D12" s="3">
        <f t="shared" si="0"/>
        <v>-230000</v>
      </c>
      <c r="E12" s="3">
        <f t="shared" si="0"/>
        <v>-266942.14876033063</v>
      </c>
    </row>
    <row r="13" spans="1:5" x14ac:dyDescent="0.25">
      <c r="A13">
        <v>3</v>
      </c>
      <c r="B13" s="3">
        <v>180000</v>
      </c>
      <c r="C13" s="3">
        <f>B13/(1+$B$6)^A13</f>
        <v>135236.66416228397</v>
      </c>
      <c r="D13" s="3">
        <f t="shared" si="0"/>
        <v>-50000</v>
      </c>
      <c r="E13" s="3">
        <f t="shared" si="0"/>
        <v>-131705.48459804666</v>
      </c>
    </row>
    <row r="14" spans="1:5" x14ac:dyDescent="0.25">
      <c r="A14">
        <v>4</v>
      </c>
      <c r="B14" s="3">
        <v>200000</v>
      </c>
      <c r="C14" s="3">
        <f>B14/(1+$B$6)^A14</f>
        <v>136602.69107301411</v>
      </c>
      <c r="D14" s="3">
        <f t="shared" si="0"/>
        <v>150000</v>
      </c>
      <c r="E14" s="3">
        <f t="shared" si="0"/>
        <v>4897.2064749674464</v>
      </c>
    </row>
    <row r="15" spans="1:5" x14ac:dyDescent="0.25">
      <c r="A15">
        <v>5</v>
      </c>
      <c r="B15" s="3">
        <f>220000+B7</f>
        <v>270000</v>
      </c>
      <c r="C15" s="3">
        <f>220000+B7/(1+$B$6)^A15</f>
        <v>251046.06615295773</v>
      </c>
      <c r="D15" s="3">
        <f t="shared" si="0"/>
        <v>420000</v>
      </c>
      <c r="E15" s="3">
        <f t="shared" si="0"/>
        <v>255943.27262792518</v>
      </c>
    </row>
    <row r="17" spans="1:2" x14ac:dyDescent="0.25">
      <c r="A17" s="2" t="s">
        <v>218</v>
      </c>
    </row>
    <row r="18" spans="1:2" x14ac:dyDescent="0.25">
      <c r="A18" t="s">
        <v>219</v>
      </c>
      <c r="B18" s="3">
        <f>E15</f>
        <v>255943.27262792518</v>
      </c>
    </row>
    <row r="19" spans="1:2" x14ac:dyDescent="0.25">
      <c r="A19" t="s">
        <v>220</v>
      </c>
      <c r="B19" s="2" t="str">
        <f>IF(B18&gt;0,"Accept Project","Reject Project")</f>
        <v>Accept Project</v>
      </c>
    </row>
    <row r="21" spans="1:2" x14ac:dyDescent="0.25">
      <c r="A21" s="2" t="s">
        <v>221</v>
      </c>
    </row>
    <row r="22" spans="1:2" x14ac:dyDescent="0.25">
      <c r="A22" t="s">
        <v>222</v>
      </c>
      <c r="B22" s="4">
        <f>IRR(B10:B15)</f>
        <v>0.21050705230245059</v>
      </c>
    </row>
    <row r="23" spans="1:2" x14ac:dyDescent="0.25">
      <c r="A23" t="s">
        <v>223</v>
      </c>
      <c r="B23" s="2" t="str">
        <f>IF(B22&gt;B6,"Accept Project","Reject Project")</f>
        <v>Accept Project</v>
      </c>
    </row>
    <row r="25" spans="1:2" x14ac:dyDescent="0.25">
      <c r="A25" s="2" t="s">
        <v>224</v>
      </c>
    </row>
    <row r="26" spans="1:2" x14ac:dyDescent="0.25">
      <c r="A26" t="s">
        <v>15</v>
      </c>
      <c r="B26" s="5">
        <f>MATCH(0,D10:D15,1)-1+ABS(INDEX(D10:D15,MATCH(0,D10:D15,1)-1))/INDEX(B10:B15,MATCH(0,D10:D15,1))</f>
        <v>4.2777777777777777</v>
      </c>
    </row>
    <row r="27" spans="1:2" x14ac:dyDescent="0.25">
      <c r="A27" t="s">
        <v>225</v>
      </c>
      <c r="B27" s="5">
        <f>MATCH(0,E10:E15,1)-1+ABS(INDEX(E10:E15,MATCH(0,E10:E15,1)-1))/INDEX(C10:C15,MATCH(0,E10:E15,1))</f>
        <v>4.9738888888888901</v>
      </c>
    </row>
  </sheetData>
  <dataValidations count="2">
    <dataValidation type="decimal" operator="greaterThan" errorTitle="Invalid Input" error="Value must be greater than 0" sqref="B4 B5 B7" xr:uid="{00000000-0002-0000-0B00-000000000000}">
      <formula1>0</formula1>
    </dataValidation>
    <dataValidation type="decimal" errorTitle="Invalid Rate" error="Rate must be between 0 and 1" sqref="B6" xr:uid="{00000000-0002-0000-0B00-000001000000}">
      <formula1>0</formula1>
      <formula2>1</formula2>
    </dataValidation>
  </dataValidations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1"/>
  <sheetViews>
    <sheetView topLeftCell="A15" workbookViewId="0">
      <selection activeCell="E12" sqref="E12"/>
    </sheetView>
  </sheetViews>
  <sheetFormatPr defaultRowHeight="15" x14ac:dyDescent="0.25"/>
  <cols>
    <col min="1" max="1" width="35" customWidth="1"/>
    <col min="2" max="6" width="15" customWidth="1"/>
  </cols>
  <sheetData>
    <row r="1" spans="1:3" ht="18.75" x14ac:dyDescent="0.3">
      <c r="A1" s="1" t="s">
        <v>226</v>
      </c>
    </row>
    <row r="3" spans="1:3" x14ac:dyDescent="0.25">
      <c r="A3" s="18" t="s">
        <v>227</v>
      </c>
    </row>
    <row r="4" spans="1:3" x14ac:dyDescent="0.25">
      <c r="A4" t="s">
        <v>228</v>
      </c>
      <c r="B4" s="3">
        <f>Capital_Budgeting!B18</f>
        <v>255943.27262792518</v>
      </c>
    </row>
    <row r="5" spans="1:3" x14ac:dyDescent="0.25">
      <c r="A5" t="s">
        <v>14</v>
      </c>
      <c r="B5" s="4">
        <f>Capital_Budgeting!B22</f>
        <v>0.21050705230245059</v>
      </c>
    </row>
    <row r="6" spans="1:3" x14ac:dyDescent="0.25">
      <c r="A6" t="s">
        <v>229</v>
      </c>
      <c r="B6" s="5">
        <f>Capital_Budgeting!B20</f>
        <v>0</v>
      </c>
    </row>
    <row r="7" spans="1:3" x14ac:dyDescent="0.25">
      <c r="A7" t="s">
        <v>230</v>
      </c>
      <c r="B7" s="5">
        <f>Capital_Budgeting!B24</f>
        <v>0</v>
      </c>
    </row>
    <row r="8" spans="1:3" x14ac:dyDescent="0.25">
      <c r="A8" s="18" t="s">
        <v>231</v>
      </c>
    </row>
    <row r="9" spans="1:3" x14ac:dyDescent="0.25">
      <c r="A9" s="2" t="s">
        <v>212</v>
      </c>
      <c r="B9" s="2" t="s">
        <v>228</v>
      </c>
      <c r="C9" s="2" t="s">
        <v>232</v>
      </c>
    </row>
    <row r="10" spans="1:3" x14ac:dyDescent="0.25">
      <c r="A10" s="4">
        <v>0.06</v>
      </c>
      <c r="B10" s="3">
        <f>NPV(A10,Capital_Budgeting!B11:B15)+Capital_Budgeting!B10</f>
        <v>258016.92343920108</v>
      </c>
      <c r="C10" s="4">
        <f>(IRR(Capital_Budgeting!B10:B15)-Capital_Budgeting!B22)/Capital_Budgeting!B22</f>
        <v>0</v>
      </c>
    </row>
    <row r="11" spans="1:3" x14ac:dyDescent="0.25">
      <c r="A11" s="4">
        <v>0.08</v>
      </c>
      <c r="B11" s="3">
        <f>NPV(A11,Capital_Budgeting!B11:B15)+Capital_Budgeting!B10</f>
        <v>213365.17129841307</v>
      </c>
      <c r="C11" s="4">
        <f>(IRR(Capital_Budgeting!B10:B15)-Capital_Budgeting!B22)/Capital_Budgeting!B22</f>
        <v>0</v>
      </c>
    </row>
    <row r="12" spans="1:3" x14ac:dyDescent="0.25">
      <c r="A12" s="4">
        <v>0.1</v>
      </c>
      <c r="B12" s="3">
        <f>NPV(A12,Capital_Budgeting!B11:B15)+Capital_Budgeting!B10</f>
        <v>172545.96370093932</v>
      </c>
      <c r="C12" s="4">
        <f>(IRR(Capital_Budgeting!B10:B15)-Capital_Budgeting!B22)/Capital_Budgeting!B22</f>
        <v>0</v>
      </c>
    </row>
    <row r="13" spans="1:3" x14ac:dyDescent="0.25">
      <c r="A13" s="4">
        <v>0.12</v>
      </c>
      <c r="B13" s="3">
        <f>NPV(A13,Capital_Budgeting!B11:B15)+Capital_Budgeting!B10</f>
        <v>135151.25010691211</v>
      </c>
      <c r="C13" s="4">
        <f>(IRR(Capital_Budgeting!B10:B15)-Capital_Budgeting!B22)/Capital_Budgeting!B22</f>
        <v>0</v>
      </c>
    </row>
    <row r="14" spans="1:3" x14ac:dyDescent="0.25">
      <c r="A14" s="4">
        <v>0.14000000000000001</v>
      </c>
      <c r="B14" s="3">
        <f>NPV(A14,Capital_Budgeting!B11:B15)+Capital_Budgeting!B10</f>
        <v>100823.75493283244</v>
      </c>
      <c r="C14" s="4">
        <f>(IRR(Capital_Budgeting!B10:B15)-Capital_Budgeting!B22)/Capital_Budgeting!B22</f>
        <v>0</v>
      </c>
    </row>
    <row r="16" spans="1:3" x14ac:dyDescent="0.25">
      <c r="A16" s="18" t="s">
        <v>233</v>
      </c>
    </row>
    <row r="17" spans="1:6" x14ac:dyDescent="0.25">
      <c r="A17" s="2" t="s">
        <v>234</v>
      </c>
      <c r="B17" s="2" t="s">
        <v>235</v>
      </c>
      <c r="C17" s="2" t="s">
        <v>236</v>
      </c>
      <c r="D17" s="2" t="s">
        <v>237</v>
      </c>
      <c r="E17" s="2" t="s">
        <v>238</v>
      </c>
      <c r="F17" s="2" t="s">
        <v>239</v>
      </c>
    </row>
    <row r="18" spans="1:6" x14ac:dyDescent="0.25">
      <c r="A18" s="2" t="s">
        <v>240</v>
      </c>
    </row>
    <row r="19" spans="1:6" x14ac:dyDescent="0.25">
      <c r="A19" t="s">
        <v>235</v>
      </c>
      <c r="B19" s="3" t="e">
        <f>NPV(Capital_Budgeting!B6,Capital_Budgeting!B11:B15*0.8)+(Capital_Budgeting!B10*0.8)</f>
        <v>#VALUE!</v>
      </c>
      <c r="C19" s="3" t="e">
        <f>NPV(Capital_Budgeting!B6,Capital_Budgeting!B11:B15*0.9)+(Capital_Budgeting!B10*0.8)</f>
        <v>#VALUE!</v>
      </c>
      <c r="D19" s="3" t="e">
        <f>NPV(Capital_Budgeting!B6,Capital_Budgeting!B11:B15*1)+(Capital_Budgeting!B10*0.8)</f>
        <v>#VALUE!</v>
      </c>
      <c r="E19" s="3" t="e">
        <f>NPV(Capital_Budgeting!B6,Capital_Budgeting!B11:B15*1.1)+(Capital_Budgeting!B10*0.8)</f>
        <v>#VALUE!</v>
      </c>
      <c r="F19" s="3" t="e">
        <f>NPV(Capital_Budgeting!B6,Capital_Budgeting!B11:B15*1.2)+(Capital_Budgeting!B10*0.8)</f>
        <v>#VALUE!</v>
      </c>
    </row>
    <row r="20" spans="1:6" x14ac:dyDescent="0.25">
      <c r="A20" t="s">
        <v>236</v>
      </c>
      <c r="B20" s="3" t="e">
        <f>NPV(Capital_Budgeting!B6,Capital_Budgeting!B11:B15*0.8)+(Capital_Budgeting!B10*0.9)</f>
        <v>#VALUE!</v>
      </c>
      <c r="C20" s="3" t="e">
        <f>NPV(Capital_Budgeting!B6,Capital_Budgeting!B11:B15*0.9)+(Capital_Budgeting!B10*0.9)</f>
        <v>#VALUE!</v>
      </c>
      <c r="D20" s="3" t="e">
        <f>NPV(Capital_Budgeting!B6,Capital_Budgeting!B11:B15*1)+(Capital_Budgeting!B10*0.9)</f>
        <v>#VALUE!</v>
      </c>
      <c r="E20" s="3" t="e">
        <f>NPV(Capital_Budgeting!B6,Capital_Budgeting!B11:B15*1.1)+(Capital_Budgeting!B10*0.9)</f>
        <v>#VALUE!</v>
      </c>
      <c r="F20" s="3" t="e">
        <f>NPV(Capital_Budgeting!B6,Capital_Budgeting!B11:B15*1.2)+(Capital_Budgeting!B10*0.9)</f>
        <v>#VALUE!</v>
      </c>
    </row>
    <row r="21" spans="1:6" x14ac:dyDescent="0.25">
      <c r="A21" t="s">
        <v>237</v>
      </c>
      <c r="B21" s="3" t="e">
        <f>NPV(Capital_Budgeting!B6,Capital_Budgeting!B11:B15*0.8)+(Capital_Budgeting!B10*1)</f>
        <v>#VALUE!</v>
      </c>
      <c r="C21" s="3" t="e">
        <f>NPV(Capital_Budgeting!B6,Capital_Budgeting!B11:B15*0.9)+(Capital_Budgeting!B10*1)</f>
        <v>#VALUE!</v>
      </c>
      <c r="D21" s="3" t="e">
        <f>NPV(Capital_Budgeting!B6,Capital_Budgeting!B11:B15*1)+(Capital_Budgeting!B10*1)</f>
        <v>#VALUE!</v>
      </c>
      <c r="E21" s="3" t="e">
        <f>NPV(Capital_Budgeting!B6,Capital_Budgeting!B11:B15*1.1)+(Capital_Budgeting!B10*1)</f>
        <v>#VALUE!</v>
      </c>
      <c r="F21" s="3" t="e">
        <f>NPV(Capital_Budgeting!B6,Capital_Budgeting!B11:B15*1.2)+(Capital_Budgeting!B10*1)</f>
        <v>#VALUE!</v>
      </c>
    </row>
    <row r="22" spans="1:6" x14ac:dyDescent="0.25">
      <c r="A22" t="s">
        <v>238</v>
      </c>
      <c r="B22" s="3" t="e">
        <f>NPV(Capital_Budgeting!B6,Capital_Budgeting!B11:B15*0.8)+(Capital_Budgeting!B10*1.1)</f>
        <v>#VALUE!</v>
      </c>
      <c r="C22" s="3" t="e">
        <f>NPV(Capital_Budgeting!B6,Capital_Budgeting!B11:B15*0.9)+(Capital_Budgeting!B10*1.1)</f>
        <v>#VALUE!</v>
      </c>
      <c r="D22" s="3" t="e">
        <f>NPV(Capital_Budgeting!B6,Capital_Budgeting!B11:B15*1)+(Capital_Budgeting!B10*1.1)</f>
        <v>#VALUE!</v>
      </c>
      <c r="E22" s="3" t="e">
        <f>NPV(Capital_Budgeting!B6,Capital_Budgeting!B11:B15*1.1)+(Capital_Budgeting!B10*1.1)</f>
        <v>#VALUE!</v>
      </c>
      <c r="F22" s="3" t="e">
        <f>NPV(Capital_Budgeting!B6,Capital_Budgeting!B11:B15*1.2)+(Capital_Budgeting!B10*1.1)</f>
        <v>#VALUE!</v>
      </c>
    </row>
    <row r="23" spans="1:6" x14ac:dyDescent="0.25">
      <c r="A23" t="s">
        <v>239</v>
      </c>
      <c r="B23" s="3" t="e">
        <f>NPV(Capital_Budgeting!B6,Capital_Budgeting!B11:B15*0.8)+(Capital_Budgeting!B10*1.2)</f>
        <v>#VALUE!</v>
      </c>
      <c r="C23" s="3" t="e">
        <f>NPV(Capital_Budgeting!B6,Capital_Budgeting!B11:B15*0.9)+(Capital_Budgeting!B10*1.2)</f>
        <v>#VALUE!</v>
      </c>
      <c r="D23" s="3" t="e">
        <f>NPV(Capital_Budgeting!B6,Capital_Budgeting!B11:B15*1)+(Capital_Budgeting!B10*1.2)</f>
        <v>#VALUE!</v>
      </c>
      <c r="E23" s="3" t="e">
        <f>NPV(Capital_Budgeting!B6,Capital_Budgeting!B11:B15*1.1)+(Capital_Budgeting!B10*1.2)</f>
        <v>#VALUE!</v>
      </c>
      <c r="F23" s="3" t="e">
        <f>NPV(Capital_Budgeting!B6,Capital_Budgeting!B11:B15*1.2)+(Capital_Budgeting!B10*1.2)</f>
        <v>#VALUE!</v>
      </c>
    </row>
    <row r="25" spans="1:6" x14ac:dyDescent="0.25">
      <c r="A25" s="18" t="s">
        <v>241</v>
      </c>
    </row>
    <row r="26" spans="1:6" x14ac:dyDescent="0.25">
      <c r="A26" t="s">
        <v>242</v>
      </c>
      <c r="B26" s="3">
        <f>PMT(Capital_Budgeting!B6,Capital_Budgeting!B5,-Capital_Budgeting!B4,Capital_Budgeting!B7)</f>
        <v>123708.86635763543</v>
      </c>
    </row>
    <row r="27" spans="1:6" x14ac:dyDescent="0.25">
      <c r="A27" t="s">
        <v>243</v>
      </c>
      <c r="B27" s="4">
        <f>B26/AVERAGE(Capital_Budgeting!B11:B15)</f>
        <v>0.67233079542193164</v>
      </c>
    </row>
    <row r="28" spans="1:6" x14ac:dyDescent="0.25">
      <c r="A28" t="s">
        <v>244</v>
      </c>
      <c r="B28" s="4">
        <f>(B26/Capital_Budgeting!B11)^(1/Capital_Budgeting!B5)-1</f>
        <v>6.1064106407104912E-3</v>
      </c>
    </row>
    <row r="30" spans="1:6" x14ac:dyDescent="0.25">
      <c r="A30" s="18" t="s">
        <v>245</v>
      </c>
    </row>
    <row r="31" spans="1:6" x14ac:dyDescent="0.25">
      <c r="A31" t="s">
        <v>246</v>
      </c>
      <c r="B31" s="3" t="e">
        <f>STDEV(B19:F23)</f>
        <v>#VALUE!</v>
      </c>
    </row>
    <row r="32" spans="1:6" x14ac:dyDescent="0.25">
      <c r="A32" t="s">
        <v>247</v>
      </c>
      <c r="B32" s="5" t="e">
        <f>ABS(B31/AVERAGE(B19:F23))</f>
        <v>#VALUE!</v>
      </c>
    </row>
    <row r="33" spans="1:2" x14ac:dyDescent="0.25">
      <c r="A33" t="s">
        <v>248</v>
      </c>
      <c r="B33" s="3" t="e">
        <f>MAX(B19:F23)-MIN(B19:F23)</f>
        <v>#VALUE!</v>
      </c>
    </row>
    <row r="34" spans="1:2" x14ac:dyDescent="0.25">
      <c r="A34" t="s">
        <v>249</v>
      </c>
      <c r="B34" s="4">
        <f>COUNTIF(B19:F23,"&lt;0")/25</f>
        <v>0</v>
      </c>
    </row>
    <row r="36" spans="1:2" x14ac:dyDescent="0.25">
      <c r="A36" s="18" t="s">
        <v>250</v>
      </c>
    </row>
    <row r="37" spans="1:2" x14ac:dyDescent="0.25">
      <c r="A37" t="s">
        <v>251</v>
      </c>
      <c r="B37" s="3" t="e">
        <f>MAX(B19:F23)</f>
        <v>#VALUE!</v>
      </c>
    </row>
    <row r="38" spans="1:2" x14ac:dyDescent="0.25">
      <c r="A38" t="s">
        <v>252</v>
      </c>
      <c r="B38" s="3" t="e">
        <f>INDEX(B19:F23,3,3)</f>
        <v>#VALUE!</v>
      </c>
    </row>
    <row r="39" spans="1:2" x14ac:dyDescent="0.25">
      <c r="A39" t="s">
        <v>253</v>
      </c>
      <c r="B39" s="3" t="e">
        <f>MIN(B19:F23)</f>
        <v>#VALUE!</v>
      </c>
    </row>
    <row r="40" spans="1:2" x14ac:dyDescent="0.25">
      <c r="A40" t="s">
        <v>254</v>
      </c>
      <c r="B40" s="3" t="e">
        <f>AVERAGE(B19:F23)</f>
        <v>#VALUE!</v>
      </c>
    </row>
    <row r="41" spans="1:2" x14ac:dyDescent="0.25">
      <c r="A41" t="s">
        <v>255</v>
      </c>
      <c r="B41" s="3" t="e">
        <f>MAX(B19:F23)-MIN(B19:F23)</f>
        <v>#VALUE!</v>
      </c>
    </row>
  </sheetData>
  <conditionalFormatting sqref="B19:F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5"/>
  <sheetViews>
    <sheetView tabSelected="1" workbookViewId="0">
      <selection activeCell="F9" sqref="F9"/>
    </sheetView>
  </sheetViews>
  <sheetFormatPr defaultRowHeight="15" x14ac:dyDescent="0.25"/>
  <cols>
    <col min="1" max="1" width="20" customWidth="1"/>
    <col min="2" max="2" width="15" customWidth="1"/>
    <col min="3" max="3" width="40" customWidth="1"/>
    <col min="4" max="4" width="15" customWidth="1"/>
  </cols>
  <sheetData>
    <row r="1" spans="1:4" ht="18.75" x14ac:dyDescent="0.3">
      <c r="A1" s="1" t="s">
        <v>256</v>
      </c>
    </row>
    <row r="3" spans="1:4" x14ac:dyDescent="0.25">
      <c r="A3" s="35" t="s">
        <v>257</v>
      </c>
      <c r="B3" s="35" t="s">
        <v>258</v>
      </c>
      <c r="C3" s="35" t="s">
        <v>259</v>
      </c>
      <c r="D3" s="35" t="s">
        <v>260</v>
      </c>
    </row>
    <row r="4" spans="1:4" x14ac:dyDescent="0.25">
      <c r="A4" s="36" t="s">
        <v>261</v>
      </c>
      <c r="B4" s="36" t="s">
        <v>262</v>
      </c>
      <c r="C4" s="36" t="s">
        <v>263</v>
      </c>
      <c r="D4" s="37">
        <v>0.1</v>
      </c>
    </row>
    <row r="5" spans="1:4" x14ac:dyDescent="0.25">
      <c r="A5" s="38" t="s">
        <v>264</v>
      </c>
      <c r="B5" s="38" t="s">
        <v>265</v>
      </c>
      <c r="C5" s="38" t="s">
        <v>266</v>
      </c>
      <c r="D5" s="39">
        <v>0.1</v>
      </c>
    </row>
    <row r="6" spans="1:4" x14ac:dyDescent="0.25">
      <c r="A6" s="36" t="s">
        <v>267</v>
      </c>
      <c r="B6" s="36" t="s">
        <v>268</v>
      </c>
      <c r="C6" s="36" t="s">
        <v>269</v>
      </c>
      <c r="D6" s="37">
        <v>0.1</v>
      </c>
    </row>
    <row r="7" spans="1:4" x14ac:dyDescent="0.25">
      <c r="A7" s="38" t="s">
        <v>270</v>
      </c>
      <c r="B7" s="38" t="s">
        <v>271</v>
      </c>
      <c r="C7" s="38" t="s">
        <v>272</v>
      </c>
      <c r="D7" s="39">
        <v>0.1</v>
      </c>
    </row>
    <row r="8" spans="1:4" x14ac:dyDescent="0.25">
      <c r="A8" s="36" t="s">
        <v>273</v>
      </c>
      <c r="B8" s="36" t="s">
        <v>274</v>
      </c>
      <c r="C8" s="36" t="s">
        <v>275</v>
      </c>
      <c r="D8" s="37">
        <v>0.1</v>
      </c>
    </row>
    <row r="9" spans="1:4" x14ac:dyDescent="0.25">
      <c r="A9" s="38" t="s">
        <v>276</v>
      </c>
      <c r="B9" s="38" t="s">
        <v>277</v>
      </c>
      <c r="C9" s="38" t="s">
        <v>278</v>
      </c>
      <c r="D9" s="39">
        <v>0.1</v>
      </c>
    </row>
    <row r="10" spans="1:4" x14ac:dyDescent="0.25">
      <c r="A10" s="36" t="s">
        <v>279</v>
      </c>
      <c r="B10" s="36" t="s">
        <v>280</v>
      </c>
      <c r="C10" s="36" t="s">
        <v>281</v>
      </c>
      <c r="D10" s="37">
        <v>0.1</v>
      </c>
    </row>
    <row r="11" spans="1:4" x14ac:dyDescent="0.25">
      <c r="A11" s="38" t="s">
        <v>282</v>
      </c>
      <c r="B11" s="38" t="s">
        <v>283</v>
      </c>
      <c r="C11" s="38" t="s">
        <v>284</v>
      </c>
      <c r="D11" s="39">
        <v>0.1</v>
      </c>
    </row>
    <row r="12" spans="1:4" x14ac:dyDescent="0.25">
      <c r="A12" s="36" t="s">
        <v>285</v>
      </c>
      <c r="B12" s="36" t="s">
        <v>286</v>
      </c>
      <c r="C12" s="36" t="s">
        <v>287</v>
      </c>
      <c r="D12" s="37">
        <v>0.1</v>
      </c>
    </row>
    <row r="13" spans="1:4" x14ac:dyDescent="0.25">
      <c r="A13" s="38" t="s">
        <v>288</v>
      </c>
      <c r="B13" s="38" t="s">
        <v>289</v>
      </c>
      <c r="C13" s="38" t="s">
        <v>290</v>
      </c>
      <c r="D13" s="39">
        <v>0.1</v>
      </c>
    </row>
    <row r="14" spans="1:4" x14ac:dyDescent="0.25">
      <c r="A14" s="38"/>
      <c r="B14" s="38"/>
      <c r="C14" s="38"/>
      <c r="D14" s="38"/>
    </row>
    <row r="15" spans="1:4" x14ac:dyDescent="0.25">
      <c r="A15" s="40" t="s">
        <v>291</v>
      </c>
      <c r="B15" s="38"/>
      <c r="C15" s="38"/>
      <c r="D15" s="41">
        <f>SUM(D4:D13)</f>
        <v>0.99999999999999989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Dashboard</vt:lpstr>
      <vt:lpstr>Business_Overview</vt:lpstr>
      <vt:lpstr>Assumptions</vt:lpstr>
      <vt:lpstr>Revenue_Forecast</vt:lpstr>
      <vt:lpstr>COGS_Budget</vt:lpstr>
      <vt:lpstr>OPEX_Budget</vt:lpstr>
      <vt:lpstr>Income_Statement</vt:lpstr>
      <vt:lpstr>Balance_Sheet</vt:lpstr>
      <vt:lpstr>Cash_Flow</vt:lpstr>
      <vt:lpstr>Stock_Valuation</vt:lpstr>
      <vt:lpstr>Bond_Valuation</vt:lpstr>
      <vt:lpstr>Capital_Budgeting</vt:lpstr>
      <vt:lpstr>Sensitivity_Analysis</vt:lpstr>
      <vt:lpstr>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SGMLP Senavirathna</cp:lastModifiedBy>
  <dcterms:created xsi:type="dcterms:W3CDTF">2025-05-03T08:08:28Z</dcterms:created>
  <dcterms:modified xsi:type="dcterms:W3CDTF">2025-05-03T08:30:09Z</dcterms:modified>
</cp:coreProperties>
</file>