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v-vldmr/Desktop/"/>
    </mc:Choice>
  </mc:AlternateContent>
  <xr:revisionPtr revIDLastSave="0" documentId="13_ncr:1_{8625B8D4-9058-6847-87ED-DD4FB8F84D33}" xr6:coauthVersionLast="47" xr6:coauthVersionMax="47" xr10:uidLastSave="{00000000-0000-0000-0000-000000000000}"/>
  <bookViews>
    <workbookView xWindow="0" yWindow="460" windowWidth="35840" windowHeight="20520" xr2:uid="{4456F4B1-8E31-3D4E-8822-D61C6405DBBB}"/>
  </bookViews>
  <sheets>
    <sheet name="1" sheetId="1" r:id="rId1"/>
    <sheet name="2" sheetId="2" r:id="rId2"/>
    <sheet name="3" sheetId="3" r:id="rId3"/>
    <sheet name="4" sheetId="5" r:id="rId4"/>
    <sheet name="5" sheetId="4" r:id="rId5"/>
    <sheet name="6" sheetId="8" r:id="rId6"/>
    <sheet name="7" sheetId="9" r:id="rId7"/>
    <sheet name="8" sheetId="6" r:id="rId8"/>
    <sheet name="9" sheetId="7" r:id="rId9"/>
    <sheet name="10" sheetId="10" r:id="rId10"/>
    <sheet name="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1" l="1"/>
  <c r="D13" i="11" s="1"/>
  <c r="F9" i="11"/>
  <c r="F3" i="11"/>
  <c r="F4" i="11"/>
  <c r="F5" i="11"/>
  <c r="F6" i="11"/>
  <c r="E28" i="11" s="1"/>
  <c r="F2" i="11"/>
  <c r="D3" i="11"/>
  <c r="D4" i="11"/>
  <c r="E25" i="11" s="1"/>
  <c r="D5" i="11"/>
  <c r="D6" i="11"/>
  <c r="D2" i="11"/>
  <c r="Y19" i="10"/>
  <c r="Y20" i="10"/>
  <c r="Y21" i="10"/>
  <c r="Y22" i="10"/>
  <c r="Y23" i="10"/>
  <c r="Y24" i="10"/>
  <c r="Y25" i="10"/>
  <c r="Y26" i="10"/>
  <c r="Y27" i="10"/>
  <c r="Y28" i="10"/>
  <c r="E15" i="11" l="1"/>
  <c r="D19" i="11"/>
  <c r="E20" i="11"/>
  <c r="D20" i="11"/>
  <c r="D15" i="11"/>
  <c r="E19" i="11"/>
  <c r="H2" i="11" a="1"/>
  <c r="H2" i="11" s="1"/>
  <c r="L51" i="10" l="1"/>
  <c r="L48" i="10"/>
  <c r="L47" i="10" a="1"/>
  <c r="L47" i="10" s="1"/>
  <c r="M19" i="10"/>
  <c r="L49" i="10"/>
  <c r="Z43" i="10"/>
  <c r="M40" i="10"/>
  <c r="O35" i="10"/>
  <c r="N34" i="10"/>
  <c r="L33" i="10"/>
  <c r="L43" i="10" s="1"/>
  <c r="O41" i="10"/>
  <c r="Q61" i="10"/>
  <c r="Q60" i="10"/>
  <c r="L50" i="10"/>
  <c r="AB33" i="10"/>
  <c r="AA33" i="10"/>
  <c r="Z33" i="10"/>
  <c r="Y33" i="10"/>
  <c r="X33" i="10"/>
  <c r="W33" i="10"/>
  <c r="V33" i="10"/>
  <c r="U33" i="10"/>
  <c r="T33" i="10"/>
  <c r="S33" i="10"/>
  <c r="R43" i="10"/>
  <c r="R42" i="10"/>
  <c r="R41" i="10"/>
  <c r="R40" i="10"/>
  <c r="R39" i="10"/>
  <c r="R38" i="10"/>
  <c r="R37" i="10"/>
  <c r="R36" i="10"/>
  <c r="R35" i="10"/>
  <c r="R34" i="10"/>
  <c r="O42" i="10"/>
  <c r="O40" i="10"/>
  <c r="O39" i="10"/>
  <c r="O38" i="10"/>
  <c r="O37" i="10"/>
  <c r="O36" i="10"/>
  <c r="O34" i="10"/>
  <c r="O33" i="10"/>
  <c r="N42" i="10"/>
  <c r="N41" i="10"/>
  <c r="N40" i="10"/>
  <c r="N39" i="10"/>
  <c r="N38" i="10"/>
  <c r="N37" i="10"/>
  <c r="N36" i="10"/>
  <c r="N35" i="10"/>
  <c r="N33" i="10"/>
  <c r="M42" i="10"/>
  <c r="M41" i="10"/>
  <c r="M39" i="10"/>
  <c r="M38" i="10"/>
  <c r="M37" i="10"/>
  <c r="M36" i="10"/>
  <c r="M35" i="10"/>
  <c r="M34" i="10"/>
  <c r="M33" i="10"/>
  <c r="M43" i="10" s="1"/>
  <c r="L42" i="10"/>
  <c r="L41" i="10"/>
  <c r="L40" i="10"/>
  <c r="L39" i="10"/>
  <c r="L38" i="10"/>
  <c r="L37" i="10"/>
  <c r="L36" i="10"/>
  <c r="L35" i="10"/>
  <c r="L34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H102" i="10" s="1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H79" i="10" s="1"/>
  <c r="F78" i="10"/>
  <c r="H78" i="10" s="1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H55" i="10" s="1"/>
  <c r="F54" i="10"/>
  <c r="H54" i="10" s="1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G201" i="10"/>
  <c r="G200" i="10"/>
  <c r="H200" i="10" s="1"/>
  <c r="G199" i="10"/>
  <c r="G198" i="10"/>
  <c r="G197" i="10"/>
  <c r="G196" i="10"/>
  <c r="H196" i="10" s="1"/>
  <c r="G195" i="10"/>
  <c r="G194" i="10"/>
  <c r="H194" i="10" s="1"/>
  <c r="G193" i="10"/>
  <c r="G192" i="10"/>
  <c r="G191" i="10"/>
  <c r="G190" i="10"/>
  <c r="G189" i="10"/>
  <c r="G188" i="10"/>
  <c r="H188" i="10" s="1"/>
  <c r="G187" i="10"/>
  <c r="G186" i="10"/>
  <c r="G185" i="10"/>
  <c r="G184" i="10"/>
  <c r="G183" i="10"/>
  <c r="G182" i="10"/>
  <c r="H182" i="10" s="1"/>
  <c r="G181" i="10"/>
  <c r="G180" i="10"/>
  <c r="G179" i="10"/>
  <c r="G178" i="10"/>
  <c r="G177" i="10"/>
  <c r="G176" i="10"/>
  <c r="H176" i="10" s="1"/>
  <c r="G175" i="10"/>
  <c r="G174" i="10"/>
  <c r="G173" i="10"/>
  <c r="G172" i="10"/>
  <c r="G171" i="10"/>
  <c r="G170" i="10"/>
  <c r="H170" i="10" s="1"/>
  <c r="G169" i="10"/>
  <c r="G168" i="10"/>
  <c r="H168" i="10" s="1"/>
  <c r="G167" i="10"/>
  <c r="G166" i="10"/>
  <c r="G165" i="10"/>
  <c r="G164" i="10"/>
  <c r="H164" i="10" s="1"/>
  <c r="G163" i="10"/>
  <c r="G162" i="10"/>
  <c r="G161" i="10"/>
  <c r="G160" i="10"/>
  <c r="G159" i="10"/>
  <c r="G158" i="10"/>
  <c r="H158" i="10" s="1"/>
  <c r="G157" i="10"/>
  <c r="H157" i="10" s="1"/>
  <c r="G156" i="10"/>
  <c r="G155" i="10"/>
  <c r="G154" i="10"/>
  <c r="G153" i="10"/>
  <c r="H153" i="10" s="1"/>
  <c r="G152" i="10"/>
  <c r="H152" i="10" s="1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H140" i="10" s="1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H128" i="10" s="1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H116" i="10" s="1"/>
  <c r="G115" i="10"/>
  <c r="G114" i="10"/>
  <c r="G113" i="10"/>
  <c r="G112" i="10"/>
  <c r="G111" i="10"/>
  <c r="G110" i="10"/>
  <c r="G109" i="10"/>
  <c r="G108" i="10"/>
  <c r="G107" i="10"/>
  <c r="G106" i="10"/>
  <c r="G105" i="10"/>
  <c r="H105" i="10" s="1"/>
  <c r="G104" i="10"/>
  <c r="H104" i="10" s="1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H92" i="10" s="1"/>
  <c r="G91" i="10"/>
  <c r="G90" i="10"/>
  <c r="G89" i="10"/>
  <c r="G88" i="10"/>
  <c r="G87" i="10"/>
  <c r="G86" i="10"/>
  <c r="G85" i="10"/>
  <c r="G84" i="10"/>
  <c r="G83" i="10"/>
  <c r="G82" i="10"/>
  <c r="G81" i="10"/>
  <c r="G80" i="10"/>
  <c r="H80" i="10" s="1"/>
  <c r="G79" i="10"/>
  <c r="G78" i="10"/>
  <c r="G77" i="10"/>
  <c r="H77" i="10" s="1"/>
  <c r="G76" i="10"/>
  <c r="H76" i="10" s="1"/>
  <c r="G75" i="10"/>
  <c r="G74" i="10"/>
  <c r="G73" i="10"/>
  <c r="G72" i="10"/>
  <c r="G71" i="10"/>
  <c r="G70" i="10"/>
  <c r="G69" i="10"/>
  <c r="G68" i="10"/>
  <c r="H68" i="10" s="1"/>
  <c r="G67" i="10"/>
  <c r="G66" i="10"/>
  <c r="G65" i="10"/>
  <c r="G64" i="10"/>
  <c r="G63" i="10"/>
  <c r="G62" i="10"/>
  <c r="G61" i="10"/>
  <c r="G60" i="10"/>
  <c r="G59" i="10"/>
  <c r="G58" i="10"/>
  <c r="G57" i="10"/>
  <c r="G56" i="10"/>
  <c r="H56" i="10" s="1"/>
  <c r="G55" i="10"/>
  <c r="G54" i="10"/>
  <c r="G53" i="10"/>
  <c r="G52" i="10"/>
  <c r="H52" i="10" s="1"/>
  <c r="G51" i="10"/>
  <c r="G50" i="10"/>
  <c r="H50" i="10" s="1"/>
  <c r="G49" i="10"/>
  <c r="G48" i="10"/>
  <c r="G47" i="10"/>
  <c r="G46" i="10"/>
  <c r="G45" i="10"/>
  <c r="G44" i="10"/>
  <c r="H44" i="10" s="1"/>
  <c r="G43" i="10"/>
  <c r="G42" i="10"/>
  <c r="G41" i="10"/>
  <c r="G40" i="10"/>
  <c r="G39" i="10"/>
  <c r="G38" i="10"/>
  <c r="G37" i="10"/>
  <c r="G36" i="10"/>
  <c r="G35" i="10"/>
  <c r="G34" i="10"/>
  <c r="G33" i="10"/>
  <c r="G32" i="10"/>
  <c r="H32" i="10" s="1"/>
  <c r="G31" i="10"/>
  <c r="G30" i="10"/>
  <c r="G29" i="10"/>
  <c r="H29" i="10" s="1"/>
  <c r="G28" i="10"/>
  <c r="H28" i="10" s="1"/>
  <c r="G27" i="10"/>
  <c r="G26" i="10"/>
  <c r="H26" i="10" s="1"/>
  <c r="G25" i="10"/>
  <c r="G24" i="10"/>
  <c r="G23" i="10"/>
  <c r="G22" i="10"/>
  <c r="G21" i="10"/>
  <c r="G20" i="10"/>
  <c r="H20" i="10" s="1"/>
  <c r="G19" i="10"/>
  <c r="G18" i="10"/>
  <c r="G17" i="10"/>
  <c r="H17" i="10" s="1"/>
  <c r="G16" i="10"/>
  <c r="H16" i="10" s="1"/>
  <c r="G15" i="10"/>
  <c r="G14" i="10"/>
  <c r="G13" i="10"/>
  <c r="G12" i="10"/>
  <c r="H12" i="10" s="1"/>
  <c r="G11" i="10"/>
  <c r="H11" i="10" s="1"/>
  <c r="G10" i="10"/>
  <c r="G9" i="10"/>
  <c r="G8" i="10"/>
  <c r="H8" i="10" s="1"/>
  <c r="G7" i="10"/>
  <c r="G6" i="10"/>
  <c r="G5" i="10"/>
  <c r="H5" i="10" s="1"/>
  <c r="G4" i="10"/>
  <c r="G3" i="10"/>
  <c r="G2" i="10"/>
  <c r="F2" i="10"/>
  <c r="H2" i="10" s="1"/>
  <c r="H201" i="10"/>
  <c r="H199" i="10"/>
  <c r="H197" i="10"/>
  <c r="H192" i="10"/>
  <c r="H189" i="10"/>
  <c r="H185" i="10"/>
  <c r="H184" i="10"/>
  <c r="H180" i="10"/>
  <c r="H179" i="10"/>
  <c r="H177" i="10"/>
  <c r="H173" i="10"/>
  <c r="H167" i="10"/>
  <c r="H165" i="10"/>
  <c r="H161" i="10"/>
  <c r="H160" i="10"/>
  <c r="H156" i="10"/>
  <c r="H143" i="10"/>
  <c r="H141" i="10"/>
  <c r="H131" i="10"/>
  <c r="H129" i="10"/>
  <c r="H119" i="10"/>
  <c r="H117" i="10"/>
  <c r="H103" i="10"/>
  <c r="H101" i="10"/>
  <c r="H100" i="10"/>
  <c r="H96" i="10"/>
  <c r="H95" i="10"/>
  <c r="H91" i="10"/>
  <c r="H89" i="10"/>
  <c r="H71" i="10"/>
  <c r="H67" i="10"/>
  <c r="H53" i="10"/>
  <c r="H48" i="10"/>
  <c r="H36" i="10"/>
  <c r="H35" i="10"/>
  <c r="L56" i="10" l="1"/>
  <c r="H13" i="10"/>
  <c r="H25" i="10"/>
  <c r="H37" i="10"/>
  <c r="H49" i="10"/>
  <c r="H145" i="10"/>
  <c r="H169" i="10"/>
  <c r="H181" i="10"/>
  <c r="H193" i="10"/>
  <c r="N61" i="10"/>
  <c r="N60" i="10" s="1"/>
  <c r="S60" i="10" s="1"/>
  <c r="N43" i="10"/>
  <c r="O43" i="10"/>
  <c r="H14" i="10"/>
  <c r="H38" i="10"/>
  <c r="H62" i="10"/>
  <c r="H4" i="10"/>
  <c r="H40" i="10"/>
  <c r="H64" i="10"/>
  <c r="H88" i="10"/>
  <c r="H172" i="10"/>
  <c r="H41" i="10"/>
  <c r="H66" i="10"/>
  <c r="H90" i="10"/>
  <c r="H23" i="10"/>
  <c r="H47" i="10"/>
  <c r="H83" i="10"/>
  <c r="H107" i="10"/>
  <c r="H155" i="10"/>
  <c r="H191" i="10"/>
  <c r="H24" i="10"/>
  <c r="H84" i="10"/>
  <c r="H198" i="10"/>
  <c r="H162" i="10"/>
  <c r="H174" i="10"/>
  <c r="H186" i="10"/>
  <c r="H163" i="10"/>
  <c r="H175" i="10"/>
  <c r="H187" i="10"/>
  <c r="H108" i="10"/>
  <c r="H121" i="10"/>
  <c r="H110" i="10"/>
  <c r="H109" i="10"/>
  <c r="H124" i="10"/>
  <c r="H144" i="10"/>
  <c r="H122" i="10"/>
  <c r="H146" i="10"/>
  <c r="H112" i="10"/>
  <c r="H113" i="10"/>
  <c r="H125" i="10"/>
  <c r="H137" i="10"/>
  <c r="H149" i="10"/>
  <c r="H120" i="10"/>
  <c r="H136" i="10"/>
  <c r="H114" i="10"/>
  <c r="H126" i="10"/>
  <c r="H138" i="10"/>
  <c r="H150" i="10"/>
  <c r="H132" i="10"/>
  <c r="H133" i="10"/>
  <c r="H134" i="10"/>
  <c r="H148" i="10"/>
  <c r="H115" i="10"/>
  <c r="H127" i="10"/>
  <c r="H139" i="10"/>
  <c r="H151" i="10"/>
  <c r="H57" i="10"/>
  <c r="H60" i="10"/>
  <c r="H93" i="10"/>
  <c r="H61" i="10"/>
  <c r="H73" i="10"/>
  <c r="H98" i="10"/>
  <c r="H85" i="10"/>
  <c r="H74" i="10"/>
  <c r="H65" i="10"/>
  <c r="H69" i="10"/>
  <c r="H72" i="10"/>
  <c r="H86" i="10"/>
  <c r="H81" i="10"/>
  <c r="H59" i="10"/>
  <c r="H97" i="10"/>
  <c r="H6" i="10"/>
  <c r="H18" i="10"/>
  <c r="H30" i="10"/>
  <c r="H42" i="10"/>
  <c r="H7" i="10"/>
  <c r="H19" i="10"/>
  <c r="H31" i="10"/>
  <c r="H43" i="10"/>
  <c r="H51" i="10"/>
  <c r="H99" i="10"/>
  <c r="H111" i="10"/>
  <c r="H123" i="10"/>
  <c r="H135" i="10"/>
  <c r="H147" i="10"/>
  <c r="H159" i="10"/>
  <c r="H171" i="10"/>
  <c r="H183" i="10"/>
  <c r="H195" i="10"/>
  <c r="H63" i="10"/>
  <c r="H87" i="10"/>
  <c r="H15" i="10"/>
  <c r="H3" i="10"/>
  <c r="H75" i="10"/>
  <c r="H27" i="10"/>
  <c r="H21" i="10"/>
  <c r="H39" i="10"/>
  <c r="H9" i="10"/>
  <c r="H33" i="10"/>
  <c r="H45" i="10"/>
  <c r="H10" i="10"/>
  <c r="H22" i="10"/>
  <c r="H34" i="10"/>
  <c r="H46" i="10"/>
  <c r="H58" i="10"/>
  <c r="H70" i="10"/>
  <c r="H82" i="10"/>
  <c r="H94" i="10"/>
  <c r="H106" i="10"/>
  <c r="H118" i="10"/>
  <c r="H130" i="10"/>
  <c r="H142" i="10"/>
  <c r="H154" i="10"/>
  <c r="H166" i="10"/>
  <c r="H178" i="10"/>
  <c r="H190" i="10"/>
  <c r="S61" i="10" l="1"/>
  <c r="Q26" i="10"/>
  <c r="W41" i="10" s="1"/>
  <c r="U23" i="10"/>
  <c r="AA38" i="10" s="1"/>
  <c r="V28" i="10"/>
  <c r="AB43" i="10" s="1"/>
  <c r="T27" i="10"/>
  <c r="Z42" i="10" s="1"/>
  <c r="U26" i="10"/>
  <c r="AA41" i="10" s="1"/>
  <c r="S24" i="10"/>
  <c r="Y39" i="10" s="1"/>
  <c r="S25" i="10"/>
  <c r="Y40" i="10" s="1"/>
  <c r="M22" i="10"/>
  <c r="S20" i="10"/>
  <c r="Y35" i="10" s="1"/>
  <c r="Q23" i="10"/>
  <c r="W38" i="10" s="1"/>
  <c r="Q24" i="10"/>
  <c r="W39" i="10" s="1"/>
  <c r="O27" i="10"/>
  <c r="U42" i="10" s="1"/>
  <c r="P21" i="10"/>
  <c r="V36" i="10" s="1"/>
  <c r="T19" i="10"/>
  <c r="Z34" i="10" s="1"/>
  <c r="N25" i="10"/>
  <c r="T40" i="10" s="1"/>
  <c r="S27" i="10"/>
  <c r="Y42" i="10" s="1"/>
  <c r="O24" i="10"/>
  <c r="U39" i="10" s="1"/>
  <c r="P26" i="10"/>
  <c r="V41" i="10" s="1"/>
  <c r="U28" i="10"/>
  <c r="AA43" i="10" s="1"/>
  <c r="P19" i="10"/>
  <c r="V34" i="10" s="1"/>
  <c r="V20" i="10"/>
  <c r="AB35" i="10" s="1"/>
  <c r="R27" i="10"/>
  <c r="X42" i="10" s="1"/>
  <c r="V27" i="10"/>
  <c r="AB42" i="10" s="1"/>
  <c r="R20" i="10"/>
  <c r="X35" i="10" s="1"/>
  <c r="U21" i="10"/>
  <c r="AA36" i="10" s="1"/>
  <c r="O26" i="10"/>
  <c r="U41" i="10" s="1"/>
  <c r="T21" i="10"/>
  <c r="Z36" i="10" s="1"/>
  <c r="V25" i="10"/>
  <c r="AB40" i="10" s="1"/>
  <c r="P28" i="10"/>
  <c r="V43" i="10" s="1"/>
  <c r="V22" i="10"/>
  <c r="AB37" i="10" s="1"/>
  <c r="T23" i="10"/>
  <c r="Z38" i="10" s="1"/>
  <c r="S19" i="10"/>
  <c r="Y34" i="10" s="1"/>
  <c r="S21" i="10"/>
  <c r="Y36" i="10" s="1"/>
  <c r="M28" i="10"/>
  <c r="M25" i="10"/>
  <c r="R25" i="10"/>
  <c r="X40" i="10" s="1"/>
  <c r="M20" i="10"/>
  <c r="Q22" i="10"/>
  <c r="W37" i="10" s="1"/>
  <c r="Q20" i="10"/>
  <c r="W35" i="10" s="1"/>
  <c r="T24" i="10"/>
  <c r="Z39" i="10" s="1"/>
  <c r="N27" i="10"/>
  <c r="T42" i="10" s="1"/>
  <c r="T28" i="10"/>
  <c r="M23" i="10"/>
  <c r="U25" i="10"/>
  <c r="AA40" i="10" s="1"/>
  <c r="S28" i="10"/>
  <c r="Y43" i="10" s="1"/>
  <c r="R19" i="10"/>
  <c r="X34" i="10" s="1"/>
  <c r="N21" i="10"/>
  <c r="T36" i="10" s="1"/>
  <c r="U22" i="10"/>
  <c r="AA37" i="10" s="1"/>
  <c r="T20" i="10"/>
  <c r="Z35" i="10" s="1"/>
  <c r="P22" i="10"/>
  <c r="V37" i="10" s="1"/>
  <c r="M24" i="10"/>
  <c r="T22" i="10"/>
  <c r="Z37" i="10" s="1"/>
  <c r="Q28" i="10"/>
  <c r="W43" i="10" s="1"/>
  <c r="O21" i="10"/>
  <c r="U36" i="10" s="1"/>
  <c r="O19" i="10"/>
  <c r="U34" i="10" s="1"/>
  <c r="S23" i="10"/>
  <c r="Y38" i="10" s="1"/>
  <c r="V19" i="10"/>
  <c r="AB34" i="10" s="1"/>
  <c r="N19" i="10"/>
  <c r="T34" i="10" s="1"/>
  <c r="M27" i="10"/>
  <c r="P20" i="10"/>
  <c r="V35" i="10" s="1"/>
  <c r="O28" i="10"/>
  <c r="U43" i="10" s="1"/>
  <c r="S26" i="10"/>
  <c r="Y41" i="10" s="1"/>
  <c r="U19" i="10"/>
  <c r="AA34" i="10" s="1"/>
  <c r="R22" i="10"/>
  <c r="X37" i="10" s="1"/>
  <c r="N22" i="10"/>
  <c r="T37" i="10" s="1"/>
  <c r="P23" i="10"/>
  <c r="V38" i="10" s="1"/>
  <c r="U20" i="10"/>
  <c r="AA35" i="10" s="1"/>
  <c r="Q27" i="10"/>
  <c r="W42" i="10" s="1"/>
  <c r="V24" i="10"/>
  <c r="AB39" i="10" s="1"/>
  <c r="N24" i="10"/>
  <c r="T39" i="10" s="1"/>
  <c r="O23" i="10"/>
  <c r="U38" i="10" s="1"/>
  <c r="N26" i="10"/>
  <c r="T41" i="10" s="1"/>
  <c r="Q19" i="10"/>
  <c r="W34" i="10" s="1"/>
  <c r="Q25" i="10"/>
  <c r="W40" i="10" s="1"/>
  <c r="R24" i="10"/>
  <c r="X39" i="10" s="1"/>
  <c r="P27" i="10"/>
  <c r="V42" i="10" s="1"/>
  <c r="R21" i="10"/>
  <c r="X36" i="10" s="1"/>
  <c r="V21" i="10"/>
  <c r="AB36" i="10" s="1"/>
  <c r="T25" i="10"/>
  <c r="Z40" i="10" s="1"/>
  <c r="R23" i="10"/>
  <c r="X38" i="10" s="1"/>
  <c r="R28" i="10"/>
  <c r="X43" i="10" s="1"/>
  <c r="O20" i="10"/>
  <c r="U35" i="10" s="1"/>
  <c r="P25" i="10"/>
  <c r="V40" i="10" s="1"/>
  <c r="U27" i="10"/>
  <c r="AA42" i="10" s="1"/>
  <c r="N23" i="10"/>
  <c r="T38" i="10" s="1"/>
  <c r="V26" i="10"/>
  <c r="AB41" i="10" s="1"/>
  <c r="M21" i="10"/>
  <c r="U24" i="10"/>
  <c r="AA39" i="10" s="1"/>
  <c r="T26" i="10"/>
  <c r="Z41" i="10" s="1"/>
  <c r="Q21" i="10"/>
  <c r="W36" i="10" s="1"/>
  <c r="V23" i="10"/>
  <c r="AB38" i="10" s="1"/>
  <c r="R26" i="10"/>
  <c r="X41" i="10" s="1"/>
  <c r="P24" i="10"/>
  <c r="V39" i="10" s="1"/>
  <c r="N28" i="10"/>
  <c r="T43" i="10" s="1"/>
  <c r="O22" i="10"/>
  <c r="U37" i="10" s="1"/>
  <c r="M26" i="10"/>
  <c r="N20" i="10"/>
  <c r="T35" i="10" s="1"/>
  <c r="S22" i="10"/>
  <c r="Y37" i="10" s="1"/>
  <c r="O25" i="10"/>
  <c r="U40" i="10" s="1"/>
  <c r="S42" i="10" l="1"/>
  <c r="S40" i="10"/>
  <c r="S43" i="10"/>
  <c r="S37" i="10"/>
  <c r="S38" i="10"/>
  <c r="S34" i="10"/>
  <c r="AB44" i="10" s="1"/>
  <c r="L55" i="10" s="1"/>
  <c r="S36" i="10"/>
  <c r="S39" i="10"/>
  <c r="S41" i="10"/>
  <c r="S35" i="10"/>
  <c r="H52" i="9"/>
  <c r="I44" i="9"/>
  <c r="I43" i="9"/>
  <c r="I30" i="9" s="1"/>
  <c r="J30" i="9" s="1"/>
  <c r="G31" i="9"/>
  <c r="G29" i="9"/>
  <c r="G28" i="9"/>
  <c r="G27" i="9"/>
  <c r="G26" i="9"/>
  <c r="G12" i="9"/>
  <c r="G11" i="9"/>
  <c r="G10" i="9"/>
  <c r="G9" i="9"/>
  <c r="G8" i="9"/>
  <c r="G7" i="9"/>
  <c r="G6" i="9"/>
  <c r="G5" i="9"/>
  <c r="G4" i="9"/>
  <c r="I28" i="9" l="1"/>
  <c r="J28" i="9" s="1"/>
  <c r="I33" i="9"/>
  <c r="J33" i="9" s="1"/>
  <c r="I31" i="9"/>
  <c r="J31" i="9" s="1"/>
  <c r="K30" i="9" s="1"/>
  <c r="L30" i="9" s="1"/>
  <c r="M30" i="9" s="1"/>
  <c r="I25" i="9"/>
  <c r="J25" i="9" s="1"/>
  <c r="I27" i="9"/>
  <c r="J27" i="9" s="1"/>
  <c r="I29" i="9"/>
  <c r="J29" i="9" s="1"/>
  <c r="K28" i="9" s="1"/>
  <c r="L28" i="9" s="1"/>
  <c r="M28" i="9" s="1"/>
  <c r="I32" i="9"/>
  <c r="J32" i="9" s="1"/>
  <c r="K31" i="9" s="1"/>
  <c r="L31" i="9" s="1"/>
  <c r="M31" i="9" s="1"/>
  <c r="I26" i="9"/>
  <c r="J26" i="9" s="1"/>
  <c r="K25" i="9" s="1"/>
  <c r="L25" i="9" s="1"/>
  <c r="M25" i="9" s="1"/>
  <c r="I24" i="9"/>
  <c r="J24" i="9" s="1"/>
  <c r="L61" i="10" l="1"/>
  <c r="L60" i="10" s="1"/>
  <c r="R61" i="10" s="1"/>
  <c r="R60" i="10"/>
  <c r="K26" i="9"/>
  <c r="L26" i="9" s="1"/>
  <c r="M26" i="9" s="1"/>
  <c r="K24" i="9"/>
  <c r="L24" i="9" s="1"/>
  <c r="M24" i="9" s="1"/>
  <c r="K33" i="9"/>
  <c r="L33" i="9" s="1"/>
  <c r="M33" i="9" s="1"/>
  <c r="K32" i="9"/>
  <c r="L32" i="9" s="1"/>
  <c r="M32" i="9" s="1"/>
  <c r="K27" i="9"/>
  <c r="L27" i="9" s="1"/>
  <c r="M27" i="9" s="1"/>
  <c r="K29" i="9"/>
  <c r="L29" i="9" s="1"/>
  <c r="M29" i="9" s="1"/>
  <c r="H35" i="8"/>
  <c r="H38" i="8"/>
  <c r="H20" i="8"/>
  <c r="H23" i="8"/>
  <c r="H3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H29" i="8"/>
  <c r="H17" i="8"/>
  <c r="H14" i="8"/>
  <c r="H11" i="8"/>
  <c r="H8" i="8"/>
  <c r="H5" i="8"/>
  <c r="H2" i="8"/>
  <c r="AO22" i="7"/>
  <c r="AO18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I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AN33" i="7"/>
  <c r="AN32" i="7"/>
  <c r="AN31" i="7"/>
  <c r="AN30" i="7"/>
  <c r="AN29" i="7"/>
  <c r="AN28" i="7"/>
  <c r="AN27" i="7"/>
  <c r="AN26" i="7"/>
  <c r="AN25" i="7"/>
  <c r="AN24" i="7"/>
  <c r="AN23" i="7"/>
  <c r="AN22" i="7"/>
  <c r="AN21" i="7"/>
  <c r="AN20" i="7"/>
  <c r="AN19" i="7"/>
  <c r="AN18" i="7"/>
  <c r="AN17" i="7"/>
  <c r="AN16" i="7"/>
  <c r="AN15" i="7"/>
  <c r="AN14" i="7"/>
  <c r="AN13" i="7"/>
  <c r="AN12" i="7"/>
  <c r="AN11" i="7"/>
  <c r="AN10" i="7"/>
  <c r="AN9" i="7"/>
  <c r="AN8" i="7"/>
  <c r="AN7" i="7"/>
  <c r="AN6" i="7"/>
  <c r="AN5" i="7"/>
  <c r="AN4" i="7"/>
  <c r="AN3" i="7"/>
  <c r="H2" i="6"/>
  <c r="G48" i="9" l="1"/>
  <c r="H26" i="8"/>
  <c r="U25" i="5"/>
  <c r="U24" i="5"/>
  <c r="U23" i="5"/>
  <c r="U22" i="5"/>
  <c r="U21" i="5"/>
  <c r="U20" i="5"/>
  <c r="U18" i="5"/>
  <c r="U19" i="5"/>
  <c r="U17" i="5"/>
  <c r="U16" i="5"/>
  <c r="U12" i="5"/>
  <c r="U11" i="5"/>
  <c r="U10" i="5"/>
  <c r="U9" i="5"/>
  <c r="U8" i="5"/>
  <c r="U7" i="5"/>
  <c r="U6" i="5"/>
  <c r="U5" i="5"/>
  <c r="U4" i="5"/>
  <c r="U3" i="5"/>
  <c r="T25" i="5"/>
  <c r="T24" i="5"/>
  <c r="T23" i="5"/>
  <c r="T22" i="5"/>
  <c r="T21" i="5"/>
  <c r="T20" i="5"/>
  <c r="T19" i="5"/>
  <c r="T18" i="5"/>
  <c r="T17" i="5"/>
  <c r="T16" i="5"/>
  <c r="T12" i="5"/>
  <c r="T11" i="5"/>
  <c r="T10" i="5"/>
  <c r="T9" i="5"/>
  <c r="T8" i="5"/>
  <c r="T7" i="5"/>
  <c r="T6" i="5"/>
  <c r="T5" i="5"/>
  <c r="T4" i="5"/>
  <c r="T3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J200" i="5"/>
  <c r="J201" i="5" s="1"/>
  <c r="J199" i="5"/>
  <c r="J198" i="5"/>
  <c r="J196" i="5"/>
  <c r="J193" i="5"/>
  <c r="J194" i="5" s="1"/>
  <c r="J189" i="5"/>
  <c r="J190" i="5" s="1"/>
  <c r="J184" i="5"/>
  <c r="J183" i="5"/>
  <c r="J178" i="5"/>
  <c r="J172" i="5"/>
  <c r="J169" i="5"/>
  <c r="J170" i="5" s="1"/>
  <c r="J167" i="5"/>
  <c r="J168" i="5" s="1"/>
  <c r="J158" i="5"/>
  <c r="J159" i="5" s="1"/>
  <c r="J151" i="5"/>
  <c r="J152" i="5" s="1"/>
  <c r="J144" i="5"/>
  <c r="J145" i="5" s="1"/>
  <c r="J130" i="5"/>
  <c r="J118" i="5"/>
  <c r="J107" i="5"/>
  <c r="J108" i="5" s="1"/>
  <c r="J98" i="5"/>
  <c r="J99" i="5" s="1"/>
  <c r="J76" i="5"/>
  <c r="J66" i="5"/>
  <c r="J67" i="5" s="1"/>
  <c r="J55" i="5"/>
  <c r="J56" i="5" s="1"/>
  <c r="J44" i="5"/>
  <c r="J45" i="5" s="1"/>
  <c r="J35" i="5"/>
  <c r="J36" i="5" s="1"/>
  <c r="J37" i="5" s="1"/>
  <c r="J33" i="5"/>
  <c r="J34" i="5" s="1"/>
  <c r="J25" i="5"/>
  <c r="J26" i="5" s="1"/>
  <c r="J21" i="5"/>
  <c r="J22" i="5" s="1"/>
  <c r="J12" i="5"/>
  <c r="J13" i="5" s="1"/>
  <c r="J10" i="5"/>
  <c r="J7" i="5"/>
  <c r="J8" i="5" s="1"/>
  <c r="J5" i="5"/>
  <c r="J6" i="5" s="1"/>
  <c r="J3" i="5"/>
  <c r="E201" i="5"/>
  <c r="E200" i="5"/>
  <c r="E199" i="5"/>
  <c r="E198" i="5"/>
  <c r="E197" i="5"/>
  <c r="E196" i="5"/>
  <c r="E193" i="5"/>
  <c r="E194" i="5" s="1"/>
  <c r="E195" i="5" s="1"/>
  <c r="E190" i="5"/>
  <c r="E191" i="5" s="1"/>
  <c r="E192" i="5" s="1"/>
  <c r="E189" i="5"/>
  <c r="E187" i="5"/>
  <c r="E188" i="5" s="1"/>
  <c r="E183" i="5"/>
  <c r="E184" i="5" s="1"/>
  <c r="E185" i="5" s="1"/>
  <c r="E186" i="5" s="1"/>
  <c r="E181" i="5"/>
  <c r="E172" i="5"/>
  <c r="E173" i="5" s="1"/>
  <c r="E174" i="5" s="1"/>
  <c r="E175" i="5" s="1"/>
  <c r="E176" i="5" s="1"/>
  <c r="E177" i="5" s="1"/>
  <c r="E178" i="5" s="1"/>
  <c r="E179" i="5" s="1"/>
  <c r="E180" i="5" s="1"/>
  <c r="E168" i="5"/>
  <c r="E169" i="5" s="1"/>
  <c r="E170" i="5" s="1"/>
  <c r="E171" i="5" s="1"/>
  <c r="E163" i="5"/>
  <c r="E164" i="5" s="1"/>
  <c r="E165" i="5" s="1"/>
  <c r="E166" i="5" s="1"/>
  <c r="E167" i="5" s="1"/>
  <c r="E158" i="5"/>
  <c r="E159" i="5" s="1"/>
  <c r="E160" i="5" s="1"/>
  <c r="E161" i="5" s="1"/>
  <c r="E162" i="5" s="1"/>
  <c r="E157" i="5"/>
  <c r="E143" i="5"/>
  <c r="E144" i="5" s="1"/>
  <c r="E127" i="5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16" i="5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07" i="5"/>
  <c r="E108" i="5" s="1"/>
  <c r="E109" i="5" s="1"/>
  <c r="E110" i="5" s="1"/>
  <c r="E111" i="5" s="1"/>
  <c r="E112" i="5" s="1"/>
  <c r="E113" i="5" s="1"/>
  <c r="E114" i="5" s="1"/>
  <c r="E115" i="5" s="1"/>
  <c r="E97" i="5"/>
  <c r="E98" i="5" s="1"/>
  <c r="E99" i="5" s="1"/>
  <c r="E100" i="5" s="1"/>
  <c r="E101" i="5" s="1"/>
  <c r="E102" i="5" s="1"/>
  <c r="E103" i="5" s="1"/>
  <c r="E104" i="5" s="1"/>
  <c r="E105" i="5" s="1"/>
  <c r="E106" i="5" s="1"/>
  <c r="E84" i="5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74" i="5"/>
  <c r="E75" i="5" s="1"/>
  <c r="E76" i="5" s="1"/>
  <c r="E77" i="5" s="1"/>
  <c r="E78" i="5" s="1"/>
  <c r="E79" i="5" s="1"/>
  <c r="E80" i="5" s="1"/>
  <c r="E81" i="5" s="1"/>
  <c r="E82" i="5" s="1"/>
  <c r="E83" i="5" s="1"/>
  <c r="E58" i="5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47" i="5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39" i="5"/>
  <c r="E40" i="5" s="1"/>
  <c r="E41" i="5" s="1"/>
  <c r="E42" i="5" s="1"/>
  <c r="E43" i="5" s="1"/>
  <c r="E44" i="5" s="1"/>
  <c r="E45" i="5" s="1"/>
  <c r="E46" i="5" s="1"/>
  <c r="E30" i="5"/>
  <c r="E31" i="5" s="1"/>
  <c r="E32" i="5" s="1"/>
  <c r="E33" i="5" s="1"/>
  <c r="E34" i="5" s="1"/>
  <c r="E35" i="5" s="1"/>
  <c r="E36" i="5" s="1"/>
  <c r="E37" i="5" s="1"/>
  <c r="E38" i="5" s="1"/>
  <c r="E13" i="5"/>
  <c r="E14" i="5" s="1"/>
  <c r="E10" i="5"/>
  <c r="E11" i="5" s="1"/>
  <c r="E12" i="5" s="1"/>
  <c r="E6" i="5"/>
  <c r="E7" i="5" s="1"/>
  <c r="E8" i="5" s="1"/>
  <c r="E9" i="5" s="1"/>
  <c r="E4" i="5"/>
  <c r="E5" i="5" s="1"/>
  <c r="E3" i="5"/>
  <c r="S23" i="5"/>
  <c r="S22" i="5"/>
  <c r="I190" i="5"/>
  <c r="I189" i="5"/>
  <c r="I188" i="5"/>
  <c r="I176" i="5"/>
  <c r="I169" i="5"/>
  <c r="I154" i="5"/>
  <c r="I153" i="5"/>
  <c r="I152" i="5"/>
  <c r="I145" i="5"/>
  <c r="I141" i="5"/>
  <c r="I140" i="5"/>
  <c r="I133" i="5"/>
  <c r="I116" i="5"/>
  <c r="I109" i="5"/>
  <c r="I104" i="5"/>
  <c r="I97" i="5"/>
  <c r="I68" i="5"/>
  <c r="I61" i="5"/>
  <c r="I25" i="5"/>
  <c r="I23" i="5"/>
  <c r="D177" i="5"/>
  <c r="D173" i="5"/>
  <c r="D172" i="5"/>
  <c r="D167" i="5"/>
  <c r="D165" i="5"/>
  <c r="D163" i="5"/>
  <c r="D162" i="5"/>
  <c r="D161" i="5"/>
  <c r="D160" i="5"/>
  <c r="D149" i="5"/>
  <c r="D148" i="5"/>
  <c r="D143" i="5"/>
  <c r="D141" i="5"/>
  <c r="D139" i="5"/>
  <c r="D138" i="5"/>
  <c r="D137" i="5"/>
  <c r="D136" i="5"/>
  <c r="D126" i="5"/>
  <c r="D125" i="5"/>
  <c r="D124" i="5"/>
  <c r="D119" i="5"/>
  <c r="D118" i="5"/>
  <c r="D117" i="5"/>
  <c r="D115" i="5"/>
  <c r="D114" i="5"/>
  <c r="D105" i="5"/>
  <c r="D103" i="5"/>
  <c r="D102" i="5"/>
  <c r="D101" i="5"/>
  <c r="D100" i="5"/>
  <c r="D95" i="5"/>
  <c r="D94" i="5"/>
  <c r="D93" i="5"/>
  <c r="D83" i="5"/>
  <c r="D82" i="5"/>
  <c r="D81" i="5"/>
  <c r="D79" i="5"/>
  <c r="D78" i="5"/>
  <c r="D77" i="5"/>
  <c r="D76" i="5"/>
  <c r="D69" i="5"/>
  <c r="D65" i="5"/>
  <c r="D54" i="5"/>
  <c r="D53" i="5"/>
  <c r="D52" i="5"/>
  <c r="D46" i="5"/>
  <c r="D45" i="5"/>
  <c r="D42" i="5"/>
  <c r="D41" i="5"/>
  <c r="D40" i="5"/>
  <c r="D17" i="5"/>
  <c r="D3" i="5"/>
  <c r="D4" i="5"/>
  <c r="D5" i="5"/>
  <c r="P25" i="5"/>
  <c r="I201" i="5" s="1"/>
  <c r="P24" i="5"/>
  <c r="I199" i="5" s="1"/>
  <c r="P23" i="5"/>
  <c r="I187" i="5" s="1"/>
  <c r="P21" i="5"/>
  <c r="I163" i="5" s="1"/>
  <c r="P19" i="5"/>
  <c r="I103" i="5" s="1"/>
  <c r="P18" i="5"/>
  <c r="I43" i="5" s="1"/>
  <c r="P17" i="5"/>
  <c r="I31" i="5" s="1"/>
  <c r="P16" i="5"/>
  <c r="I7" i="5" s="1"/>
  <c r="P12" i="5"/>
  <c r="D201" i="5" s="1"/>
  <c r="P11" i="5"/>
  <c r="D198" i="5" s="1"/>
  <c r="Q11" i="5" s="1"/>
  <c r="R11" i="5" s="1"/>
  <c r="S11" i="5" s="1"/>
  <c r="P10" i="5"/>
  <c r="D195" i="5" s="1"/>
  <c r="P9" i="5"/>
  <c r="D183" i="5" s="1"/>
  <c r="P8" i="5"/>
  <c r="D171" i="5" s="1"/>
  <c r="P7" i="5"/>
  <c r="D147" i="5" s="1"/>
  <c r="P6" i="5"/>
  <c r="D111" i="5" s="1"/>
  <c r="P5" i="5"/>
  <c r="D63" i="5" s="1"/>
  <c r="P4" i="5"/>
  <c r="D27" i="5" s="1"/>
  <c r="P3" i="5"/>
  <c r="D2" i="5" s="1"/>
  <c r="R25" i="5"/>
  <c r="S25" i="5" s="1"/>
  <c r="R24" i="5"/>
  <c r="S24" i="5" s="1"/>
  <c r="R23" i="5"/>
  <c r="R22" i="5"/>
  <c r="P22" i="5"/>
  <c r="I175" i="5" s="1"/>
  <c r="R21" i="5"/>
  <c r="S21" i="5" s="1"/>
  <c r="R20" i="5"/>
  <c r="S20" i="5" s="1"/>
  <c r="P20" i="5"/>
  <c r="I139" i="5" s="1"/>
  <c r="R19" i="5"/>
  <c r="S19" i="5" s="1"/>
  <c r="R18" i="5"/>
  <c r="S18" i="5" s="1"/>
  <c r="R17" i="5"/>
  <c r="S17" i="5" s="1"/>
  <c r="R16" i="5"/>
  <c r="S16" i="5" s="1"/>
  <c r="O25" i="4"/>
  <c r="O24" i="4"/>
  <c r="O23" i="4"/>
  <c r="O22" i="4"/>
  <c r="O21" i="4"/>
  <c r="O20" i="4"/>
  <c r="O19" i="4"/>
  <c r="O18" i="4"/>
  <c r="O17" i="4"/>
  <c r="O16" i="4"/>
  <c r="O12" i="4"/>
  <c r="O11" i="4"/>
  <c r="O10" i="4"/>
  <c r="O9" i="4"/>
  <c r="O8" i="4"/>
  <c r="O7" i="4"/>
  <c r="O6" i="4"/>
  <c r="O5" i="4"/>
  <c r="O4" i="4"/>
  <c r="O3" i="4"/>
  <c r="N25" i="4"/>
  <c r="N24" i="4"/>
  <c r="N23" i="4"/>
  <c r="N22" i="4"/>
  <c r="N21" i="4"/>
  <c r="N20" i="4"/>
  <c r="N19" i="4"/>
  <c r="N18" i="4"/>
  <c r="N17" i="4"/>
  <c r="N16" i="4"/>
  <c r="N11" i="4"/>
  <c r="N12" i="4"/>
  <c r="N10" i="4"/>
  <c r="N9" i="4"/>
  <c r="N8" i="4"/>
  <c r="N7" i="4"/>
  <c r="N6" i="4"/>
  <c r="N5" i="4"/>
  <c r="N4" i="4"/>
  <c r="N3" i="4"/>
  <c r="M25" i="4"/>
  <c r="M24" i="4"/>
  <c r="M23" i="4"/>
  <c r="M22" i="4"/>
  <c r="M21" i="4"/>
  <c r="M20" i="4"/>
  <c r="M19" i="4"/>
  <c r="M18" i="4"/>
  <c r="M17" i="4"/>
  <c r="M16" i="4"/>
  <c r="M12" i="4"/>
  <c r="M11" i="4"/>
  <c r="M10" i="4"/>
  <c r="M9" i="4"/>
  <c r="M8" i="4"/>
  <c r="M7" i="4"/>
  <c r="M6" i="4"/>
  <c r="M5" i="4"/>
  <c r="M4" i="4"/>
  <c r="M3" i="4"/>
  <c r="L16" i="4"/>
  <c r="L25" i="4"/>
  <c r="L24" i="4"/>
  <c r="L23" i="4"/>
  <c r="L22" i="4"/>
  <c r="L21" i="4"/>
  <c r="L20" i="4"/>
  <c r="L19" i="4"/>
  <c r="L18" i="4"/>
  <c r="L17" i="4"/>
  <c r="L12" i="4"/>
  <c r="L11" i="4"/>
  <c r="L10" i="4"/>
  <c r="L9" i="4"/>
  <c r="L3" i="4"/>
  <c r="L4" i="4"/>
  <c r="L5" i="4"/>
  <c r="L6" i="4"/>
  <c r="L7" i="4"/>
  <c r="L8" i="4"/>
  <c r="G4" i="2"/>
  <c r="N10" i="2" s="1"/>
  <c r="G25" i="2" s="1"/>
  <c r="F4" i="2"/>
  <c r="D10" i="2" s="1"/>
  <c r="F16" i="2" s="1"/>
  <c r="D5" i="2"/>
  <c r="E4" i="2"/>
  <c r="N9" i="2" s="1"/>
  <c r="E25" i="2" s="1"/>
  <c r="E13" i="3" s="1"/>
  <c r="D4" i="2"/>
  <c r="D9" i="2" s="1"/>
  <c r="D16" i="2" s="1"/>
  <c r="D4" i="3" s="1"/>
  <c r="K25" i="4"/>
  <c r="K24" i="4"/>
  <c r="K23" i="4"/>
  <c r="K22" i="4"/>
  <c r="K21" i="4"/>
  <c r="K20" i="4"/>
  <c r="K19" i="4"/>
  <c r="K18" i="4"/>
  <c r="K17" i="4"/>
  <c r="K16" i="4"/>
  <c r="J25" i="4"/>
  <c r="J24" i="4"/>
  <c r="J23" i="4"/>
  <c r="J22" i="4"/>
  <c r="J21" i="4"/>
  <c r="J20" i="4"/>
  <c r="J19" i="4"/>
  <c r="J18" i="4"/>
  <c r="J17" i="4"/>
  <c r="K12" i="4"/>
  <c r="K11" i="4"/>
  <c r="K10" i="4"/>
  <c r="K9" i="4"/>
  <c r="K8" i="4"/>
  <c r="K7" i="4"/>
  <c r="K6" i="4"/>
  <c r="K5" i="4"/>
  <c r="K4" i="4"/>
  <c r="K3" i="4"/>
  <c r="J16" i="4"/>
  <c r="J12" i="4"/>
  <c r="J11" i="4"/>
  <c r="J10" i="4"/>
  <c r="J9" i="4"/>
  <c r="J8" i="4"/>
  <c r="J7" i="4"/>
  <c r="J6" i="4"/>
  <c r="J5" i="4"/>
  <c r="J3" i="4"/>
  <c r="J4" i="4"/>
  <c r="C10" i="3"/>
  <c r="C11" i="3"/>
  <c r="C12" i="3"/>
  <c r="C13" i="3"/>
  <c r="C5" i="3"/>
  <c r="C6" i="3"/>
  <c r="C7" i="3"/>
  <c r="C8" i="3"/>
  <c r="C9" i="3"/>
  <c r="C4" i="3"/>
  <c r="E145" i="5" l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" i="5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D187" i="5"/>
  <c r="I27" i="5"/>
  <c r="I69" i="5"/>
  <c r="I105" i="5"/>
  <c r="I177" i="5"/>
  <c r="D9" i="5"/>
  <c r="I8" i="5"/>
  <c r="I32" i="5"/>
  <c r="I70" i="5"/>
  <c r="I106" i="5"/>
  <c r="I142" i="5"/>
  <c r="I178" i="5"/>
  <c r="D16" i="5"/>
  <c r="I9" i="5"/>
  <c r="I33" i="5"/>
  <c r="I73" i="5"/>
  <c r="I181" i="5"/>
  <c r="I10" i="5"/>
  <c r="I34" i="5"/>
  <c r="I80" i="5"/>
  <c r="Q3" i="5"/>
  <c r="R3" i="5" s="1"/>
  <c r="S3" i="5" s="1"/>
  <c r="D18" i="5"/>
  <c r="I11" i="5"/>
  <c r="I44" i="5"/>
  <c r="I81" i="5"/>
  <c r="I117" i="5"/>
  <c r="D21" i="5"/>
  <c r="I13" i="5"/>
  <c r="I45" i="5"/>
  <c r="I82" i="5"/>
  <c r="I118" i="5"/>
  <c r="D28" i="5"/>
  <c r="D57" i="5"/>
  <c r="D88" i="5"/>
  <c r="D106" i="5"/>
  <c r="D127" i="5"/>
  <c r="D150" i="5"/>
  <c r="D174" i="5"/>
  <c r="I15" i="5"/>
  <c r="I46" i="5"/>
  <c r="I85" i="5"/>
  <c r="I121" i="5"/>
  <c r="I157" i="5"/>
  <c r="I193" i="5"/>
  <c r="D186" i="5"/>
  <c r="D29" i="5"/>
  <c r="D64" i="5"/>
  <c r="D89" i="5"/>
  <c r="D107" i="5"/>
  <c r="D129" i="5"/>
  <c r="D151" i="5"/>
  <c r="D175" i="5"/>
  <c r="I20" i="5"/>
  <c r="I56" i="5"/>
  <c r="I92" i="5"/>
  <c r="I128" i="5"/>
  <c r="I164" i="5"/>
  <c r="I200" i="5"/>
  <c r="Q25" i="5" s="1"/>
  <c r="D185" i="5"/>
  <c r="D30" i="5"/>
  <c r="D90" i="5"/>
  <c r="D112" i="5"/>
  <c r="D130" i="5"/>
  <c r="D153" i="5"/>
  <c r="I21" i="5"/>
  <c r="I57" i="5"/>
  <c r="I93" i="5"/>
  <c r="I129" i="5"/>
  <c r="I165" i="5"/>
  <c r="D33" i="5"/>
  <c r="D66" i="5"/>
  <c r="D91" i="5"/>
  <c r="D113" i="5"/>
  <c r="D131" i="5"/>
  <c r="D155" i="5"/>
  <c r="D184" i="5"/>
  <c r="I22" i="5"/>
  <c r="I58" i="5"/>
  <c r="I94" i="5"/>
  <c r="I130" i="5"/>
  <c r="I166" i="5"/>
  <c r="D7" i="5"/>
  <c r="D19" i="5"/>
  <c r="D31" i="5"/>
  <c r="D43" i="5"/>
  <c r="D55" i="5"/>
  <c r="D67" i="5"/>
  <c r="D199" i="5"/>
  <c r="I35" i="5"/>
  <c r="I47" i="5"/>
  <c r="I59" i="5"/>
  <c r="I71" i="5"/>
  <c r="I83" i="5"/>
  <c r="I95" i="5"/>
  <c r="I107" i="5"/>
  <c r="I119" i="5"/>
  <c r="I131" i="5"/>
  <c r="I143" i="5"/>
  <c r="I155" i="5"/>
  <c r="I167" i="5"/>
  <c r="I179" i="5"/>
  <c r="I191" i="5"/>
  <c r="J4" i="5"/>
  <c r="D8" i="5"/>
  <c r="D20" i="5"/>
  <c r="D32" i="5"/>
  <c r="D44" i="5"/>
  <c r="D56" i="5"/>
  <c r="D68" i="5"/>
  <c r="D80" i="5"/>
  <c r="D92" i="5"/>
  <c r="D104" i="5"/>
  <c r="D116" i="5"/>
  <c r="D128" i="5"/>
  <c r="D140" i="5"/>
  <c r="D152" i="5"/>
  <c r="D164" i="5"/>
  <c r="D176" i="5"/>
  <c r="D188" i="5"/>
  <c r="D200" i="5"/>
  <c r="I12" i="5"/>
  <c r="I24" i="5"/>
  <c r="I36" i="5"/>
  <c r="I48" i="5"/>
  <c r="I60" i="5"/>
  <c r="I72" i="5"/>
  <c r="I84" i="5"/>
  <c r="I96" i="5"/>
  <c r="I108" i="5"/>
  <c r="I120" i="5"/>
  <c r="I132" i="5"/>
  <c r="I144" i="5"/>
  <c r="I156" i="5"/>
  <c r="I168" i="5"/>
  <c r="I180" i="5"/>
  <c r="I192" i="5"/>
  <c r="D196" i="5"/>
  <c r="I37" i="5"/>
  <c r="I49" i="5"/>
  <c r="D197" i="5"/>
  <c r="D189" i="5"/>
  <c r="D10" i="5"/>
  <c r="D22" i="5"/>
  <c r="D34" i="5"/>
  <c r="D58" i="5"/>
  <c r="D70" i="5"/>
  <c r="D142" i="5"/>
  <c r="D154" i="5"/>
  <c r="D166" i="5"/>
  <c r="D178" i="5"/>
  <c r="D190" i="5"/>
  <c r="I2" i="5"/>
  <c r="I14" i="5"/>
  <c r="I26" i="5"/>
  <c r="I38" i="5"/>
  <c r="I50" i="5"/>
  <c r="I62" i="5"/>
  <c r="I74" i="5"/>
  <c r="I86" i="5"/>
  <c r="I98" i="5"/>
  <c r="I110" i="5"/>
  <c r="I122" i="5"/>
  <c r="I134" i="5"/>
  <c r="I146" i="5"/>
  <c r="I158" i="5"/>
  <c r="I170" i="5"/>
  <c r="I182" i="5"/>
  <c r="I194" i="5"/>
  <c r="E182" i="5"/>
  <c r="D11" i="5"/>
  <c r="D23" i="5"/>
  <c r="D35" i="5"/>
  <c r="D47" i="5"/>
  <c r="D59" i="5"/>
  <c r="D71" i="5"/>
  <c r="D179" i="5"/>
  <c r="D191" i="5"/>
  <c r="I3" i="5"/>
  <c r="I39" i="5"/>
  <c r="I51" i="5"/>
  <c r="I63" i="5"/>
  <c r="I75" i="5"/>
  <c r="I87" i="5"/>
  <c r="I99" i="5"/>
  <c r="I111" i="5"/>
  <c r="I123" i="5"/>
  <c r="I135" i="5"/>
  <c r="I147" i="5"/>
  <c r="I159" i="5"/>
  <c r="I171" i="5"/>
  <c r="I183" i="5"/>
  <c r="I195" i="5"/>
  <c r="D12" i="5"/>
  <c r="D24" i="5"/>
  <c r="D36" i="5"/>
  <c r="D48" i="5"/>
  <c r="D60" i="5"/>
  <c r="D72" i="5"/>
  <c r="D84" i="5"/>
  <c r="D96" i="5"/>
  <c r="D108" i="5"/>
  <c r="D120" i="5"/>
  <c r="D132" i="5"/>
  <c r="D144" i="5"/>
  <c r="D156" i="5"/>
  <c r="D168" i="5"/>
  <c r="D180" i="5"/>
  <c r="D192" i="5"/>
  <c r="I4" i="5"/>
  <c r="I16" i="5"/>
  <c r="I28" i="5"/>
  <c r="I40" i="5"/>
  <c r="I52" i="5"/>
  <c r="I64" i="5"/>
  <c r="I76" i="5"/>
  <c r="I88" i="5"/>
  <c r="I100" i="5"/>
  <c r="I112" i="5"/>
  <c r="I124" i="5"/>
  <c r="I136" i="5"/>
  <c r="I148" i="5"/>
  <c r="I160" i="5"/>
  <c r="I172" i="5"/>
  <c r="I184" i="5"/>
  <c r="I196" i="5"/>
  <c r="D6" i="5"/>
  <c r="D13" i="5"/>
  <c r="D25" i="5"/>
  <c r="D37" i="5"/>
  <c r="D49" i="5"/>
  <c r="D61" i="5"/>
  <c r="D73" i="5"/>
  <c r="D85" i="5"/>
  <c r="D97" i="5"/>
  <c r="D109" i="5"/>
  <c r="D121" i="5"/>
  <c r="D133" i="5"/>
  <c r="D145" i="5"/>
  <c r="D157" i="5"/>
  <c r="D169" i="5"/>
  <c r="D181" i="5"/>
  <c r="D193" i="5"/>
  <c r="I5" i="5"/>
  <c r="I17" i="5"/>
  <c r="I29" i="5"/>
  <c r="I41" i="5"/>
  <c r="I53" i="5"/>
  <c r="I65" i="5"/>
  <c r="I77" i="5"/>
  <c r="I89" i="5"/>
  <c r="I101" i="5"/>
  <c r="I113" i="5"/>
  <c r="I125" i="5"/>
  <c r="I137" i="5"/>
  <c r="I149" i="5"/>
  <c r="I161" i="5"/>
  <c r="I173" i="5"/>
  <c r="I185" i="5"/>
  <c r="I197" i="5"/>
  <c r="D14" i="5"/>
  <c r="D26" i="5"/>
  <c r="D38" i="5"/>
  <c r="D50" i="5"/>
  <c r="D62" i="5"/>
  <c r="D74" i="5"/>
  <c r="D86" i="5"/>
  <c r="D98" i="5"/>
  <c r="D110" i="5"/>
  <c r="D122" i="5"/>
  <c r="D134" i="5"/>
  <c r="D146" i="5"/>
  <c r="D158" i="5"/>
  <c r="D170" i="5"/>
  <c r="D182" i="5"/>
  <c r="D194" i="5"/>
  <c r="I6" i="5"/>
  <c r="I18" i="5"/>
  <c r="I30" i="5"/>
  <c r="I42" i="5"/>
  <c r="I54" i="5"/>
  <c r="I66" i="5"/>
  <c r="I78" i="5"/>
  <c r="I90" i="5"/>
  <c r="I102" i="5"/>
  <c r="I114" i="5"/>
  <c r="I126" i="5"/>
  <c r="I138" i="5"/>
  <c r="I150" i="5"/>
  <c r="I162" i="5"/>
  <c r="I174" i="5"/>
  <c r="I186" i="5"/>
  <c r="I198" i="5"/>
  <c r="Q24" i="5" s="1"/>
  <c r="D15" i="5"/>
  <c r="D39" i="5"/>
  <c r="D51" i="5"/>
  <c r="D75" i="5"/>
  <c r="D87" i="5"/>
  <c r="D99" i="5"/>
  <c r="D123" i="5"/>
  <c r="D135" i="5"/>
  <c r="D159" i="5"/>
  <c r="I19" i="5"/>
  <c r="I55" i="5"/>
  <c r="I67" i="5"/>
  <c r="I79" i="5"/>
  <c r="I91" i="5"/>
  <c r="I115" i="5"/>
  <c r="I127" i="5"/>
  <c r="I151" i="5"/>
  <c r="J57" i="5"/>
  <c r="J9" i="5"/>
  <c r="J68" i="5"/>
  <c r="J100" i="5"/>
  <c r="J171" i="5"/>
  <c r="J109" i="5"/>
  <c r="J46" i="5"/>
  <c r="J14" i="5"/>
  <c r="J146" i="5"/>
  <c r="J27" i="5"/>
  <c r="J195" i="5"/>
  <c r="J153" i="5"/>
  <c r="J160" i="5"/>
  <c r="J38" i="5"/>
  <c r="J11" i="5"/>
  <c r="J23" i="5"/>
  <c r="J77" i="5"/>
  <c r="J119" i="5"/>
  <c r="J131" i="5"/>
  <c r="J173" i="5"/>
  <c r="J179" i="5"/>
  <c r="J185" i="5"/>
  <c r="J191" i="5"/>
  <c r="J197" i="5"/>
  <c r="F5" i="2"/>
  <c r="E10" i="2" s="1"/>
  <c r="E9" i="2"/>
  <c r="Q4" i="5" l="1"/>
  <c r="R4" i="5" s="1"/>
  <c r="S4" i="5" s="1"/>
  <c r="Q18" i="5"/>
  <c r="Q22" i="5"/>
  <c r="Q12" i="5"/>
  <c r="R12" i="5" s="1"/>
  <c r="S12" i="5" s="1"/>
  <c r="Q10" i="5"/>
  <c r="R10" i="5" s="1"/>
  <c r="S10" i="5" s="1"/>
  <c r="Q16" i="5"/>
  <c r="Q9" i="5"/>
  <c r="R9" i="5" s="1"/>
  <c r="S9" i="5" s="1"/>
  <c r="Q7" i="5"/>
  <c r="R7" i="5" s="1"/>
  <c r="S7" i="5" s="1"/>
  <c r="Q20" i="5"/>
  <c r="Q6" i="5"/>
  <c r="R6" i="5" s="1"/>
  <c r="S6" i="5" s="1"/>
  <c r="Q8" i="5"/>
  <c r="R8" i="5" s="1"/>
  <c r="S8" i="5" s="1"/>
  <c r="Q19" i="5"/>
  <c r="Q23" i="5"/>
  <c r="Q5" i="5"/>
  <c r="R5" i="5" s="1"/>
  <c r="S5" i="5" s="1"/>
  <c r="Q17" i="5"/>
  <c r="Q21" i="5"/>
  <c r="J24" i="5"/>
  <c r="J186" i="5"/>
  <c r="J47" i="5"/>
  <c r="J28" i="5"/>
  <c r="J161" i="5"/>
  <c r="J147" i="5"/>
  <c r="J69" i="5"/>
  <c r="J110" i="5"/>
  <c r="J174" i="5"/>
  <c r="J39" i="5"/>
  <c r="J180" i="5"/>
  <c r="J132" i="5"/>
  <c r="J154" i="5"/>
  <c r="J192" i="5"/>
  <c r="J120" i="5"/>
  <c r="J78" i="5"/>
  <c r="J15" i="5"/>
  <c r="J101" i="5"/>
  <c r="J58" i="5"/>
  <c r="F9" i="2"/>
  <c r="D17" i="2"/>
  <c r="D5" i="3" s="1"/>
  <c r="F10" i="2"/>
  <c r="F17" i="2"/>
  <c r="J102" i="5" l="1"/>
  <c r="J133" i="5"/>
  <c r="J29" i="5"/>
  <c r="J121" i="5"/>
  <c r="J181" i="5"/>
  <c r="J111" i="5"/>
  <c r="J16" i="5"/>
  <c r="J40" i="5"/>
  <c r="J187" i="5"/>
  <c r="J70" i="5"/>
  <c r="J79" i="5"/>
  <c r="J148" i="5"/>
  <c r="J59" i="5"/>
  <c r="J48" i="5"/>
  <c r="J155" i="5"/>
  <c r="J175" i="5"/>
  <c r="J162" i="5"/>
  <c r="G16" i="2"/>
  <c r="I16" i="2" s="1"/>
  <c r="K16" i="2" s="1"/>
  <c r="G10" i="2"/>
  <c r="F18" i="2"/>
  <c r="E16" i="2"/>
  <c r="E4" i="3" s="1"/>
  <c r="G4" i="3" s="1"/>
  <c r="G9" i="2"/>
  <c r="D18" i="2"/>
  <c r="D6" i="3" s="1"/>
  <c r="J163" i="5" l="1"/>
  <c r="J182" i="5"/>
  <c r="J122" i="5"/>
  <c r="J156" i="5"/>
  <c r="J17" i="5"/>
  <c r="J30" i="5"/>
  <c r="J112" i="5"/>
  <c r="J149" i="5"/>
  <c r="J188" i="5"/>
  <c r="J80" i="5"/>
  <c r="J71" i="5"/>
  <c r="J134" i="5"/>
  <c r="J41" i="5"/>
  <c r="J176" i="5"/>
  <c r="J49" i="5"/>
  <c r="J60" i="5"/>
  <c r="J103" i="5"/>
  <c r="G17" i="2"/>
  <c r="I17" i="2" s="1"/>
  <c r="K17" i="2" s="1"/>
  <c r="E17" i="2"/>
  <c r="E5" i="3" s="1"/>
  <c r="G5" i="3" s="1"/>
  <c r="H16" i="2"/>
  <c r="H9" i="2"/>
  <c r="D19" i="2"/>
  <c r="D7" i="3" s="1"/>
  <c r="H10" i="2"/>
  <c r="F19" i="2"/>
  <c r="J16" i="2" l="1"/>
  <c r="I4" i="3"/>
  <c r="F4" i="3"/>
  <c r="J123" i="5"/>
  <c r="J50" i="5"/>
  <c r="J104" i="5"/>
  <c r="J177" i="5"/>
  <c r="J81" i="5"/>
  <c r="J113" i="5"/>
  <c r="J150" i="5"/>
  <c r="J42" i="5"/>
  <c r="J31" i="5"/>
  <c r="J18" i="5"/>
  <c r="J164" i="5"/>
  <c r="J135" i="5"/>
  <c r="J72" i="5"/>
  <c r="J61" i="5"/>
  <c r="J157" i="5"/>
  <c r="H4" i="3"/>
  <c r="G18" i="2"/>
  <c r="I18" i="2" s="1"/>
  <c r="K18" i="2" s="1"/>
  <c r="I10" i="2"/>
  <c r="F20" i="2"/>
  <c r="E18" i="2"/>
  <c r="E6" i="3" s="1"/>
  <c r="G6" i="3" s="1"/>
  <c r="D20" i="2"/>
  <c r="D8" i="3" s="1"/>
  <c r="I9" i="2"/>
  <c r="H17" i="2"/>
  <c r="J17" i="2" l="1"/>
  <c r="I5" i="3"/>
  <c r="J62" i="5"/>
  <c r="J19" i="5"/>
  <c r="J114" i="5"/>
  <c r="J32" i="5"/>
  <c r="J165" i="5"/>
  <c r="J82" i="5"/>
  <c r="J51" i="5"/>
  <c r="J73" i="5"/>
  <c r="J124" i="5"/>
  <c r="J136" i="5"/>
  <c r="J43" i="5"/>
  <c r="J105" i="5"/>
  <c r="H5" i="3"/>
  <c r="F5" i="3"/>
  <c r="G19" i="2"/>
  <c r="I19" i="2" s="1"/>
  <c r="K19" i="2" s="1"/>
  <c r="H18" i="2"/>
  <c r="J9" i="2"/>
  <c r="D21" i="2"/>
  <c r="D9" i="3" s="1"/>
  <c r="E19" i="2"/>
  <c r="E7" i="3" s="1"/>
  <c r="G7" i="3" s="1"/>
  <c r="J10" i="2"/>
  <c r="F21" i="2"/>
  <c r="J18" i="2" l="1"/>
  <c r="I6" i="3"/>
  <c r="J83" i="5"/>
  <c r="J115" i="5"/>
  <c r="J125" i="5"/>
  <c r="J166" i="5"/>
  <c r="J20" i="5"/>
  <c r="J74" i="5"/>
  <c r="J52" i="5"/>
  <c r="J137" i="5"/>
  <c r="J63" i="5"/>
  <c r="J106" i="5"/>
  <c r="H6" i="3"/>
  <c r="F6" i="3"/>
  <c r="G20" i="2"/>
  <c r="I20" i="2" s="1"/>
  <c r="K20" i="2" s="1"/>
  <c r="F22" i="2"/>
  <c r="K10" i="2"/>
  <c r="E20" i="2"/>
  <c r="E8" i="3" s="1"/>
  <c r="G8" i="3" s="1"/>
  <c r="D22" i="2"/>
  <c r="D10" i="3" s="1"/>
  <c r="K9" i="2"/>
  <c r="H19" i="2"/>
  <c r="J19" i="2" l="1"/>
  <c r="I7" i="3"/>
  <c r="J126" i="5"/>
  <c r="J116" i="5"/>
  <c r="J75" i="5"/>
  <c r="J84" i="5"/>
  <c r="J138" i="5"/>
  <c r="J53" i="5"/>
  <c r="J64" i="5"/>
  <c r="H7" i="3"/>
  <c r="F7" i="3"/>
  <c r="G21" i="2"/>
  <c r="I21" i="2" s="1"/>
  <c r="K21" i="2" s="1"/>
  <c r="L9" i="2"/>
  <c r="D23" i="2"/>
  <c r="D11" i="3" s="1"/>
  <c r="L10" i="2"/>
  <c r="F23" i="2"/>
  <c r="E21" i="2"/>
  <c r="E9" i="3" s="1"/>
  <c r="G9" i="3" s="1"/>
  <c r="H20" i="2"/>
  <c r="J20" i="2" l="1"/>
  <c r="I8" i="3"/>
  <c r="J139" i="5"/>
  <c r="J85" i="5"/>
  <c r="J117" i="5"/>
  <c r="J54" i="5"/>
  <c r="J127" i="5"/>
  <c r="J65" i="5"/>
  <c r="H8" i="3"/>
  <c r="F8" i="3"/>
  <c r="G22" i="2"/>
  <c r="I22" i="2" s="1"/>
  <c r="K22" i="2" s="1"/>
  <c r="H21" i="2"/>
  <c r="F24" i="2"/>
  <c r="M10" i="2"/>
  <c r="F25" i="2" s="1"/>
  <c r="I25" i="2" s="1"/>
  <c r="K25" i="2" s="1"/>
  <c r="E22" i="2"/>
  <c r="E10" i="3" s="1"/>
  <c r="G10" i="3" s="1"/>
  <c r="D24" i="2"/>
  <c r="D12" i="3" s="1"/>
  <c r="J4" i="3" s="1"/>
  <c r="J5" i="3" s="1"/>
  <c r="J6" i="3" s="1"/>
  <c r="J7" i="3" s="1"/>
  <c r="J8" i="3" s="1"/>
  <c r="M9" i="2"/>
  <c r="D25" i="2" s="1"/>
  <c r="D13" i="3" s="1"/>
  <c r="G13" i="3" s="1"/>
  <c r="J21" i="2" l="1"/>
  <c r="I9" i="3"/>
  <c r="J9" i="3"/>
  <c r="J86" i="5"/>
  <c r="J128" i="5"/>
  <c r="J140" i="5"/>
  <c r="H9" i="3"/>
  <c r="F9" i="3"/>
  <c r="G23" i="2"/>
  <c r="I23" i="2" s="1"/>
  <c r="K23" i="2" s="1"/>
  <c r="H22" i="2"/>
  <c r="E24" i="2"/>
  <c r="E12" i="3" s="1"/>
  <c r="G12" i="3" s="1"/>
  <c r="H25" i="2"/>
  <c r="E23" i="2"/>
  <c r="E11" i="3" s="1"/>
  <c r="G11" i="3" s="1"/>
  <c r="H24" i="2"/>
  <c r="G24" i="2"/>
  <c r="I24" i="2" s="1"/>
  <c r="K24" i="2" s="1"/>
  <c r="J25" i="2" l="1"/>
  <c r="I13" i="3"/>
  <c r="J22" i="2"/>
  <c r="I10" i="3"/>
  <c r="J10" i="3"/>
  <c r="J24" i="2"/>
  <c r="I12" i="3"/>
  <c r="J129" i="5"/>
  <c r="J141" i="5"/>
  <c r="J87" i="5"/>
  <c r="H12" i="3"/>
  <c r="F12" i="3"/>
  <c r="H10" i="3"/>
  <c r="F10" i="3"/>
  <c r="H13" i="3"/>
  <c r="F13" i="3"/>
  <c r="H23" i="2"/>
  <c r="J23" i="2" l="1"/>
  <c r="I11" i="3"/>
  <c r="J11" i="3" s="1"/>
  <c r="J12" i="3" s="1"/>
  <c r="J13" i="3" s="1"/>
  <c r="J142" i="5"/>
  <c r="J88" i="5"/>
  <c r="H11" i="3"/>
  <c r="F11" i="3"/>
  <c r="J143" i="5" l="1"/>
  <c r="J89" i="5"/>
  <c r="J90" i="5" l="1"/>
  <c r="J91" i="5" l="1"/>
  <c r="J92" i="5" l="1"/>
  <c r="J93" i="5" l="1"/>
  <c r="J94" i="5" l="1"/>
  <c r="J95" i="5" l="1"/>
  <c r="J96" i="5" l="1"/>
  <c r="J9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Vladimir Popov</author>
  </authors>
  <commentList>
    <comment ref="F5" authorId="0" shapeId="0" xr:uid="{4524856E-6A8A-274D-9B82-C3DD3166B97F}">
      <text>
        <r>
          <rPr>
            <b/>
            <sz val="10"/>
            <color rgb="FF000000"/>
            <rFont val="Tahoma"/>
            <family val="2"/>
            <charset val="204"/>
          </rPr>
          <t>Vladimir Popov: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Поскольку полученные значения размахов не кратны 10, то длина интервалов будет варьироваться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Vladimir Popov</author>
  </authors>
  <commentList>
    <comment ref="R11" authorId="0" shapeId="0" xr:uid="{AA7C0410-D047-364D-9A70-181AF4CC6694}">
      <text>
        <r>
          <rPr>
            <b/>
            <sz val="10"/>
            <color rgb="FF000000"/>
            <rFont val="Tahoma"/>
            <family val="2"/>
            <charset val="204"/>
          </rPr>
          <t>Vladimir Popov: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Vladimir Popov:
</t>
        </r>
        <r>
          <rPr>
            <sz val="10"/>
            <color rgb="FF000000"/>
            <rFont val="Tahoma"/>
            <family val="2"/>
            <charset val="204"/>
          </rPr>
          <t xml:space="preserve">При подсчете исправленной выборочной дисперсии в знаменателе у нас хранится "число элементов в интервале" - 1. Поскольку в данном интервале всего 1 элемент, то получаем деление на 0.
</t>
        </r>
      </text>
    </comment>
    <comment ref="S11" authorId="0" shapeId="0" xr:uid="{867A9563-83B1-FB4D-82C1-ED730B1E1737}">
      <text>
        <r>
          <rPr>
            <b/>
            <sz val="10"/>
            <color rgb="FF000000"/>
            <rFont val="Tahoma"/>
            <family val="2"/>
            <charset val="204"/>
          </rPr>
          <t xml:space="preserve">Vladimir Popov:
</t>
        </r>
        <r>
          <rPr>
            <sz val="10"/>
            <color rgb="FF000000"/>
            <rFont val="Tahoma"/>
            <family val="2"/>
            <charset val="204"/>
          </rPr>
          <t>В данной ситуации мы пытаемся взять корень из денеия на 0.</t>
        </r>
      </text>
    </comment>
    <comment ref="T11" authorId="0" shapeId="0" xr:uid="{42B218C1-ABAF-C54D-ACB1-4C42A91F2B7F}">
      <text>
        <r>
          <rPr>
            <b/>
            <sz val="10"/>
            <color rgb="FF000000"/>
            <rFont val="Tahoma"/>
            <family val="2"/>
            <charset val="204"/>
          </rPr>
          <t>Vladimir Popov: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на данных интервалах все значения яыляются уникальными, поэтому выведено значение, которое указывает на невозможность определения моды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Vladimir Popov</author>
  </authors>
  <commentList>
    <comment ref="L11" authorId="0" shapeId="0" xr:uid="{7958A2D9-38EA-B141-AF3C-A1A7E8C67D03}">
      <text>
        <r>
          <rPr>
            <b/>
            <sz val="10"/>
            <color rgb="FF000000"/>
            <rFont val="Tahoma"/>
            <family val="2"/>
            <charset val="204"/>
          </rPr>
          <t>Vladimir Popov: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При подсчете исправленной выборочной дисперсии в знаменателе у нас хранится </t>
        </r>
        <r>
          <rPr>
            <sz val="10"/>
            <color rgb="FF000000"/>
            <rFont val="Tahoma"/>
            <family val="2"/>
            <charset val="204"/>
          </rPr>
          <t>"</t>
        </r>
        <r>
          <rPr>
            <sz val="10"/>
            <color rgb="FF000000"/>
            <rFont val="Tahoma"/>
            <family val="2"/>
            <charset val="204"/>
          </rPr>
          <t>число элементов в интервале</t>
        </r>
        <r>
          <rPr>
            <sz val="10"/>
            <color rgb="FF000000"/>
            <rFont val="Tahoma"/>
            <family val="2"/>
            <charset val="204"/>
          </rPr>
          <t>"</t>
        </r>
        <r>
          <rPr>
            <sz val="10"/>
            <color rgb="FF000000"/>
            <rFont val="Tahoma"/>
            <family val="2"/>
            <charset val="204"/>
          </rPr>
          <t xml:space="preserve"> - 1. Поскольку в данном интервале всего 1 элемент, то получаем деление на 0.</t>
        </r>
      </text>
    </comment>
    <comment ref="M11" authorId="0" shapeId="0" xr:uid="{72E69878-6B7D-7842-826F-45CB1D0E1213}">
      <text>
        <r>
          <rPr>
            <b/>
            <sz val="10"/>
            <color rgb="FF000000"/>
            <rFont val="Tahoma"/>
            <family val="2"/>
            <charset val="204"/>
          </rPr>
          <t>Vladimir Popov: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В данной ситуации мы пытаемся взять корень из денеия на 0.</t>
        </r>
      </text>
    </comment>
    <comment ref="N11" authorId="0" shapeId="0" xr:uid="{8609D862-D2DB-6146-AB9E-4D0983A72F78}">
      <text>
        <r>
          <rPr>
            <b/>
            <sz val="10"/>
            <color rgb="FF000000"/>
            <rFont val="Tahoma"/>
            <family val="2"/>
            <charset val="204"/>
          </rPr>
          <t>Vladimir Popov: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на данных интервалах все значения яыляются уникальными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Vladimir Popov</author>
  </authors>
  <commentList>
    <comment ref="G23" authorId="0" shapeId="0" xr:uid="{E0124985-68FD-FE42-859A-40FE77295C01}">
      <text>
        <r>
          <rPr>
            <b/>
            <sz val="10"/>
            <color rgb="FF000000"/>
            <rFont val="Tahoma"/>
            <family val="2"/>
            <charset val="204"/>
          </rPr>
          <t>Vladimir Popov: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из-за отсутствия нужной буквы будем использовать записать в виде </t>
        </r>
        <r>
          <rPr>
            <sz val="10"/>
            <color rgb="FF000000"/>
            <rFont val="Tahoma"/>
            <family val="2"/>
            <charset val="204"/>
          </rPr>
          <t>"hi"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Vladimir Popov</author>
  </authors>
  <commentList>
    <comment ref="H1" authorId="0" shapeId="0" xr:uid="{65649837-7EBC-584C-B4B3-6E1A490DD530}">
      <text>
        <r>
          <rPr>
            <b/>
            <sz val="10"/>
            <color rgb="FF000000"/>
            <rFont val="Tahoma"/>
            <family val="2"/>
            <charset val="204"/>
          </rPr>
          <t>Vladimir Popov: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столбцы F,G,H нужны для автоматического подсчета данных для интервальной корреляционной таблицы</t>
        </r>
      </text>
    </comment>
    <comment ref="K46" authorId="0" shapeId="0" xr:uid="{E9C735A6-E23A-8943-8B55-80032587C869}">
      <text>
        <r>
          <rPr>
            <b/>
            <sz val="10"/>
            <color rgb="FF000000"/>
            <rFont val="Tahoma"/>
            <family val="2"/>
            <charset val="204"/>
          </rPr>
          <t>Vladimir Popov: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вычисление этого параметра необходимо для проверки по шкале Чеддока</t>
        </r>
      </text>
    </comment>
    <comment ref="K54" authorId="0" shapeId="0" xr:uid="{933F6550-AC27-FA46-B06F-127DE36C6C91}">
      <text>
        <r>
          <rPr>
            <b/>
            <sz val="10"/>
            <color rgb="FF000000"/>
            <rFont val="Tahoma"/>
            <family val="2"/>
            <charset val="204"/>
          </rPr>
          <t>Vladimir Popov: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значения коэффициентов различаются, поскольку при разбиении на интервалы были погрешности в виде неравной длины и округления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<sst xmlns="http://schemas.openxmlformats.org/spreadsheetml/2006/main" count="342" uniqueCount="208">
  <si>
    <t>№</t>
  </si>
  <si>
    <t>Рост</t>
  </si>
  <si>
    <t>Вес</t>
  </si>
  <si>
    <t>Этапы решения</t>
  </si>
  <si>
    <t>Вариационный ряд по росту</t>
  </si>
  <si>
    <t>Вариационный ряд по весу</t>
  </si>
  <si>
    <t>По росту</t>
  </si>
  <si>
    <t>По весу</t>
  </si>
  <si>
    <t>X_min</t>
  </si>
  <si>
    <t>X_max</t>
  </si>
  <si>
    <t>Максимальные и минимальные значения</t>
  </si>
  <si>
    <t>Для более удобного получения вариационных рядов выпишем все данные в одну колонну два раза.</t>
  </si>
  <si>
    <t>Отсортируем данные в одном ряду по росту, в другом - по весу.</t>
  </si>
  <si>
    <t>Сначала определим максимальные и минимальные значения (далее: X_max и X_min соответственно) в данных выборках.</t>
  </si>
  <si>
    <t>Найдя X_max и X_min для каждой выборки, вычислим размах выборки.</t>
  </si>
  <si>
    <t>Размах выборки:</t>
  </si>
  <si>
    <t>Точки для интервалов</t>
  </si>
  <si>
    <t>Посчитаем значения роста и веса для задания интервалов в выборках (в ячейках D9:N10).</t>
  </si>
  <si>
    <t>Для построения интервальных вариационных рядов будем использовать точки из указанного выше диапазона.</t>
  </si>
  <si>
    <t>Каждый интервал будем рассчитывать так: попадают все значения из диапазона [l; r).</t>
  </si>
  <si>
    <t>Границами каждого диапазона будет являться пара соседних ячеек (например: D9 и E9, и тд.).</t>
  </si>
  <si>
    <t>Интервалы</t>
  </si>
  <si>
    <t>От</t>
  </si>
  <si>
    <t>До</t>
  </si>
  <si>
    <t>Зададим 10 интервалов в соответствии с описанными выше условиями (ячейки C12:G25).</t>
  </si>
  <si>
    <t>Частоты</t>
  </si>
  <si>
    <t>Подсчитанные частоты в каждом интервале поместим в столбцы рядом с таблицей интервалов (ячейки I13:J25).</t>
  </si>
  <si>
    <t>№ интервала</t>
  </si>
  <si>
    <t>Плотность распределения людей с подходящим для интервала ростом</t>
  </si>
  <si>
    <t>Границы интервала</t>
  </si>
  <si>
    <t>Для более удобного изучения диаграмм будем дублировать данные с границами всех интервалов</t>
  </si>
  <si>
    <t>Построим для выборки по росту гистограмму, взяв номера интервалов и плотность распределения роста людей</t>
  </si>
  <si>
    <t>Посчитаем плотность распределния роста людей</t>
  </si>
  <si>
    <t>Серединное значение роста для интервала</t>
  </si>
  <si>
    <t>ДЛЯ ПОСТРОЕНИЯ ПОЛИГОНА</t>
  </si>
  <si>
    <t>Значение в данной точке</t>
  </si>
  <si>
    <t>Для построения полигона найдем серединные значения роста у каждого из интервалов, и распределения в полученных точках</t>
  </si>
  <si>
    <t>Накопленная частота</t>
  </si>
  <si>
    <t>Частота</t>
  </si>
  <si>
    <t>Выборочная функция распределения</t>
  </si>
  <si>
    <t>Для построения выборочной функции распределения найдем частоту и накопленную частоту</t>
  </si>
  <si>
    <t>ДЛЯ ПОСТРОЕНИЯ ГИСТОГРАММЫ</t>
  </si>
  <si>
    <t>Скопируем данные об интервалах из задания 2</t>
  </si>
  <si>
    <t>Интервалы по весу</t>
  </si>
  <si>
    <t>Интервалы по росту</t>
  </si>
  <si>
    <t>Среднее выборочное</t>
  </si>
  <si>
    <t>Возьмем все данные об отсортированном росте и весе из задания 1</t>
  </si>
  <si>
    <t>Выборочная дисперсия</t>
  </si>
  <si>
    <t>Вероятности</t>
  </si>
  <si>
    <t>Подсчитанные вероятности попадания случайно выбранного элемента в определенный интервал будут в ячейках L16:M25</t>
  </si>
  <si>
    <t>Исправленная выборочная дисперсия</t>
  </si>
  <si>
    <t>Исправленное выборочное среднее квадратическое отклонение</t>
  </si>
  <si>
    <t>Мода</t>
  </si>
  <si>
    <t>Медиана</t>
  </si>
  <si>
    <t>Посчитаем для каждого интервала требуемое значение встроенными функциями Ecxel</t>
  </si>
  <si>
    <t>Посчитаем пошагово для каждого интервала требуемое значение в соответствии с формулами</t>
  </si>
  <si>
    <t>Подсчет дисперсии</t>
  </si>
  <si>
    <t>Вспомогательные значения для вычислений будем хранить рядом с данными в соттветствующих столбцах</t>
  </si>
  <si>
    <t>Подсчет моды (частота)</t>
  </si>
  <si>
    <t>Подсчет моды (выбор значений)</t>
  </si>
  <si>
    <t>Возьмем все данные о росте и весе</t>
  </si>
  <si>
    <t>Посчитаем коэффициент корреляции</t>
  </si>
  <si>
    <t>Коэффициент корреляции:</t>
  </si>
  <si>
    <t>Построим корреляционное облако</t>
  </si>
  <si>
    <t>Соберем данные в таблицу, где по вертикали будем отмечать все встретившиеся значения x</t>
  </si>
  <si>
    <t>По горизонтали отмечаем все встретившиеся значения y</t>
  </si>
  <si>
    <r>
      <t>В клетках таблицы отмечаем частоту точки x</t>
    </r>
    <r>
      <rPr>
        <vertAlign val="subscript"/>
        <sz val="12"/>
        <color theme="1"/>
        <rFont val="Calibri (Основной текст)"/>
        <charset val="204"/>
      </rPr>
      <t>i</t>
    </r>
    <r>
      <rPr>
        <sz val="12"/>
        <color theme="1"/>
        <rFont val="Calibri (Основной текст)"/>
        <charset val="204"/>
      </rPr>
      <t>, y</t>
    </r>
    <r>
      <rPr>
        <vertAlign val="subscript"/>
        <sz val="12"/>
        <color theme="1"/>
        <rFont val="Calibri (Основной текст)"/>
        <charset val="204"/>
      </rPr>
      <t>i</t>
    </r>
  </si>
  <si>
    <r>
      <rPr>
        <b/>
        <vertAlign val="subscript"/>
        <sz val="12"/>
        <color theme="1"/>
        <rFont val="Calibri (Основной текст)"/>
        <charset val="204"/>
      </rPr>
      <t xml:space="preserve">x                         </t>
    </r>
    <r>
      <rPr>
        <b/>
        <vertAlign val="superscript"/>
        <sz val="12"/>
        <color theme="1"/>
        <rFont val="Calibri (Основной текст)"/>
        <charset val="204"/>
      </rPr>
      <t>y</t>
    </r>
  </si>
  <si>
    <r>
      <rPr>
        <b/>
        <sz val="12"/>
        <color theme="1"/>
        <rFont val="Calibri"/>
        <family val="2"/>
        <charset val="204"/>
        <scheme val="minor"/>
      </rPr>
      <t>n</t>
    </r>
    <r>
      <rPr>
        <b/>
        <vertAlign val="subscript"/>
        <sz val="12"/>
        <color theme="1"/>
        <rFont val="Calibri (Основной текст)"/>
        <charset val="204"/>
      </rPr>
      <t>x</t>
    </r>
  </si>
  <si>
    <r>
      <rPr>
        <b/>
        <sz val="12"/>
        <color theme="1"/>
        <rFont val="Calibri"/>
        <family val="2"/>
        <charset val="204"/>
        <scheme val="minor"/>
      </rPr>
      <t>n</t>
    </r>
    <r>
      <rPr>
        <b/>
        <vertAlign val="subscript"/>
        <sz val="12"/>
        <color theme="1"/>
        <rFont val="Calibri (Основной текст)"/>
        <charset val="204"/>
      </rPr>
      <t>y</t>
    </r>
  </si>
  <si>
    <t>x</t>
  </si>
  <si>
    <t>Имеется явная прямая корреляция y от x.</t>
  </si>
  <si>
    <t xml:space="preserve">Возьмем все данные о росте </t>
  </si>
  <si>
    <t>Для нахождения доверительного интервала параметра "а", воспользуемся пунктом 4 теоремы 11.</t>
  </si>
  <si>
    <t>ОТ</t>
  </si>
  <si>
    <t>ДО</t>
  </si>
  <si>
    <t>Выполним все пункты, используя соответствующие функции Excel</t>
  </si>
  <si>
    <t>Условие и выполнение:</t>
  </si>
  <si>
    <t>ПУНКТ:</t>
  </si>
  <si>
    <t>Найдем доверительный интервал параметра “а”, считая известным  параметр</t>
  </si>
  <si>
    <t>Полученные значения</t>
  </si>
  <si>
    <t>Найдем все необходимые элементы для подсчета границ интервала по формуле:</t>
  </si>
  <si>
    <t>а)</t>
  </si>
  <si>
    <t>б)</t>
  </si>
  <si>
    <t xml:space="preserve">Найдем доверительный интервал параметра “а”, считая неизвестным  параметр  </t>
  </si>
  <si>
    <t>в)</t>
  </si>
  <si>
    <t>Найдем доверительный интервал параметра     , считая неизвестным  параметр</t>
  </si>
  <si>
    <t>Для нахождения доверительного интервала искомого параметра, воспользуемся пунктом 2 теоремы 11.</t>
  </si>
  <si>
    <t>г)</t>
  </si>
  <si>
    <t xml:space="preserve">Доверительный интервал параметра      , считая известным  параметр </t>
  </si>
  <si>
    <t xml:space="preserve">Для поиска интервала найдем значение параметра </t>
  </si>
  <si>
    <t xml:space="preserve">Слагаемые для </t>
  </si>
  <si>
    <t>Этапы решения:</t>
  </si>
  <si>
    <t>Возьмем все данные о росте и преобразуем их в интервальный ряд в соответствии с замечаниями</t>
  </si>
  <si>
    <t>Сформулируем нулевую и альтернативную гипотезу</t>
  </si>
  <si>
    <t>С помощью метода правдоподобия находим параметры распределения</t>
  </si>
  <si>
    <t>Найдем теоретические частоты попадания в Ai</t>
  </si>
  <si>
    <t>Вычислим критерий</t>
  </si>
  <si>
    <r>
      <t>Вычислим число степеней свободы и t</t>
    </r>
    <r>
      <rPr>
        <vertAlign val="subscript"/>
        <sz val="12"/>
        <color theme="1"/>
        <rFont val="Calibri (Основной текст)"/>
        <charset val="204"/>
      </rPr>
      <t>k</t>
    </r>
  </si>
  <si>
    <t>Сделаем вывод по полученным данным и определим какая из гипотез верна</t>
  </si>
  <si>
    <t xml:space="preserve">С учетом замечаний, сказанных на лекции 7, нам необходимо иметь частоту в интервале не меньшую 5. </t>
  </si>
  <si>
    <t>Поэтому необходимо объеденить интервалы 1-2, 8-10</t>
  </si>
  <si>
    <t>Однако, с учетом другого замечания о увеличении числа интервало, разделим уже имеющиеся и компенсируем объединения</t>
  </si>
  <si>
    <r>
      <t>F</t>
    </r>
    <r>
      <rPr>
        <b/>
        <vertAlign val="subscript"/>
        <sz val="12"/>
        <color theme="1"/>
        <rFont val="Calibri (Основной текст)"/>
        <charset val="204"/>
      </rPr>
      <t>0</t>
    </r>
  </si>
  <si>
    <t>F(I)</t>
  </si>
  <si>
    <r>
      <rPr>
        <b/>
        <sz val="12"/>
        <color theme="1"/>
        <rFont val="Calibri"/>
        <family val="2"/>
        <charset val="204"/>
        <scheme val="minor"/>
      </rPr>
      <t>p</t>
    </r>
    <r>
      <rPr>
        <b/>
        <vertAlign val="subscript"/>
        <sz val="12"/>
        <color theme="1"/>
        <rFont val="Calibri (Основной текст)"/>
        <charset val="204"/>
      </rPr>
      <t>i</t>
    </r>
  </si>
  <si>
    <r>
      <rPr>
        <b/>
        <sz val="12"/>
        <color theme="1"/>
        <rFont val="Calibri"/>
        <family val="2"/>
        <charset val="204"/>
        <scheme val="minor"/>
      </rPr>
      <t>n</t>
    </r>
    <r>
      <rPr>
        <b/>
        <vertAlign val="subscript"/>
        <sz val="12"/>
        <color theme="1"/>
        <rFont val="Calibri (Основной текст)"/>
        <charset val="204"/>
      </rPr>
      <t>i</t>
    </r>
    <r>
      <rPr>
        <b/>
        <sz val="12"/>
        <color theme="1"/>
        <rFont val="Calibri (Основной текст)"/>
        <charset val="204"/>
      </rPr>
      <t>'</t>
    </r>
  </si>
  <si>
    <t>Вспомогательный расчет</t>
  </si>
  <si>
    <t>Сформулируем гипотезы:</t>
  </si>
  <si>
    <r>
      <t>H</t>
    </r>
    <r>
      <rPr>
        <vertAlign val="subscript"/>
        <sz val="12"/>
        <color theme="1"/>
        <rFont val="Calibri (Основной текст)"/>
        <charset val="204"/>
      </rPr>
      <t>0</t>
    </r>
    <r>
      <rPr>
        <sz val="12"/>
        <color theme="1"/>
        <rFont val="Calibri (Основной текст)"/>
        <charset val="204"/>
      </rPr>
      <t>: F</t>
    </r>
    <r>
      <rPr>
        <sz val="12"/>
        <color theme="1"/>
        <rFont val="Calibri"/>
        <family val="2"/>
        <charset val="204"/>
        <scheme val="minor"/>
      </rPr>
      <t xml:space="preserve">   N(    ,    )</t>
    </r>
  </si>
  <si>
    <r>
      <t xml:space="preserve"> H</t>
    </r>
    <r>
      <rPr>
        <vertAlign val="subscript"/>
        <sz val="12"/>
        <color theme="1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: F   N(    ,    )</t>
    </r>
  </si>
  <si>
    <t>Используя метод наибольшего правдоподобия, получаем:</t>
  </si>
  <si>
    <t xml:space="preserve">для среднего нормального закона - выборочное среднее, а для стандартного отклонения - исправленное стандартное отклонение </t>
  </si>
  <si>
    <t xml:space="preserve">Среднее выборочное = </t>
  </si>
  <si>
    <t xml:space="preserve"> Исправленное стандартное отклонение  =</t>
  </si>
  <si>
    <t>Вычисление критерия:</t>
  </si>
  <si>
    <t>Необходимые условия для выбора верной гипотезы:</t>
  </si>
  <si>
    <t xml:space="preserve">хи^2 = </t>
  </si>
  <si>
    <r>
      <t>H</t>
    </r>
    <r>
      <rPr>
        <vertAlign val="subscript"/>
        <sz val="12"/>
        <color theme="1"/>
        <rFont val="Calibri (Основной текст)"/>
        <charset val="204"/>
      </rPr>
      <t xml:space="preserve">0 </t>
    </r>
    <r>
      <rPr>
        <sz val="12"/>
        <color theme="1"/>
        <rFont val="Calibri (Основной текст)"/>
        <charset val="204"/>
      </rPr>
      <t>верна:</t>
    </r>
  </si>
  <si>
    <r>
      <t>K &lt; t</t>
    </r>
    <r>
      <rPr>
        <vertAlign val="subscript"/>
        <sz val="12"/>
        <color theme="1"/>
        <rFont val="Calibri (Основной текст)"/>
        <charset val="204"/>
      </rPr>
      <t>k</t>
    </r>
  </si>
  <si>
    <r>
      <t>H</t>
    </r>
    <r>
      <rPr>
        <vertAlign val="subscript"/>
        <sz val="12"/>
        <color theme="1"/>
        <rFont val="Calibri (Основной текст)"/>
        <charset val="204"/>
      </rPr>
      <t xml:space="preserve">1 </t>
    </r>
    <r>
      <rPr>
        <sz val="12"/>
        <color theme="1"/>
        <rFont val="Calibri (Основной текст)"/>
        <charset val="204"/>
      </rPr>
      <t>верна:</t>
    </r>
  </si>
  <si>
    <r>
      <t>K    t</t>
    </r>
    <r>
      <rPr>
        <vertAlign val="subscript"/>
        <sz val="12"/>
        <color theme="1"/>
        <rFont val="Calibri (Основной текст)"/>
        <charset val="204"/>
      </rPr>
      <t>k</t>
    </r>
  </si>
  <si>
    <r>
      <rPr>
        <b/>
        <sz val="12"/>
        <color theme="1"/>
        <rFont val="Calibri"/>
        <family val="2"/>
        <charset val="204"/>
        <scheme val="minor"/>
      </rPr>
      <t>Число степеней свободы и t</t>
    </r>
    <r>
      <rPr>
        <b/>
        <vertAlign val="subscript"/>
        <sz val="12"/>
        <color theme="1"/>
        <rFont val="Calibri (Основной текст)"/>
        <charset val="204"/>
      </rPr>
      <t>k</t>
    </r>
    <r>
      <rPr>
        <b/>
        <sz val="12"/>
        <color theme="1"/>
        <rFont val="Calibri (Основной текст)"/>
        <charset val="204"/>
      </rPr>
      <t>:</t>
    </r>
  </si>
  <si>
    <t>k-m-1=</t>
  </si>
  <si>
    <t>Вывод:</t>
  </si>
  <si>
    <r>
      <t>t</t>
    </r>
    <r>
      <rPr>
        <vertAlign val="subscript"/>
        <sz val="12"/>
        <color theme="1"/>
        <rFont val="Calibri (Основной текст)"/>
        <charset val="204"/>
      </rPr>
      <t>k</t>
    </r>
    <r>
      <rPr>
        <sz val="12"/>
        <color theme="1"/>
        <rFont val="Calibri (Основной текст)"/>
        <charset val="204"/>
      </rPr>
      <t>=</t>
    </r>
  </si>
  <si>
    <t>так как 12,291703 &lt; 14,0671404, значит гипотеза о нормальном распределении принимается</t>
  </si>
  <si>
    <t>Интервальная корреляционная таблица</t>
  </si>
  <si>
    <t>№ интервала для веса</t>
  </si>
  <si>
    <t>№ интервала для роста</t>
  </si>
  <si>
    <t>Идентификатор для интервальной корреляционной таблицы</t>
  </si>
  <si>
    <t>b =</t>
  </si>
  <si>
    <t>a =</t>
  </si>
  <si>
    <t>уравнение</t>
  </si>
  <si>
    <t>a + b*x</t>
  </si>
  <si>
    <t>z = -44,36587939 + 0,647468596 * x</t>
  </si>
  <si>
    <t>Для удобства продублируем входные данные (столбцы C:E)</t>
  </si>
  <si>
    <t>Возьмем данные интервалов, полученные в задании 2 (ячейки K1:S13)</t>
  </si>
  <si>
    <t>На основе данных об интервалах, построим интервальную корреляционную таблицу (ячейки K16:V28)</t>
  </si>
  <si>
    <t>Найдем выборочный коэффициент линейной регрессии по следующей формуле:</t>
  </si>
  <si>
    <t>Результат</t>
  </si>
  <si>
    <t>Будем обозначать компоненты коэффициента, связанные с ростом, через букву/индекс Z</t>
  </si>
  <si>
    <t>Будем обозначать компоненты коэффициента, связанные с весом, через букву/индекс X</t>
  </si>
  <si>
    <r>
      <t>Компоненты для нахождения r</t>
    </r>
    <r>
      <rPr>
        <b/>
        <vertAlign val="subscript"/>
        <sz val="12"/>
        <color theme="1"/>
        <rFont val="Calibri (Основной текст)"/>
        <charset val="204"/>
      </rPr>
      <t>B</t>
    </r>
  </si>
  <si>
    <r>
      <t>Расчет параметра        для нахождения r</t>
    </r>
    <r>
      <rPr>
        <b/>
        <vertAlign val="subscript"/>
        <sz val="12"/>
        <color theme="1"/>
        <rFont val="Calibri (Основной текст)"/>
        <charset val="204"/>
      </rPr>
      <t>B</t>
    </r>
  </si>
  <si>
    <r>
      <t>r</t>
    </r>
    <r>
      <rPr>
        <b/>
        <vertAlign val="subscript"/>
        <sz val="12"/>
        <color theme="1"/>
        <rFont val="Calibri (Основной текст)"/>
        <charset val="204"/>
      </rPr>
      <t>B</t>
    </r>
    <r>
      <rPr>
        <b/>
        <sz val="12"/>
        <color theme="1"/>
        <rFont val="Calibri (Основной текст)"/>
        <charset val="204"/>
      </rPr>
      <t xml:space="preserve"> =</t>
    </r>
  </si>
  <si>
    <r>
      <t>Для нахождения такого же коэффициента по выборке будем приписывать нижний индекс "</t>
    </r>
    <r>
      <rPr>
        <vertAlign val="subscript"/>
        <sz val="12"/>
        <color theme="1"/>
        <rFont val="Calibri (Основной текст)"/>
        <charset val="204"/>
      </rPr>
      <t>выб.</t>
    </r>
    <r>
      <rPr>
        <sz val="12"/>
        <color theme="1"/>
        <rFont val="Calibri"/>
        <family val="2"/>
        <charset val="204"/>
        <scheme val="minor"/>
      </rPr>
      <t>"</t>
    </r>
  </si>
  <si>
    <r>
      <t>r</t>
    </r>
    <r>
      <rPr>
        <b/>
        <vertAlign val="subscript"/>
        <sz val="12"/>
        <color theme="1"/>
        <rFont val="Calibri (Основной текст)"/>
        <charset val="204"/>
      </rPr>
      <t xml:space="preserve">B выб. </t>
    </r>
    <r>
      <rPr>
        <b/>
        <sz val="12"/>
        <color theme="1"/>
        <rFont val="Calibri (Основной текст)"/>
        <charset val="204"/>
      </rPr>
      <t>=</t>
    </r>
  </si>
  <si>
    <t xml:space="preserve">        выб. = </t>
  </si>
  <si>
    <r>
      <t xml:space="preserve">        выб.</t>
    </r>
    <r>
      <rPr>
        <sz val="12"/>
        <color theme="1"/>
        <rFont val="Calibri (Основной текст)"/>
        <charset val="204"/>
      </rPr>
      <t xml:space="preserve"> = </t>
    </r>
  </si>
  <si>
    <r>
      <t>Вычисление r</t>
    </r>
    <r>
      <rPr>
        <b/>
        <vertAlign val="subscript"/>
        <sz val="12"/>
        <color theme="1"/>
        <rFont val="Calibri (Основной текст)"/>
        <charset val="204"/>
      </rPr>
      <t>B выб.</t>
    </r>
  </si>
  <si>
    <t>Результат вычисления коэффициентов</t>
  </si>
  <si>
    <r>
      <t>Результаты вычисления компонентов r</t>
    </r>
    <r>
      <rPr>
        <vertAlign val="subscript"/>
        <sz val="12"/>
        <color theme="1"/>
        <rFont val="Calibri (Основной текст)"/>
        <charset val="204"/>
      </rPr>
      <t xml:space="preserve">B выб. </t>
    </r>
    <r>
      <rPr>
        <sz val="12"/>
        <color theme="1"/>
        <rFont val="Calibri (Основной текст)"/>
        <charset val="204"/>
      </rPr>
      <t>на</t>
    </r>
    <r>
      <rPr>
        <sz val="12"/>
        <color theme="1"/>
        <rFont val="Calibri"/>
        <family val="2"/>
        <charset val="204"/>
        <scheme val="minor"/>
      </rPr>
      <t>ходятся в ячейках K46:L51</t>
    </r>
  </si>
  <si>
    <r>
      <t>Результат вычисления коэффициента r</t>
    </r>
    <r>
      <rPr>
        <vertAlign val="subscript"/>
        <sz val="12"/>
        <color theme="1"/>
        <rFont val="Calibri (Основной текст)"/>
        <charset val="204"/>
      </rPr>
      <t>B</t>
    </r>
    <r>
      <rPr>
        <sz val="12"/>
        <color theme="1"/>
        <rFont val="Calibri"/>
        <family val="2"/>
        <charset val="204"/>
        <scheme val="minor"/>
      </rPr>
      <t xml:space="preserve"> в ячейке L55</t>
    </r>
  </si>
  <si>
    <r>
      <t xml:space="preserve">Поскольку значение           </t>
    </r>
    <r>
      <rPr>
        <b/>
        <vertAlign val="subscript"/>
        <sz val="12"/>
        <color theme="1"/>
        <rFont val="Calibri (Основной текст)"/>
        <charset val="204"/>
      </rPr>
      <t xml:space="preserve">                                </t>
    </r>
    <r>
      <rPr>
        <b/>
        <sz val="12"/>
        <color theme="1"/>
        <rFont val="Calibri (Основной текст)"/>
        <charset val="204"/>
      </rPr>
      <t>то связь сильная.</t>
    </r>
  </si>
  <si>
    <t>С помощью найденного коэффициента по выборке определим вид связи по шкале Чеддока (ячейка O56)</t>
  </si>
  <si>
    <t>Коэффициенты для постороения графиков</t>
  </si>
  <si>
    <t>Уравнение регрессии</t>
  </si>
  <si>
    <r>
      <t xml:space="preserve">a </t>
    </r>
    <r>
      <rPr>
        <vertAlign val="subscript"/>
        <sz val="12"/>
        <color theme="1"/>
        <rFont val="Calibri (Основной текст)"/>
        <charset val="204"/>
      </rPr>
      <t>усл.</t>
    </r>
    <r>
      <rPr>
        <sz val="12"/>
        <color theme="1"/>
        <rFont val="Calibri"/>
        <family val="2"/>
        <charset val="204"/>
        <scheme val="minor"/>
      </rPr>
      <t xml:space="preserve"> =</t>
    </r>
  </si>
  <si>
    <r>
      <t xml:space="preserve">b </t>
    </r>
    <r>
      <rPr>
        <vertAlign val="subscript"/>
        <sz val="12"/>
        <color theme="1"/>
        <rFont val="Calibri (Основной текст)"/>
        <charset val="204"/>
      </rPr>
      <t>усл.</t>
    </r>
    <r>
      <rPr>
        <sz val="12"/>
        <color theme="1"/>
        <rFont val="Calibri"/>
        <family val="2"/>
        <charset val="204"/>
        <scheme val="minor"/>
      </rPr>
      <t xml:space="preserve"> =</t>
    </r>
  </si>
  <si>
    <t>Для построения графика найдем коэффициенты a,b уравнения регрессии и условных средних</t>
  </si>
  <si>
    <t>Точки для построения условных средних</t>
  </si>
  <si>
    <r>
      <t>X</t>
    </r>
    <r>
      <rPr>
        <vertAlign val="subscript"/>
        <sz val="12"/>
        <color theme="1"/>
        <rFont val="Calibri (Основной текст)"/>
        <charset val="204"/>
      </rPr>
      <t xml:space="preserve">min </t>
    </r>
    <r>
      <rPr>
        <sz val="12"/>
        <color theme="1"/>
        <rFont val="Calibri (Основной текст)"/>
        <charset val="204"/>
      </rPr>
      <t>=</t>
    </r>
  </si>
  <si>
    <r>
      <t>X</t>
    </r>
    <r>
      <rPr>
        <vertAlign val="subscript"/>
        <sz val="12"/>
        <color theme="1"/>
        <rFont val="Calibri (Основной текст)"/>
        <charset val="204"/>
      </rPr>
      <t xml:space="preserve">max </t>
    </r>
    <r>
      <rPr>
        <sz val="12"/>
        <color theme="1"/>
        <rFont val="Calibri (Основной текст)"/>
        <charset val="204"/>
      </rPr>
      <t>=</t>
    </r>
  </si>
  <si>
    <t>f2(x)</t>
  </si>
  <si>
    <t>f1(x)</t>
  </si>
  <si>
    <t>усл.</t>
  </si>
  <si>
    <r>
      <t>z</t>
    </r>
    <r>
      <rPr>
        <vertAlign val="subscript"/>
        <sz val="12"/>
        <color theme="1"/>
        <rFont val="Calibri (Основной текст)"/>
        <charset val="204"/>
      </rPr>
      <t>усл</t>
    </r>
    <r>
      <rPr>
        <sz val="12"/>
        <color theme="1"/>
        <rFont val="Calibri"/>
        <family val="2"/>
        <charset val="204"/>
        <scheme val="minor"/>
      </rPr>
      <t xml:space="preserve"> = -57,95004931 + 0,727049278*x</t>
    </r>
  </si>
  <si>
    <t>После вычисления всех коэффициентов нам остается только составить диаграмму</t>
  </si>
  <si>
    <r>
      <t>Для нахождения r</t>
    </r>
    <r>
      <rPr>
        <vertAlign val="subscript"/>
        <sz val="12"/>
        <color theme="1"/>
        <rFont val="Calibri (Основной текст)"/>
        <charset val="204"/>
      </rPr>
      <t>B</t>
    </r>
    <r>
      <rPr>
        <sz val="12"/>
        <color theme="1"/>
        <rFont val="Calibri"/>
        <family val="2"/>
        <charset val="204"/>
        <scheme val="minor"/>
      </rPr>
      <t xml:space="preserve"> найдем все необходимые элементы из выражения</t>
    </r>
  </si>
  <si>
    <t>Воспользуемся функцией ЛИНЕЙН для получения всех необходимых результатов в пункте А</t>
  </si>
  <si>
    <t>Значения для построения графика</t>
  </si>
  <si>
    <t>Значения всех параметров из пункта А доступны в линиях 2-6</t>
  </si>
  <si>
    <t>Дисперсия остатка D(e)  =</t>
  </si>
  <si>
    <t>Результаты ЛИНЕЙН</t>
  </si>
  <si>
    <t>F-статистика (k)  =</t>
  </si>
  <si>
    <t>Дисперсия расчетных значений D(y)  =</t>
  </si>
  <si>
    <r>
      <t>Коэффициент детерминации (R</t>
    </r>
    <r>
      <rPr>
        <vertAlign val="superscript"/>
        <sz val="12"/>
        <color theme="1"/>
        <rFont val="Calibri (Основной текст)"/>
        <charset val="204"/>
      </rPr>
      <t>2</t>
    </r>
    <r>
      <rPr>
        <sz val="12"/>
        <color theme="1"/>
        <rFont val="Calibri"/>
        <family val="2"/>
        <charset val="204"/>
        <scheme val="minor"/>
      </rPr>
      <t>)  =</t>
    </r>
  </si>
  <si>
    <r>
      <t>Стандартная ошибка a (S</t>
    </r>
    <r>
      <rPr>
        <vertAlign val="subscript"/>
        <sz val="12"/>
        <color theme="1"/>
        <rFont val="Calibri (Основной текст)"/>
        <charset val="204"/>
      </rPr>
      <t>а</t>
    </r>
    <r>
      <rPr>
        <sz val="12"/>
        <color theme="1"/>
        <rFont val="Calibri"/>
        <family val="2"/>
        <charset val="204"/>
        <scheme val="minor"/>
      </rPr>
      <t>)  =</t>
    </r>
  </si>
  <si>
    <r>
      <t>Стандартная ошибка b (S</t>
    </r>
    <r>
      <rPr>
        <vertAlign val="subscript"/>
        <sz val="12"/>
        <color theme="1"/>
        <rFont val="Calibri (Основной текст)"/>
        <charset val="204"/>
      </rPr>
      <t>b</t>
    </r>
    <r>
      <rPr>
        <sz val="12"/>
        <color theme="1"/>
        <rFont val="Calibri"/>
        <family val="2"/>
        <charset val="204"/>
        <scheme val="minor"/>
      </rPr>
      <t>)  =</t>
    </r>
  </si>
  <si>
    <r>
      <t>Стандартная ошибка регрессии (S</t>
    </r>
    <r>
      <rPr>
        <vertAlign val="subscript"/>
        <sz val="12"/>
        <color theme="1"/>
        <rFont val="Calibri (Основной текст)"/>
        <charset val="204"/>
      </rPr>
      <t>Dp</t>
    </r>
    <r>
      <rPr>
        <sz val="12"/>
        <color theme="1"/>
        <rFont val="Calibri"/>
        <family val="2"/>
        <charset val="204"/>
        <scheme val="minor"/>
      </rPr>
      <t>) =</t>
    </r>
  </si>
  <si>
    <t>Степень свободы (n - 2) =</t>
  </si>
  <si>
    <t>Полученные параметры</t>
  </si>
  <si>
    <t>z = -57,95004931 + 0,727049278*x</t>
  </si>
  <si>
    <t>Уравнение регрессии записано в C9</t>
  </si>
  <si>
    <t>Прогноз веса</t>
  </si>
  <si>
    <t>-57,95004931 + 0,727049278*x =</t>
  </si>
  <si>
    <t>Для прогноза веса при определенном росте подставим значение вместо x (ячейка F9)</t>
  </si>
  <si>
    <t>Параметры прогноза</t>
  </si>
  <si>
    <r>
      <t>Стандартная ошибка прогноза (S</t>
    </r>
    <r>
      <rPr>
        <vertAlign val="subscript"/>
        <sz val="12"/>
        <color theme="1"/>
        <rFont val="Calibri (Основной текст)"/>
        <charset val="204"/>
      </rPr>
      <t>Dp</t>
    </r>
    <r>
      <rPr>
        <sz val="12"/>
        <color theme="1"/>
        <rFont val="Calibri"/>
        <family val="2"/>
        <charset val="204"/>
        <scheme val="minor"/>
      </rPr>
      <t>) =</t>
    </r>
  </si>
  <si>
    <t>Доверительный интервал:</t>
  </si>
  <si>
    <t>В соответствии с уравнениями из более ранних номеров получим параметры прогноза веса</t>
  </si>
  <si>
    <t>Доверительные интервалы коэффициентов линейной регрессии</t>
  </si>
  <si>
    <t>a</t>
  </si>
  <si>
    <t>Коэффициент</t>
  </si>
  <si>
    <t>b</t>
  </si>
  <si>
    <r>
      <t>H</t>
    </r>
    <r>
      <rPr>
        <vertAlign val="subscript"/>
        <sz val="12"/>
        <color theme="1"/>
        <rFont val="Calibri (Основной текст)"/>
        <charset val="204"/>
      </rPr>
      <t>0</t>
    </r>
    <r>
      <rPr>
        <sz val="12"/>
        <color theme="1"/>
        <rFont val="Calibri"/>
        <family val="2"/>
        <charset val="204"/>
        <scheme val="minor"/>
      </rPr>
      <t xml:space="preserve"> - что R</t>
    </r>
    <r>
      <rPr>
        <vertAlign val="superscript"/>
        <sz val="12"/>
        <color theme="1"/>
        <rFont val="Calibri (Основной текст)"/>
        <charset val="204"/>
      </rPr>
      <t>2</t>
    </r>
    <r>
      <rPr>
        <vertAlign val="subscript"/>
        <sz val="12"/>
        <color theme="1"/>
        <rFont val="Calibri (Основной текст)"/>
        <charset val="204"/>
      </rPr>
      <t>T</t>
    </r>
    <r>
      <rPr>
        <sz val="12"/>
        <color theme="1"/>
        <rFont val="Calibri"/>
        <family val="2"/>
        <charset val="204"/>
        <scheme val="minor"/>
      </rPr>
      <t xml:space="preserve"> = 0</t>
    </r>
  </si>
  <si>
    <r>
      <t>H</t>
    </r>
    <r>
      <rPr>
        <vertAlign val="subscript"/>
        <sz val="12"/>
        <color theme="1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 xml:space="preserve"> - что R</t>
    </r>
    <r>
      <rPr>
        <vertAlign val="superscript"/>
        <sz val="12"/>
        <color theme="1"/>
        <rFont val="Calibri (Основной текст)"/>
        <charset val="204"/>
      </rPr>
      <t>2</t>
    </r>
    <r>
      <rPr>
        <vertAlign val="subscript"/>
        <sz val="12"/>
        <color theme="1"/>
        <rFont val="Calibri (Основной текст)"/>
        <charset val="204"/>
      </rPr>
      <t>T</t>
    </r>
    <r>
      <rPr>
        <sz val="12"/>
        <color theme="1"/>
        <rFont val="Calibri"/>
        <family val="2"/>
        <charset val="204"/>
        <scheme val="minor"/>
      </rPr>
      <t xml:space="preserve"> != 0</t>
    </r>
  </si>
  <si>
    <r>
      <t>K = (R</t>
    </r>
    <r>
      <rPr>
        <vertAlign val="superscript"/>
        <sz val="12"/>
        <color theme="1"/>
        <rFont val="Calibri (Основной текст)"/>
        <charset val="204"/>
      </rPr>
      <t>2</t>
    </r>
    <r>
      <rPr>
        <vertAlign val="subscript"/>
        <sz val="12"/>
        <color theme="1"/>
        <rFont val="Calibri (Основной текст)"/>
        <charset val="204"/>
      </rPr>
      <t>n - 2</t>
    </r>
    <r>
      <rPr>
        <sz val="12"/>
        <color theme="1"/>
        <rFont val="Calibri"/>
        <family val="2"/>
        <charset val="204"/>
        <scheme val="minor"/>
      </rPr>
      <t>/(1 - R</t>
    </r>
    <r>
      <rPr>
        <vertAlign val="superscript"/>
        <sz val="12"/>
        <color theme="1"/>
        <rFont val="Calibri (Основной текст)"/>
        <charset val="204"/>
      </rPr>
      <t>2</t>
    </r>
    <r>
      <rPr>
        <sz val="12"/>
        <color theme="1"/>
        <rFont val="Calibri"/>
        <family val="2"/>
        <charset val="204"/>
        <scheme val="minor"/>
      </rPr>
      <t>)</t>
    </r>
  </si>
  <si>
    <t>Проверка гипотезы о статистической значимости уравнения линейной регрессии</t>
  </si>
  <si>
    <t>Основная гипотеза</t>
  </si>
  <si>
    <t>Альтернативная гипотеза</t>
  </si>
  <si>
    <t>Статистика</t>
  </si>
  <si>
    <r>
      <t>t</t>
    </r>
    <r>
      <rPr>
        <vertAlign val="subscript"/>
        <sz val="12"/>
        <color theme="1"/>
        <rFont val="Calibri (Основной текст)"/>
        <charset val="204"/>
      </rPr>
      <t>a</t>
    </r>
    <r>
      <rPr>
        <sz val="12"/>
        <color theme="1"/>
        <rFont val="Calibri"/>
        <family val="2"/>
        <charset val="204"/>
        <scheme val="minor"/>
      </rPr>
      <t xml:space="preserve"> =</t>
    </r>
  </si>
  <si>
    <r>
      <t>Если верно H</t>
    </r>
    <r>
      <rPr>
        <vertAlign val="subscript"/>
        <sz val="12"/>
        <color theme="1"/>
        <rFont val="Calibri (Основной текст)"/>
        <charset val="204"/>
      </rPr>
      <t>0</t>
    </r>
    <r>
      <rPr>
        <sz val="12"/>
        <color theme="1"/>
        <rFont val="Calibri"/>
        <family val="2"/>
        <charset val="204"/>
        <scheme val="minor"/>
      </rPr>
      <t xml:space="preserve"> то распределение Фишера, а</t>
    </r>
  </si>
  <si>
    <t xml:space="preserve">, t_a &lt; K - то статистически значима </t>
  </si>
  <si>
    <t>Для проверки гипотезы о статистической значимости указаны все основные параметры (линии 22-25)</t>
  </si>
  <si>
    <t>Результат проверки гипотезы о статистической значимости указан на линии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</si>
</sst>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0" tint="-0.34998626667073579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vertAlign val="subscript"/>
      <sz val="12"/>
      <color theme="1"/>
      <name val="Calibri (Основной текст)"/>
      <charset val="204"/>
    </font>
    <font>
      <sz val="12"/>
      <color theme="1"/>
      <name val="Calibri (Основной текст)"/>
      <charset val="204"/>
    </font>
    <font>
      <b/>
      <vertAlign val="subscript"/>
      <sz val="12"/>
      <color theme="1"/>
      <name val="Calibri (Основной текст)"/>
      <charset val="204"/>
    </font>
    <font>
      <b/>
      <vertAlign val="superscript"/>
      <sz val="12"/>
      <color theme="1"/>
      <name val="Calibri (Основной текст)"/>
      <charset val="204"/>
    </font>
    <font>
      <b/>
      <sz val="12"/>
      <color theme="1"/>
      <name val="Calibri (Основной текст)"/>
      <charset val="204"/>
    </font>
    <font>
      <b/>
      <vertAlign val="sub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vertAlign val="superscript"/>
      <sz val="12"/>
      <color theme="1"/>
      <name val="Calibri (Основной текст)"/>
      <charset val="204"/>
    </font>
    <font>
      <vertAlign val="subscript"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medium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/>
    <xf numFmtId="0" fontId="3" fillId="0" borderId="1" xfId="0" applyFont="1" applyBorder="1"/>
    <xf numFmtId="0" fontId="0" fillId="0" borderId="9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4" xfId="0" applyBorder="1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6" xfId="0" applyBorder="1"/>
    <xf numFmtId="0" fontId="3" fillId="0" borderId="0" xfId="0" applyFont="1" applyAlignment="1">
      <alignment horizontal="center"/>
    </xf>
    <xf numFmtId="0" fontId="0" fillId="0" borderId="17" xfId="0" applyBorder="1"/>
    <xf numFmtId="0" fontId="3" fillId="0" borderId="17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5" fillId="0" borderId="17" xfId="0" applyFont="1" applyBorder="1"/>
    <xf numFmtId="0" fontId="2" fillId="0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8" fillId="0" borderId="17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/>
    </xf>
    <xf numFmtId="0" fontId="0" fillId="0" borderId="19" xfId="0" applyBorder="1"/>
    <xf numFmtId="0" fontId="3" fillId="0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6" xfId="0" applyBorder="1"/>
    <xf numFmtId="0" fontId="0" fillId="0" borderId="38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/>
    <xf numFmtId="0" fontId="0" fillId="0" borderId="0" xfId="0" applyAlignment="1">
      <alignment horizontal="right" indent="1"/>
    </xf>
    <xf numFmtId="0" fontId="3" fillId="0" borderId="34" xfId="0" applyFont="1" applyBorder="1"/>
    <xf numFmtId="0" fontId="0" fillId="0" borderId="35" xfId="0" applyBorder="1"/>
    <xf numFmtId="0" fontId="1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/>
    <xf numFmtId="0" fontId="1" fillId="0" borderId="1" xfId="0" applyFont="1" applyFill="1" applyBorder="1" applyAlignment="1">
      <alignment horizontal="center" vertical="center"/>
    </xf>
    <xf numFmtId="0" fontId="19" fillId="0" borderId="0" xfId="0" applyFont="1"/>
    <xf numFmtId="0" fontId="18" fillId="0" borderId="0" xfId="0" applyFont="1"/>
    <xf numFmtId="0" fontId="0" fillId="0" borderId="42" xfId="0" applyFill="1" applyBorder="1" applyAlignment="1">
      <alignment horizontal="center" vertical="center"/>
    </xf>
    <xf numFmtId="0" fontId="8" fillId="0" borderId="0" xfId="0" applyFont="1" applyAlignment="1"/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2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11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0" xfId="0" applyBorder="1" applyAlignment="1"/>
    <xf numFmtId="0" fontId="19" fillId="0" borderId="5" xfId="0" applyFont="1" applyBorder="1" applyAlignment="1">
      <alignment horizontal="center" vertical="center"/>
    </xf>
    <xf numFmtId="0" fontId="0" fillId="0" borderId="11" xfId="0" quotePrefix="1" applyFill="1" applyBorder="1" applyAlignment="1">
      <alignment horizontal="right"/>
    </xf>
    <xf numFmtId="0" fontId="18" fillId="0" borderId="0" xfId="0" applyFont="1" applyAlignment="1"/>
    <xf numFmtId="0" fontId="18" fillId="0" borderId="1" xfId="0" applyFont="1" applyBorder="1"/>
    <xf numFmtId="0" fontId="18" fillId="0" borderId="1" xfId="0" applyFont="1" applyBorder="1" applyAlignment="1">
      <alignment horizontal="center" vertical="center"/>
    </xf>
    <xf numFmtId="0" fontId="21" fillId="0" borderId="0" xfId="0" applyFont="1"/>
    <xf numFmtId="0" fontId="18" fillId="0" borderId="5" xfId="0" applyFont="1" applyFill="1" applyBorder="1" applyAlignment="1">
      <alignment horizontal="center" vertical="center"/>
    </xf>
    <xf numFmtId="0" fontId="18" fillId="0" borderId="42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1" quotePrefix="1" applyFont="1" applyBorder="1" applyAlignment="1">
      <alignment horizontal="center" vertical="center"/>
    </xf>
    <xf numFmtId="0" fontId="3" fillId="0" borderId="4" xfId="1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8" fillId="0" borderId="43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9" fillId="0" borderId="1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для выборки по росту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'3'!$F$3</c:f>
              <c:strCache>
                <c:ptCount val="1"/>
                <c:pt idx="0">
                  <c:v>Плотность распределения людей с подходящим для интервала ростом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0"/>
            </a:sp3d>
          </c:spPr>
          <c:invertIfNegative val="0"/>
          <c:val>
            <c:numRef>
              <c:f>'3'!$F$4:$F$13</c:f>
              <c:numCache>
                <c:formatCode>General</c:formatCode>
                <c:ptCount val="10"/>
                <c:pt idx="0">
                  <c:v>6.6666666666666671E-3</c:v>
                </c:pt>
                <c:pt idx="1">
                  <c:v>4.1250000000000002E-2</c:v>
                </c:pt>
                <c:pt idx="2">
                  <c:v>5.8333333333333334E-2</c:v>
                </c:pt>
                <c:pt idx="3">
                  <c:v>5.2499999999999998E-2</c:v>
                </c:pt>
                <c:pt idx="4">
                  <c:v>6.8333333333333329E-2</c:v>
                </c:pt>
                <c:pt idx="5">
                  <c:v>0.03</c:v>
                </c:pt>
                <c:pt idx="6">
                  <c:v>1.3333333333333334E-2</c:v>
                </c:pt>
                <c:pt idx="7">
                  <c:v>1.125E-2</c:v>
                </c:pt>
                <c:pt idx="8">
                  <c:v>1.6666666666666668E-3</c:v>
                </c:pt>
                <c:pt idx="9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A-FC4D-8BF8-B33A2EBD5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31108799"/>
        <c:axId val="1231110447"/>
      </c:barChart>
      <c:catAx>
        <c:axId val="1231108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интервала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1110447"/>
        <c:crosses val="autoZero"/>
        <c:auto val="1"/>
        <c:lblAlgn val="ctr"/>
        <c:lblOffset val="100"/>
        <c:noMultiLvlLbl val="0"/>
      </c:catAx>
      <c:valAx>
        <c:axId val="123111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Плотность</a:t>
                </a:r>
                <a:r>
                  <a:rPr lang="ru-RU" baseline="0"/>
                  <a:t> распределения роста людей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1108799"/>
        <c:crosses val="autoZero"/>
        <c:crossBetween val="between"/>
      </c:valAx>
      <c:spPr>
        <a:noFill/>
        <a:ln w="9525"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для выборки по росту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'3'!$G$4:$G$13</c:f>
              <c:numCache>
                <c:formatCode>General</c:formatCode>
                <c:ptCount val="10"/>
                <c:pt idx="0">
                  <c:v>157.5</c:v>
                </c:pt>
                <c:pt idx="1">
                  <c:v>161</c:v>
                </c:pt>
                <c:pt idx="2">
                  <c:v>164.5</c:v>
                </c:pt>
                <c:pt idx="3">
                  <c:v>168</c:v>
                </c:pt>
                <c:pt idx="4">
                  <c:v>171.5</c:v>
                </c:pt>
                <c:pt idx="5">
                  <c:v>175</c:v>
                </c:pt>
                <c:pt idx="6">
                  <c:v>178.5</c:v>
                </c:pt>
                <c:pt idx="7">
                  <c:v>182</c:v>
                </c:pt>
                <c:pt idx="8">
                  <c:v>185.5</c:v>
                </c:pt>
                <c:pt idx="9">
                  <c:v>188.5</c:v>
                </c:pt>
              </c:numCache>
            </c:numRef>
          </c:cat>
          <c:val>
            <c:numRef>
              <c:f>'3'!$H$4:$H$13</c:f>
              <c:numCache>
                <c:formatCode>General</c:formatCode>
                <c:ptCount val="10"/>
                <c:pt idx="0">
                  <c:v>0.02</c:v>
                </c:pt>
                <c:pt idx="1">
                  <c:v>0.16500000000000001</c:v>
                </c:pt>
                <c:pt idx="2">
                  <c:v>0.17499999999999999</c:v>
                </c:pt>
                <c:pt idx="3">
                  <c:v>0.21</c:v>
                </c:pt>
                <c:pt idx="4">
                  <c:v>0.20499999999999999</c:v>
                </c:pt>
                <c:pt idx="5">
                  <c:v>0.12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5.0000000000000001E-3</c:v>
                </c:pt>
                <c:pt idx="9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3B-5344-AAB2-2AF84D09F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1308511"/>
        <c:axId val="1292187151"/>
      </c:lineChart>
      <c:catAx>
        <c:axId val="1271308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Серединное</a:t>
                </a:r>
                <a:r>
                  <a:rPr lang="ru-RU" baseline="0"/>
                  <a:t> значение роста на интервале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2187151"/>
        <c:crosses val="autoZero"/>
        <c:auto val="1"/>
        <c:lblAlgn val="ctr"/>
        <c:lblOffset val="100"/>
        <c:noMultiLvlLbl val="0"/>
      </c:catAx>
      <c:valAx>
        <c:axId val="129218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130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Выборочная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'3'!$I$4:$I$13</c:f>
              <c:numCache>
                <c:formatCode>General</c:formatCode>
                <c:ptCount val="10"/>
                <c:pt idx="0">
                  <c:v>4</c:v>
                </c:pt>
                <c:pt idx="1">
                  <c:v>33</c:v>
                </c:pt>
                <c:pt idx="2">
                  <c:v>35</c:v>
                </c:pt>
                <c:pt idx="3">
                  <c:v>42</c:v>
                </c:pt>
                <c:pt idx="4">
                  <c:v>41</c:v>
                </c:pt>
                <c:pt idx="5">
                  <c:v>24</c:v>
                </c:pt>
                <c:pt idx="6">
                  <c:v>8</c:v>
                </c:pt>
                <c:pt idx="7">
                  <c:v>9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6-FA42-9BEA-0022E31EC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17435599"/>
        <c:axId val="1317437247"/>
      </c:barChart>
      <c:lineChart>
        <c:grouping val="standard"/>
        <c:varyColors val="0"/>
        <c:ser>
          <c:idx val="1"/>
          <c:order val="1"/>
          <c:tx>
            <c:v>Накопленная частота</c:v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'3'!$J$4:$J$13</c:f>
              <c:numCache>
                <c:formatCode>General</c:formatCode>
                <c:ptCount val="10"/>
                <c:pt idx="0">
                  <c:v>4</c:v>
                </c:pt>
                <c:pt idx="1">
                  <c:v>37</c:v>
                </c:pt>
                <c:pt idx="2">
                  <c:v>72</c:v>
                </c:pt>
                <c:pt idx="3">
                  <c:v>114</c:v>
                </c:pt>
                <c:pt idx="4">
                  <c:v>155</c:v>
                </c:pt>
                <c:pt idx="5">
                  <c:v>179</c:v>
                </c:pt>
                <c:pt idx="6">
                  <c:v>187</c:v>
                </c:pt>
                <c:pt idx="7">
                  <c:v>196</c:v>
                </c:pt>
                <c:pt idx="8">
                  <c:v>197</c:v>
                </c:pt>
                <c:pt idx="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6-FA42-9BEA-0022E31EC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0479503"/>
        <c:axId val="1321181791"/>
      </c:lineChart>
      <c:catAx>
        <c:axId val="1317435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7437247"/>
        <c:crosses val="autoZero"/>
        <c:auto val="1"/>
        <c:lblAlgn val="ctr"/>
        <c:lblOffset val="100"/>
        <c:noMultiLvlLbl val="0"/>
      </c:catAx>
      <c:valAx>
        <c:axId val="131743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7435599"/>
        <c:crosses val="autoZero"/>
        <c:crossBetween val="between"/>
      </c:valAx>
      <c:valAx>
        <c:axId val="13211817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0479503"/>
        <c:crosses val="max"/>
        <c:crossBetween val="between"/>
      </c:valAx>
      <c:catAx>
        <c:axId val="1320479503"/>
        <c:scaling>
          <c:orientation val="minMax"/>
        </c:scaling>
        <c:delete val="1"/>
        <c:axPos val="b"/>
        <c:majorTickMark val="out"/>
        <c:minorTickMark val="none"/>
        <c:tickLblPos val="nextTo"/>
        <c:crossAx val="1321181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облако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E1C-2842-B548-67FDBD3541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'8'!$D$2:$D$201</c:f>
              <c:numCache>
                <c:formatCode>General</c:formatCode>
                <c:ptCount val="200"/>
                <c:pt idx="0">
                  <c:v>176</c:v>
                </c:pt>
                <c:pt idx="1">
                  <c:v>171</c:v>
                </c:pt>
                <c:pt idx="2">
                  <c:v>166</c:v>
                </c:pt>
                <c:pt idx="3">
                  <c:v>182</c:v>
                </c:pt>
                <c:pt idx="4">
                  <c:v>165</c:v>
                </c:pt>
                <c:pt idx="5">
                  <c:v>168</c:v>
                </c:pt>
                <c:pt idx="6">
                  <c:v>170</c:v>
                </c:pt>
                <c:pt idx="7">
                  <c:v>181</c:v>
                </c:pt>
                <c:pt idx="8">
                  <c:v>161</c:v>
                </c:pt>
                <c:pt idx="9">
                  <c:v>168</c:v>
                </c:pt>
                <c:pt idx="10">
                  <c:v>161</c:v>
                </c:pt>
                <c:pt idx="11">
                  <c:v>161</c:v>
                </c:pt>
                <c:pt idx="12">
                  <c:v>165</c:v>
                </c:pt>
                <c:pt idx="13">
                  <c:v>176</c:v>
                </c:pt>
                <c:pt idx="14">
                  <c:v>165</c:v>
                </c:pt>
                <c:pt idx="15">
                  <c:v>161</c:v>
                </c:pt>
                <c:pt idx="16">
                  <c:v>166</c:v>
                </c:pt>
                <c:pt idx="17">
                  <c:v>167</c:v>
                </c:pt>
                <c:pt idx="18">
                  <c:v>167</c:v>
                </c:pt>
                <c:pt idx="19">
                  <c:v>165</c:v>
                </c:pt>
                <c:pt idx="20">
                  <c:v>168</c:v>
                </c:pt>
                <c:pt idx="21">
                  <c:v>161</c:v>
                </c:pt>
                <c:pt idx="22">
                  <c:v>163</c:v>
                </c:pt>
                <c:pt idx="23">
                  <c:v>168</c:v>
                </c:pt>
                <c:pt idx="24">
                  <c:v>175</c:v>
                </c:pt>
                <c:pt idx="25">
                  <c:v>161</c:v>
                </c:pt>
                <c:pt idx="26">
                  <c:v>171</c:v>
                </c:pt>
                <c:pt idx="27">
                  <c:v>184</c:v>
                </c:pt>
                <c:pt idx="28">
                  <c:v>173</c:v>
                </c:pt>
                <c:pt idx="29">
                  <c:v>166</c:v>
                </c:pt>
                <c:pt idx="30">
                  <c:v>170</c:v>
                </c:pt>
                <c:pt idx="31">
                  <c:v>172</c:v>
                </c:pt>
                <c:pt idx="32">
                  <c:v>176</c:v>
                </c:pt>
                <c:pt idx="33">
                  <c:v>162</c:v>
                </c:pt>
                <c:pt idx="34">
                  <c:v>157</c:v>
                </c:pt>
                <c:pt idx="35">
                  <c:v>188</c:v>
                </c:pt>
                <c:pt idx="36">
                  <c:v>164</c:v>
                </c:pt>
                <c:pt idx="37">
                  <c:v>167</c:v>
                </c:pt>
                <c:pt idx="38">
                  <c:v>174</c:v>
                </c:pt>
                <c:pt idx="39">
                  <c:v>161</c:v>
                </c:pt>
                <c:pt idx="40">
                  <c:v>172</c:v>
                </c:pt>
                <c:pt idx="41">
                  <c:v>171</c:v>
                </c:pt>
                <c:pt idx="42">
                  <c:v>173</c:v>
                </c:pt>
                <c:pt idx="43">
                  <c:v>176</c:v>
                </c:pt>
                <c:pt idx="44">
                  <c:v>156</c:v>
                </c:pt>
                <c:pt idx="45">
                  <c:v>161</c:v>
                </c:pt>
                <c:pt idx="46">
                  <c:v>165</c:v>
                </c:pt>
                <c:pt idx="47">
                  <c:v>174</c:v>
                </c:pt>
                <c:pt idx="48">
                  <c:v>183</c:v>
                </c:pt>
                <c:pt idx="49">
                  <c:v>173</c:v>
                </c:pt>
                <c:pt idx="50">
                  <c:v>160</c:v>
                </c:pt>
                <c:pt idx="51">
                  <c:v>178</c:v>
                </c:pt>
                <c:pt idx="52">
                  <c:v>170</c:v>
                </c:pt>
                <c:pt idx="53">
                  <c:v>168</c:v>
                </c:pt>
                <c:pt idx="54">
                  <c:v>173</c:v>
                </c:pt>
                <c:pt idx="55">
                  <c:v>176</c:v>
                </c:pt>
                <c:pt idx="56">
                  <c:v>170</c:v>
                </c:pt>
                <c:pt idx="57">
                  <c:v>163</c:v>
                </c:pt>
                <c:pt idx="58">
                  <c:v>165</c:v>
                </c:pt>
                <c:pt idx="59">
                  <c:v>165</c:v>
                </c:pt>
                <c:pt idx="60">
                  <c:v>170</c:v>
                </c:pt>
                <c:pt idx="61">
                  <c:v>166</c:v>
                </c:pt>
                <c:pt idx="62">
                  <c:v>165</c:v>
                </c:pt>
                <c:pt idx="63">
                  <c:v>181</c:v>
                </c:pt>
                <c:pt idx="64">
                  <c:v>172</c:v>
                </c:pt>
                <c:pt idx="65">
                  <c:v>165</c:v>
                </c:pt>
                <c:pt idx="66">
                  <c:v>172</c:v>
                </c:pt>
                <c:pt idx="67">
                  <c:v>178</c:v>
                </c:pt>
                <c:pt idx="68">
                  <c:v>169</c:v>
                </c:pt>
                <c:pt idx="69">
                  <c:v>165</c:v>
                </c:pt>
                <c:pt idx="70">
                  <c:v>174</c:v>
                </c:pt>
                <c:pt idx="71">
                  <c:v>159</c:v>
                </c:pt>
                <c:pt idx="72">
                  <c:v>171</c:v>
                </c:pt>
                <c:pt idx="73">
                  <c:v>169</c:v>
                </c:pt>
                <c:pt idx="74">
                  <c:v>176</c:v>
                </c:pt>
                <c:pt idx="75">
                  <c:v>170</c:v>
                </c:pt>
                <c:pt idx="76">
                  <c:v>170</c:v>
                </c:pt>
                <c:pt idx="77">
                  <c:v>165</c:v>
                </c:pt>
                <c:pt idx="78">
                  <c:v>162</c:v>
                </c:pt>
                <c:pt idx="79">
                  <c:v>175</c:v>
                </c:pt>
                <c:pt idx="80">
                  <c:v>157</c:v>
                </c:pt>
                <c:pt idx="81">
                  <c:v>161</c:v>
                </c:pt>
                <c:pt idx="82">
                  <c:v>172</c:v>
                </c:pt>
                <c:pt idx="83">
                  <c:v>159</c:v>
                </c:pt>
                <c:pt idx="84">
                  <c:v>162</c:v>
                </c:pt>
                <c:pt idx="85">
                  <c:v>167</c:v>
                </c:pt>
                <c:pt idx="86">
                  <c:v>159</c:v>
                </c:pt>
                <c:pt idx="87">
                  <c:v>160</c:v>
                </c:pt>
                <c:pt idx="88">
                  <c:v>175</c:v>
                </c:pt>
                <c:pt idx="89">
                  <c:v>163</c:v>
                </c:pt>
                <c:pt idx="90">
                  <c:v>169</c:v>
                </c:pt>
                <c:pt idx="91">
                  <c:v>180</c:v>
                </c:pt>
                <c:pt idx="92">
                  <c:v>165</c:v>
                </c:pt>
                <c:pt idx="93">
                  <c:v>168</c:v>
                </c:pt>
                <c:pt idx="94">
                  <c:v>169</c:v>
                </c:pt>
                <c:pt idx="95">
                  <c:v>170</c:v>
                </c:pt>
                <c:pt idx="96">
                  <c:v>163</c:v>
                </c:pt>
                <c:pt idx="97">
                  <c:v>178</c:v>
                </c:pt>
                <c:pt idx="98">
                  <c:v>162</c:v>
                </c:pt>
                <c:pt idx="99">
                  <c:v>178</c:v>
                </c:pt>
                <c:pt idx="100">
                  <c:v>172</c:v>
                </c:pt>
                <c:pt idx="101">
                  <c:v>162</c:v>
                </c:pt>
                <c:pt idx="102">
                  <c:v>164</c:v>
                </c:pt>
                <c:pt idx="103">
                  <c:v>162</c:v>
                </c:pt>
                <c:pt idx="104">
                  <c:v>171</c:v>
                </c:pt>
                <c:pt idx="105">
                  <c:v>167</c:v>
                </c:pt>
                <c:pt idx="106">
                  <c:v>156</c:v>
                </c:pt>
                <c:pt idx="107">
                  <c:v>172</c:v>
                </c:pt>
                <c:pt idx="108">
                  <c:v>167</c:v>
                </c:pt>
                <c:pt idx="109">
                  <c:v>170</c:v>
                </c:pt>
                <c:pt idx="110">
                  <c:v>169</c:v>
                </c:pt>
                <c:pt idx="111">
                  <c:v>171</c:v>
                </c:pt>
                <c:pt idx="112">
                  <c:v>160</c:v>
                </c:pt>
                <c:pt idx="113">
                  <c:v>169</c:v>
                </c:pt>
                <c:pt idx="114">
                  <c:v>168</c:v>
                </c:pt>
                <c:pt idx="115">
                  <c:v>165</c:v>
                </c:pt>
                <c:pt idx="116">
                  <c:v>164</c:v>
                </c:pt>
                <c:pt idx="117">
                  <c:v>180</c:v>
                </c:pt>
                <c:pt idx="118">
                  <c:v>164</c:v>
                </c:pt>
                <c:pt idx="119">
                  <c:v>171</c:v>
                </c:pt>
                <c:pt idx="120">
                  <c:v>181</c:v>
                </c:pt>
                <c:pt idx="121">
                  <c:v>171</c:v>
                </c:pt>
                <c:pt idx="122">
                  <c:v>172</c:v>
                </c:pt>
                <c:pt idx="123">
                  <c:v>161</c:v>
                </c:pt>
                <c:pt idx="124">
                  <c:v>187</c:v>
                </c:pt>
                <c:pt idx="125">
                  <c:v>163</c:v>
                </c:pt>
                <c:pt idx="126">
                  <c:v>166</c:v>
                </c:pt>
                <c:pt idx="127">
                  <c:v>164</c:v>
                </c:pt>
                <c:pt idx="128">
                  <c:v>159</c:v>
                </c:pt>
                <c:pt idx="129">
                  <c:v>176</c:v>
                </c:pt>
                <c:pt idx="130">
                  <c:v>167</c:v>
                </c:pt>
                <c:pt idx="131">
                  <c:v>167</c:v>
                </c:pt>
                <c:pt idx="132">
                  <c:v>169</c:v>
                </c:pt>
                <c:pt idx="133">
                  <c:v>190</c:v>
                </c:pt>
                <c:pt idx="134">
                  <c:v>171</c:v>
                </c:pt>
                <c:pt idx="135">
                  <c:v>164</c:v>
                </c:pt>
                <c:pt idx="136">
                  <c:v>164</c:v>
                </c:pt>
                <c:pt idx="137">
                  <c:v>177</c:v>
                </c:pt>
                <c:pt idx="138">
                  <c:v>161</c:v>
                </c:pt>
                <c:pt idx="139">
                  <c:v>166</c:v>
                </c:pt>
                <c:pt idx="140">
                  <c:v>172</c:v>
                </c:pt>
                <c:pt idx="141">
                  <c:v>171</c:v>
                </c:pt>
                <c:pt idx="142">
                  <c:v>161</c:v>
                </c:pt>
                <c:pt idx="143">
                  <c:v>173</c:v>
                </c:pt>
                <c:pt idx="144">
                  <c:v>172</c:v>
                </c:pt>
                <c:pt idx="145">
                  <c:v>162</c:v>
                </c:pt>
                <c:pt idx="146">
                  <c:v>167</c:v>
                </c:pt>
                <c:pt idx="147">
                  <c:v>164</c:v>
                </c:pt>
                <c:pt idx="148">
                  <c:v>171</c:v>
                </c:pt>
                <c:pt idx="149">
                  <c:v>174</c:v>
                </c:pt>
                <c:pt idx="150">
                  <c:v>166</c:v>
                </c:pt>
                <c:pt idx="151">
                  <c:v>170</c:v>
                </c:pt>
                <c:pt idx="152">
                  <c:v>166</c:v>
                </c:pt>
                <c:pt idx="153">
                  <c:v>177</c:v>
                </c:pt>
                <c:pt idx="154">
                  <c:v>172</c:v>
                </c:pt>
                <c:pt idx="155">
                  <c:v>161</c:v>
                </c:pt>
                <c:pt idx="156">
                  <c:v>172</c:v>
                </c:pt>
                <c:pt idx="157">
                  <c:v>163</c:v>
                </c:pt>
                <c:pt idx="158">
                  <c:v>176</c:v>
                </c:pt>
                <c:pt idx="159">
                  <c:v>161</c:v>
                </c:pt>
                <c:pt idx="160">
                  <c:v>161</c:v>
                </c:pt>
                <c:pt idx="161">
                  <c:v>172</c:v>
                </c:pt>
                <c:pt idx="162">
                  <c:v>167</c:v>
                </c:pt>
                <c:pt idx="163">
                  <c:v>168</c:v>
                </c:pt>
                <c:pt idx="164">
                  <c:v>161</c:v>
                </c:pt>
                <c:pt idx="165">
                  <c:v>169</c:v>
                </c:pt>
                <c:pt idx="166">
                  <c:v>168</c:v>
                </c:pt>
                <c:pt idx="167">
                  <c:v>170</c:v>
                </c:pt>
                <c:pt idx="168">
                  <c:v>166</c:v>
                </c:pt>
                <c:pt idx="169">
                  <c:v>175</c:v>
                </c:pt>
                <c:pt idx="170">
                  <c:v>180</c:v>
                </c:pt>
                <c:pt idx="171">
                  <c:v>164</c:v>
                </c:pt>
                <c:pt idx="172">
                  <c:v>161</c:v>
                </c:pt>
                <c:pt idx="173">
                  <c:v>162</c:v>
                </c:pt>
                <c:pt idx="174">
                  <c:v>171</c:v>
                </c:pt>
                <c:pt idx="175">
                  <c:v>166</c:v>
                </c:pt>
                <c:pt idx="176">
                  <c:v>179</c:v>
                </c:pt>
                <c:pt idx="177">
                  <c:v>162</c:v>
                </c:pt>
                <c:pt idx="178">
                  <c:v>167</c:v>
                </c:pt>
                <c:pt idx="179">
                  <c:v>176</c:v>
                </c:pt>
                <c:pt idx="180">
                  <c:v>163</c:v>
                </c:pt>
                <c:pt idx="181">
                  <c:v>169</c:v>
                </c:pt>
                <c:pt idx="182">
                  <c:v>174</c:v>
                </c:pt>
                <c:pt idx="183">
                  <c:v>167</c:v>
                </c:pt>
                <c:pt idx="184">
                  <c:v>179</c:v>
                </c:pt>
                <c:pt idx="185">
                  <c:v>173</c:v>
                </c:pt>
                <c:pt idx="186">
                  <c:v>172</c:v>
                </c:pt>
                <c:pt idx="187">
                  <c:v>171</c:v>
                </c:pt>
                <c:pt idx="188">
                  <c:v>171</c:v>
                </c:pt>
                <c:pt idx="189">
                  <c:v>171</c:v>
                </c:pt>
                <c:pt idx="190">
                  <c:v>163</c:v>
                </c:pt>
                <c:pt idx="191">
                  <c:v>168</c:v>
                </c:pt>
                <c:pt idx="192">
                  <c:v>164</c:v>
                </c:pt>
                <c:pt idx="193">
                  <c:v>167</c:v>
                </c:pt>
                <c:pt idx="194">
                  <c:v>171</c:v>
                </c:pt>
                <c:pt idx="195">
                  <c:v>165</c:v>
                </c:pt>
                <c:pt idx="196">
                  <c:v>164</c:v>
                </c:pt>
                <c:pt idx="197">
                  <c:v>180</c:v>
                </c:pt>
                <c:pt idx="198">
                  <c:v>165</c:v>
                </c:pt>
                <c:pt idx="199">
                  <c:v>165</c:v>
                </c:pt>
              </c:numCache>
            </c:numRef>
          </c:xVal>
          <c:yVal>
            <c:numRef>
              <c:f>'8'!$E$2:$E$201</c:f>
              <c:numCache>
                <c:formatCode>General</c:formatCode>
                <c:ptCount val="200"/>
                <c:pt idx="0">
                  <c:v>65</c:v>
                </c:pt>
                <c:pt idx="1">
                  <c:v>70</c:v>
                </c:pt>
                <c:pt idx="2">
                  <c:v>57</c:v>
                </c:pt>
                <c:pt idx="3">
                  <c:v>76</c:v>
                </c:pt>
                <c:pt idx="4">
                  <c:v>59</c:v>
                </c:pt>
                <c:pt idx="5">
                  <c:v>62</c:v>
                </c:pt>
                <c:pt idx="6">
                  <c:v>76</c:v>
                </c:pt>
                <c:pt idx="7">
                  <c:v>68</c:v>
                </c:pt>
                <c:pt idx="8">
                  <c:v>66</c:v>
                </c:pt>
                <c:pt idx="9">
                  <c:v>67</c:v>
                </c:pt>
                <c:pt idx="10">
                  <c:v>55</c:v>
                </c:pt>
                <c:pt idx="11">
                  <c:v>66</c:v>
                </c:pt>
                <c:pt idx="12">
                  <c:v>63</c:v>
                </c:pt>
                <c:pt idx="13">
                  <c:v>78</c:v>
                </c:pt>
                <c:pt idx="14">
                  <c:v>56</c:v>
                </c:pt>
                <c:pt idx="15">
                  <c:v>51</c:v>
                </c:pt>
                <c:pt idx="16">
                  <c:v>62</c:v>
                </c:pt>
                <c:pt idx="17">
                  <c:v>65</c:v>
                </c:pt>
                <c:pt idx="18">
                  <c:v>63</c:v>
                </c:pt>
                <c:pt idx="19">
                  <c:v>63</c:v>
                </c:pt>
                <c:pt idx="20">
                  <c:v>73</c:v>
                </c:pt>
                <c:pt idx="21">
                  <c:v>59</c:v>
                </c:pt>
                <c:pt idx="22">
                  <c:v>65</c:v>
                </c:pt>
                <c:pt idx="23">
                  <c:v>66</c:v>
                </c:pt>
                <c:pt idx="24">
                  <c:v>66</c:v>
                </c:pt>
                <c:pt idx="25">
                  <c:v>52</c:v>
                </c:pt>
                <c:pt idx="26">
                  <c:v>63</c:v>
                </c:pt>
                <c:pt idx="27">
                  <c:v>72</c:v>
                </c:pt>
                <c:pt idx="28">
                  <c:v>63</c:v>
                </c:pt>
                <c:pt idx="29">
                  <c:v>67</c:v>
                </c:pt>
                <c:pt idx="30">
                  <c:v>61</c:v>
                </c:pt>
                <c:pt idx="31">
                  <c:v>74</c:v>
                </c:pt>
                <c:pt idx="32">
                  <c:v>81</c:v>
                </c:pt>
                <c:pt idx="33">
                  <c:v>60</c:v>
                </c:pt>
                <c:pt idx="34">
                  <c:v>60</c:v>
                </c:pt>
                <c:pt idx="35">
                  <c:v>75</c:v>
                </c:pt>
                <c:pt idx="36">
                  <c:v>53</c:v>
                </c:pt>
                <c:pt idx="37">
                  <c:v>64</c:v>
                </c:pt>
                <c:pt idx="38">
                  <c:v>69</c:v>
                </c:pt>
                <c:pt idx="39">
                  <c:v>62</c:v>
                </c:pt>
                <c:pt idx="40">
                  <c:v>63</c:v>
                </c:pt>
                <c:pt idx="41">
                  <c:v>69</c:v>
                </c:pt>
                <c:pt idx="42">
                  <c:v>68</c:v>
                </c:pt>
                <c:pt idx="43">
                  <c:v>70</c:v>
                </c:pt>
                <c:pt idx="44">
                  <c:v>54</c:v>
                </c:pt>
                <c:pt idx="45">
                  <c:v>59</c:v>
                </c:pt>
                <c:pt idx="46">
                  <c:v>63</c:v>
                </c:pt>
                <c:pt idx="47">
                  <c:v>66</c:v>
                </c:pt>
                <c:pt idx="48">
                  <c:v>73</c:v>
                </c:pt>
                <c:pt idx="49">
                  <c:v>71</c:v>
                </c:pt>
                <c:pt idx="50">
                  <c:v>61</c:v>
                </c:pt>
                <c:pt idx="51">
                  <c:v>69</c:v>
                </c:pt>
                <c:pt idx="52">
                  <c:v>70</c:v>
                </c:pt>
                <c:pt idx="53">
                  <c:v>60</c:v>
                </c:pt>
                <c:pt idx="54">
                  <c:v>69</c:v>
                </c:pt>
                <c:pt idx="55">
                  <c:v>70</c:v>
                </c:pt>
                <c:pt idx="56">
                  <c:v>58</c:v>
                </c:pt>
                <c:pt idx="57">
                  <c:v>64</c:v>
                </c:pt>
                <c:pt idx="58">
                  <c:v>57</c:v>
                </c:pt>
                <c:pt idx="59">
                  <c:v>60</c:v>
                </c:pt>
                <c:pt idx="60">
                  <c:v>61</c:v>
                </c:pt>
                <c:pt idx="61">
                  <c:v>55</c:v>
                </c:pt>
                <c:pt idx="62">
                  <c:v>63</c:v>
                </c:pt>
                <c:pt idx="63">
                  <c:v>77</c:v>
                </c:pt>
                <c:pt idx="64">
                  <c:v>64</c:v>
                </c:pt>
                <c:pt idx="65">
                  <c:v>63</c:v>
                </c:pt>
                <c:pt idx="66">
                  <c:v>78</c:v>
                </c:pt>
                <c:pt idx="67">
                  <c:v>75</c:v>
                </c:pt>
                <c:pt idx="68">
                  <c:v>74</c:v>
                </c:pt>
                <c:pt idx="69">
                  <c:v>63</c:v>
                </c:pt>
                <c:pt idx="70">
                  <c:v>75</c:v>
                </c:pt>
                <c:pt idx="71">
                  <c:v>54</c:v>
                </c:pt>
                <c:pt idx="72">
                  <c:v>66</c:v>
                </c:pt>
                <c:pt idx="73">
                  <c:v>67</c:v>
                </c:pt>
                <c:pt idx="74">
                  <c:v>62</c:v>
                </c:pt>
                <c:pt idx="75">
                  <c:v>65</c:v>
                </c:pt>
                <c:pt idx="76">
                  <c:v>66</c:v>
                </c:pt>
                <c:pt idx="77">
                  <c:v>61</c:v>
                </c:pt>
                <c:pt idx="78">
                  <c:v>66</c:v>
                </c:pt>
                <c:pt idx="79">
                  <c:v>75</c:v>
                </c:pt>
                <c:pt idx="80">
                  <c:v>53</c:v>
                </c:pt>
                <c:pt idx="81">
                  <c:v>55</c:v>
                </c:pt>
                <c:pt idx="82">
                  <c:v>66</c:v>
                </c:pt>
                <c:pt idx="83">
                  <c:v>55</c:v>
                </c:pt>
                <c:pt idx="84">
                  <c:v>65</c:v>
                </c:pt>
                <c:pt idx="85">
                  <c:v>63</c:v>
                </c:pt>
                <c:pt idx="86">
                  <c:v>68</c:v>
                </c:pt>
                <c:pt idx="87">
                  <c:v>62</c:v>
                </c:pt>
                <c:pt idx="88">
                  <c:v>75</c:v>
                </c:pt>
                <c:pt idx="89">
                  <c:v>67</c:v>
                </c:pt>
                <c:pt idx="90">
                  <c:v>56</c:v>
                </c:pt>
                <c:pt idx="91">
                  <c:v>65</c:v>
                </c:pt>
                <c:pt idx="92">
                  <c:v>63</c:v>
                </c:pt>
                <c:pt idx="93">
                  <c:v>67</c:v>
                </c:pt>
                <c:pt idx="94">
                  <c:v>68</c:v>
                </c:pt>
                <c:pt idx="95">
                  <c:v>69</c:v>
                </c:pt>
                <c:pt idx="96">
                  <c:v>57</c:v>
                </c:pt>
                <c:pt idx="97">
                  <c:v>75</c:v>
                </c:pt>
                <c:pt idx="98">
                  <c:v>53</c:v>
                </c:pt>
                <c:pt idx="99">
                  <c:v>69</c:v>
                </c:pt>
                <c:pt idx="100">
                  <c:v>73</c:v>
                </c:pt>
                <c:pt idx="101">
                  <c:v>65</c:v>
                </c:pt>
                <c:pt idx="102">
                  <c:v>59</c:v>
                </c:pt>
                <c:pt idx="103">
                  <c:v>58</c:v>
                </c:pt>
                <c:pt idx="104">
                  <c:v>70</c:v>
                </c:pt>
                <c:pt idx="105">
                  <c:v>55</c:v>
                </c:pt>
                <c:pt idx="106">
                  <c:v>59</c:v>
                </c:pt>
                <c:pt idx="107">
                  <c:v>67</c:v>
                </c:pt>
                <c:pt idx="108">
                  <c:v>61</c:v>
                </c:pt>
                <c:pt idx="109">
                  <c:v>63</c:v>
                </c:pt>
                <c:pt idx="110">
                  <c:v>74</c:v>
                </c:pt>
                <c:pt idx="111">
                  <c:v>60</c:v>
                </c:pt>
                <c:pt idx="112">
                  <c:v>59</c:v>
                </c:pt>
                <c:pt idx="113">
                  <c:v>57</c:v>
                </c:pt>
                <c:pt idx="114">
                  <c:v>59</c:v>
                </c:pt>
                <c:pt idx="115">
                  <c:v>60</c:v>
                </c:pt>
                <c:pt idx="116">
                  <c:v>59</c:v>
                </c:pt>
                <c:pt idx="117">
                  <c:v>84</c:v>
                </c:pt>
                <c:pt idx="118">
                  <c:v>57</c:v>
                </c:pt>
                <c:pt idx="119">
                  <c:v>64</c:v>
                </c:pt>
                <c:pt idx="120">
                  <c:v>77</c:v>
                </c:pt>
                <c:pt idx="121">
                  <c:v>62</c:v>
                </c:pt>
                <c:pt idx="122">
                  <c:v>74</c:v>
                </c:pt>
                <c:pt idx="123">
                  <c:v>55</c:v>
                </c:pt>
                <c:pt idx="124">
                  <c:v>84</c:v>
                </c:pt>
                <c:pt idx="125">
                  <c:v>57</c:v>
                </c:pt>
                <c:pt idx="126">
                  <c:v>60</c:v>
                </c:pt>
                <c:pt idx="127">
                  <c:v>60</c:v>
                </c:pt>
                <c:pt idx="128">
                  <c:v>68</c:v>
                </c:pt>
                <c:pt idx="129">
                  <c:v>62</c:v>
                </c:pt>
                <c:pt idx="130">
                  <c:v>68</c:v>
                </c:pt>
                <c:pt idx="131">
                  <c:v>64</c:v>
                </c:pt>
                <c:pt idx="132">
                  <c:v>62</c:v>
                </c:pt>
                <c:pt idx="133">
                  <c:v>80</c:v>
                </c:pt>
                <c:pt idx="134">
                  <c:v>70</c:v>
                </c:pt>
                <c:pt idx="135">
                  <c:v>63</c:v>
                </c:pt>
                <c:pt idx="136">
                  <c:v>65</c:v>
                </c:pt>
                <c:pt idx="137">
                  <c:v>67</c:v>
                </c:pt>
                <c:pt idx="138">
                  <c:v>51</c:v>
                </c:pt>
                <c:pt idx="139">
                  <c:v>63</c:v>
                </c:pt>
                <c:pt idx="140">
                  <c:v>67</c:v>
                </c:pt>
                <c:pt idx="141">
                  <c:v>67</c:v>
                </c:pt>
                <c:pt idx="142">
                  <c:v>56</c:v>
                </c:pt>
                <c:pt idx="143">
                  <c:v>77</c:v>
                </c:pt>
                <c:pt idx="144">
                  <c:v>64</c:v>
                </c:pt>
                <c:pt idx="145">
                  <c:v>66</c:v>
                </c:pt>
                <c:pt idx="146">
                  <c:v>61</c:v>
                </c:pt>
                <c:pt idx="147">
                  <c:v>57</c:v>
                </c:pt>
                <c:pt idx="148">
                  <c:v>69</c:v>
                </c:pt>
                <c:pt idx="149">
                  <c:v>74</c:v>
                </c:pt>
                <c:pt idx="150">
                  <c:v>60</c:v>
                </c:pt>
                <c:pt idx="151">
                  <c:v>73</c:v>
                </c:pt>
                <c:pt idx="152">
                  <c:v>57</c:v>
                </c:pt>
                <c:pt idx="153">
                  <c:v>68</c:v>
                </c:pt>
                <c:pt idx="154">
                  <c:v>63</c:v>
                </c:pt>
                <c:pt idx="155">
                  <c:v>60</c:v>
                </c:pt>
                <c:pt idx="156">
                  <c:v>67</c:v>
                </c:pt>
                <c:pt idx="157">
                  <c:v>65</c:v>
                </c:pt>
                <c:pt idx="158">
                  <c:v>67</c:v>
                </c:pt>
                <c:pt idx="159">
                  <c:v>55</c:v>
                </c:pt>
                <c:pt idx="160">
                  <c:v>60</c:v>
                </c:pt>
                <c:pt idx="161">
                  <c:v>72</c:v>
                </c:pt>
                <c:pt idx="162">
                  <c:v>61</c:v>
                </c:pt>
                <c:pt idx="163">
                  <c:v>63</c:v>
                </c:pt>
                <c:pt idx="164">
                  <c:v>61</c:v>
                </c:pt>
                <c:pt idx="165">
                  <c:v>59</c:v>
                </c:pt>
                <c:pt idx="166">
                  <c:v>70</c:v>
                </c:pt>
                <c:pt idx="167">
                  <c:v>61</c:v>
                </c:pt>
                <c:pt idx="168">
                  <c:v>55</c:v>
                </c:pt>
                <c:pt idx="169">
                  <c:v>64</c:v>
                </c:pt>
                <c:pt idx="170">
                  <c:v>73</c:v>
                </c:pt>
                <c:pt idx="171">
                  <c:v>56</c:v>
                </c:pt>
                <c:pt idx="172">
                  <c:v>51</c:v>
                </c:pt>
                <c:pt idx="173">
                  <c:v>61</c:v>
                </c:pt>
                <c:pt idx="174">
                  <c:v>67</c:v>
                </c:pt>
                <c:pt idx="175">
                  <c:v>63</c:v>
                </c:pt>
                <c:pt idx="176">
                  <c:v>71</c:v>
                </c:pt>
                <c:pt idx="177">
                  <c:v>52</c:v>
                </c:pt>
                <c:pt idx="178">
                  <c:v>55</c:v>
                </c:pt>
                <c:pt idx="179">
                  <c:v>70</c:v>
                </c:pt>
                <c:pt idx="180">
                  <c:v>63</c:v>
                </c:pt>
                <c:pt idx="181">
                  <c:v>62</c:v>
                </c:pt>
                <c:pt idx="182">
                  <c:v>73</c:v>
                </c:pt>
                <c:pt idx="183">
                  <c:v>65</c:v>
                </c:pt>
                <c:pt idx="184">
                  <c:v>63</c:v>
                </c:pt>
                <c:pt idx="185">
                  <c:v>63</c:v>
                </c:pt>
                <c:pt idx="186">
                  <c:v>67</c:v>
                </c:pt>
                <c:pt idx="187">
                  <c:v>66</c:v>
                </c:pt>
                <c:pt idx="188">
                  <c:v>64</c:v>
                </c:pt>
                <c:pt idx="189">
                  <c:v>67</c:v>
                </c:pt>
                <c:pt idx="190">
                  <c:v>72</c:v>
                </c:pt>
                <c:pt idx="191">
                  <c:v>64</c:v>
                </c:pt>
                <c:pt idx="192">
                  <c:v>70</c:v>
                </c:pt>
                <c:pt idx="193">
                  <c:v>66</c:v>
                </c:pt>
                <c:pt idx="194">
                  <c:v>65</c:v>
                </c:pt>
                <c:pt idx="195">
                  <c:v>62</c:v>
                </c:pt>
                <c:pt idx="196">
                  <c:v>61</c:v>
                </c:pt>
                <c:pt idx="197">
                  <c:v>76</c:v>
                </c:pt>
                <c:pt idx="198">
                  <c:v>76</c:v>
                </c:pt>
                <c:pt idx="19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1C-2842-B548-67FDBD354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142352"/>
        <c:axId val="231377248"/>
      </c:scatterChart>
      <c:valAx>
        <c:axId val="231142352"/>
        <c:scaling>
          <c:orientation val="minMax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377248"/>
        <c:crosses val="autoZero"/>
        <c:crossBetween val="midCat"/>
      </c:valAx>
      <c:valAx>
        <c:axId val="23137724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14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Уравнение регрессии и условные прямые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'10'!$R$34:$R$43</c:f>
              <c:numCache>
                <c:formatCode>General</c:formatCode>
                <c:ptCount val="10"/>
                <c:pt idx="0">
                  <c:v>157.5</c:v>
                </c:pt>
                <c:pt idx="1">
                  <c:v>161</c:v>
                </c:pt>
                <c:pt idx="2">
                  <c:v>164.5</c:v>
                </c:pt>
                <c:pt idx="3">
                  <c:v>168</c:v>
                </c:pt>
                <c:pt idx="4">
                  <c:v>171.5</c:v>
                </c:pt>
                <c:pt idx="5">
                  <c:v>175</c:v>
                </c:pt>
                <c:pt idx="6">
                  <c:v>178.5</c:v>
                </c:pt>
                <c:pt idx="7">
                  <c:v>182</c:v>
                </c:pt>
                <c:pt idx="8">
                  <c:v>185.5</c:v>
                </c:pt>
                <c:pt idx="9">
                  <c:v>188.5</c:v>
                </c:pt>
              </c:numCache>
            </c:numRef>
          </c:xVal>
          <c:yVal>
            <c:numRef>
              <c:f>'10'!$Y$19:$Y$28</c:f>
              <c:numCache>
                <c:formatCode>General</c:formatCode>
                <c:ptCount val="10"/>
                <c:pt idx="0">
                  <c:v>56.875</c:v>
                </c:pt>
                <c:pt idx="1">
                  <c:v>59.924242424242422</c:v>
                </c:pt>
                <c:pt idx="2">
                  <c:v>62</c:v>
                </c:pt>
                <c:pt idx="3">
                  <c:v>63.166666666666664</c:v>
                </c:pt>
                <c:pt idx="4">
                  <c:v>67.097560975609753</c:v>
                </c:pt>
                <c:pt idx="5">
                  <c:v>70.145833333333329</c:v>
                </c:pt>
                <c:pt idx="6">
                  <c:v>70.4375</c:v>
                </c:pt>
                <c:pt idx="7">
                  <c:v>74.944444444444443</c:v>
                </c:pt>
                <c:pt idx="8">
                  <c:v>73.5</c:v>
                </c:pt>
                <c:pt idx="9">
                  <c:v>80.166666666666671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C7-8045-8024-AC80EF18F5F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'10'!$Q$60:$Q$61</c:f>
              <c:numCache>
                <c:formatCode>General</c:formatCode>
                <c:ptCount val="2"/>
                <c:pt idx="0">
                  <c:v>156</c:v>
                </c:pt>
                <c:pt idx="1">
                  <c:v>190</c:v>
                </c:pt>
              </c:numCache>
            </c:numRef>
          </c:xVal>
          <c:yVal>
            <c:numRef>
              <c:f>'10'!$R$60:$R$61</c:f>
              <c:numCache>
                <c:formatCode>General</c:formatCode>
                <c:ptCount val="2"/>
                <c:pt idx="0">
                  <c:v>56.639221540734312</c:v>
                </c:pt>
                <c:pt idx="1">
                  <c:v>78.653153795247448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C7-8045-8024-AC80EF18F5F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'10'!$Q$60:$Q$61</c:f>
              <c:numCache>
                <c:formatCode>General</c:formatCode>
                <c:ptCount val="2"/>
                <c:pt idx="0">
                  <c:v>156</c:v>
                </c:pt>
                <c:pt idx="1">
                  <c:v>190</c:v>
                </c:pt>
              </c:numCache>
            </c:numRef>
          </c:xVal>
          <c:yVal>
            <c:numRef>
              <c:f>'10'!$S$60:$S$61</c:f>
              <c:numCache>
                <c:formatCode>General</c:formatCode>
                <c:ptCount val="2"/>
                <c:pt idx="0">
                  <c:v>55.469638107760545</c:v>
                </c:pt>
                <c:pt idx="1">
                  <c:v>80.189313570212306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C7-8045-8024-AC80EF18F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478287"/>
        <c:axId val="1041547231"/>
      </c:scatterChart>
      <c:valAx>
        <c:axId val="1032478287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547231"/>
        <c:crosses val="autoZero"/>
        <c:crossBetween val="midCat"/>
      </c:valAx>
      <c:valAx>
        <c:axId val="1041547231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247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0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chart" Target="../charts/chart5.xml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20</xdr:row>
      <xdr:rowOff>12700</xdr:rowOff>
    </xdr:from>
    <xdr:to>
      <xdr:col>0</xdr:col>
      <xdr:colOff>7581900</xdr:colOff>
      <xdr:row>44</xdr:row>
      <xdr:rowOff>137668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1CF2425-18F9-A74C-BA3B-BB19750F0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8515350</xdr:colOff>
      <xdr:row>20</xdr:row>
      <xdr:rowOff>6350</xdr:rowOff>
    </xdr:from>
    <xdr:to>
      <xdr:col>5</xdr:col>
      <xdr:colOff>4030725</xdr:colOff>
      <xdr:row>44</xdr:row>
      <xdr:rowOff>131318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D921079-8BA9-5F4B-AEB9-5E716E604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6350</xdr:colOff>
      <xdr:row>20</xdr:row>
      <xdr:rowOff>19050</xdr:rowOff>
    </xdr:from>
    <xdr:to>
      <xdr:col>10</xdr:col>
      <xdr:colOff>157225</xdr:colOff>
      <xdr:row>44</xdr:row>
      <xdr:rowOff>144018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374762D-B1DF-2741-B7E0-C8C9A2D1A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</xdr:col>
      <xdr:colOff>361950</xdr:colOff>
      <xdr:row>25</xdr:row>
      <xdr:rowOff>31750</xdr:rowOff>
    </xdr:from>
    <xdr:ext cx="65" cy="17209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2D6DD65-3217-424A-938B-A7DAAF7FA8D9}"/>
            </a:ext>
          </a:extLst>
        </xdr:cNvPr>
        <xdr:cNvSpPr txBox="1"/>
      </xdr:nvSpPr>
      <xdr:spPr>
        <a:xfrm>
          <a:off x="10775950" y="5111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6235700</xdr:colOff>
      <xdr:row>1</xdr:row>
      <xdr:rowOff>12700</xdr:rowOff>
    </xdr:from>
    <xdr:to>
      <xdr:col>5</xdr:col>
      <xdr:colOff>6807200</xdr:colOff>
      <xdr:row>2</xdr:row>
      <xdr:rowOff>12700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7570A12-3CB1-E34E-ADAD-47172D8F3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9900" y="215900"/>
          <a:ext cx="5715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4546600</xdr:colOff>
      <xdr:row>1</xdr:row>
      <xdr:rowOff>50800</xdr:rowOff>
    </xdr:from>
    <xdr:ext cx="403603" cy="1720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4705716-9B5C-744B-8601-7B92D711A541}"/>
            </a:ext>
          </a:extLst>
        </xdr:cNvPr>
        <xdr:cNvSpPr txBox="1"/>
      </xdr:nvSpPr>
      <xdr:spPr>
        <a:xfrm>
          <a:off x="9055100" y="50800"/>
          <a:ext cx="403603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241300</xdr:colOff>
      <xdr:row>2</xdr:row>
      <xdr:rowOff>38100</xdr:rowOff>
    </xdr:from>
    <xdr:ext cx="304800" cy="1829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5D0AC1E-AEF5-8B45-9962-ABDF5AF4C7F6}"/>
                </a:ext>
              </a:extLst>
            </xdr:cNvPr>
            <xdr:cNvSpPr txBox="1"/>
          </xdr:nvSpPr>
          <xdr:spPr>
            <a:xfrm>
              <a:off x="15138400" y="444500"/>
              <a:ext cx="304800" cy="182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5D0AC1E-AEF5-8B45-9962-ABDF5AF4C7F6}"/>
                </a:ext>
              </a:extLst>
            </xdr:cNvPr>
            <xdr:cNvSpPr txBox="1"/>
          </xdr:nvSpPr>
          <xdr:spPr>
            <a:xfrm>
              <a:off x="15138400" y="444500"/>
              <a:ext cx="304800" cy="182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5</xdr:col>
      <xdr:colOff>1574800</xdr:colOff>
      <xdr:row>4</xdr:row>
      <xdr:rowOff>165100</xdr:rowOff>
    </xdr:from>
    <xdr:to>
      <xdr:col>5</xdr:col>
      <xdr:colOff>5156200</xdr:colOff>
      <xdr:row>8</xdr:row>
      <xdr:rowOff>190500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5464806-38D7-1942-95FF-11E850764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9000" y="977900"/>
          <a:ext cx="3581400" cy="838200"/>
        </a:xfrm>
        <a:prstGeom prst="rect">
          <a:avLst/>
        </a:prstGeom>
      </xdr:spPr>
    </xdr:pic>
    <xdr:clientData/>
  </xdr:twoCellAnchor>
  <xdr:oneCellAnchor>
    <xdr:from>
      <xdr:col>6</xdr:col>
      <xdr:colOff>342900</xdr:colOff>
      <xdr:row>11</xdr:row>
      <xdr:rowOff>6350</xdr:rowOff>
    </xdr:from>
    <xdr:ext cx="155106" cy="1829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E6C6A4F-9E73-8640-B08D-7831D53809B0}"/>
                </a:ext>
              </a:extLst>
            </xdr:cNvPr>
            <xdr:cNvSpPr txBox="1"/>
          </xdr:nvSpPr>
          <xdr:spPr>
            <a:xfrm>
              <a:off x="15240000" y="2241550"/>
              <a:ext cx="155106" cy="182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E6C6A4F-9E73-8640-B08D-7831D53809B0}"/>
                </a:ext>
              </a:extLst>
            </xdr:cNvPr>
            <xdr:cNvSpPr txBox="1"/>
          </xdr:nvSpPr>
          <xdr:spPr>
            <a:xfrm>
              <a:off x="15240000" y="2241550"/>
              <a:ext cx="155106" cy="182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5</xdr:col>
      <xdr:colOff>6248400</xdr:colOff>
      <xdr:row>10</xdr:row>
      <xdr:rowOff>0</xdr:rowOff>
    </xdr:from>
    <xdr:to>
      <xdr:col>5</xdr:col>
      <xdr:colOff>6515100</xdr:colOff>
      <xdr:row>11</xdr:row>
      <xdr:rowOff>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473C515-9AC7-A846-97AC-040162257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52600" y="2032000"/>
          <a:ext cx="2667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4546600</xdr:colOff>
      <xdr:row>10</xdr:row>
      <xdr:rowOff>50800</xdr:rowOff>
    </xdr:from>
    <xdr:ext cx="403603" cy="17209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ADFD98A-A9F0-3242-AF5F-50A1DB4D34A1}"/>
            </a:ext>
          </a:extLst>
        </xdr:cNvPr>
        <xdr:cNvSpPr txBox="1"/>
      </xdr:nvSpPr>
      <xdr:spPr>
        <a:xfrm>
          <a:off x="12750800" y="254000"/>
          <a:ext cx="403603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5</xdr:col>
      <xdr:colOff>1117600</xdr:colOff>
      <xdr:row>13</xdr:row>
      <xdr:rowOff>165100</xdr:rowOff>
    </xdr:from>
    <xdr:to>
      <xdr:col>5</xdr:col>
      <xdr:colOff>5854700</xdr:colOff>
      <xdr:row>18</xdr:row>
      <xdr:rowOff>139700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36E3007-FBB0-A64A-BB61-D7ACFD69C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21800" y="2806700"/>
          <a:ext cx="4737100" cy="990600"/>
        </a:xfrm>
        <a:prstGeom prst="rect">
          <a:avLst/>
        </a:prstGeom>
      </xdr:spPr>
    </xdr:pic>
    <xdr:clientData/>
  </xdr:twoCellAnchor>
  <xdr:twoCellAnchor>
    <xdr:from>
      <xdr:col>5</xdr:col>
      <xdr:colOff>6261100</xdr:colOff>
      <xdr:row>19</xdr:row>
      <xdr:rowOff>12700</xdr:rowOff>
    </xdr:from>
    <xdr:to>
      <xdr:col>5</xdr:col>
      <xdr:colOff>6350000</xdr:colOff>
      <xdr:row>20</xdr:row>
      <xdr:rowOff>12700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AB9ED771-C548-B948-AF42-D21577FA8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5300" y="3873500"/>
          <a:ext cx="8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3911600</xdr:colOff>
      <xdr:row>19</xdr:row>
      <xdr:rowOff>25400</xdr:rowOff>
    </xdr:from>
    <xdr:to>
      <xdr:col>5</xdr:col>
      <xdr:colOff>4178300</xdr:colOff>
      <xdr:row>20</xdr:row>
      <xdr:rowOff>25400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83A326F-421D-3346-A5D1-D6E49D407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3886200"/>
          <a:ext cx="2667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4546600</xdr:colOff>
      <xdr:row>19</xdr:row>
      <xdr:rowOff>50800</xdr:rowOff>
    </xdr:from>
    <xdr:ext cx="403603" cy="172098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E297E70-03EF-BD4B-A7BB-5589CD9AB120}"/>
            </a:ext>
          </a:extLst>
        </xdr:cNvPr>
        <xdr:cNvSpPr txBox="1"/>
      </xdr:nvSpPr>
      <xdr:spPr>
        <a:xfrm>
          <a:off x="12750800" y="254000"/>
          <a:ext cx="403603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5</xdr:col>
      <xdr:colOff>1689100</xdr:colOff>
      <xdr:row>25</xdr:row>
      <xdr:rowOff>12700</xdr:rowOff>
    </xdr:from>
    <xdr:to>
      <xdr:col>5</xdr:col>
      <xdr:colOff>5676900</xdr:colOff>
      <xdr:row>29</xdr:row>
      <xdr:rowOff>165100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B298158A-AA6C-2648-AE4D-E645B7CE4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93300" y="5092700"/>
          <a:ext cx="3987800" cy="965200"/>
        </a:xfrm>
        <a:prstGeom prst="rect">
          <a:avLst/>
        </a:prstGeom>
      </xdr:spPr>
    </xdr:pic>
    <xdr:clientData/>
  </xdr:twoCellAnchor>
  <xdr:oneCellAnchor>
    <xdr:from>
      <xdr:col>6</xdr:col>
      <xdr:colOff>298450</xdr:colOff>
      <xdr:row>20</xdr:row>
      <xdr:rowOff>31750</xdr:rowOff>
    </xdr:from>
    <xdr:ext cx="227434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60FFA909-0C3A-4A42-A33C-01FEB0F6FC26}"/>
                </a:ext>
              </a:extLst>
            </xdr:cNvPr>
            <xdr:cNvSpPr txBox="1"/>
          </xdr:nvSpPr>
          <xdr:spPr>
            <a:xfrm>
              <a:off x="15627350" y="4095750"/>
              <a:ext cx="227434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h𝑖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60FFA909-0C3A-4A42-A33C-01FEB0F6FC26}"/>
                </a:ext>
              </a:extLst>
            </xdr:cNvPr>
            <xdr:cNvSpPr txBox="1"/>
          </xdr:nvSpPr>
          <xdr:spPr>
            <a:xfrm>
              <a:off x="15627350" y="4095750"/>
              <a:ext cx="227434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ℎ𝑖</a:t>
              </a:r>
              <a:r>
                <a:rPr lang="ru-RU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311150</xdr:colOff>
      <xdr:row>23</xdr:row>
      <xdr:rowOff>44450</xdr:rowOff>
    </xdr:from>
    <xdr:ext cx="227434" cy="1779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ED87789-9899-4F4F-8BDC-ADCAA5827AA4}"/>
                </a:ext>
              </a:extLst>
            </xdr:cNvPr>
            <xdr:cNvSpPr txBox="1"/>
          </xdr:nvSpPr>
          <xdr:spPr>
            <a:xfrm>
              <a:off x="15640050" y="4718050"/>
              <a:ext cx="227434" cy="1779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h𝑖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ED87789-9899-4F4F-8BDC-ADCAA5827AA4}"/>
                </a:ext>
              </a:extLst>
            </xdr:cNvPr>
            <xdr:cNvSpPr txBox="1"/>
          </xdr:nvSpPr>
          <xdr:spPr>
            <a:xfrm>
              <a:off x="15640050" y="4718050"/>
              <a:ext cx="227434" cy="1779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ℎ𝑖</a:t>
              </a:r>
              <a:r>
                <a:rPr lang="ru-RU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5</xdr:col>
      <xdr:colOff>3683000</xdr:colOff>
      <xdr:row>31</xdr:row>
      <xdr:rowOff>12700</xdr:rowOff>
    </xdr:from>
    <xdr:to>
      <xdr:col>5</xdr:col>
      <xdr:colOff>3848100</xdr:colOff>
      <xdr:row>32</xdr:row>
      <xdr:rowOff>12700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FCA18AB-5232-F746-9026-78FB8DAD4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7200" y="6311900"/>
          <a:ext cx="165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5981700</xdr:colOff>
      <xdr:row>31</xdr:row>
      <xdr:rowOff>12700</xdr:rowOff>
    </xdr:from>
    <xdr:to>
      <xdr:col>5</xdr:col>
      <xdr:colOff>6527800</xdr:colOff>
      <xdr:row>32</xdr:row>
      <xdr:rowOff>12700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F94C1DD4-8898-034C-AEA1-3AB0FF434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6311900"/>
          <a:ext cx="546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5302250</xdr:colOff>
      <xdr:row>32</xdr:row>
      <xdr:rowOff>19050</xdr:rowOff>
    </xdr:from>
    <xdr:ext cx="237822" cy="175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B87CA4B-6F48-914D-93F6-6F2C75BD6A02}"/>
                </a:ext>
              </a:extLst>
            </xdr:cNvPr>
            <xdr:cNvSpPr txBox="1"/>
          </xdr:nvSpPr>
          <xdr:spPr>
            <a:xfrm>
              <a:off x="13506450" y="6521450"/>
              <a:ext cx="237822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B87CA4B-6F48-914D-93F6-6F2C75BD6A02}"/>
                </a:ext>
              </a:extLst>
            </xdr:cNvPr>
            <xdr:cNvSpPr txBox="1"/>
          </xdr:nvSpPr>
          <xdr:spPr>
            <a:xfrm>
              <a:off x="13506450" y="6521450"/>
              <a:ext cx="237822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𝜎^(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∗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5</xdr:col>
      <xdr:colOff>2235200</xdr:colOff>
      <xdr:row>34</xdr:row>
      <xdr:rowOff>101600</xdr:rowOff>
    </xdr:from>
    <xdr:to>
      <xdr:col>5</xdr:col>
      <xdr:colOff>4876800</xdr:colOff>
      <xdr:row>39</xdr:row>
      <xdr:rowOff>50800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D65E59D-C130-B741-9D16-C3BD7F767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74400" y="7010400"/>
          <a:ext cx="2641600" cy="965200"/>
        </a:xfrm>
        <a:prstGeom prst="rect">
          <a:avLst/>
        </a:prstGeom>
      </xdr:spPr>
    </xdr:pic>
    <xdr:clientData/>
  </xdr:twoCellAnchor>
  <xdr:oneCellAnchor>
    <xdr:from>
      <xdr:col>3</xdr:col>
      <xdr:colOff>1098550</xdr:colOff>
      <xdr:row>0</xdr:row>
      <xdr:rowOff>19050</xdr:rowOff>
    </xdr:from>
    <xdr:ext cx="237822" cy="175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CA1FF83-9457-7548-BB1E-4406DFA5CEAD}"/>
                </a:ext>
              </a:extLst>
            </xdr:cNvPr>
            <xdr:cNvSpPr txBox="1"/>
          </xdr:nvSpPr>
          <xdr:spPr>
            <a:xfrm>
              <a:off x="7245350" y="19050"/>
              <a:ext cx="237822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CA1FF83-9457-7548-BB1E-4406DFA5CEAD}"/>
                </a:ext>
              </a:extLst>
            </xdr:cNvPr>
            <xdr:cNvSpPr txBox="1"/>
          </xdr:nvSpPr>
          <xdr:spPr>
            <a:xfrm>
              <a:off x="7245350" y="19050"/>
              <a:ext cx="237822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𝜎^(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∗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336550</xdr:colOff>
      <xdr:row>32</xdr:row>
      <xdr:rowOff>19050</xdr:rowOff>
    </xdr:from>
    <xdr:ext cx="237822" cy="175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DA4ED43-A2B1-EC4A-ACAD-9A760CCE6F08}"/>
                </a:ext>
              </a:extLst>
            </xdr:cNvPr>
            <xdr:cNvSpPr txBox="1"/>
          </xdr:nvSpPr>
          <xdr:spPr>
            <a:xfrm>
              <a:off x="16300450" y="6521450"/>
              <a:ext cx="237822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DA4ED43-A2B1-EC4A-ACAD-9A760CCE6F08}"/>
                </a:ext>
              </a:extLst>
            </xdr:cNvPr>
            <xdr:cNvSpPr txBox="1"/>
          </xdr:nvSpPr>
          <xdr:spPr>
            <a:xfrm>
              <a:off x="16300450" y="6521450"/>
              <a:ext cx="237822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𝜎^(</a:t>
              </a:r>
              <a:r>
                <a:rPr lang="en-US" sz="1100" b="0" i="0">
                  <a:latin typeface="Cambria Math" panose="02040503050406030204" pitchFamily="18" charset="0"/>
                </a:rPr>
                <a:t>2∗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222250</xdr:colOff>
      <xdr:row>36</xdr:row>
      <xdr:rowOff>44450</xdr:rowOff>
    </xdr:from>
    <xdr:ext cx="1197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6ACC4AB-17B7-1A46-AB65-F035DB013328}"/>
                </a:ext>
              </a:extLst>
            </xdr:cNvPr>
            <xdr:cNvSpPr txBox="1"/>
          </xdr:nvSpPr>
          <xdr:spPr>
            <a:xfrm>
              <a:off x="10204450" y="7410450"/>
              <a:ext cx="1197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6ACC4AB-17B7-1A46-AB65-F035DB013328}"/>
                </a:ext>
              </a:extLst>
            </xdr:cNvPr>
            <xdr:cNvSpPr txBox="1"/>
          </xdr:nvSpPr>
          <xdr:spPr>
            <a:xfrm>
              <a:off x="10204450" y="7410450"/>
              <a:ext cx="1197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514350</xdr:colOff>
      <xdr:row>36</xdr:row>
      <xdr:rowOff>44450</xdr:rowOff>
    </xdr:from>
    <xdr:ext cx="112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BC22712-3050-FB47-939F-BE3881DB668F}"/>
                </a:ext>
              </a:extLst>
            </xdr:cNvPr>
            <xdr:cNvSpPr txBox="1"/>
          </xdr:nvSpPr>
          <xdr:spPr>
            <a:xfrm>
              <a:off x="10496550" y="7410450"/>
              <a:ext cx="112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BC22712-3050-FB47-939F-BE3881DB668F}"/>
                </a:ext>
              </a:extLst>
            </xdr:cNvPr>
            <xdr:cNvSpPr txBox="1"/>
          </xdr:nvSpPr>
          <xdr:spPr>
            <a:xfrm>
              <a:off x="10496550" y="7410450"/>
              <a:ext cx="112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717550</xdr:colOff>
      <xdr:row>36</xdr:row>
      <xdr:rowOff>44450</xdr:rowOff>
    </xdr:from>
    <xdr:ext cx="1178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018069E-0EB4-C746-817F-7E34CE63E016}"/>
                </a:ext>
              </a:extLst>
            </xdr:cNvPr>
            <xdr:cNvSpPr txBox="1"/>
          </xdr:nvSpPr>
          <xdr:spPr>
            <a:xfrm>
              <a:off x="10699750" y="7410450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018069E-0EB4-C746-817F-7E34CE63E016}"/>
                </a:ext>
              </a:extLst>
            </xdr:cNvPr>
            <xdr:cNvSpPr txBox="1"/>
          </xdr:nvSpPr>
          <xdr:spPr>
            <a:xfrm>
              <a:off x="10699750" y="7410450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234950</xdr:colOff>
      <xdr:row>37</xdr:row>
      <xdr:rowOff>44450</xdr:rowOff>
    </xdr:from>
    <xdr:ext cx="1221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2AA835C-36AD-E84F-9AB7-45687C8710D7}"/>
                </a:ext>
              </a:extLst>
            </xdr:cNvPr>
            <xdr:cNvSpPr txBox="1"/>
          </xdr:nvSpPr>
          <xdr:spPr>
            <a:xfrm>
              <a:off x="10217150" y="7639050"/>
              <a:ext cx="1221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∉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2AA835C-36AD-E84F-9AB7-45687C8710D7}"/>
                </a:ext>
              </a:extLst>
            </xdr:cNvPr>
            <xdr:cNvSpPr txBox="1"/>
          </xdr:nvSpPr>
          <xdr:spPr>
            <a:xfrm>
              <a:off x="10217150" y="7639050"/>
              <a:ext cx="1221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∉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527050</xdr:colOff>
      <xdr:row>37</xdr:row>
      <xdr:rowOff>31750</xdr:rowOff>
    </xdr:from>
    <xdr:ext cx="112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98BFF34-0687-D041-A7DB-DC9433D68BEA}"/>
                </a:ext>
              </a:extLst>
            </xdr:cNvPr>
            <xdr:cNvSpPr txBox="1"/>
          </xdr:nvSpPr>
          <xdr:spPr>
            <a:xfrm>
              <a:off x="10509250" y="7626350"/>
              <a:ext cx="112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98BFF34-0687-D041-A7DB-DC9433D68BEA}"/>
                </a:ext>
              </a:extLst>
            </xdr:cNvPr>
            <xdr:cNvSpPr txBox="1"/>
          </xdr:nvSpPr>
          <xdr:spPr>
            <a:xfrm>
              <a:off x="10509250" y="7626350"/>
              <a:ext cx="112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730250</xdr:colOff>
      <xdr:row>37</xdr:row>
      <xdr:rowOff>44450</xdr:rowOff>
    </xdr:from>
    <xdr:ext cx="1178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ED76341-0238-334D-86C3-D56C5E682575}"/>
                </a:ext>
              </a:extLst>
            </xdr:cNvPr>
            <xdr:cNvSpPr txBox="1"/>
          </xdr:nvSpPr>
          <xdr:spPr>
            <a:xfrm>
              <a:off x="10712450" y="7639050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ED76341-0238-334D-86C3-D56C5E682575}"/>
                </a:ext>
              </a:extLst>
            </xdr:cNvPr>
            <xdr:cNvSpPr txBox="1"/>
          </xdr:nvSpPr>
          <xdr:spPr>
            <a:xfrm>
              <a:off x="10712450" y="7639050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107950</xdr:colOff>
      <xdr:row>48</xdr:row>
      <xdr:rowOff>44450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3BBC961-81B5-FB48-970E-BCC8FF8094D8}"/>
                </a:ext>
              </a:extLst>
            </xdr:cNvPr>
            <xdr:cNvSpPr txBox="1"/>
          </xdr:nvSpPr>
          <xdr:spPr>
            <a:xfrm>
              <a:off x="15144750" y="992505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3BBC961-81B5-FB48-970E-BCC8FF8094D8}"/>
                </a:ext>
              </a:extLst>
            </xdr:cNvPr>
            <xdr:cNvSpPr txBox="1"/>
          </xdr:nvSpPr>
          <xdr:spPr>
            <a:xfrm>
              <a:off x="15144750" y="992505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3</xdr:row>
      <xdr:rowOff>19050</xdr:rowOff>
    </xdr:from>
    <xdr:to>
      <xdr:col>12</xdr:col>
      <xdr:colOff>800100</xdr:colOff>
      <xdr:row>24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43A3639-6ADA-8E45-97C8-C6296F869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8</xdr:col>
      <xdr:colOff>16933</xdr:colOff>
      <xdr:row>1</xdr:row>
      <xdr:rowOff>262467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C66B3C58-22DB-A648-B74C-961CC4536D00}"/>
            </a:ext>
          </a:extLst>
        </xdr:cNvPr>
        <xdr:cNvCxnSpPr/>
      </xdr:nvCxnSpPr>
      <xdr:spPr>
        <a:xfrm>
          <a:off x="10303933" y="220133"/>
          <a:ext cx="846667" cy="26246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279400</xdr:colOff>
      <xdr:row>1</xdr:row>
      <xdr:rowOff>44450</xdr:rowOff>
    </xdr:from>
    <xdr:ext cx="113236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C3C45016-49D4-334B-BB6F-1B6E199A5A67}"/>
                </a:ext>
              </a:extLst>
            </xdr:cNvPr>
            <xdr:cNvSpPr txBox="1"/>
          </xdr:nvSpPr>
          <xdr:spPr>
            <a:xfrm>
              <a:off x="37807900" y="260350"/>
              <a:ext cx="113236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ba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C3C45016-49D4-334B-BB6F-1B6E199A5A67}"/>
                </a:ext>
              </a:extLst>
            </xdr:cNvPr>
            <xdr:cNvSpPr txBox="1"/>
          </xdr:nvSpPr>
          <xdr:spPr>
            <a:xfrm>
              <a:off x="37807900" y="260350"/>
              <a:ext cx="113236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¯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17</xdr:row>
      <xdr:rowOff>152400</xdr:rowOff>
    </xdr:from>
    <xdr:to>
      <xdr:col>1</xdr:col>
      <xdr:colOff>533400</xdr:colOff>
      <xdr:row>42</xdr:row>
      <xdr:rowOff>165100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FC71125-CB3E-324A-8230-B2B9E7707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5308600</xdr:colOff>
      <xdr:row>4</xdr:row>
      <xdr:rowOff>63500</xdr:rowOff>
    </xdr:from>
    <xdr:to>
      <xdr:col>0</xdr:col>
      <xdr:colOff>7112000</xdr:colOff>
      <xdr:row>7</xdr:row>
      <xdr:rowOff>63500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4707CEB-A839-184D-AD35-CF0063133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8600" y="876300"/>
          <a:ext cx="1803400" cy="609600"/>
        </a:xfrm>
        <a:prstGeom prst="rect">
          <a:avLst/>
        </a:prstGeom>
      </xdr:spPr>
    </xdr:pic>
    <xdr:clientData/>
  </xdr:twoCellAnchor>
  <xdr:oneCellAnchor>
    <xdr:from>
      <xdr:col>11</xdr:col>
      <xdr:colOff>285750</xdr:colOff>
      <xdr:row>31</xdr:row>
      <xdr:rowOff>25400</xdr:rowOff>
    </xdr:from>
    <xdr:ext cx="247650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C1D75E1-F740-CF48-8C39-0E98FDEED4C2}"/>
                </a:ext>
              </a:extLst>
            </xdr:cNvPr>
            <xdr:cNvSpPr txBox="1"/>
          </xdr:nvSpPr>
          <xdr:spPr>
            <a:xfrm>
              <a:off x="20643850" y="6578600"/>
              <a:ext cx="247650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C1D75E1-F740-CF48-8C39-0E98FDEED4C2}"/>
                </a:ext>
              </a:extLst>
            </xdr:cNvPr>
            <xdr:cNvSpPr txBox="1"/>
          </xdr:nvSpPr>
          <xdr:spPr>
            <a:xfrm>
              <a:off x="20643850" y="6578600"/>
              <a:ext cx="247650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𝑍</a:t>
              </a:r>
              <a:r>
                <a:rPr lang="ru-RU" sz="1100" b="0" i="0">
                  <a:latin typeface="Cambria Math" panose="02040503050406030204" pitchFamily="18" charset="0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336550</xdr:colOff>
      <xdr:row>31</xdr:row>
      <xdr:rowOff>19050</xdr:rowOff>
    </xdr:from>
    <xdr:ext cx="126317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E6A5D66-30CF-534F-BBDB-B3EB8AEF1106}"/>
                </a:ext>
              </a:extLst>
            </xdr:cNvPr>
            <xdr:cNvSpPr txBox="1"/>
          </xdr:nvSpPr>
          <xdr:spPr>
            <a:xfrm>
              <a:off x="21520150" y="6572250"/>
              <a:ext cx="126317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E6A5D66-30CF-534F-BBDB-B3EB8AEF1106}"/>
                </a:ext>
              </a:extLst>
            </xdr:cNvPr>
            <xdr:cNvSpPr txBox="1"/>
          </xdr:nvSpPr>
          <xdr:spPr>
            <a:xfrm>
              <a:off x="21520150" y="6572250"/>
              <a:ext cx="126317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14</xdr:col>
      <xdr:colOff>330201</xdr:colOff>
      <xdr:row>31</xdr:row>
      <xdr:rowOff>25400</xdr:rowOff>
    </xdr:from>
    <xdr:to>
      <xdr:col>14</xdr:col>
      <xdr:colOff>546101</xdr:colOff>
      <xdr:row>31</xdr:row>
      <xdr:rowOff>190500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52C3AF6-6A20-A145-B649-A8BCDFAD2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164801" y="6591300"/>
          <a:ext cx="215900" cy="165100"/>
        </a:xfrm>
        <a:prstGeom prst="rect">
          <a:avLst/>
        </a:prstGeom>
      </xdr:spPr>
    </xdr:pic>
    <xdr:clientData/>
  </xdr:twoCellAnchor>
  <xdr:twoCellAnchor editAs="oneCell">
    <xdr:from>
      <xdr:col>13</xdr:col>
      <xdr:colOff>312510</xdr:colOff>
      <xdr:row>31</xdr:row>
      <xdr:rowOff>12698</xdr:rowOff>
    </xdr:from>
    <xdr:to>
      <xdr:col>13</xdr:col>
      <xdr:colOff>509362</xdr:colOff>
      <xdr:row>31</xdr:row>
      <xdr:rowOff>190500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883AA61-001D-6941-822E-60175AF91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321610" y="6375398"/>
          <a:ext cx="196852" cy="177802"/>
        </a:xfrm>
        <a:prstGeom prst="rect">
          <a:avLst/>
        </a:prstGeom>
      </xdr:spPr>
    </xdr:pic>
    <xdr:clientData/>
  </xdr:twoCellAnchor>
  <xdr:oneCellAnchor>
    <xdr:from>
      <xdr:col>21</xdr:col>
      <xdr:colOff>679450</xdr:colOff>
      <xdr:row>30</xdr:row>
      <xdr:rowOff>44450</xdr:rowOff>
    </xdr:from>
    <xdr:ext cx="209866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2543FB0-6987-B242-BB47-D090A2B5DD0D}"/>
                </a:ext>
              </a:extLst>
            </xdr:cNvPr>
            <xdr:cNvSpPr txBox="1"/>
          </xdr:nvSpPr>
          <xdr:spPr>
            <a:xfrm>
              <a:off x="29546550" y="6178550"/>
              <a:ext cx="209866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𝑋𝑍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2543FB0-6987-B242-BB47-D090A2B5DD0D}"/>
                </a:ext>
              </a:extLst>
            </xdr:cNvPr>
            <xdr:cNvSpPr txBox="1"/>
          </xdr:nvSpPr>
          <xdr:spPr>
            <a:xfrm>
              <a:off x="29546550" y="6178550"/>
              <a:ext cx="209866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𝑋𝑍</a:t>
              </a:r>
              <a:r>
                <a:rPr lang="ru-RU" sz="1100" b="0" i="0">
                  <a:latin typeface="Cambria Math" panose="02040503050406030204" pitchFamily="18" charset="0"/>
                </a:rPr>
                <a:t>)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26</xdr:col>
      <xdr:colOff>311150</xdr:colOff>
      <xdr:row>43</xdr:row>
      <xdr:rowOff>19050</xdr:rowOff>
    </xdr:from>
    <xdr:ext cx="209866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4B950D1-1A52-B547-9650-4E9C927F3226}"/>
                </a:ext>
              </a:extLst>
            </xdr:cNvPr>
            <xdr:cNvSpPr txBox="1"/>
          </xdr:nvSpPr>
          <xdr:spPr>
            <a:xfrm>
              <a:off x="28352750" y="11893550"/>
              <a:ext cx="209866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𝑋𝑍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4B950D1-1A52-B547-9650-4E9C927F3226}"/>
                </a:ext>
              </a:extLst>
            </xdr:cNvPr>
            <xdr:cNvSpPr txBox="1"/>
          </xdr:nvSpPr>
          <xdr:spPr>
            <a:xfrm>
              <a:off x="28352750" y="11893550"/>
              <a:ext cx="209866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𝑋𝑍</a:t>
              </a:r>
              <a:r>
                <a:rPr lang="ru-RU" sz="1100" b="0" i="0">
                  <a:latin typeface="Cambria Math" panose="02040503050406030204" pitchFamily="18" charset="0"/>
                </a:rPr>
                <a:t>)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463550</xdr:colOff>
      <xdr:row>46</xdr:row>
      <xdr:rowOff>31750</xdr:rowOff>
    </xdr:from>
    <xdr:ext cx="209866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DD2CA73-2E10-4744-911B-28A5431F425C}"/>
                </a:ext>
              </a:extLst>
            </xdr:cNvPr>
            <xdr:cNvSpPr txBox="1"/>
          </xdr:nvSpPr>
          <xdr:spPr>
            <a:xfrm>
              <a:off x="19996150" y="9290050"/>
              <a:ext cx="209866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𝑋𝑍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DD2CA73-2E10-4744-911B-28A5431F425C}"/>
                </a:ext>
              </a:extLst>
            </xdr:cNvPr>
            <xdr:cNvSpPr txBox="1"/>
          </xdr:nvSpPr>
          <xdr:spPr>
            <a:xfrm>
              <a:off x="19996150" y="9290050"/>
              <a:ext cx="209866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𝑋𝑍</a:t>
              </a:r>
              <a:r>
                <a:rPr lang="ru-RU" sz="1100" b="0" i="0">
                  <a:latin typeface="Cambria Math" panose="02040503050406030204" pitchFamily="18" charset="0"/>
                </a:rPr>
                <a:t>)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539750</xdr:colOff>
      <xdr:row>47</xdr:row>
      <xdr:rowOff>31750</xdr:rowOff>
    </xdr:from>
    <xdr:ext cx="118879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5869166-C8F6-D347-8CC3-198AD86FE0D2}"/>
                </a:ext>
              </a:extLst>
            </xdr:cNvPr>
            <xdr:cNvSpPr txBox="1"/>
          </xdr:nvSpPr>
          <xdr:spPr>
            <a:xfrm>
              <a:off x="20072350" y="9518650"/>
              <a:ext cx="118879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5869166-C8F6-D347-8CC3-198AD86FE0D2}"/>
                </a:ext>
              </a:extLst>
            </xdr:cNvPr>
            <xdr:cNvSpPr txBox="1"/>
          </xdr:nvSpPr>
          <xdr:spPr>
            <a:xfrm>
              <a:off x="20072350" y="9518650"/>
              <a:ext cx="118879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𝑍</a:t>
              </a:r>
              <a:r>
                <a:rPr lang="ru-RU" sz="1100" b="0" i="0">
                  <a:latin typeface="Cambria Math" panose="02040503050406030204" pitchFamily="18" charset="0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527050</xdr:colOff>
      <xdr:row>48</xdr:row>
      <xdr:rowOff>31750</xdr:rowOff>
    </xdr:from>
    <xdr:ext cx="126317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6710B10-1F17-284A-BCF6-9BFE6EF7D31A}"/>
                </a:ext>
              </a:extLst>
            </xdr:cNvPr>
            <xdr:cNvSpPr txBox="1"/>
          </xdr:nvSpPr>
          <xdr:spPr>
            <a:xfrm>
              <a:off x="20059650" y="9747250"/>
              <a:ext cx="126317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6710B10-1F17-284A-BCF6-9BFE6EF7D31A}"/>
                </a:ext>
              </a:extLst>
            </xdr:cNvPr>
            <xdr:cNvSpPr txBox="1"/>
          </xdr:nvSpPr>
          <xdr:spPr>
            <a:xfrm>
              <a:off x="20059650" y="9747250"/>
              <a:ext cx="126317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464910</xdr:colOff>
      <xdr:row>49</xdr:row>
      <xdr:rowOff>25398</xdr:rowOff>
    </xdr:from>
    <xdr:ext cx="196852" cy="177802"/>
    <xdr:pic>
      <xdr:nvPicPr>
        <xdr:cNvPr id="16" name="Рисунок 15">
          <a:extLst>
            <a:ext uri="{FF2B5EF4-FFF2-40B4-BE49-F238E27FC236}">
              <a16:creationId xmlns:a16="http://schemas.microsoft.com/office/drawing/2014/main" id="{C463D4B2-DDBD-9948-B328-5F387CDE0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97510" y="9969498"/>
          <a:ext cx="196852" cy="177802"/>
        </a:xfrm>
        <a:prstGeom prst="rect">
          <a:avLst/>
        </a:prstGeom>
      </xdr:spPr>
    </xdr:pic>
    <xdr:clientData/>
  </xdr:oneCellAnchor>
  <xdr:oneCellAnchor>
    <xdr:from>
      <xdr:col>10</xdr:col>
      <xdr:colOff>444501</xdr:colOff>
      <xdr:row>50</xdr:row>
      <xdr:rowOff>50800</xdr:rowOff>
    </xdr:from>
    <xdr:ext cx="215900" cy="165100"/>
    <xdr:pic>
      <xdr:nvPicPr>
        <xdr:cNvPr id="18" name="Рисунок 17">
          <a:extLst>
            <a:ext uri="{FF2B5EF4-FFF2-40B4-BE49-F238E27FC236}">
              <a16:creationId xmlns:a16="http://schemas.microsoft.com/office/drawing/2014/main" id="{63B86EEF-6472-F649-9F92-F701F16A7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77101" y="10223500"/>
          <a:ext cx="215900" cy="165100"/>
        </a:xfrm>
        <a:prstGeom prst="rect">
          <a:avLst/>
        </a:prstGeom>
      </xdr:spPr>
    </xdr:pic>
    <xdr:clientData/>
  </xdr:oneCellAnchor>
  <xdr:oneCellAnchor>
    <xdr:from>
      <xdr:col>15</xdr:col>
      <xdr:colOff>527050</xdr:colOff>
      <xdr:row>55</xdr:row>
      <xdr:rowOff>44450</xdr:rowOff>
    </xdr:from>
    <xdr:ext cx="1129220" cy="1720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8CDA6C9-DCE7-7B45-8B31-614BFE433B9A}"/>
                </a:ext>
              </a:extLst>
            </xdr:cNvPr>
            <xdr:cNvSpPr txBox="1"/>
          </xdr:nvSpPr>
          <xdr:spPr>
            <a:xfrm>
              <a:off x="24441150" y="11537950"/>
              <a:ext cx="1129220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выб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. </m:t>
                        </m:r>
                      </m:sub>
                    </m:sSub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(0.5;0.7)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8CDA6C9-DCE7-7B45-8B31-614BFE433B9A}"/>
                </a:ext>
              </a:extLst>
            </xdr:cNvPr>
            <xdr:cNvSpPr txBox="1"/>
          </xdr:nvSpPr>
          <xdr:spPr>
            <a:xfrm>
              <a:off x="24441150" y="11537950"/>
              <a:ext cx="1129220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𝐵 </a:t>
              </a:r>
              <a:r>
                <a:rPr lang="ru-RU" sz="1100" b="0" i="0">
                  <a:latin typeface="Cambria Math" panose="02040503050406030204" pitchFamily="18" charset="0"/>
                </a:rPr>
                <a:t>выб. )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(0.5;0.7)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01B5-0C09-8045-8F35-FD01C89304DA}">
  <dimension ref="A1:I202"/>
  <sheetViews>
    <sheetView tabSelected="1" workbookViewId="0">
      <selection activeCell="D3" sqref="D3"/>
    </sheetView>
  </sheetViews>
  <sheetFormatPr baseColWidth="10" defaultRowHeight="16"/>
  <cols>
    <col min="1" max="1" width="89.33203125" bestFit="1" customWidth="1"/>
  </cols>
  <sheetData>
    <row r="1" spans="1:9">
      <c r="A1" s="9" t="s">
        <v>3</v>
      </c>
      <c r="C1" s="134" t="s">
        <v>4</v>
      </c>
      <c r="D1" s="135"/>
      <c r="E1" s="136"/>
      <c r="F1" s="3"/>
      <c r="G1" s="134" t="s">
        <v>5</v>
      </c>
      <c r="H1" s="135"/>
      <c r="I1" s="136"/>
    </row>
    <row r="2" spans="1:9">
      <c r="A2" s="7" t="s">
        <v>11</v>
      </c>
      <c r="C2" s="1" t="s">
        <v>0</v>
      </c>
      <c r="D2" s="1" t="s">
        <v>1</v>
      </c>
      <c r="E2" s="1" t="s">
        <v>2</v>
      </c>
      <c r="G2" s="1" t="s">
        <v>0</v>
      </c>
      <c r="H2" s="1" t="s">
        <v>1</v>
      </c>
      <c r="I2" s="1" t="s">
        <v>2</v>
      </c>
    </row>
    <row r="3" spans="1:9">
      <c r="A3" s="7" t="s">
        <v>12</v>
      </c>
      <c r="C3" s="2">
        <v>45</v>
      </c>
      <c r="D3" s="2">
        <v>156</v>
      </c>
      <c r="E3" s="2">
        <v>54</v>
      </c>
      <c r="G3" s="2">
        <v>16</v>
      </c>
      <c r="H3" s="2">
        <v>161</v>
      </c>
      <c r="I3" s="2">
        <v>51</v>
      </c>
    </row>
    <row r="4" spans="1:9">
      <c r="C4" s="2">
        <v>107</v>
      </c>
      <c r="D4" s="2">
        <v>156</v>
      </c>
      <c r="E4" s="2">
        <v>59</v>
      </c>
      <c r="G4" s="2">
        <v>139</v>
      </c>
      <c r="H4" s="2">
        <v>161</v>
      </c>
      <c r="I4" s="2">
        <v>51</v>
      </c>
    </row>
    <row r="5" spans="1:9">
      <c r="C5" s="2">
        <v>35</v>
      </c>
      <c r="D5" s="2">
        <v>157</v>
      </c>
      <c r="E5" s="2">
        <v>60</v>
      </c>
      <c r="G5" s="2">
        <v>173</v>
      </c>
      <c r="H5" s="2">
        <v>161</v>
      </c>
      <c r="I5" s="2">
        <v>51</v>
      </c>
    </row>
    <row r="6" spans="1:9">
      <c r="C6" s="2">
        <v>81</v>
      </c>
      <c r="D6" s="2">
        <v>157</v>
      </c>
      <c r="E6" s="2">
        <v>53</v>
      </c>
      <c r="G6" s="2">
        <v>26</v>
      </c>
      <c r="H6" s="2">
        <v>161</v>
      </c>
      <c r="I6" s="2">
        <v>52</v>
      </c>
    </row>
    <row r="7" spans="1:9">
      <c r="C7" s="2">
        <v>72</v>
      </c>
      <c r="D7" s="2">
        <v>159</v>
      </c>
      <c r="E7" s="2">
        <v>54</v>
      </c>
      <c r="G7" s="2">
        <v>178</v>
      </c>
      <c r="H7" s="2">
        <v>162</v>
      </c>
      <c r="I7" s="2">
        <v>52</v>
      </c>
    </row>
    <row r="8" spans="1:9">
      <c r="C8" s="2">
        <v>84</v>
      </c>
      <c r="D8" s="2">
        <v>159</v>
      </c>
      <c r="E8" s="2">
        <v>55</v>
      </c>
      <c r="G8" s="2">
        <v>37</v>
      </c>
      <c r="H8" s="2">
        <v>164</v>
      </c>
      <c r="I8" s="2">
        <v>53</v>
      </c>
    </row>
    <row r="9" spans="1:9">
      <c r="C9" s="2">
        <v>87</v>
      </c>
      <c r="D9" s="2">
        <v>159</v>
      </c>
      <c r="E9" s="2">
        <v>68</v>
      </c>
      <c r="G9" s="2">
        <v>81</v>
      </c>
      <c r="H9" s="2">
        <v>157</v>
      </c>
      <c r="I9" s="2">
        <v>53</v>
      </c>
    </row>
    <row r="10" spans="1:9">
      <c r="C10" s="2">
        <v>129</v>
      </c>
      <c r="D10" s="2">
        <v>159</v>
      </c>
      <c r="E10" s="2">
        <v>68</v>
      </c>
      <c r="G10" s="2">
        <v>99</v>
      </c>
      <c r="H10" s="2">
        <v>162</v>
      </c>
      <c r="I10" s="2">
        <v>53</v>
      </c>
    </row>
    <row r="11" spans="1:9">
      <c r="C11" s="2">
        <v>51</v>
      </c>
      <c r="D11" s="2">
        <v>160</v>
      </c>
      <c r="E11" s="2">
        <v>61</v>
      </c>
      <c r="G11" s="2">
        <v>45</v>
      </c>
      <c r="H11" s="2">
        <v>156</v>
      </c>
      <c r="I11" s="2">
        <v>54</v>
      </c>
    </row>
    <row r="12" spans="1:9">
      <c r="C12" s="2">
        <v>88</v>
      </c>
      <c r="D12" s="2">
        <v>160</v>
      </c>
      <c r="E12" s="2">
        <v>62</v>
      </c>
      <c r="G12" s="2">
        <v>72</v>
      </c>
      <c r="H12" s="2">
        <v>159</v>
      </c>
      <c r="I12" s="2">
        <v>54</v>
      </c>
    </row>
    <row r="13" spans="1:9">
      <c r="C13" s="2">
        <v>113</v>
      </c>
      <c r="D13" s="2">
        <v>160</v>
      </c>
      <c r="E13" s="2">
        <v>59</v>
      </c>
      <c r="G13" s="2">
        <v>11</v>
      </c>
      <c r="H13" s="2">
        <v>161</v>
      </c>
      <c r="I13" s="2">
        <v>55</v>
      </c>
    </row>
    <row r="14" spans="1:9">
      <c r="C14" s="2">
        <v>9</v>
      </c>
      <c r="D14" s="2">
        <v>161</v>
      </c>
      <c r="E14" s="2">
        <v>66</v>
      </c>
      <c r="G14" s="2">
        <v>62</v>
      </c>
      <c r="H14" s="2">
        <v>166</v>
      </c>
      <c r="I14" s="2">
        <v>55</v>
      </c>
    </row>
    <row r="15" spans="1:9">
      <c r="C15" s="2">
        <v>11</v>
      </c>
      <c r="D15" s="2">
        <v>161</v>
      </c>
      <c r="E15" s="2">
        <v>55</v>
      </c>
      <c r="G15" s="2">
        <v>82</v>
      </c>
      <c r="H15" s="2">
        <v>161</v>
      </c>
      <c r="I15" s="2">
        <v>55</v>
      </c>
    </row>
    <row r="16" spans="1:9">
      <c r="C16" s="2">
        <v>12</v>
      </c>
      <c r="D16" s="2">
        <v>161</v>
      </c>
      <c r="E16" s="2">
        <v>66</v>
      </c>
      <c r="G16" s="2">
        <v>84</v>
      </c>
      <c r="H16" s="2">
        <v>159</v>
      </c>
      <c r="I16" s="2">
        <v>55</v>
      </c>
    </row>
    <row r="17" spans="3:9">
      <c r="C17" s="2">
        <v>16</v>
      </c>
      <c r="D17" s="2">
        <v>161</v>
      </c>
      <c r="E17" s="2">
        <v>51</v>
      </c>
      <c r="G17" s="2">
        <v>106</v>
      </c>
      <c r="H17" s="2">
        <v>167</v>
      </c>
      <c r="I17" s="2">
        <v>55</v>
      </c>
    </row>
    <row r="18" spans="3:9">
      <c r="C18" s="2">
        <v>22</v>
      </c>
      <c r="D18" s="2">
        <v>161</v>
      </c>
      <c r="E18" s="2">
        <v>59</v>
      </c>
      <c r="G18" s="2">
        <v>124</v>
      </c>
      <c r="H18" s="2">
        <v>161</v>
      </c>
      <c r="I18" s="2">
        <v>55</v>
      </c>
    </row>
    <row r="19" spans="3:9">
      <c r="C19" s="2">
        <v>26</v>
      </c>
      <c r="D19" s="2">
        <v>161</v>
      </c>
      <c r="E19" s="2">
        <v>52</v>
      </c>
      <c r="G19" s="2">
        <v>160</v>
      </c>
      <c r="H19" s="2">
        <v>161</v>
      </c>
      <c r="I19" s="2">
        <v>55</v>
      </c>
    </row>
    <row r="20" spans="3:9">
      <c r="C20" s="2">
        <v>40</v>
      </c>
      <c r="D20" s="2">
        <v>161</v>
      </c>
      <c r="E20" s="2">
        <v>62</v>
      </c>
      <c r="G20" s="2">
        <v>169</v>
      </c>
      <c r="H20" s="2">
        <v>166</v>
      </c>
      <c r="I20" s="2">
        <v>55</v>
      </c>
    </row>
    <row r="21" spans="3:9">
      <c r="C21" s="2">
        <v>46</v>
      </c>
      <c r="D21" s="2">
        <v>161</v>
      </c>
      <c r="E21" s="2">
        <v>59</v>
      </c>
      <c r="G21" s="2">
        <v>179</v>
      </c>
      <c r="H21" s="2">
        <v>167</v>
      </c>
      <c r="I21" s="2">
        <v>55</v>
      </c>
    </row>
    <row r="22" spans="3:9">
      <c r="C22" s="2">
        <v>82</v>
      </c>
      <c r="D22" s="2">
        <v>161</v>
      </c>
      <c r="E22" s="2">
        <v>55</v>
      </c>
      <c r="G22" s="2">
        <v>15</v>
      </c>
      <c r="H22" s="2">
        <v>165</v>
      </c>
      <c r="I22" s="2">
        <v>56</v>
      </c>
    </row>
    <row r="23" spans="3:9">
      <c r="C23" s="2">
        <v>124</v>
      </c>
      <c r="D23" s="2">
        <v>161</v>
      </c>
      <c r="E23" s="2">
        <v>55</v>
      </c>
      <c r="G23" s="2">
        <v>91</v>
      </c>
      <c r="H23" s="2">
        <v>169</v>
      </c>
      <c r="I23" s="2">
        <v>56</v>
      </c>
    </row>
    <row r="24" spans="3:9">
      <c r="C24" s="2">
        <v>139</v>
      </c>
      <c r="D24" s="2">
        <v>161</v>
      </c>
      <c r="E24" s="2">
        <v>51</v>
      </c>
      <c r="G24" s="2">
        <v>143</v>
      </c>
      <c r="H24" s="2">
        <v>161</v>
      </c>
      <c r="I24" s="2">
        <v>56</v>
      </c>
    </row>
    <row r="25" spans="3:9">
      <c r="C25" s="2">
        <v>143</v>
      </c>
      <c r="D25" s="2">
        <v>161</v>
      </c>
      <c r="E25" s="2">
        <v>56</v>
      </c>
      <c r="G25" s="2">
        <v>172</v>
      </c>
      <c r="H25" s="2">
        <v>164</v>
      </c>
      <c r="I25" s="2">
        <v>56</v>
      </c>
    </row>
    <row r="26" spans="3:9">
      <c r="C26" s="2">
        <v>156</v>
      </c>
      <c r="D26" s="2">
        <v>161</v>
      </c>
      <c r="E26" s="2">
        <v>60</v>
      </c>
      <c r="G26" s="2">
        <v>3</v>
      </c>
      <c r="H26" s="2">
        <v>166</v>
      </c>
      <c r="I26" s="2">
        <v>57</v>
      </c>
    </row>
    <row r="27" spans="3:9">
      <c r="C27" s="2">
        <v>160</v>
      </c>
      <c r="D27" s="2">
        <v>161</v>
      </c>
      <c r="E27" s="2">
        <v>55</v>
      </c>
      <c r="G27" s="2">
        <v>59</v>
      </c>
      <c r="H27" s="2">
        <v>165</v>
      </c>
      <c r="I27" s="2">
        <v>57</v>
      </c>
    </row>
    <row r="28" spans="3:9">
      <c r="C28" s="2">
        <v>161</v>
      </c>
      <c r="D28" s="2">
        <v>161</v>
      </c>
      <c r="E28" s="2">
        <v>60</v>
      </c>
      <c r="G28" s="2">
        <v>97</v>
      </c>
      <c r="H28" s="2">
        <v>163</v>
      </c>
      <c r="I28" s="2">
        <v>57</v>
      </c>
    </row>
    <row r="29" spans="3:9">
      <c r="C29" s="2">
        <v>165</v>
      </c>
      <c r="D29" s="2">
        <v>161</v>
      </c>
      <c r="E29" s="2">
        <v>61</v>
      </c>
      <c r="G29" s="2">
        <v>114</v>
      </c>
      <c r="H29" s="2">
        <v>169</v>
      </c>
      <c r="I29" s="2">
        <v>57</v>
      </c>
    </row>
    <row r="30" spans="3:9">
      <c r="C30" s="2">
        <v>173</v>
      </c>
      <c r="D30" s="2">
        <v>161</v>
      </c>
      <c r="E30" s="2">
        <v>51</v>
      </c>
      <c r="G30" s="2">
        <v>119</v>
      </c>
      <c r="H30" s="2">
        <v>164</v>
      </c>
      <c r="I30" s="2">
        <v>57</v>
      </c>
    </row>
    <row r="31" spans="3:9">
      <c r="C31" s="2">
        <v>34</v>
      </c>
      <c r="D31" s="2">
        <v>162</v>
      </c>
      <c r="E31" s="2">
        <v>60</v>
      </c>
      <c r="G31" s="2">
        <v>126</v>
      </c>
      <c r="H31" s="2">
        <v>163</v>
      </c>
      <c r="I31" s="2">
        <v>57</v>
      </c>
    </row>
    <row r="32" spans="3:9">
      <c r="C32" s="2">
        <v>79</v>
      </c>
      <c r="D32" s="2">
        <v>162</v>
      </c>
      <c r="E32" s="2">
        <v>66</v>
      </c>
      <c r="G32" s="2">
        <v>148</v>
      </c>
      <c r="H32" s="2">
        <v>164</v>
      </c>
      <c r="I32" s="2">
        <v>57</v>
      </c>
    </row>
    <row r="33" spans="3:9">
      <c r="C33" s="2">
        <v>85</v>
      </c>
      <c r="D33" s="2">
        <v>162</v>
      </c>
      <c r="E33" s="2">
        <v>65</v>
      </c>
      <c r="G33" s="2">
        <v>153</v>
      </c>
      <c r="H33" s="2">
        <v>166</v>
      </c>
      <c r="I33" s="2">
        <v>57</v>
      </c>
    </row>
    <row r="34" spans="3:9">
      <c r="C34" s="2">
        <v>99</v>
      </c>
      <c r="D34" s="2">
        <v>162</v>
      </c>
      <c r="E34" s="2">
        <v>53</v>
      </c>
      <c r="G34" s="2">
        <v>57</v>
      </c>
      <c r="H34" s="2">
        <v>170</v>
      </c>
      <c r="I34" s="2">
        <v>58</v>
      </c>
    </row>
    <row r="35" spans="3:9">
      <c r="C35" s="2">
        <v>102</v>
      </c>
      <c r="D35" s="2">
        <v>162</v>
      </c>
      <c r="E35" s="2">
        <v>65</v>
      </c>
      <c r="G35" s="2">
        <v>104</v>
      </c>
      <c r="H35" s="2">
        <v>162</v>
      </c>
      <c r="I35" s="2">
        <v>58</v>
      </c>
    </row>
    <row r="36" spans="3:9">
      <c r="C36" s="2">
        <v>104</v>
      </c>
      <c r="D36" s="2">
        <v>162</v>
      </c>
      <c r="E36" s="2">
        <v>58</v>
      </c>
      <c r="G36" s="2">
        <v>5</v>
      </c>
      <c r="H36" s="2">
        <v>165</v>
      </c>
      <c r="I36" s="2">
        <v>59</v>
      </c>
    </row>
    <row r="37" spans="3:9">
      <c r="C37" s="2">
        <v>146</v>
      </c>
      <c r="D37" s="2">
        <v>162</v>
      </c>
      <c r="E37" s="2">
        <v>66</v>
      </c>
      <c r="G37" s="2">
        <v>22</v>
      </c>
      <c r="H37" s="2">
        <v>161</v>
      </c>
      <c r="I37" s="2">
        <v>59</v>
      </c>
    </row>
    <row r="38" spans="3:9">
      <c r="C38" s="2">
        <v>174</v>
      </c>
      <c r="D38" s="2">
        <v>162</v>
      </c>
      <c r="E38" s="2">
        <v>61</v>
      </c>
      <c r="G38" s="2">
        <v>46</v>
      </c>
      <c r="H38" s="2">
        <v>161</v>
      </c>
      <c r="I38" s="2">
        <v>59</v>
      </c>
    </row>
    <row r="39" spans="3:9">
      <c r="C39" s="2">
        <v>178</v>
      </c>
      <c r="D39" s="2">
        <v>162</v>
      </c>
      <c r="E39" s="2">
        <v>52</v>
      </c>
      <c r="G39" s="2">
        <v>103</v>
      </c>
      <c r="H39" s="2">
        <v>164</v>
      </c>
      <c r="I39" s="2">
        <v>59</v>
      </c>
    </row>
    <row r="40" spans="3:9">
      <c r="C40" s="2">
        <v>23</v>
      </c>
      <c r="D40" s="2">
        <v>163</v>
      </c>
      <c r="E40" s="2">
        <v>65</v>
      </c>
      <c r="G40" s="2">
        <v>107</v>
      </c>
      <c r="H40" s="2">
        <v>156</v>
      </c>
      <c r="I40" s="2">
        <v>59</v>
      </c>
    </row>
    <row r="41" spans="3:9">
      <c r="C41" s="2">
        <v>58</v>
      </c>
      <c r="D41" s="2">
        <v>163</v>
      </c>
      <c r="E41" s="2">
        <v>64</v>
      </c>
      <c r="G41" s="2">
        <v>113</v>
      </c>
      <c r="H41" s="2">
        <v>160</v>
      </c>
      <c r="I41" s="2">
        <v>59</v>
      </c>
    </row>
    <row r="42" spans="3:9">
      <c r="C42" s="2">
        <v>90</v>
      </c>
      <c r="D42" s="2">
        <v>163</v>
      </c>
      <c r="E42" s="2">
        <v>67</v>
      </c>
      <c r="G42" s="2">
        <v>115</v>
      </c>
      <c r="H42" s="2">
        <v>168</v>
      </c>
      <c r="I42" s="2">
        <v>59</v>
      </c>
    </row>
    <row r="43" spans="3:9">
      <c r="C43" s="2">
        <v>97</v>
      </c>
      <c r="D43" s="2">
        <v>163</v>
      </c>
      <c r="E43" s="2">
        <v>57</v>
      </c>
      <c r="G43" s="2">
        <v>117</v>
      </c>
      <c r="H43" s="2">
        <v>164</v>
      </c>
      <c r="I43" s="2">
        <v>59</v>
      </c>
    </row>
    <row r="44" spans="3:9">
      <c r="C44" s="2">
        <v>126</v>
      </c>
      <c r="D44" s="2">
        <v>163</v>
      </c>
      <c r="E44" s="2">
        <v>57</v>
      </c>
      <c r="G44" s="2">
        <v>166</v>
      </c>
      <c r="H44" s="2">
        <v>169</v>
      </c>
      <c r="I44" s="2">
        <v>59</v>
      </c>
    </row>
    <row r="45" spans="3:9">
      <c r="C45" s="2">
        <v>158</v>
      </c>
      <c r="D45" s="2">
        <v>163</v>
      </c>
      <c r="E45" s="2">
        <v>65</v>
      </c>
      <c r="G45" s="2">
        <v>34</v>
      </c>
      <c r="H45" s="2">
        <v>162</v>
      </c>
      <c r="I45" s="2">
        <v>60</v>
      </c>
    </row>
    <row r="46" spans="3:9">
      <c r="C46" s="2">
        <v>181</v>
      </c>
      <c r="D46" s="2">
        <v>163</v>
      </c>
      <c r="E46" s="2">
        <v>63</v>
      </c>
      <c r="G46" s="2">
        <v>35</v>
      </c>
      <c r="H46" s="2">
        <v>157</v>
      </c>
      <c r="I46" s="2">
        <v>60</v>
      </c>
    </row>
    <row r="47" spans="3:9">
      <c r="C47" s="2">
        <v>191</v>
      </c>
      <c r="D47" s="2">
        <v>163</v>
      </c>
      <c r="E47" s="2">
        <v>72</v>
      </c>
      <c r="G47" s="2">
        <v>54</v>
      </c>
      <c r="H47" s="2">
        <v>168</v>
      </c>
      <c r="I47" s="2">
        <v>60</v>
      </c>
    </row>
    <row r="48" spans="3:9">
      <c r="C48" s="2">
        <v>37</v>
      </c>
      <c r="D48" s="2">
        <v>164</v>
      </c>
      <c r="E48" s="2">
        <v>53</v>
      </c>
      <c r="G48" s="2">
        <v>60</v>
      </c>
      <c r="H48" s="2">
        <v>165</v>
      </c>
      <c r="I48" s="2">
        <v>60</v>
      </c>
    </row>
    <row r="49" spans="3:9">
      <c r="C49" s="2">
        <v>103</v>
      </c>
      <c r="D49" s="2">
        <v>164</v>
      </c>
      <c r="E49" s="2">
        <v>59</v>
      </c>
      <c r="G49" s="2">
        <v>112</v>
      </c>
      <c r="H49" s="2">
        <v>171</v>
      </c>
      <c r="I49" s="2">
        <v>60</v>
      </c>
    </row>
    <row r="50" spans="3:9">
      <c r="C50" s="2">
        <v>117</v>
      </c>
      <c r="D50" s="2">
        <v>164</v>
      </c>
      <c r="E50" s="2">
        <v>59</v>
      </c>
      <c r="G50" s="2">
        <v>116</v>
      </c>
      <c r="H50" s="2">
        <v>165</v>
      </c>
      <c r="I50" s="2">
        <v>60</v>
      </c>
    </row>
    <row r="51" spans="3:9">
      <c r="C51" s="2">
        <v>119</v>
      </c>
      <c r="D51" s="2">
        <v>164</v>
      </c>
      <c r="E51" s="2">
        <v>57</v>
      </c>
      <c r="G51" s="2">
        <v>127</v>
      </c>
      <c r="H51" s="2">
        <v>166</v>
      </c>
      <c r="I51" s="2">
        <v>60</v>
      </c>
    </row>
    <row r="52" spans="3:9">
      <c r="C52" s="2">
        <v>128</v>
      </c>
      <c r="D52" s="2">
        <v>164</v>
      </c>
      <c r="E52" s="2">
        <v>60</v>
      </c>
      <c r="G52" s="2">
        <v>128</v>
      </c>
      <c r="H52" s="2">
        <v>164</v>
      </c>
      <c r="I52" s="2">
        <v>60</v>
      </c>
    </row>
    <row r="53" spans="3:9">
      <c r="C53" s="2">
        <v>136</v>
      </c>
      <c r="D53" s="2">
        <v>164</v>
      </c>
      <c r="E53" s="2">
        <v>63</v>
      </c>
      <c r="G53" s="2">
        <v>151</v>
      </c>
      <c r="H53" s="2">
        <v>166</v>
      </c>
      <c r="I53" s="2">
        <v>60</v>
      </c>
    </row>
    <row r="54" spans="3:9">
      <c r="C54" s="2">
        <v>137</v>
      </c>
      <c r="D54" s="2">
        <v>164</v>
      </c>
      <c r="E54" s="2">
        <v>65</v>
      </c>
      <c r="G54" s="2">
        <v>156</v>
      </c>
      <c r="H54" s="2">
        <v>161</v>
      </c>
      <c r="I54" s="2">
        <v>60</v>
      </c>
    </row>
    <row r="55" spans="3:9">
      <c r="C55" s="2">
        <v>148</v>
      </c>
      <c r="D55" s="2">
        <v>164</v>
      </c>
      <c r="E55" s="2">
        <v>57</v>
      </c>
      <c r="G55" s="2">
        <v>161</v>
      </c>
      <c r="H55" s="2">
        <v>161</v>
      </c>
      <c r="I55" s="2">
        <v>60</v>
      </c>
    </row>
    <row r="56" spans="3:9">
      <c r="C56" s="2">
        <v>172</v>
      </c>
      <c r="D56" s="2">
        <v>164</v>
      </c>
      <c r="E56" s="2">
        <v>56</v>
      </c>
      <c r="G56" s="2">
        <v>31</v>
      </c>
      <c r="H56" s="2">
        <v>170</v>
      </c>
      <c r="I56" s="2">
        <v>61</v>
      </c>
    </row>
    <row r="57" spans="3:9">
      <c r="C57" s="2">
        <v>193</v>
      </c>
      <c r="D57" s="2">
        <v>164</v>
      </c>
      <c r="E57" s="2">
        <v>70</v>
      </c>
      <c r="G57" s="2">
        <v>51</v>
      </c>
      <c r="H57" s="2">
        <v>160</v>
      </c>
      <c r="I57" s="2">
        <v>61</v>
      </c>
    </row>
    <row r="58" spans="3:9">
      <c r="C58" s="2">
        <v>197</v>
      </c>
      <c r="D58" s="2">
        <v>164</v>
      </c>
      <c r="E58" s="2">
        <v>61</v>
      </c>
      <c r="G58" s="2">
        <v>61</v>
      </c>
      <c r="H58" s="2">
        <v>170</v>
      </c>
      <c r="I58" s="2">
        <v>61</v>
      </c>
    </row>
    <row r="59" spans="3:9">
      <c r="C59" s="2">
        <v>5</v>
      </c>
      <c r="D59" s="2">
        <v>165</v>
      </c>
      <c r="E59" s="2">
        <v>59</v>
      </c>
      <c r="G59" s="2">
        <v>78</v>
      </c>
      <c r="H59" s="2">
        <v>165</v>
      </c>
      <c r="I59" s="2">
        <v>61</v>
      </c>
    </row>
    <row r="60" spans="3:9">
      <c r="C60" s="2">
        <v>13</v>
      </c>
      <c r="D60" s="2">
        <v>165</v>
      </c>
      <c r="E60" s="2">
        <v>63</v>
      </c>
      <c r="G60" s="2">
        <v>109</v>
      </c>
      <c r="H60" s="2">
        <v>167</v>
      </c>
      <c r="I60" s="2">
        <v>61</v>
      </c>
    </row>
    <row r="61" spans="3:9">
      <c r="C61" s="2">
        <v>15</v>
      </c>
      <c r="D61" s="2">
        <v>165</v>
      </c>
      <c r="E61" s="2">
        <v>56</v>
      </c>
      <c r="G61" s="2">
        <v>147</v>
      </c>
      <c r="H61" s="2">
        <v>167</v>
      </c>
      <c r="I61" s="2">
        <v>61</v>
      </c>
    </row>
    <row r="62" spans="3:9">
      <c r="C62" s="2">
        <v>20</v>
      </c>
      <c r="D62" s="2">
        <v>165</v>
      </c>
      <c r="E62" s="2">
        <v>63</v>
      </c>
      <c r="G62" s="2">
        <v>163</v>
      </c>
      <c r="H62" s="2">
        <v>167</v>
      </c>
      <c r="I62" s="2">
        <v>61</v>
      </c>
    </row>
    <row r="63" spans="3:9">
      <c r="C63" s="2">
        <v>47</v>
      </c>
      <c r="D63" s="2">
        <v>165</v>
      </c>
      <c r="E63" s="2">
        <v>63</v>
      </c>
      <c r="G63" s="2">
        <v>165</v>
      </c>
      <c r="H63" s="2">
        <v>161</v>
      </c>
      <c r="I63" s="2">
        <v>61</v>
      </c>
    </row>
    <row r="64" spans="3:9">
      <c r="C64" s="2">
        <v>59</v>
      </c>
      <c r="D64" s="2">
        <v>165</v>
      </c>
      <c r="E64" s="2">
        <v>57</v>
      </c>
      <c r="G64" s="2">
        <v>168</v>
      </c>
      <c r="H64" s="2">
        <v>170</v>
      </c>
      <c r="I64" s="2">
        <v>61</v>
      </c>
    </row>
    <row r="65" spans="3:9">
      <c r="C65" s="2">
        <v>60</v>
      </c>
      <c r="D65" s="2">
        <v>165</v>
      </c>
      <c r="E65" s="2">
        <v>60</v>
      </c>
      <c r="G65" s="2">
        <v>174</v>
      </c>
      <c r="H65" s="2">
        <v>162</v>
      </c>
      <c r="I65" s="2">
        <v>61</v>
      </c>
    </row>
    <row r="66" spans="3:9">
      <c r="C66" s="2">
        <v>63</v>
      </c>
      <c r="D66" s="2">
        <v>165</v>
      </c>
      <c r="E66" s="2">
        <v>63</v>
      </c>
      <c r="G66" s="2">
        <v>197</v>
      </c>
      <c r="H66" s="2">
        <v>164</v>
      </c>
      <c r="I66" s="2">
        <v>61</v>
      </c>
    </row>
    <row r="67" spans="3:9">
      <c r="C67" s="2">
        <v>66</v>
      </c>
      <c r="D67" s="2">
        <v>165</v>
      </c>
      <c r="E67" s="2">
        <v>63</v>
      </c>
      <c r="G67" s="2">
        <v>6</v>
      </c>
      <c r="H67" s="2">
        <v>168</v>
      </c>
      <c r="I67" s="2">
        <v>62</v>
      </c>
    </row>
    <row r="68" spans="3:9">
      <c r="C68" s="2">
        <v>70</v>
      </c>
      <c r="D68" s="2">
        <v>165</v>
      </c>
      <c r="E68" s="2">
        <v>63</v>
      </c>
      <c r="G68" s="2">
        <v>17</v>
      </c>
      <c r="H68" s="2">
        <v>166</v>
      </c>
      <c r="I68" s="2">
        <v>62</v>
      </c>
    </row>
    <row r="69" spans="3:9">
      <c r="C69" s="2">
        <v>78</v>
      </c>
      <c r="D69" s="2">
        <v>165</v>
      </c>
      <c r="E69" s="2">
        <v>61</v>
      </c>
      <c r="G69" s="2">
        <v>40</v>
      </c>
      <c r="H69" s="2">
        <v>161</v>
      </c>
      <c r="I69" s="2">
        <v>62</v>
      </c>
    </row>
    <row r="70" spans="3:9">
      <c r="C70" s="2">
        <v>93</v>
      </c>
      <c r="D70" s="2">
        <v>165</v>
      </c>
      <c r="E70" s="2">
        <v>63</v>
      </c>
      <c r="G70" s="2">
        <v>75</v>
      </c>
      <c r="H70" s="2">
        <v>176</v>
      </c>
      <c r="I70" s="2">
        <v>62</v>
      </c>
    </row>
    <row r="71" spans="3:9">
      <c r="C71" s="2">
        <v>116</v>
      </c>
      <c r="D71" s="2">
        <v>165</v>
      </c>
      <c r="E71" s="2">
        <v>60</v>
      </c>
      <c r="G71" s="2">
        <v>88</v>
      </c>
      <c r="H71" s="2">
        <v>160</v>
      </c>
      <c r="I71" s="2">
        <v>62</v>
      </c>
    </row>
    <row r="72" spans="3:9">
      <c r="C72" s="2">
        <v>196</v>
      </c>
      <c r="D72" s="2">
        <v>165</v>
      </c>
      <c r="E72" s="2">
        <v>62</v>
      </c>
      <c r="G72" s="2">
        <v>122</v>
      </c>
      <c r="H72" s="2">
        <v>171</v>
      </c>
      <c r="I72" s="2">
        <v>62</v>
      </c>
    </row>
    <row r="73" spans="3:9">
      <c r="C73" s="2">
        <v>199</v>
      </c>
      <c r="D73" s="2">
        <v>165</v>
      </c>
      <c r="E73" s="2">
        <v>76</v>
      </c>
      <c r="G73" s="2">
        <v>130</v>
      </c>
      <c r="H73" s="2">
        <v>176</v>
      </c>
      <c r="I73" s="2">
        <v>62</v>
      </c>
    </row>
    <row r="74" spans="3:9">
      <c r="C74" s="2">
        <v>200</v>
      </c>
      <c r="D74" s="2">
        <v>165</v>
      </c>
      <c r="E74" s="2">
        <v>63</v>
      </c>
      <c r="G74" s="2">
        <v>133</v>
      </c>
      <c r="H74" s="2">
        <v>169</v>
      </c>
      <c r="I74" s="2">
        <v>62</v>
      </c>
    </row>
    <row r="75" spans="3:9">
      <c r="C75" s="2">
        <v>3</v>
      </c>
      <c r="D75" s="2">
        <v>166</v>
      </c>
      <c r="E75" s="2">
        <v>57</v>
      </c>
      <c r="G75" s="2">
        <v>182</v>
      </c>
      <c r="H75" s="2">
        <v>169</v>
      </c>
      <c r="I75" s="2">
        <v>62</v>
      </c>
    </row>
    <row r="76" spans="3:9">
      <c r="C76" s="2">
        <v>17</v>
      </c>
      <c r="D76" s="2">
        <v>166</v>
      </c>
      <c r="E76" s="2">
        <v>62</v>
      </c>
      <c r="G76" s="2">
        <v>196</v>
      </c>
      <c r="H76" s="2">
        <v>165</v>
      </c>
      <c r="I76" s="2">
        <v>62</v>
      </c>
    </row>
    <row r="77" spans="3:9">
      <c r="C77" s="2">
        <v>30</v>
      </c>
      <c r="D77" s="2">
        <v>166</v>
      </c>
      <c r="E77" s="2">
        <v>67</v>
      </c>
      <c r="G77" s="2">
        <v>13</v>
      </c>
      <c r="H77" s="2">
        <v>165</v>
      </c>
      <c r="I77" s="2">
        <v>63</v>
      </c>
    </row>
    <row r="78" spans="3:9">
      <c r="C78" s="2">
        <v>62</v>
      </c>
      <c r="D78" s="2">
        <v>166</v>
      </c>
      <c r="E78" s="2">
        <v>55</v>
      </c>
      <c r="G78" s="2">
        <v>19</v>
      </c>
      <c r="H78" s="2">
        <v>167</v>
      </c>
      <c r="I78" s="2">
        <v>63</v>
      </c>
    </row>
    <row r="79" spans="3:9">
      <c r="C79" s="2">
        <v>127</v>
      </c>
      <c r="D79" s="2">
        <v>166</v>
      </c>
      <c r="E79" s="2">
        <v>60</v>
      </c>
      <c r="G79" s="2">
        <v>20</v>
      </c>
      <c r="H79" s="2">
        <v>165</v>
      </c>
      <c r="I79" s="2">
        <v>63</v>
      </c>
    </row>
    <row r="80" spans="3:9">
      <c r="C80" s="2">
        <v>140</v>
      </c>
      <c r="D80" s="2">
        <v>166</v>
      </c>
      <c r="E80" s="2">
        <v>63</v>
      </c>
      <c r="G80" s="2">
        <v>27</v>
      </c>
      <c r="H80" s="2">
        <v>171</v>
      </c>
      <c r="I80" s="2">
        <v>63</v>
      </c>
    </row>
    <row r="81" spans="3:9">
      <c r="C81" s="2">
        <v>151</v>
      </c>
      <c r="D81" s="2">
        <v>166</v>
      </c>
      <c r="E81" s="2">
        <v>60</v>
      </c>
      <c r="G81" s="2">
        <v>29</v>
      </c>
      <c r="H81" s="2">
        <v>173</v>
      </c>
      <c r="I81" s="2">
        <v>63</v>
      </c>
    </row>
    <row r="82" spans="3:9">
      <c r="C82" s="2">
        <v>153</v>
      </c>
      <c r="D82" s="2">
        <v>166</v>
      </c>
      <c r="E82" s="2">
        <v>57</v>
      </c>
      <c r="G82" s="2">
        <v>41</v>
      </c>
      <c r="H82" s="2">
        <v>172</v>
      </c>
      <c r="I82" s="2">
        <v>63</v>
      </c>
    </row>
    <row r="83" spans="3:9">
      <c r="C83" s="2">
        <v>169</v>
      </c>
      <c r="D83" s="2">
        <v>166</v>
      </c>
      <c r="E83" s="2">
        <v>55</v>
      </c>
      <c r="G83" s="2">
        <v>47</v>
      </c>
      <c r="H83" s="2">
        <v>165</v>
      </c>
      <c r="I83" s="2">
        <v>63</v>
      </c>
    </row>
    <row r="84" spans="3:9">
      <c r="C84" s="2">
        <v>176</v>
      </c>
      <c r="D84" s="2">
        <v>166</v>
      </c>
      <c r="E84" s="2">
        <v>63</v>
      </c>
      <c r="G84" s="2">
        <v>63</v>
      </c>
      <c r="H84" s="2">
        <v>165</v>
      </c>
      <c r="I84" s="2">
        <v>63</v>
      </c>
    </row>
    <row r="85" spans="3:9">
      <c r="C85" s="2">
        <v>18</v>
      </c>
      <c r="D85" s="2">
        <v>167</v>
      </c>
      <c r="E85" s="2">
        <v>65</v>
      </c>
      <c r="G85" s="2">
        <v>66</v>
      </c>
      <c r="H85" s="2">
        <v>165</v>
      </c>
      <c r="I85" s="2">
        <v>63</v>
      </c>
    </row>
    <row r="86" spans="3:9">
      <c r="C86" s="2">
        <v>19</v>
      </c>
      <c r="D86" s="2">
        <v>167</v>
      </c>
      <c r="E86" s="2">
        <v>63</v>
      </c>
      <c r="G86" s="2">
        <v>70</v>
      </c>
      <c r="H86" s="2">
        <v>165</v>
      </c>
      <c r="I86" s="2">
        <v>63</v>
      </c>
    </row>
    <row r="87" spans="3:9">
      <c r="C87" s="2">
        <v>38</v>
      </c>
      <c r="D87" s="2">
        <v>167</v>
      </c>
      <c r="E87" s="2">
        <v>64</v>
      </c>
      <c r="G87" s="2">
        <v>86</v>
      </c>
      <c r="H87" s="2">
        <v>167</v>
      </c>
      <c r="I87" s="2">
        <v>63</v>
      </c>
    </row>
    <row r="88" spans="3:9">
      <c r="C88" s="2">
        <v>86</v>
      </c>
      <c r="D88" s="2">
        <v>167</v>
      </c>
      <c r="E88" s="2">
        <v>63</v>
      </c>
      <c r="G88" s="2">
        <v>93</v>
      </c>
      <c r="H88" s="2">
        <v>165</v>
      </c>
      <c r="I88" s="2">
        <v>63</v>
      </c>
    </row>
    <row r="89" spans="3:9">
      <c r="C89" s="2">
        <v>106</v>
      </c>
      <c r="D89" s="2">
        <v>167</v>
      </c>
      <c r="E89" s="2">
        <v>55</v>
      </c>
      <c r="G89" s="2">
        <v>110</v>
      </c>
      <c r="H89" s="2">
        <v>170</v>
      </c>
      <c r="I89" s="2">
        <v>63</v>
      </c>
    </row>
    <row r="90" spans="3:9">
      <c r="C90" s="2">
        <v>109</v>
      </c>
      <c r="D90" s="2">
        <v>167</v>
      </c>
      <c r="E90" s="2">
        <v>61</v>
      </c>
      <c r="G90" s="2">
        <v>136</v>
      </c>
      <c r="H90" s="2">
        <v>164</v>
      </c>
      <c r="I90" s="2">
        <v>63</v>
      </c>
    </row>
    <row r="91" spans="3:9">
      <c r="C91" s="2">
        <v>131</v>
      </c>
      <c r="D91" s="2">
        <v>167</v>
      </c>
      <c r="E91" s="2">
        <v>68</v>
      </c>
      <c r="G91" s="2">
        <v>140</v>
      </c>
      <c r="H91" s="2">
        <v>166</v>
      </c>
      <c r="I91" s="2">
        <v>63</v>
      </c>
    </row>
    <row r="92" spans="3:9">
      <c r="C92" s="2">
        <v>132</v>
      </c>
      <c r="D92" s="2">
        <v>167</v>
      </c>
      <c r="E92" s="2">
        <v>64</v>
      </c>
      <c r="G92" s="2">
        <v>155</v>
      </c>
      <c r="H92" s="2">
        <v>172</v>
      </c>
      <c r="I92" s="2">
        <v>63</v>
      </c>
    </row>
    <row r="93" spans="3:9">
      <c r="C93" s="2">
        <v>147</v>
      </c>
      <c r="D93" s="2">
        <v>167</v>
      </c>
      <c r="E93" s="2">
        <v>61</v>
      </c>
      <c r="G93" s="2">
        <v>164</v>
      </c>
      <c r="H93" s="2">
        <v>168</v>
      </c>
      <c r="I93" s="2">
        <v>63</v>
      </c>
    </row>
    <row r="94" spans="3:9">
      <c r="C94" s="2">
        <v>163</v>
      </c>
      <c r="D94" s="2">
        <v>167</v>
      </c>
      <c r="E94" s="2">
        <v>61</v>
      </c>
      <c r="G94" s="2">
        <v>176</v>
      </c>
      <c r="H94" s="2">
        <v>166</v>
      </c>
      <c r="I94" s="2">
        <v>63</v>
      </c>
    </row>
    <row r="95" spans="3:9">
      <c r="C95" s="2">
        <v>179</v>
      </c>
      <c r="D95" s="2">
        <v>167</v>
      </c>
      <c r="E95" s="2">
        <v>55</v>
      </c>
      <c r="G95" s="2">
        <v>181</v>
      </c>
      <c r="H95" s="2">
        <v>163</v>
      </c>
      <c r="I95" s="2">
        <v>63</v>
      </c>
    </row>
    <row r="96" spans="3:9">
      <c r="C96" s="2">
        <v>184</v>
      </c>
      <c r="D96" s="2">
        <v>167</v>
      </c>
      <c r="E96" s="2">
        <v>65</v>
      </c>
      <c r="G96" s="2">
        <v>185</v>
      </c>
      <c r="H96" s="2">
        <v>179</v>
      </c>
      <c r="I96" s="2">
        <v>63</v>
      </c>
    </row>
    <row r="97" spans="3:9">
      <c r="C97" s="2">
        <v>194</v>
      </c>
      <c r="D97" s="2">
        <v>167</v>
      </c>
      <c r="E97" s="2">
        <v>66</v>
      </c>
      <c r="G97" s="2">
        <v>186</v>
      </c>
      <c r="H97" s="2">
        <v>173</v>
      </c>
      <c r="I97" s="2">
        <v>63</v>
      </c>
    </row>
    <row r="98" spans="3:9">
      <c r="C98" s="2">
        <v>6</v>
      </c>
      <c r="D98" s="2">
        <v>168</v>
      </c>
      <c r="E98" s="2">
        <v>62</v>
      </c>
      <c r="G98" s="2">
        <v>200</v>
      </c>
      <c r="H98" s="2">
        <v>165</v>
      </c>
      <c r="I98" s="2">
        <v>63</v>
      </c>
    </row>
    <row r="99" spans="3:9">
      <c r="C99" s="2">
        <v>10</v>
      </c>
      <c r="D99" s="2">
        <v>168</v>
      </c>
      <c r="E99" s="2">
        <v>67</v>
      </c>
      <c r="G99" s="2">
        <v>38</v>
      </c>
      <c r="H99" s="2">
        <v>167</v>
      </c>
      <c r="I99" s="2">
        <v>64</v>
      </c>
    </row>
    <row r="100" spans="3:9">
      <c r="C100" s="2">
        <v>21</v>
      </c>
      <c r="D100" s="2">
        <v>168</v>
      </c>
      <c r="E100" s="2">
        <v>73</v>
      </c>
      <c r="G100" s="2">
        <v>58</v>
      </c>
      <c r="H100" s="2">
        <v>163</v>
      </c>
      <c r="I100" s="2">
        <v>64</v>
      </c>
    </row>
    <row r="101" spans="3:9">
      <c r="C101" s="2">
        <v>24</v>
      </c>
      <c r="D101" s="2">
        <v>168</v>
      </c>
      <c r="E101" s="2">
        <v>66</v>
      </c>
      <c r="G101" s="2">
        <v>65</v>
      </c>
      <c r="H101" s="2">
        <v>172</v>
      </c>
      <c r="I101" s="2">
        <v>64</v>
      </c>
    </row>
    <row r="102" spans="3:9">
      <c r="C102" s="2">
        <v>54</v>
      </c>
      <c r="D102" s="2">
        <v>168</v>
      </c>
      <c r="E102" s="2">
        <v>60</v>
      </c>
      <c r="G102" s="2">
        <v>120</v>
      </c>
      <c r="H102" s="2">
        <v>171</v>
      </c>
      <c r="I102" s="2">
        <v>64</v>
      </c>
    </row>
    <row r="103" spans="3:9">
      <c r="C103" s="2">
        <v>94</v>
      </c>
      <c r="D103" s="2">
        <v>168</v>
      </c>
      <c r="E103" s="2">
        <v>67</v>
      </c>
      <c r="G103" s="2">
        <v>132</v>
      </c>
      <c r="H103" s="2">
        <v>167</v>
      </c>
      <c r="I103" s="2">
        <v>64</v>
      </c>
    </row>
    <row r="104" spans="3:9">
      <c r="C104" s="2">
        <v>115</v>
      </c>
      <c r="D104" s="2">
        <v>168</v>
      </c>
      <c r="E104" s="2">
        <v>59</v>
      </c>
      <c r="G104" s="2">
        <v>145</v>
      </c>
      <c r="H104" s="2">
        <v>172</v>
      </c>
      <c r="I104" s="2">
        <v>64</v>
      </c>
    </row>
    <row r="105" spans="3:9">
      <c r="C105" s="2">
        <v>164</v>
      </c>
      <c r="D105" s="2">
        <v>168</v>
      </c>
      <c r="E105" s="2">
        <v>63</v>
      </c>
      <c r="G105" s="2">
        <v>170</v>
      </c>
      <c r="H105" s="2">
        <v>175</v>
      </c>
      <c r="I105" s="2">
        <v>64</v>
      </c>
    </row>
    <row r="106" spans="3:9">
      <c r="C106" s="2">
        <v>167</v>
      </c>
      <c r="D106" s="2">
        <v>168</v>
      </c>
      <c r="E106" s="2">
        <v>70</v>
      </c>
      <c r="G106" s="2">
        <v>189</v>
      </c>
      <c r="H106" s="2">
        <v>171</v>
      </c>
      <c r="I106" s="2">
        <v>64</v>
      </c>
    </row>
    <row r="107" spans="3:9">
      <c r="C107" s="2">
        <v>192</v>
      </c>
      <c r="D107" s="2">
        <v>168</v>
      </c>
      <c r="E107" s="2">
        <v>64</v>
      </c>
      <c r="G107" s="2">
        <v>192</v>
      </c>
      <c r="H107" s="2">
        <v>168</v>
      </c>
      <c r="I107" s="2">
        <v>64</v>
      </c>
    </row>
    <row r="108" spans="3:9">
      <c r="C108" s="2">
        <v>69</v>
      </c>
      <c r="D108" s="2">
        <v>169</v>
      </c>
      <c r="E108" s="2">
        <v>74</v>
      </c>
      <c r="G108" s="2">
        <v>1</v>
      </c>
      <c r="H108" s="2">
        <v>176</v>
      </c>
      <c r="I108" s="2">
        <v>65</v>
      </c>
    </row>
    <row r="109" spans="3:9">
      <c r="C109" s="2">
        <v>74</v>
      </c>
      <c r="D109" s="2">
        <v>169</v>
      </c>
      <c r="E109" s="2">
        <v>67</v>
      </c>
      <c r="G109" s="2">
        <v>18</v>
      </c>
      <c r="H109" s="2">
        <v>167</v>
      </c>
      <c r="I109" s="2">
        <v>65</v>
      </c>
    </row>
    <row r="110" spans="3:9">
      <c r="C110" s="2">
        <v>91</v>
      </c>
      <c r="D110" s="2">
        <v>169</v>
      </c>
      <c r="E110" s="2">
        <v>56</v>
      </c>
      <c r="G110" s="2">
        <v>23</v>
      </c>
      <c r="H110" s="2">
        <v>163</v>
      </c>
      <c r="I110" s="2">
        <v>65</v>
      </c>
    </row>
    <row r="111" spans="3:9">
      <c r="C111" s="2">
        <v>95</v>
      </c>
      <c r="D111" s="2">
        <v>169</v>
      </c>
      <c r="E111" s="2">
        <v>68</v>
      </c>
      <c r="G111" s="2">
        <v>76</v>
      </c>
      <c r="H111" s="2">
        <v>170</v>
      </c>
      <c r="I111" s="2">
        <v>65</v>
      </c>
    </row>
    <row r="112" spans="3:9">
      <c r="C112" s="2">
        <v>111</v>
      </c>
      <c r="D112" s="2">
        <v>169</v>
      </c>
      <c r="E112" s="2">
        <v>74</v>
      </c>
      <c r="G112" s="2">
        <v>85</v>
      </c>
      <c r="H112" s="2">
        <v>162</v>
      </c>
      <c r="I112" s="2">
        <v>65</v>
      </c>
    </row>
    <row r="113" spans="3:9">
      <c r="C113" s="2">
        <v>114</v>
      </c>
      <c r="D113" s="2">
        <v>169</v>
      </c>
      <c r="E113" s="2">
        <v>57</v>
      </c>
      <c r="G113" s="2">
        <v>92</v>
      </c>
      <c r="H113" s="2">
        <v>180</v>
      </c>
      <c r="I113" s="2">
        <v>65</v>
      </c>
    </row>
    <row r="114" spans="3:9">
      <c r="C114" s="2">
        <v>133</v>
      </c>
      <c r="D114" s="2">
        <v>169</v>
      </c>
      <c r="E114" s="2">
        <v>62</v>
      </c>
      <c r="G114" s="2">
        <v>102</v>
      </c>
      <c r="H114" s="2">
        <v>162</v>
      </c>
      <c r="I114" s="2">
        <v>65</v>
      </c>
    </row>
    <row r="115" spans="3:9">
      <c r="C115" s="2">
        <v>166</v>
      </c>
      <c r="D115" s="2">
        <v>169</v>
      </c>
      <c r="E115" s="2">
        <v>59</v>
      </c>
      <c r="G115" s="2">
        <v>137</v>
      </c>
      <c r="H115" s="2">
        <v>164</v>
      </c>
      <c r="I115" s="2">
        <v>65</v>
      </c>
    </row>
    <row r="116" spans="3:9">
      <c r="C116" s="2">
        <v>182</v>
      </c>
      <c r="D116" s="2">
        <v>169</v>
      </c>
      <c r="E116" s="2">
        <v>62</v>
      </c>
      <c r="G116" s="2">
        <v>158</v>
      </c>
      <c r="H116" s="2">
        <v>163</v>
      </c>
      <c r="I116" s="2">
        <v>65</v>
      </c>
    </row>
    <row r="117" spans="3:9">
      <c r="C117" s="2">
        <v>7</v>
      </c>
      <c r="D117" s="2">
        <v>170</v>
      </c>
      <c r="E117" s="2">
        <v>76</v>
      </c>
      <c r="G117" s="2">
        <v>184</v>
      </c>
      <c r="H117" s="2">
        <v>167</v>
      </c>
      <c r="I117" s="2">
        <v>65</v>
      </c>
    </row>
    <row r="118" spans="3:9">
      <c r="C118" s="2">
        <v>31</v>
      </c>
      <c r="D118" s="2">
        <v>170</v>
      </c>
      <c r="E118" s="2">
        <v>61</v>
      </c>
      <c r="G118" s="2">
        <v>195</v>
      </c>
      <c r="H118" s="2">
        <v>171</v>
      </c>
      <c r="I118" s="2">
        <v>65</v>
      </c>
    </row>
    <row r="119" spans="3:9">
      <c r="C119" s="2">
        <v>53</v>
      </c>
      <c r="D119" s="2">
        <v>170</v>
      </c>
      <c r="E119" s="2">
        <v>70</v>
      </c>
      <c r="G119" s="2">
        <v>9</v>
      </c>
      <c r="H119" s="2">
        <v>161</v>
      </c>
      <c r="I119" s="2">
        <v>66</v>
      </c>
    </row>
    <row r="120" spans="3:9">
      <c r="C120" s="2">
        <v>57</v>
      </c>
      <c r="D120" s="2">
        <v>170</v>
      </c>
      <c r="E120" s="2">
        <v>58</v>
      </c>
      <c r="G120" s="2">
        <v>12</v>
      </c>
      <c r="H120" s="2">
        <v>161</v>
      </c>
      <c r="I120" s="2">
        <v>66</v>
      </c>
    </row>
    <row r="121" spans="3:9">
      <c r="C121" s="2">
        <v>61</v>
      </c>
      <c r="D121" s="2">
        <v>170</v>
      </c>
      <c r="E121" s="2">
        <v>61</v>
      </c>
      <c r="G121" s="2">
        <v>24</v>
      </c>
      <c r="H121" s="2">
        <v>168</v>
      </c>
      <c r="I121" s="2">
        <v>66</v>
      </c>
    </row>
    <row r="122" spans="3:9">
      <c r="C122" s="2">
        <v>76</v>
      </c>
      <c r="D122" s="2">
        <v>170</v>
      </c>
      <c r="E122" s="2">
        <v>65</v>
      </c>
      <c r="G122" s="2">
        <v>25</v>
      </c>
      <c r="H122" s="2">
        <v>175</v>
      </c>
      <c r="I122" s="2">
        <v>66</v>
      </c>
    </row>
    <row r="123" spans="3:9">
      <c r="C123" s="2">
        <v>77</v>
      </c>
      <c r="D123" s="2">
        <v>170</v>
      </c>
      <c r="E123" s="2">
        <v>66</v>
      </c>
      <c r="G123" s="2">
        <v>48</v>
      </c>
      <c r="H123" s="2">
        <v>174</v>
      </c>
      <c r="I123" s="2">
        <v>66</v>
      </c>
    </row>
    <row r="124" spans="3:9">
      <c r="C124" s="2">
        <v>96</v>
      </c>
      <c r="D124" s="2">
        <v>170</v>
      </c>
      <c r="E124" s="2">
        <v>69</v>
      </c>
      <c r="G124" s="2">
        <v>73</v>
      </c>
      <c r="H124" s="2">
        <v>171</v>
      </c>
      <c r="I124" s="2">
        <v>66</v>
      </c>
    </row>
    <row r="125" spans="3:9">
      <c r="C125" s="2">
        <v>110</v>
      </c>
      <c r="D125" s="2">
        <v>170</v>
      </c>
      <c r="E125" s="2">
        <v>63</v>
      </c>
      <c r="G125" s="2">
        <v>77</v>
      </c>
      <c r="H125" s="2">
        <v>170</v>
      </c>
      <c r="I125" s="2">
        <v>66</v>
      </c>
    </row>
    <row r="126" spans="3:9">
      <c r="C126" s="2">
        <v>152</v>
      </c>
      <c r="D126" s="2">
        <v>170</v>
      </c>
      <c r="E126" s="2">
        <v>73</v>
      </c>
      <c r="G126" s="2">
        <v>79</v>
      </c>
      <c r="H126" s="2">
        <v>162</v>
      </c>
      <c r="I126" s="2">
        <v>66</v>
      </c>
    </row>
    <row r="127" spans="3:9">
      <c r="C127" s="2">
        <v>168</v>
      </c>
      <c r="D127" s="2">
        <v>170</v>
      </c>
      <c r="E127" s="2">
        <v>61</v>
      </c>
      <c r="G127" s="2">
        <v>83</v>
      </c>
      <c r="H127" s="2">
        <v>172</v>
      </c>
      <c r="I127" s="2">
        <v>66</v>
      </c>
    </row>
    <row r="128" spans="3:9">
      <c r="C128" s="2">
        <v>2</v>
      </c>
      <c r="D128" s="2">
        <v>171</v>
      </c>
      <c r="E128" s="2">
        <v>70</v>
      </c>
      <c r="G128" s="2">
        <v>146</v>
      </c>
      <c r="H128" s="2">
        <v>162</v>
      </c>
      <c r="I128" s="2">
        <v>66</v>
      </c>
    </row>
    <row r="129" spans="3:9">
      <c r="C129" s="2">
        <v>27</v>
      </c>
      <c r="D129" s="2">
        <v>171</v>
      </c>
      <c r="E129" s="2">
        <v>63</v>
      </c>
      <c r="G129" s="2">
        <v>188</v>
      </c>
      <c r="H129" s="2">
        <v>171</v>
      </c>
      <c r="I129" s="2">
        <v>66</v>
      </c>
    </row>
    <row r="130" spans="3:9">
      <c r="C130" s="2">
        <v>42</v>
      </c>
      <c r="D130" s="2">
        <v>171</v>
      </c>
      <c r="E130" s="2">
        <v>69</v>
      </c>
      <c r="G130" s="2">
        <v>194</v>
      </c>
      <c r="H130" s="2">
        <v>167</v>
      </c>
      <c r="I130" s="2">
        <v>66</v>
      </c>
    </row>
    <row r="131" spans="3:9">
      <c r="C131" s="2">
        <v>73</v>
      </c>
      <c r="D131" s="2">
        <v>171</v>
      </c>
      <c r="E131" s="2">
        <v>66</v>
      </c>
      <c r="G131" s="2">
        <v>10</v>
      </c>
      <c r="H131" s="2">
        <v>168</v>
      </c>
      <c r="I131" s="2">
        <v>67</v>
      </c>
    </row>
    <row r="132" spans="3:9">
      <c r="C132" s="2">
        <v>105</v>
      </c>
      <c r="D132" s="2">
        <v>171</v>
      </c>
      <c r="E132" s="2">
        <v>70</v>
      </c>
      <c r="G132" s="2">
        <v>30</v>
      </c>
      <c r="H132" s="2">
        <v>166</v>
      </c>
      <c r="I132" s="2">
        <v>67</v>
      </c>
    </row>
    <row r="133" spans="3:9">
      <c r="C133" s="2">
        <v>112</v>
      </c>
      <c r="D133" s="2">
        <v>171</v>
      </c>
      <c r="E133" s="2">
        <v>60</v>
      </c>
      <c r="G133" s="2">
        <v>74</v>
      </c>
      <c r="H133" s="2">
        <v>169</v>
      </c>
      <c r="I133" s="2">
        <v>67</v>
      </c>
    </row>
    <row r="134" spans="3:9">
      <c r="C134" s="2">
        <v>120</v>
      </c>
      <c r="D134" s="2">
        <v>171</v>
      </c>
      <c r="E134" s="2">
        <v>64</v>
      </c>
      <c r="G134" s="2">
        <v>90</v>
      </c>
      <c r="H134" s="2">
        <v>163</v>
      </c>
      <c r="I134" s="2">
        <v>67</v>
      </c>
    </row>
    <row r="135" spans="3:9">
      <c r="C135" s="2">
        <v>122</v>
      </c>
      <c r="D135" s="2">
        <v>171</v>
      </c>
      <c r="E135" s="2">
        <v>62</v>
      </c>
      <c r="G135" s="2">
        <v>94</v>
      </c>
      <c r="H135" s="2">
        <v>168</v>
      </c>
      <c r="I135" s="2">
        <v>67</v>
      </c>
    </row>
    <row r="136" spans="3:9">
      <c r="C136" s="2">
        <v>135</v>
      </c>
      <c r="D136" s="2">
        <v>171</v>
      </c>
      <c r="E136" s="2">
        <v>70</v>
      </c>
      <c r="G136" s="2">
        <v>108</v>
      </c>
      <c r="H136" s="2">
        <v>172</v>
      </c>
      <c r="I136" s="2">
        <v>67</v>
      </c>
    </row>
    <row r="137" spans="3:9">
      <c r="C137" s="2">
        <v>142</v>
      </c>
      <c r="D137" s="2">
        <v>171</v>
      </c>
      <c r="E137" s="2">
        <v>67</v>
      </c>
      <c r="G137" s="2">
        <v>138</v>
      </c>
      <c r="H137" s="2">
        <v>177</v>
      </c>
      <c r="I137" s="2">
        <v>67</v>
      </c>
    </row>
    <row r="138" spans="3:9">
      <c r="C138" s="2">
        <v>149</v>
      </c>
      <c r="D138" s="2">
        <v>171</v>
      </c>
      <c r="E138" s="2">
        <v>69</v>
      </c>
      <c r="G138" s="2">
        <v>141</v>
      </c>
      <c r="H138" s="2">
        <v>172</v>
      </c>
      <c r="I138" s="2">
        <v>67</v>
      </c>
    </row>
    <row r="139" spans="3:9">
      <c r="C139" s="2">
        <v>175</v>
      </c>
      <c r="D139" s="2">
        <v>171</v>
      </c>
      <c r="E139" s="2">
        <v>67</v>
      </c>
      <c r="G139" s="2">
        <v>142</v>
      </c>
      <c r="H139" s="2">
        <v>171</v>
      </c>
      <c r="I139" s="2">
        <v>67</v>
      </c>
    </row>
    <row r="140" spans="3:9">
      <c r="C140" s="2">
        <v>188</v>
      </c>
      <c r="D140" s="2">
        <v>171</v>
      </c>
      <c r="E140" s="2">
        <v>66</v>
      </c>
      <c r="G140" s="2">
        <v>157</v>
      </c>
      <c r="H140" s="2">
        <v>172</v>
      </c>
      <c r="I140" s="2">
        <v>67</v>
      </c>
    </row>
    <row r="141" spans="3:9">
      <c r="C141" s="2">
        <v>189</v>
      </c>
      <c r="D141" s="2">
        <v>171</v>
      </c>
      <c r="E141" s="2">
        <v>64</v>
      </c>
      <c r="G141" s="2">
        <v>159</v>
      </c>
      <c r="H141" s="2">
        <v>176</v>
      </c>
      <c r="I141" s="2">
        <v>67</v>
      </c>
    </row>
    <row r="142" spans="3:9">
      <c r="C142" s="2">
        <v>190</v>
      </c>
      <c r="D142" s="2">
        <v>171</v>
      </c>
      <c r="E142" s="2">
        <v>67</v>
      </c>
      <c r="G142" s="2">
        <v>175</v>
      </c>
      <c r="H142" s="2">
        <v>171</v>
      </c>
      <c r="I142" s="2">
        <v>67</v>
      </c>
    </row>
    <row r="143" spans="3:9">
      <c r="C143" s="2">
        <v>195</v>
      </c>
      <c r="D143" s="2">
        <v>171</v>
      </c>
      <c r="E143" s="2">
        <v>65</v>
      </c>
      <c r="G143" s="2">
        <v>187</v>
      </c>
      <c r="H143" s="2">
        <v>172</v>
      </c>
      <c r="I143" s="2">
        <v>67</v>
      </c>
    </row>
    <row r="144" spans="3:9">
      <c r="C144" s="2">
        <v>32</v>
      </c>
      <c r="D144" s="2">
        <v>172</v>
      </c>
      <c r="E144" s="2">
        <v>74</v>
      </c>
      <c r="G144" s="2">
        <v>190</v>
      </c>
      <c r="H144" s="2">
        <v>171</v>
      </c>
      <c r="I144" s="2">
        <v>67</v>
      </c>
    </row>
    <row r="145" spans="3:9">
      <c r="C145" s="2">
        <v>41</v>
      </c>
      <c r="D145" s="2">
        <v>172</v>
      </c>
      <c r="E145" s="2">
        <v>63</v>
      </c>
      <c r="G145" s="2">
        <v>8</v>
      </c>
      <c r="H145" s="2">
        <v>181</v>
      </c>
      <c r="I145" s="2">
        <v>68</v>
      </c>
    </row>
    <row r="146" spans="3:9">
      <c r="C146" s="2">
        <v>65</v>
      </c>
      <c r="D146" s="2">
        <v>172</v>
      </c>
      <c r="E146" s="2">
        <v>64</v>
      </c>
      <c r="G146" s="2">
        <v>43</v>
      </c>
      <c r="H146" s="2">
        <v>173</v>
      </c>
      <c r="I146" s="2">
        <v>68</v>
      </c>
    </row>
    <row r="147" spans="3:9">
      <c r="C147" s="2">
        <v>67</v>
      </c>
      <c r="D147" s="2">
        <v>172</v>
      </c>
      <c r="E147" s="2">
        <v>78</v>
      </c>
      <c r="G147" s="2">
        <v>87</v>
      </c>
      <c r="H147" s="2">
        <v>159</v>
      </c>
      <c r="I147" s="2">
        <v>68</v>
      </c>
    </row>
    <row r="148" spans="3:9">
      <c r="C148" s="2">
        <v>83</v>
      </c>
      <c r="D148" s="2">
        <v>172</v>
      </c>
      <c r="E148" s="2">
        <v>66</v>
      </c>
      <c r="G148" s="2">
        <v>95</v>
      </c>
      <c r="H148" s="2">
        <v>169</v>
      </c>
      <c r="I148" s="2">
        <v>68</v>
      </c>
    </row>
    <row r="149" spans="3:9">
      <c r="C149" s="2">
        <v>101</v>
      </c>
      <c r="D149" s="2">
        <v>172</v>
      </c>
      <c r="E149" s="2">
        <v>73</v>
      </c>
      <c r="G149" s="2">
        <v>129</v>
      </c>
      <c r="H149" s="2">
        <v>159</v>
      </c>
      <c r="I149" s="2">
        <v>68</v>
      </c>
    </row>
    <row r="150" spans="3:9">
      <c r="C150" s="2">
        <v>108</v>
      </c>
      <c r="D150" s="2">
        <v>172</v>
      </c>
      <c r="E150" s="2">
        <v>67</v>
      </c>
      <c r="G150" s="2">
        <v>131</v>
      </c>
      <c r="H150" s="2">
        <v>167</v>
      </c>
      <c r="I150" s="2">
        <v>68</v>
      </c>
    </row>
    <row r="151" spans="3:9">
      <c r="C151" s="2">
        <v>123</v>
      </c>
      <c r="D151" s="2">
        <v>172</v>
      </c>
      <c r="E151" s="2">
        <v>74</v>
      </c>
      <c r="G151" s="2">
        <v>154</v>
      </c>
      <c r="H151" s="2">
        <v>177</v>
      </c>
      <c r="I151" s="2">
        <v>68</v>
      </c>
    </row>
    <row r="152" spans="3:9">
      <c r="C152" s="2">
        <v>141</v>
      </c>
      <c r="D152" s="2">
        <v>172</v>
      </c>
      <c r="E152" s="2">
        <v>67</v>
      </c>
      <c r="G152" s="2">
        <v>39</v>
      </c>
      <c r="H152" s="2">
        <v>174</v>
      </c>
      <c r="I152" s="2">
        <v>69</v>
      </c>
    </row>
    <row r="153" spans="3:9">
      <c r="C153" s="2">
        <v>145</v>
      </c>
      <c r="D153" s="2">
        <v>172</v>
      </c>
      <c r="E153" s="2">
        <v>64</v>
      </c>
      <c r="G153" s="2">
        <v>42</v>
      </c>
      <c r="H153" s="2">
        <v>171</v>
      </c>
      <c r="I153" s="2">
        <v>69</v>
      </c>
    </row>
    <row r="154" spans="3:9">
      <c r="C154" s="2">
        <v>155</v>
      </c>
      <c r="D154" s="2">
        <v>172</v>
      </c>
      <c r="E154" s="2">
        <v>63</v>
      </c>
      <c r="G154" s="2">
        <v>52</v>
      </c>
      <c r="H154" s="2">
        <v>178</v>
      </c>
      <c r="I154" s="2">
        <v>69</v>
      </c>
    </row>
    <row r="155" spans="3:9">
      <c r="C155" s="2">
        <v>157</v>
      </c>
      <c r="D155" s="2">
        <v>172</v>
      </c>
      <c r="E155" s="2">
        <v>67</v>
      </c>
      <c r="G155" s="2">
        <v>55</v>
      </c>
      <c r="H155" s="2">
        <v>173</v>
      </c>
      <c r="I155" s="2">
        <v>69</v>
      </c>
    </row>
    <row r="156" spans="3:9">
      <c r="C156" s="2">
        <v>162</v>
      </c>
      <c r="D156" s="2">
        <v>172</v>
      </c>
      <c r="E156" s="2">
        <v>72</v>
      </c>
      <c r="G156" s="2">
        <v>96</v>
      </c>
      <c r="H156" s="2">
        <v>170</v>
      </c>
      <c r="I156" s="2">
        <v>69</v>
      </c>
    </row>
    <row r="157" spans="3:9">
      <c r="C157" s="2">
        <v>187</v>
      </c>
      <c r="D157" s="2">
        <v>172</v>
      </c>
      <c r="E157" s="2">
        <v>67</v>
      </c>
      <c r="G157" s="2">
        <v>100</v>
      </c>
      <c r="H157" s="2">
        <v>178</v>
      </c>
      <c r="I157" s="2">
        <v>69</v>
      </c>
    </row>
    <row r="158" spans="3:9">
      <c r="C158" s="2">
        <v>29</v>
      </c>
      <c r="D158" s="2">
        <v>173</v>
      </c>
      <c r="E158" s="2">
        <v>63</v>
      </c>
      <c r="G158" s="2">
        <v>149</v>
      </c>
      <c r="H158" s="2">
        <v>171</v>
      </c>
      <c r="I158" s="2">
        <v>69</v>
      </c>
    </row>
    <row r="159" spans="3:9">
      <c r="C159" s="2">
        <v>43</v>
      </c>
      <c r="D159" s="2">
        <v>173</v>
      </c>
      <c r="E159" s="2">
        <v>68</v>
      </c>
      <c r="G159" s="2">
        <v>2</v>
      </c>
      <c r="H159" s="2">
        <v>171</v>
      </c>
      <c r="I159" s="2">
        <v>70</v>
      </c>
    </row>
    <row r="160" spans="3:9">
      <c r="C160" s="2">
        <v>50</v>
      </c>
      <c r="D160" s="2">
        <v>173</v>
      </c>
      <c r="E160" s="2">
        <v>71</v>
      </c>
      <c r="G160" s="2">
        <v>44</v>
      </c>
      <c r="H160" s="2">
        <v>176</v>
      </c>
      <c r="I160" s="2">
        <v>70</v>
      </c>
    </row>
    <row r="161" spans="3:9">
      <c r="C161" s="2">
        <v>55</v>
      </c>
      <c r="D161" s="2">
        <v>173</v>
      </c>
      <c r="E161" s="2">
        <v>69</v>
      </c>
      <c r="G161" s="2">
        <v>53</v>
      </c>
      <c r="H161" s="2">
        <v>170</v>
      </c>
      <c r="I161" s="2">
        <v>70</v>
      </c>
    </row>
    <row r="162" spans="3:9">
      <c r="C162" s="2">
        <v>144</v>
      </c>
      <c r="D162" s="2">
        <v>173</v>
      </c>
      <c r="E162" s="2">
        <v>77</v>
      </c>
      <c r="G162" s="2">
        <v>56</v>
      </c>
      <c r="H162" s="2">
        <v>176</v>
      </c>
      <c r="I162" s="2">
        <v>70</v>
      </c>
    </row>
    <row r="163" spans="3:9">
      <c r="C163" s="2">
        <v>186</v>
      </c>
      <c r="D163" s="2">
        <v>173</v>
      </c>
      <c r="E163" s="2">
        <v>63</v>
      </c>
      <c r="G163" s="2">
        <v>105</v>
      </c>
      <c r="H163" s="2">
        <v>171</v>
      </c>
      <c r="I163" s="2">
        <v>70</v>
      </c>
    </row>
    <row r="164" spans="3:9">
      <c r="C164" s="2">
        <v>39</v>
      </c>
      <c r="D164" s="2">
        <v>174</v>
      </c>
      <c r="E164" s="2">
        <v>69</v>
      </c>
      <c r="G164" s="2">
        <v>135</v>
      </c>
      <c r="H164" s="2">
        <v>171</v>
      </c>
      <c r="I164" s="2">
        <v>70</v>
      </c>
    </row>
    <row r="165" spans="3:9">
      <c r="C165" s="2">
        <v>48</v>
      </c>
      <c r="D165" s="2">
        <v>174</v>
      </c>
      <c r="E165" s="2">
        <v>66</v>
      </c>
      <c r="G165" s="2">
        <v>167</v>
      </c>
      <c r="H165" s="2">
        <v>168</v>
      </c>
      <c r="I165" s="2">
        <v>70</v>
      </c>
    </row>
    <row r="166" spans="3:9">
      <c r="C166" s="2">
        <v>71</v>
      </c>
      <c r="D166" s="2">
        <v>174</v>
      </c>
      <c r="E166" s="2">
        <v>75</v>
      </c>
      <c r="G166" s="2">
        <v>180</v>
      </c>
      <c r="H166" s="2">
        <v>176</v>
      </c>
      <c r="I166" s="2">
        <v>70</v>
      </c>
    </row>
    <row r="167" spans="3:9">
      <c r="C167" s="2">
        <v>150</v>
      </c>
      <c r="D167" s="2">
        <v>174</v>
      </c>
      <c r="E167" s="2">
        <v>74</v>
      </c>
      <c r="G167" s="2">
        <v>193</v>
      </c>
      <c r="H167" s="2">
        <v>164</v>
      </c>
      <c r="I167" s="2">
        <v>70</v>
      </c>
    </row>
    <row r="168" spans="3:9">
      <c r="C168" s="2">
        <v>183</v>
      </c>
      <c r="D168" s="2">
        <v>174</v>
      </c>
      <c r="E168" s="2">
        <v>73</v>
      </c>
      <c r="G168" s="2">
        <v>50</v>
      </c>
      <c r="H168" s="2">
        <v>173</v>
      </c>
      <c r="I168" s="2">
        <v>71</v>
      </c>
    </row>
    <row r="169" spans="3:9">
      <c r="C169" s="2">
        <v>25</v>
      </c>
      <c r="D169" s="2">
        <v>175</v>
      </c>
      <c r="E169" s="2">
        <v>66</v>
      </c>
      <c r="G169" s="2">
        <v>177</v>
      </c>
      <c r="H169" s="2">
        <v>179</v>
      </c>
      <c r="I169" s="2">
        <v>71</v>
      </c>
    </row>
    <row r="170" spans="3:9">
      <c r="C170" s="2">
        <v>80</v>
      </c>
      <c r="D170" s="2">
        <v>175</v>
      </c>
      <c r="E170" s="2">
        <v>75</v>
      </c>
      <c r="G170" s="2">
        <v>28</v>
      </c>
      <c r="H170" s="2">
        <v>184</v>
      </c>
      <c r="I170" s="2">
        <v>72</v>
      </c>
    </row>
    <row r="171" spans="3:9">
      <c r="C171" s="2">
        <v>89</v>
      </c>
      <c r="D171" s="2">
        <v>175</v>
      </c>
      <c r="E171" s="2">
        <v>75</v>
      </c>
      <c r="G171" s="2">
        <v>162</v>
      </c>
      <c r="H171" s="2">
        <v>172</v>
      </c>
      <c r="I171" s="2">
        <v>72</v>
      </c>
    </row>
    <row r="172" spans="3:9">
      <c r="C172" s="2">
        <v>170</v>
      </c>
      <c r="D172" s="2">
        <v>175</v>
      </c>
      <c r="E172" s="2">
        <v>64</v>
      </c>
      <c r="G172" s="2">
        <v>191</v>
      </c>
      <c r="H172" s="2">
        <v>163</v>
      </c>
      <c r="I172" s="2">
        <v>72</v>
      </c>
    </row>
    <row r="173" spans="3:9">
      <c r="C173" s="2">
        <v>1</v>
      </c>
      <c r="D173" s="2">
        <v>176</v>
      </c>
      <c r="E173" s="2">
        <v>65</v>
      </c>
      <c r="G173" s="2">
        <v>21</v>
      </c>
      <c r="H173" s="2">
        <v>168</v>
      </c>
      <c r="I173" s="2">
        <v>73</v>
      </c>
    </row>
    <row r="174" spans="3:9">
      <c r="C174" s="2">
        <v>14</v>
      </c>
      <c r="D174" s="2">
        <v>176</v>
      </c>
      <c r="E174" s="2">
        <v>78</v>
      </c>
      <c r="G174" s="2">
        <v>49</v>
      </c>
      <c r="H174" s="2">
        <v>183</v>
      </c>
      <c r="I174" s="2">
        <v>73</v>
      </c>
    </row>
    <row r="175" spans="3:9">
      <c r="C175" s="2">
        <v>33</v>
      </c>
      <c r="D175" s="2">
        <v>176</v>
      </c>
      <c r="E175" s="2">
        <v>81</v>
      </c>
      <c r="G175" s="2">
        <v>101</v>
      </c>
      <c r="H175" s="2">
        <v>172</v>
      </c>
      <c r="I175" s="2">
        <v>73</v>
      </c>
    </row>
    <row r="176" spans="3:9">
      <c r="C176" s="2">
        <v>44</v>
      </c>
      <c r="D176" s="2">
        <v>176</v>
      </c>
      <c r="E176" s="2">
        <v>70</v>
      </c>
      <c r="G176" s="2">
        <v>152</v>
      </c>
      <c r="H176" s="2">
        <v>170</v>
      </c>
      <c r="I176" s="2">
        <v>73</v>
      </c>
    </row>
    <row r="177" spans="3:9">
      <c r="C177" s="2">
        <v>56</v>
      </c>
      <c r="D177" s="2">
        <v>176</v>
      </c>
      <c r="E177" s="2">
        <v>70</v>
      </c>
      <c r="G177" s="2">
        <v>171</v>
      </c>
      <c r="H177" s="2">
        <v>180</v>
      </c>
      <c r="I177" s="2">
        <v>73</v>
      </c>
    </row>
    <row r="178" spans="3:9">
      <c r="C178" s="2">
        <v>75</v>
      </c>
      <c r="D178" s="2">
        <v>176</v>
      </c>
      <c r="E178" s="2">
        <v>62</v>
      </c>
      <c r="G178" s="2">
        <v>183</v>
      </c>
      <c r="H178" s="2">
        <v>174</v>
      </c>
      <c r="I178" s="2">
        <v>73</v>
      </c>
    </row>
    <row r="179" spans="3:9">
      <c r="C179" s="2">
        <v>130</v>
      </c>
      <c r="D179" s="2">
        <v>176</v>
      </c>
      <c r="E179" s="2">
        <v>62</v>
      </c>
      <c r="G179" s="2">
        <v>32</v>
      </c>
      <c r="H179" s="2">
        <v>172</v>
      </c>
      <c r="I179" s="2">
        <v>74</v>
      </c>
    </row>
    <row r="180" spans="3:9">
      <c r="C180" s="2">
        <v>159</v>
      </c>
      <c r="D180" s="2">
        <v>176</v>
      </c>
      <c r="E180" s="2">
        <v>67</v>
      </c>
      <c r="G180" s="2">
        <v>69</v>
      </c>
      <c r="H180" s="2">
        <v>169</v>
      </c>
      <c r="I180" s="2">
        <v>74</v>
      </c>
    </row>
    <row r="181" spans="3:9">
      <c r="C181" s="2">
        <v>180</v>
      </c>
      <c r="D181" s="2">
        <v>176</v>
      </c>
      <c r="E181" s="2">
        <v>70</v>
      </c>
      <c r="G181" s="2">
        <v>111</v>
      </c>
      <c r="H181" s="2">
        <v>169</v>
      </c>
      <c r="I181" s="2">
        <v>74</v>
      </c>
    </row>
    <row r="182" spans="3:9">
      <c r="C182" s="2">
        <v>138</v>
      </c>
      <c r="D182" s="2">
        <v>177</v>
      </c>
      <c r="E182" s="2">
        <v>67</v>
      </c>
      <c r="G182" s="2">
        <v>123</v>
      </c>
      <c r="H182" s="2">
        <v>172</v>
      </c>
      <c r="I182" s="2">
        <v>74</v>
      </c>
    </row>
    <row r="183" spans="3:9">
      <c r="C183" s="2">
        <v>154</v>
      </c>
      <c r="D183" s="2">
        <v>177</v>
      </c>
      <c r="E183" s="2">
        <v>68</v>
      </c>
      <c r="G183" s="2">
        <v>150</v>
      </c>
      <c r="H183" s="2">
        <v>174</v>
      </c>
      <c r="I183" s="2">
        <v>74</v>
      </c>
    </row>
    <row r="184" spans="3:9">
      <c r="C184" s="2">
        <v>52</v>
      </c>
      <c r="D184" s="2">
        <v>178</v>
      </c>
      <c r="E184" s="2">
        <v>69</v>
      </c>
      <c r="G184" s="2">
        <v>36</v>
      </c>
      <c r="H184" s="2">
        <v>188</v>
      </c>
      <c r="I184" s="2">
        <v>75</v>
      </c>
    </row>
    <row r="185" spans="3:9">
      <c r="C185" s="2">
        <v>68</v>
      </c>
      <c r="D185" s="2">
        <v>178</v>
      </c>
      <c r="E185" s="2">
        <v>75</v>
      </c>
      <c r="G185" s="2">
        <v>68</v>
      </c>
      <c r="H185" s="2">
        <v>178</v>
      </c>
      <c r="I185" s="2">
        <v>75</v>
      </c>
    </row>
    <row r="186" spans="3:9">
      <c r="C186" s="2">
        <v>98</v>
      </c>
      <c r="D186" s="2">
        <v>178</v>
      </c>
      <c r="E186" s="2">
        <v>75</v>
      </c>
      <c r="G186" s="2">
        <v>71</v>
      </c>
      <c r="H186" s="2">
        <v>174</v>
      </c>
      <c r="I186" s="2">
        <v>75</v>
      </c>
    </row>
    <row r="187" spans="3:9">
      <c r="C187" s="2">
        <v>100</v>
      </c>
      <c r="D187" s="2">
        <v>178</v>
      </c>
      <c r="E187" s="2">
        <v>69</v>
      </c>
      <c r="G187" s="2">
        <v>80</v>
      </c>
      <c r="H187" s="2">
        <v>175</v>
      </c>
      <c r="I187" s="2">
        <v>75</v>
      </c>
    </row>
    <row r="188" spans="3:9">
      <c r="C188" s="2">
        <v>177</v>
      </c>
      <c r="D188" s="2">
        <v>179</v>
      </c>
      <c r="E188" s="2">
        <v>71</v>
      </c>
      <c r="G188" s="2">
        <v>89</v>
      </c>
      <c r="H188" s="2">
        <v>175</v>
      </c>
      <c r="I188" s="2">
        <v>75</v>
      </c>
    </row>
    <row r="189" spans="3:9">
      <c r="C189" s="2">
        <v>185</v>
      </c>
      <c r="D189" s="2">
        <v>179</v>
      </c>
      <c r="E189" s="2">
        <v>63</v>
      </c>
      <c r="G189" s="2">
        <v>98</v>
      </c>
      <c r="H189" s="2">
        <v>178</v>
      </c>
      <c r="I189" s="2">
        <v>75</v>
      </c>
    </row>
    <row r="190" spans="3:9">
      <c r="C190" s="2">
        <v>92</v>
      </c>
      <c r="D190" s="2">
        <v>180</v>
      </c>
      <c r="E190" s="2">
        <v>65</v>
      </c>
      <c r="G190" s="2">
        <v>4</v>
      </c>
      <c r="H190" s="2">
        <v>182</v>
      </c>
      <c r="I190" s="2">
        <v>76</v>
      </c>
    </row>
    <row r="191" spans="3:9">
      <c r="C191" s="2">
        <v>118</v>
      </c>
      <c r="D191" s="2">
        <v>180</v>
      </c>
      <c r="E191" s="2">
        <v>84</v>
      </c>
      <c r="G191" s="2">
        <v>7</v>
      </c>
      <c r="H191" s="2">
        <v>170</v>
      </c>
      <c r="I191" s="2">
        <v>76</v>
      </c>
    </row>
    <row r="192" spans="3:9">
      <c r="C192" s="2">
        <v>171</v>
      </c>
      <c r="D192" s="2">
        <v>180</v>
      </c>
      <c r="E192" s="2">
        <v>73</v>
      </c>
      <c r="G192" s="2">
        <v>198</v>
      </c>
      <c r="H192" s="2">
        <v>180</v>
      </c>
      <c r="I192" s="2">
        <v>76</v>
      </c>
    </row>
    <row r="193" spans="3:9">
      <c r="C193" s="2">
        <v>198</v>
      </c>
      <c r="D193" s="2">
        <v>180</v>
      </c>
      <c r="E193" s="2">
        <v>76</v>
      </c>
      <c r="G193" s="2">
        <v>199</v>
      </c>
      <c r="H193" s="2">
        <v>165</v>
      </c>
      <c r="I193" s="2">
        <v>76</v>
      </c>
    </row>
    <row r="194" spans="3:9">
      <c r="C194" s="2">
        <v>8</v>
      </c>
      <c r="D194" s="2">
        <v>181</v>
      </c>
      <c r="E194" s="2">
        <v>68</v>
      </c>
      <c r="G194" s="2">
        <v>64</v>
      </c>
      <c r="H194" s="2">
        <v>181</v>
      </c>
      <c r="I194" s="2">
        <v>77</v>
      </c>
    </row>
    <row r="195" spans="3:9">
      <c r="C195" s="2">
        <v>64</v>
      </c>
      <c r="D195" s="2">
        <v>181</v>
      </c>
      <c r="E195" s="2">
        <v>77</v>
      </c>
      <c r="G195" s="2">
        <v>121</v>
      </c>
      <c r="H195" s="2">
        <v>181</v>
      </c>
      <c r="I195" s="2">
        <v>77</v>
      </c>
    </row>
    <row r="196" spans="3:9">
      <c r="C196" s="2">
        <v>121</v>
      </c>
      <c r="D196" s="2">
        <v>181</v>
      </c>
      <c r="E196" s="2">
        <v>77</v>
      </c>
      <c r="G196" s="2">
        <v>144</v>
      </c>
      <c r="H196" s="2">
        <v>173</v>
      </c>
      <c r="I196" s="2">
        <v>77</v>
      </c>
    </row>
    <row r="197" spans="3:9">
      <c r="C197" s="2">
        <v>4</v>
      </c>
      <c r="D197" s="2">
        <v>182</v>
      </c>
      <c r="E197" s="2">
        <v>76</v>
      </c>
      <c r="G197" s="2">
        <v>14</v>
      </c>
      <c r="H197" s="2">
        <v>176</v>
      </c>
      <c r="I197" s="2">
        <v>78</v>
      </c>
    </row>
    <row r="198" spans="3:9">
      <c r="C198" s="2">
        <v>49</v>
      </c>
      <c r="D198" s="2">
        <v>183</v>
      </c>
      <c r="E198" s="2">
        <v>73</v>
      </c>
      <c r="G198" s="2">
        <v>67</v>
      </c>
      <c r="H198" s="2">
        <v>172</v>
      </c>
      <c r="I198" s="2">
        <v>78</v>
      </c>
    </row>
    <row r="199" spans="3:9">
      <c r="C199" s="2">
        <v>28</v>
      </c>
      <c r="D199" s="2">
        <v>184</v>
      </c>
      <c r="E199" s="2">
        <v>72</v>
      </c>
      <c r="G199" s="2">
        <v>134</v>
      </c>
      <c r="H199" s="2">
        <v>190</v>
      </c>
      <c r="I199" s="2">
        <v>80</v>
      </c>
    </row>
    <row r="200" spans="3:9">
      <c r="C200" s="2">
        <v>125</v>
      </c>
      <c r="D200" s="2">
        <v>187</v>
      </c>
      <c r="E200" s="2">
        <v>84</v>
      </c>
      <c r="G200" s="2">
        <v>33</v>
      </c>
      <c r="H200" s="2">
        <v>176</v>
      </c>
      <c r="I200" s="2">
        <v>81</v>
      </c>
    </row>
    <row r="201" spans="3:9">
      <c r="C201" s="2">
        <v>36</v>
      </c>
      <c r="D201" s="2">
        <v>188</v>
      </c>
      <c r="E201" s="2">
        <v>75</v>
      </c>
      <c r="G201" s="2">
        <v>118</v>
      </c>
      <c r="H201" s="2">
        <v>180</v>
      </c>
      <c r="I201" s="2">
        <v>84</v>
      </c>
    </row>
    <row r="202" spans="3:9">
      <c r="C202" s="2">
        <v>134</v>
      </c>
      <c r="D202" s="2">
        <v>190</v>
      </c>
      <c r="E202" s="2">
        <v>80</v>
      </c>
      <c r="G202" s="2">
        <v>125</v>
      </c>
      <c r="H202" s="2">
        <v>187</v>
      </c>
      <c r="I202" s="2">
        <v>84</v>
      </c>
    </row>
  </sheetData>
  <sortState xmlns:xlrd2="http://schemas.microsoft.com/office/spreadsheetml/2017/richdata2" ref="G3:I202">
    <sortCondition ref="I2:I202"/>
  </sortState>
  <mergeCells count="2">
    <mergeCell ref="G1:I1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9412-14D2-D643-B108-8C7F9E8CA3D5}">
  <dimension ref="A1:N25"/>
  <sheetViews>
    <sheetView zoomScaleNormal="100" workbookViewId="0">
      <selection activeCell="H32" sqref="H32"/>
    </sheetView>
  </sheetViews>
  <sheetFormatPr baseColWidth="10" defaultRowHeight="16"/>
  <cols>
    <col min="1" max="1" width="108.6640625" bestFit="1" customWidth="1"/>
    <col min="3" max="3" width="16.33203125" bestFit="1" customWidth="1"/>
  </cols>
  <sheetData>
    <row r="1" spans="1:14">
      <c r="A1" s="6" t="s">
        <v>3</v>
      </c>
      <c r="C1" s="15"/>
      <c r="D1" s="139" t="s">
        <v>10</v>
      </c>
      <c r="E1" s="139"/>
      <c r="F1" s="139"/>
      <c r="G1" s="140"/>
    </row>
    <row r="2" spans="1:14">
      <c r="A2" s="22" t="s">
        <v>13</v>
      </c>
      <c r="C2" s="15"/>
      <c r="D2" s="141" t="s">
        <v>6</v>
      </c>
      <c r="E2" s="142"/>
      <c r="F2" s="143" t="s">
        <v>7</v>
      </c>
      <c r="G2" s="142"/>
    </row>
    <row r="3" spans="1:14">
      <c r="A3" s="22" t="s">
        <v>14</v>
      </c>
      <c r="C3" s="15"/>
      <c r="D3" s="10" t="s">
        <v>8</v>
      </c>
      <c r="E3" s="9" t="s">
        <v>9</v>
      </c>
      <c r="F3" s="9" t="s">
        <v>8</v>
      </c>
      <c r="G3" s="9" t="s">
        <v>9</v>
      </c>
    </row>
    <row r="4" spans="1:14">
      <c r="A4" s="22" t="s">
        <v>17</v>
      </c>
      <c r="C4" s="16"/>
      <c r="D4" s="11">
        <f>MIN('1'!$D3:$D202)</f>
        <v>156</v>
      </c>
      <c r="E4" s="12">
        <f>MAX('1'!$D3:$D202)</f>
        <v>190</v>
      </c>
      <c r="F4" s="11">
        <f>MIN('1'!$I3:$I202)</f>
        <v>51</v>
      </c>
      <c r="G4" s="12">
        <f>MAX('1'!$I3:$I202)</f>
        <v>84</v>
      </c>
    </row>
    <row r="5" spans="1:14">
      <c r="A5" s="22" t="s">
        <v>18</v>
      </c>
      <c r="C5" s="14" t="s">
        <v>15</v>
      </c>
      <c r="D5" s="148">
        <f>$E4-$D4</f>
        <v>34</v>
      </c>
      <c r="E5" s="149"/>
      <c r="F5" s="148">
        <f>$G4 -$F4</f>
        <v>33</v>
      </c>
      <c r="G5" s="150"/>
    </row>
    <row r="6" spans="1:14">
      <c r="A6" s="22" t="s">
        <v>19</v>
      </c>
      <c r="D6" s="13"/>
      <c r="E6" s="13"/>
    </row>
    <row r="7" spans="1:14">
      <c r="A7" s="22" t="s">
        <v>20</v>
      </c>
    </row>
    <row r="8" spans="1:14">
      <c r="A8" s="22" t="s">
        <v>24</v>
      </c>
      <c r="C8" s="17"/>
      <c r="D8" s="138" t="s">
        <v>16</v>
      </c>
      <c r="E8" s="138"/>
      <c r="F8" s="138"/>
      <c r="G8" s="138"/>
      <c r="H8" s="138"/>
      <c r="I8" s="138"/>
      <c r="J8" s="138"/>
      <c r="K8" s="138"/>
      <c r="L8" s="138"/>
      <c r="M8" s="138"/>
      <c r="N8" s="138"/>
    </row>
    <row r="9" spans="1:14">
      <c r="A9" s="22" t="s">
        <v>26</v>
      </c>
      <c r="C9" s="9" t="s">
        <v>6</v>
      </c>
      <c r="D9" s="8">
        <f>$D$4</f>
        <v>156</v>
      </c>
      <c r="E9" s="8">
        <f>ROUNDDOWN(D9+$D$5/10, 0)</f>
        <v>159</v>
      </c>
      <c r="F9" s="8">
        <f>ROUNDUP(E9+$D$5/10, 0)</f>
        <v>163</v>
      </c>
      <c r="G9" s="8">
        <f>ROUNDDOWN(F9+$D$5/10, 0)</f>
        <v>166</v>
      </c>
      <c r="H9" s="8">
        <f>ROUNDUP(G9+$D$5/10, 0)</f>
        <v>170</v>
      </c>
      <c r="I9" s="8">
        <f>ROUNDDOWN(H9+$D$5/10, 0)</f>
        <v>173</v>
      </c>
      <c r="J9" s="8">
        <f>ROUNDUP(I9+$D$5/10, 0)</f>
        <v>177</v>
      </c>
      <c r="K9" s="8">
        <f>ROUNDDOWN(J9+$D$5/10, 0)</f>
        <v>180</v>
      </c>
      <c r="L9" s="8">
        <f>ROUNDUP(K9+$D$5/10, 0)</f>
        <v>184</v>
      </c>
      <c r="M9" s="8">
        <f>ROUNDDOWN(L9+$D$5/10, 0)</f>
        <v>187</v>
      </c>
      <c r="N9" s="8">
        <f>$E$4</f>
        <v>190</v>
      </c>
    </row>
    <row r="10" spans="1:14">
      <c r="A10" s="58" t="s">
        <v>49</v>
      </c>
      <c r="C10" s="9" t="s">
        <v>7</v>
      </c>
      <c r="D10" s="8">
        <f>$F$4</f>
        <v>51</v>
      </c>
      <c r="E10" s="8">
        <f>ROUNDDOWN(D10+$F$5/10, 0)</f>
        <v>54</v>
      </c>
      <c r="F10" s="8">
        <f>ROUNDUP(E10+$F$5/10, 0)</f>
        <v>58</v>
      </c>
      <c r="G10" s="8">
        <f>ROUNDDOWN(F10+$F$5/10, 0)</f>
        <v>61</v>
      </c>
      <c r="H10" s="8">
        <f>ROUNDUP(G10+$F$5/10, 0)</f>
        <v>65</v>
      </c>
      <c r="I10" s="8">
        <f>ROUNDDOWN(H10+$F$5/10, 0)</f>
        <v>68</v>
      </c>
      <c r="J10" s="8">
        <f>ROUNDUP(I10+$F$5/10, 0)</f>
        <v>72</v>
      </c>
      <c r="K10" s="8">
        <f>ROUNDDOWN(J10+$F$5/10, 0)</f>
        <v>75</v>
      </c>
      <c r="L10" s="8">
        <f>ROUNDUP(K10+$F$5/10, 0)</f>
        <v>79</v>
      </c>
      <c r="M10" s="8">
        <f>ROUNDDOWN(L10+$F$5/10, 0)</f>
        <v>82</v>
      </c>
      <c r="N10" s="8">
        <f>$G$4</f>
        <v>84</v>
      </c>
    </row>
    <row r="11" spans="1:14">
      <c r="A11" s="59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18"/>
    </row>
    <row r="12" spans="1:14">
      <c r="H12" s="21"/>
      <c r="I12" s="21"/>
      <c r="J12" s="21"/>
      <c r="K12" s="21"/>
      <c r="L12" s="21"/>
      <c r="M12" s="21"/>
      <c r="N12" s="21"/>
    </row>
    <row r="13" spans="1:14">
      <c r="C13" s="138" t="s">
        <v>21</v>
      </c>
      <c r="D13" s="138"/>
      <c r="E13" s="138"/>
      <c r="F13" s="138"/>
      <c r="G13" s="138"/>
      <c r="H13" s="144" t="s">
        <v>25</v>
      </c>
      <c r="I13" s="145"/>
      <c r="J13" s="138" t="s">
        <v>48</v>
      </c>
      <c r="K13" s="138"/>
    </row>
    <row r="14" spans="1:14">
      <c r="C14" s="137" t="s">
        <v>0</v>
      </c>
      <c r="D14" s="138" t="s">
        <v>6</v>
      </c>
      <c r="E14" s="138"/>
      <c r="F14" s="138" t="s">
        <v>7</v>
      </c>
      <c r="G14" s="138"/>
      <c r="H14" s="146"/>
      <c r="I14" s="147"/>
      <c r="J14" s="138"/>
      <c r="K14" s="138"/>
    </row>
    <row r="15" spans="1:14">
      <c r="C15" s="137"/>
      <c r="D15" s="9" t="s">
        <v>22</v>
      </c>
      <c r="E15" s="9" t="s">
        <v>23</v>
      </c>
      <c r="F15" s="9" t="s">
        <v>22</v>
      </c>
      <c r="G15" s="9" t="s">
        <v>23</v>
      </c>
      <c r="H15" s="9" t="s">
        <v>6</v>
      </c>
      <c r="I15" s="9" t="s">
        <v>7</v>
      </c>
      <c r="J15" s="9" t="s">
        <v>6</v>
      </c>
      <c r="K15" s="9" t="s">
        <v>7</v>
      </c>
    </row>
    <row r="16" spans="1:14">
      <c r="C16" s="8">
        <v>1</v>
      </c>
      <c r="D16" s="8">
        <f>D9</f>
        <v>156</v>
      </c>
      <c r="E16" s="8">
        <f t="shared" ref="E16:E24" si="0">D17</f>
        <v>159</v>
      </c>
      <c r="F16" s="8">
        <f>D10</f>
        <v>51</v>
      </c>
      <c r="G16" s="8">
        <f t="shared" ref="G16:G24" si="1">F17</f>
        <v>54</v>
      </c>
      <c r="H16" s="8">
        <f>COUNTIFS('1'!D3:'1'!D202, ("&gt;="&amp;D16), '1'!D3:'1'!D202,  ("&lt;"&amp;E16))</f>
        <v>4</v>
      </c>
      <c r="I16" s="8">
        <f>COUNTIFS('1'!I3:'1'!I202, ("&gt;="&amp;F16), '1'!I3:'1'!I202,  ("&lt;"&amp;G16))</f>
        <v>8</v>
      </c>
      <c r="J16" s="29">
        <f t="shared" ref="J16:J25" si="2">H16/200</f>
        <v>0.02</v>
      </c>
      <c r="K16" s="29">
        <f t="shared" ref="K16:K25" si="3">I16/200</f>
        <v>0.04</v>
      </c>
    </row>
    <row r="17" spans="3:11">
      <c r="C17" s="8">
        <v>2</v>
      </c>
      <c r="D17" s="8">
        <f>E9</f>
        <v>159</v>
      </c>
      <c r="E17" s="8">
        <f t="shared" si="0"/>
        <v>163</v>
      </c>
      <c r="F17" s="8">
        <f>E10</f>
        <v>54</v>
      </c>
      <c r="G17" s="8">
        <f t="shared" si="1"/>
        <v>58</v>
      </c>
      <c r="H17" s="8">
        <f>COUNTIFS('1'!D4:'1'!D203, ("&gt;="&amp;D17 ), '1'!D4:'1'!D203,  ("&lt;"&amp;E17))</f>
        <v>33</v>
      </c>
      <c r="I17" s="8">
        <f>COUNTIFS('1'!I4:'1'!I203, ("&gt;="&amp;F17), '1'!I4:'1'!I203,  ("&lt;"&amp;G17))</f>
        <v>23</v>
      </c>
      <c r="J17" s="29">
        <f t="shared" si="2"/>
        <v>0.16500000000000001</v>
      </c>
      <c r="K17" s="29">
        <f t="shared" si="3"/>
        <v>0.115</v>
      </c>
    </row>
    <row r="18" spans="3:11">
      <c r="C18" s="8">
        <v>3</v>
      </c>
      <c r="D18" s="8">
        <f>F9</f>
        <v>163</v>
      </c>
      <c r="E18" s="8">
        <f t="shared" si="0"/>
        <v>166</v>
      </c>
      <c r="F18" s="8">
        <f>F10</f>
        <v>58</v>
      </c>
      <c r="G18" s="8">
        <f t="shared" si="1"/>
        <v>61</v>
      </c>
      <c r="H18" s="8">
        <f>COUNTIFS('1'!D5:'1'!D204, ("&gt;="&amp;D18 ), '1'!D5:'1'!D204,  ("&lt;"&amp;E18))</f>
        <v>35</v>
      </c>
      <c r="I18" s="8">
        <f>COUNTIFS('1'!I5:'1'!I204, ("&gt;="&amp;F18), '1'!I5:'1'!I204,  ("&lt;"&amp;G18))</f>
        <v>22</v>
      </c>
      <c r="J18" s="29">
        <f t="shared" si="2"/>
        <v>0.17499999999999999</v>
      </c>
      <c r="K18" s="29">
        <f t="shared" si="3"/>
        <v>0.11</v>
      </c>
    </row>
    <row r="19" spans="3:11">
      <c r="C19" s="8">
        <v>4</v>
      </c>
      <c r="D19" s="8">
        <f>G9</f>
        <v>166</v>
      </c>
      <c r="E19" s="8">
        <f t="shared" si="0"/>
        <v>170</v>
      </c>
      <c r="F19" s="8">
        <f>G10</f>
        <v>61</v>
      </c>
      <c r="G19" s="8">
        <f t="shared" si="1"/>
        <v>65</v>
      </c>
      <c r="H19" s="8">
        <f>COUNTIFS('1'!D6:'1'!D205, ("&gt;="&amp;D19 ), '1'!D6:'1'!D205,  ("&lt;"&amp;E19))</f>
        <v>42</v>
      </c>
      <c r="I19" s="8">
        <f>COUNTIFS('1'!I6:'1'!I205, ("&gt;="&amp;F19), '1'!I6:'1'!I205,  ("&lt;"&amp;G19))</f>
        <v>52</v>
      </c>
      <c r="J19" s="29">
        <f t="shared" si="2"/>
        <v>0.21</v>
      </c>
      <c r="K19" s="29">
        <f t="shared" si="3"/>
        <v>0.26</v>
      </c>
    </row>
    <row r="20" spans="3:11">
      <c r="C20" s="8">
        <v>5</v>
      </c>
      <c r="D20" s="8">
        <f>H9</f>
        <v>170</v>
      </c>
      <c r="E20" s="8">
        <f t="shared" si="0"/>
        <v>173</v>
      </c>
      <c r="F20" s="8">
        <f>H10</f>
        <v>65</v>
      </c>
      <c r="G20" s="8">
        <f t="shared" si="1"/>
        <v>68</v>
      </c>
      <c r="H20" s="8">
        <f>COUNTIFS('1'!D7:'1'!D206, ("&gt;="&amp;D20 ), '1'!D7:'1'!D206,  ("&lt;"&amp;E20))</f>
        <v>41</v>
      </c>
      <c r="I20" s="8">
        <f>COUNTIFS('1'!I7:'1'!I206, ("&gt;="&amp;F20), '1'!I7:'1'!I206,  ("&lt;"&amp;G20))</f>
        <v>37</v>
      </c>
      <c r="J20" s="29">
        <f t="shared" si="2"/>
        <v>0.20499999999999999</v>
      </c>
      <c r="K20" s="29">
        <f t="shared" si="3"/>
        <v>0.185</v>
      </c>
    </row>
    <row r="21" spans="3:11">
      <c r="C21" s="8">
        <v>6</v>
      </c>
      <c r="D21" s="8">
        <f>I9</f>
        <v>173</v>
      </c>
      <c r="E21" s="8">
        <f t="shared" si="0"/>
        <v>177</v>
      </c>
      <c r="F21" s="8">
        <f>I10</f>
        <v>68</v>
      </c>
      <c r="G21" s="8">
        <f t="shared" si="1"/>
        <v>72</v>
      </c>
      <c r="H21" s="8">
        <f>COUNTIFS('1'!D8:'1'!D207, ("&gt;="&amp;D21 ), '1'!D8:'1'!D207,  ("&lt;"&amp;E21))</f>
        <v>24</v>
      </c>
      <c r="I21" s="8">
        <f>COUNTIFS('1'!I8:'1'!I207, ("&gt;="&amp;F21), '1'!I8:'1'!I207,  ("&lt;"&amp;G21))</f>
        <v>25</v>
      </c>
      <c r="J21" s="29">
        <f t="shared" si="2"/>
        <v>0.12</v>
      </c>
      <c r="K21" s="29">
        <f t="shared" si="3"/>
        <v>0.125</v>
      </c>
    </row>
    <row r="22" spans="3:11">
      <c r="C22" s="8">
        <v>7</v>
      </c>
      <c r="D22" s="8">
        <f>J9</f>
        <v>177</v>
      </c>
      <c r="E22" s="8">
        <f t="shared" si="0"/>
        <v>180</v>
      </c>
      <c r="F22" s="8">
        <f>J10</f>
        <v>72</v>
      </c>
      <c r="G22" s="8">
        <f t="shared" si="1"/>
        <v>75</v>
      </c>
      <c r="H22" s="8">
        <f>COUNTIFS('1'!D9:'1'!D208, ("&gt;="&amp;D22 ), '1'!D9:'1'!D208,  ("&lt;"&amp;E22))</f>
        <v>8</v>
      </c>
      <c r="I22" s="8">
        <f>COUNTIFS('1'!I9:'1'!I208, ("&gt;="&amp;F22), '1'!I9:'1'!I208,  ("&lt;"&amp;G22))</f>
        <v>14</v>
      </c>
      <c r="J22" s="29">
        <f t="shared" si="2"/>
        <v>0.04</v>
      </c>
      <c r="K22" s="29">
        <f t="shared" si="3"/>
        <v>7.0000000000000007E-2</v>
      </c>
    </row>
    <row r="23" spans="3:11">
      <c r="C23" s="8">
        <v>8</v>
      </c>
      <c r="D23" s="8">
        <f>K9</f>
        <v>180</v>
      </c>
      <c r="E23" s="8">
        <f t="shared" si="0"/>
        <v>184</v>
      </c>
      <c r="F23" s="8">
        <f>K10</f>
        <v>75</v>
      </c>
      <c r="G23" s="8">
        <f t="shared" si="1"/>
        <v>79</v>
      </c>
      <c r="H23" s="8">
        <f>COUNTIFS('1'!D10:'1'!D209, ("&gt;="&amp;D23 ), '1'!D10:'1'!D209,  ("&lt;"&amp;E23))</f>
        <v>9</v>
      </c>
      <c r="I23" s="8">
        <f>COUNTIFS('1'!I10:'1'!I209, ("&gt;="&amp;F23), '1'!I10:'1'!I209,  ("&lt;"&amp;G23))</f>
        <v>15</v>
      </c>
      <c r="J23" s="29">
        <f t="shared" si="2"/>
        <v>4.4999999999999998E-2</v>
      </c>
      <c r="K23" s="29">
        <f t="shared" si="3"/>
        <v>7.4999999999999997E-2</v>
      </c>
    </row>
    <row r="24" spans="3:11">
      <c r="C24" s="8">
        <v>9</v>
      </c>
      <c r="D24" s="8">
        <f>L9</f>
        <v>184</v>
      </c>
      <c r="E24" s="8">
        <f t="shared" si="0"/>
        <v>187</v>
      </c>
      <c r="F24" s="8">
        <f>L10</f>
        <v>79</v>
      </c>
      <c r="G24" s="8">
        <f t="shared" si="1"/>
        <v>82</v>
      </c>
      <c r="H24" s="8">
        <f>COUNTIFS('1'!D11:'1'!D210, ("&gt;="&amp;D24 ), '1'!D11:'1'!D210,  ("&lt;"&amp;E24))</f>
        <v>1</v>
      </c>
      <c r="I24" s="8">
        <f>COUNTIFS('1'!I11:'1'!I210, ("&gt;="&amp;F24), '1'!I11:'1'!I210,  ("&lt;"&amp;G24))</f>
        <v>2</v>
      </c>
      <c r="J24" s="29">
        <f t="shared" si="2"/>
        <v>5.0000000000000001E-3</v>
      </c>
      <c r="K24" s="29">
        <f t="shared" si="3"/>
        <v>0.01</v>
      </c>
    </row>
    <row r="25" spans="3:11">
      <c r="C25" s="8">
        <v>10</v>
      </c>
      <c r="D25" s="8">
        <f>M9</f>
        <v>187</v>
      </c>
      <c r="E25" s="8">
        <f>N9</f>
        <v>190</v>
      </c>
      <c r="F25" s="8">
        <f>M10</f>
        <v>82</v>
      </c>
      <c r="G25" s="8">
        <f>N10</f>
        <v>84</v>
      </c>
      <c r="H25" s="8">
        <f>COUNTIFS('1'!D12:'1'!D211, ("&gt;="&amp;D25 ), '1'!D12:'1'!D211,  ("&lt;="&amp;E25))</f>
        <v>3</v>
      </c>
      <c r="I25" s="8">
        <f>COUNTIFS('1'!I12:'1'!I211, ("&gt;="&amp;F25), '1'!I12:'1'!I211,  ("&lt;="&amp;G25))</f>
        <v>2</v>
      </c>
      <c r="J25" s="29">
        <f t="shared" si="2"/>
        <v>1.4999999999999999E-2</v>
      </c>
      <c r="K25" s="29">
        <f t="shared" si="3"/>
        <v>0.01</v>
      </c>
    </row>
  </sheetData>
  <mergeCells count="12">
    <mergeCell ref="J13:K14"/>
    <mergeCell ref="H13:I14"/>
    <mergeCell ref="D5:E5"/>
    <mergeCell ref="F5:G5"/>
    <mergeCell ref="D8:N8"/>
    <mergeCell ref="C14:C15"/>
    <mergeCell ref="C13:G13"/>
    <mergeCell ref="D1:G1"/>
    <mergeCell ref="D2:E2"/>
    <mergeCell ref="F2:G2"/>
    <mergeCell ref="D14:E14"/>
    <mergeCell ref="F14:G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2AB2-43A0-9D4F-8915-9C401E5BA349}">
  <dimension ref="A1:J13"/>
  <sheetViews>
    <sheetView workbookViewId="0">
      <selection activeCell="L15" sqref="L15"/>
    </sheetView>
  </sheetViews>
  <sheetFormatPr baseColWidth="10" defaultRowHeight="16"/>
  <cols>
    <col min="1" max="1" width="113.33203125" bestFit="1" customWidth="1"/>
    <col min="3" max="3" width="12.5" bestFit="1" customWidth="1"/>
    <col min="4" max="4" width="10.83203125" customWidth="1"/>
    <col min="6" max="6" width="65.1640625" bestFit="1" customWidth="1"/>
    <col min="7" max="7" width="39.6640625" bestFit="1" customWidth="1"/>
    <col min="8" max="8" width="23.5" bestFit="1" customWidth="1"/>
    <col min="10" max="10" width="23.5" customWidth="1"/>
  </cols>
  <sheetData>
    <row r="1" spans="1:10" ht="17" thickBot="1">
      <c r="A1" s="9" t="s">
        <v>3</v>
      </c>
    </row>
    <row r="2" spans="1:10">
      <c r="A2" s="7" t="s">
        <v>30</v>
      </c>
      <c r="C2" s="155" t="s">
        <v>27</v>
      </c>
      <c r="D2" s="153" t="s">
        <v>29</v>
      </c>
      <c r="E2" s="154"/>
      <c r="F2" s="48" t="s">
        <v>41</v>
      </c>
      <c r="G2" s="157" t="s">
        <v>34</v>
      </c>
      <c r="H2" s="158"/>
      <c r="I2" s="151" t="s">
        <v>39</v>
      </c>
      <c r="J2" s="152"/>
    </row>
    <row r="3" spans="1:10">
      <c r="A3" s="7" t="s">
        <v>32</v>
      </c>
      <c r="C3" s="156"/>
      <c r="D3" s="9" t="s">
        <v>22</v>
      </c>
      <c r="E3" s="32" t="s">
        <v>23</v>
      </c>
      <c r="F3" s="35" t="s">
        <v>28</v>
      </c>
      <c r="G3" s="38" t="s">
        <v>33</v>
      </c>
      <c r="H3" s="41" t="s">
        <v>35</v>
      </c>
      <c r="I3" s="40" t="s">
        <v>38</v>
      </c>
      <c r="J3" s="42" t="s">
        <v>37</v>
      </c>
    </row>
    <row r="4" spans="1:10">
      <c r="A4" s="7" t="s">
        <v>31</v>
      </c>
      <c r="C4" s="43">
        <f>'2'!$C16</f>
        <v>1</v>
      </c>
      <c r="D4" s="8">
        <f>'2'!D16</f>
        <v>156</v>
      </c>
      <c r="E4" s="33">
        <f>'2'!E16</f>
        <v>159</v>
      </c>
      <c r="F4" s="36">
        <f>'2'!$H16/(200 * ('2'!$E16 - '2'!$D16))</f>
        <v>6.6666666666666671E-3</v>
      </c>
      <c r="G4" s="39">
        <f>($E4 - $D4)/2 + $D4</f>
        <v>157.5</v>
      </c>
      <c r="H4" s="4">
        <f>'2'!H16 / 200</f>
        <v>0.02</v>
      </c>
      <c r="I4" s="34">
        <f>'2'!$H16</f>
        <v>4</v>
      </c>
      <c r="J4" s="44">
        <f>$I4</f>
        <v>4</v>
      </c>
    </row>
    <row r="5" spans="1:10">
      <c r="A5" s="7" t="s">
        <v>36</v>
      </c>
      <c r="C5" s="43">
        <f>'2'!$C17</f>
        <v>2</v>
      </c>
      <c r="D5" s="8">
        <f>'2'!D17</f>
        <v>159</v>
      </c>
      <c r="E5" s="33">
        <f>'2'!E17</f>
        <v>163</v>
      </c>
      <c r="F5" s="36">
        <f>'2'!$H17/(200 * ('2'!$E17 - '2'!$D17))</f>
        <v>4.1250000000000002E-2</v>
      </c>
      <c r="G5" s="39">
        <f t="shared" ref="G5:G13" si="0">($E5 - $D5)/2 + $D5</f>
        <v>161</v>
      </c>
      <c r="H5" s="4">
        <f>'2'!H17 / 200</f>
        <v>0.16500000000000001</v>
      </c>
      <c r="I5" s="34">
        <f>'2'!$H17</f>
        <v>33</v>
      </c>
      <c r="J5" s="44">
        <f>$I5+$J4</f>
        <v>37</v>
      </c>
    </row>
    <row r="6" spans="1:10">
      <c r="A6" s="7" t="s">
        <v>40</v>
      </c>
      <c r="C6" s="43">
        <f>'2'!$C18</f>
        <v>3</v>
      </c>
      <c r="D6" s="8">
        <f>'2'!D18</f>
        <v>163</v>
      </c>
      <c r="E6" s="33">
        <f>'2'!E18</f>
        <v>166</v>
      </c>
      <c r="F6" s="36">
        <f>'2'!$H18/(200 * ('2'!$E18 - '2'!$D18))</f>
        <v>5.8333333333333334E-2</v>
      </c>
      <c r="G6" s="39">
        <f t="shared" si="0"/>
        <v>164.5</v>
      </c>
      <c r="H6" s="4">
        <f>'2'!H18 / 200</f>
        <v>0.17499999999999999</v>
      </c>
      <c r="I6" s="34">
        <f>'2'!$H18</f>
        <v>35</v>
      </c>
      <c r="J6" s="44">
        <f>$I6+$J5</f>
        <v>72</v>
      </c>
    </row>
    <row r="7" spans="1:10">
      <c r="C7" s="43">
        <f>'2'!$C19</f>
        <v>4</v>
      </c>
      <c r="D7" s="8">
        <f>'2'!D19</f>
        <v>166</v>
      </c>
      <c r="E7" s="33">
        <f>'2'!E19</f>
        <v>170</v>
      </c>
      <c r="F7" s="36">
        <f>'2'!$H19/(200 * ('2'!$E19 - '2'!$D19))</f>
        <v>5.2499999999999998E-2</v>
      </c>
      <c r="G7" s="39">
        <f t="shared" si="0"/>
        <v>168</v>
      </c>
      <c r="H7" s="4">
        <f>'2'!H19 / 200</f>
        <v>0.21</v>
      </c>
      <c r="I7" s="34">
        <f>'2'!$H19</f>
        <v>42</v>
      </c>
      <c r="J7" s="44">
        <f t="shared" ref="J7:J12" si="1">$I7+$J6</f>
        <v>114</v>
      </c>
    </row>
    <row r="8" spans="1:10">
      <c r="C8" s="43">
        <f>'2'!$C20</f>
        <v>5</v>
      </c>
      <c r="D8" s="8">
        <f>'2'!D20</f>
        <v>170</v>
      </c>
      <c r="E8" s="33">
        <f>'2'!E20</f>
        <v>173</v>
      </c>
      <c r="F8" s="36">
        <f>'2'!$H20/(200 * ('2'!$E20 - '2'!$D20))</f>
        <v>6.8333333333333329E-2</v>
      </c>
      <c r="G8" s="39">
        <f t="shared" si="0"/>
        <v>171.5</v>
      </c>
      <c r="H8" s="4">
        <f>'2'!H20 / 200</f>
        <v>0.20499999999999999</v>
      </c>
      <c r="I8" s="34">
        <f>'2'!$H20</f>
        <v>41</v>
      </c>
      <c r="J8" s="44">
        <f t="shared" si="1"/>
        <v>155</v>
      </c>
    </row>
    <row r="9" spans="1:10">
      <c r="C9" s="43">
        <f>'2'!$C21</f>
        <v>6</v>
      </c>
      <c r="D9" s="8">
        <f>'2'!D21</f>
        <v>173</v>
      </c>
      <c r="E9" s="33">
        <f>'2'!E21</f>
        <v>177</v>
      </c>
      <c r="F9" s="36">
        <f>'2'!$H21/(200 * ('2'!$E21 - '2'!$D21))</f>
        <v>0.03</v>
      </c>
      <c r="G9" s="39">
        <f t="shared" si="0"/>
        <v>175</v>
      </c>
      <c r="H9" s="4">
        <f>'2'!H21 / 200</f>
        <v>0.12</v>
      </c>
      <c r="I9" s="34">
        <f>'2'!$H21</f>
        <v>24</v>
      </c>
      <c r="J9" s="44">
        <f t="shared" si="1"/>
        <v>179</v>
      </c>
    </row>
    <row r="10" spans="1:10">
      <c r="C10" s="43">
        <f>'2'!$C22</f>
        <v>7</v>
      </c>
      <c r="D10" s="8">
        <f>'2'!D22</f>
        <v>177</v>
      </c>
      <c r="E10" s="33">
        <f>'2'!E22</f>
        <v>180</v>
      </c>
      <c r="F10" s="36">
        <f>'2'!$H22/(200 * ('2'!$E22 - '2'!$D22))</f>
        <v>1.3333333333333334E-2</v>
      </c>
      <c r="G10" s="39">
        <f t="shared" si="0"/>
        <v>178.5</v>
      </c>
      <c r="H10" s="4">
        <f>'2'!H22 / 200</f>
        <v>0.04</v>
      </c>
      <c r="I10" s="34">
        <f>'2'!$H22</f>
        <v>8</v>
      </c>
      <c r="J10" s="44">
        <f t="shared" si="1"/>
        <v>187</v>
      </c>
    </row>
    <row r="11" spans="1:10">
      <c r="C11" s="43">
        <f>'2'!$C23</f>
        <v>8</v>
      </c>
      <c r="D11" s="8">
        <f>'2'!D23</f>
        <v>180</v>
      </c>
      <c r="E11" s="33">
        <f>'2'!E23</f>
        <v>184</v>
      </c>
      <c r="F11" s="36">
        <f>'2'!$H23/(200 * ('2'!$E23 - '2'!$D23))</f>
        <v>1.125E-2</v>
      </c>
      <c r="G11" s="39">
        <f t="shared" si="0"/>
        <v>182</v>
      </c>
      <c r="H11" s="4">
        <f>'2'!H23 / 200</f>
        <v>4.4999999999999998E-2</v>
      </c>
      <c r="I11" s="34">
        <f>'2'!$H23</f>
        <v>9</v>
      </c>
      <c r="J11" s="44">
        <f t="shared" si="1"/>
        <v>196</v>
      </c>
    </row>
    <row r="12" spans="1:10">
      <c r="C12" s="43">
        <f>'2'!$C24</f>
        <v>9</v>
      </c>
      <c r="D12" s="8">
        <f>'2'!D24</f>
        <v>184</v>
      </c>
      <c r="E12" s="33">
        <f>'2'!E24</f>
        <v>187</v>
      </c>
      <c r="F12" s="36">
        <f>'2'!$H24/(200 * ('2'!$E24 - '2'!$D24))</f>
        <v>1.6666666666666668E-3</v>
      </c>
      <c r="G12" s="39">
        <f t="shared" si="0"/>
        <v>185.5</v>
      </c>
      <c r="H12" s="4">
        <f>'2'!H24 / 200</f>
        <v>5.0000000000000001E-3</v>
      </c>
      <c r="I12" s="34">
        <f>'2'!$H24</f>
        <v>1</v>
      </c>
      <c r="J12" s="44">
        <f t="shared" si="1"/>
        <v>197</v>
      </c>
    </row>
    <row r="13" spans="1:10" ht="17" thickBot="1">
      <c r="C13" s="45">
        <f>'2'!$C25</f>
        <v>10</v>
      </c>
      <c r="D13" s="47">
        <f>'2'!D25</f>
        <v>187</v>
      </c>
      <c r="E13" s="49">
        <f>'2'!E25</f>
        <v>190</v>
      </c>
      <c r="F13" s="50">
        <f>'2'!$H25/(200 * ('2'!$E25 - '2'!$D25))</f>
        <v>5.0000000000000001E-3</v>
      </c>
      <c r="G13" s="51">
        <f t="shared" si="0"/>
        <v>188.5</v>
      </c>
      <c r="H13" s="52">
        <f>'2'!H25 / 200</f>
        <v>1.4999999999999999E-2</v>
      </c>
      <c r="I13" s="53">
        <f>'2'!$H25</f>
        <v>3</v>
      </c>
      <c r="J13" s="46">
        <f>$I13+$J12</f>
        <v>200</v>
      </c>
    </row>
  </sheetData>
  <mergeCells count="4">
    <mergeCell ref="I2:J2"/>
    <mergeCell ref="D2:E2"/>
    <mergeCell ref="C2:C3"/>
    <mergeCell ref="G2: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29F9-6002-DC4C-A20D-01FFF226833A}">
  <dimension ref="A1:U201"/>
  <sheetViews>
    <sheetView topLeftCell="H1" workbookViewId="0">
      <selection activeCell="P12" sqref="P12"/>
    </sheetView>
  </sheetViews>
  <sheetFormatPr baseColWidth="10" defaultRowHeight="16"/>
  <cols>
    <col min="1" max="1" width="95.1640625" bestFit="1" customWidth="1"/>
    <col min="4" max="4" width="17.83203125" bestFit="1" customWidth="1"/>
    <col min="5" max="5" width="21.6640625" bestFit="1" customWidth="1"/>
    <col min="6" max="6" width="29.5" bestFit="1" customWidth="1"/>
    <col min="9" max="9" width="17.83203125" bestFit="1" customWidth="1"/>
    <col min="10" max="10" width="21.6640625" bestFit="1" customWidth="1"/>
    <col min="11" max="11" width="29.5" bestFit="1" customWidth="1"/>
    <col min="12" max="13" width="10.83203125" customWidth="1"/>
    <col min="15" max="15" width="9.33203125" bestFit="1" customWidth="1"/>
    <col min="16" max="16" width="20" bestFit="1" customWidth="1"/>
    <col min="17" max="17" width="22" bestFit="1" customWidth="1"/>
    <col min="18" max="18" width="35.1640625" bestFit="1" customWidth="1"/>
    <col min="19" max="19" width="59.33203125" bestFit="1" customWidth="1"/>
  </cols>
  <sheetData>
    <row r="1" spans="1:21">
      <c r="A1" s="9" t="s">
        <v>3</v>
      </c>
      <c r="C1" s="1" t="s">
        <v>1</v>
      </c>
      <c r="D1" s="60" t="s">
        <v>56</v>
      </c>
      <c r="E1" s="60" t="s">
        <v>58</v>
      </c>
      <c r="F1" s="60" t="s">
        <v>59</v>
      </c>
      <c r="H1" s="1" t="s">
        <v>2</v>
      </c>
      <c r="I1" s="30" t="s">
        <v>56</v>
      </c>
      <c r="J1" s="30" t="s">
        <v>58</v>
      </c>
      <c r="K1" s="30" t="s">
        <v>59</v>
      </c>
      <c r="M1" s="159" t="s">
        <v>44</v>
      </c>
      <c r="N1" s="159"/>
      <c r="O1" s="159"/>
      <c r="P1" s="159"/>
      <c r="Q1" s="159"/>
      <c r="R1" s="159"/>
      <c r="S1" s="159"/>
      <c r="T1" s="159"/>
      <c r="U1" s="159"/>
    </row>
    <row r="2" spans="1:21">
      <c r="A2" s="22" t="s">
        <v>46</v>
      </c>
      <c r="C2" s="2">
        <v>156</v>
      </c>
      <c r="D2" s="26">
        <f xml:space="preserve"> POWER($C2 - $P$3, 2)</f>
        <v>0.25</v>
      </c>
      <c r="E2" s="26">
        <v>1</v>
      </c>
      <c r="F2" s="26">
        <f>IF(AND(MAX(E$2:E$5)=E2, E2&gt;1),C2,0)</f>
        <v>0</v>
      </c>
      <c r="H2" s="2">
        <v>51</v>
      </c>
      <c r="I2" s="17">
        <f xml:space="preserve"> POWER($H2 - $P$16, 2)</f>
        <v>1</v>
      </c>
      <c r="J2" s="17">
        <v>1</v>
      </c>
      <c r="K2" s="17">
        <f>IF(AND(MAX(J$2:J$9)=J2,J2&gt;1),H2,0)</f>
        <v>0</v>
      </c>
      <c r="M2" s="56" t="s">
        <v>0</v>
      </c>
      <c r="N2" s="56" t="s">
        <v>22</v>
      </c>
      <c r="O2" s="56" t="s">
        <v>23</v>
      </c>
      <c r="P2" s="56" t="s">
        <v>45</v>
      </c>
      <c r="Q2" s="57" t="s">
        <v>47</v>
      </c>
      <c r="R2" s="9" t="s">
        <v>50</v>
      </c>
      <c r="S2" s="9" t="s">
        <v>51</v>
      </c>
      <c r="T2" s="57" t="s">
        <v>52</v>
      </c>
      <c r="U2" s="57" t="s">
        <v>53</v>
      </c>
    </row>
    <row r="3" spans="1:21">
      <c r="A3" s="22" t="s">
        <v>42</v>
      </c>
      <c r="C3" s="2">
        <v>156</v>
      </c>
      <c r="D3" s="26">
        <f t="shared" ref="D3:D5" si="0" xml:space="preserve"> POWER($C3 - $P$3, 2)</f>
        <v>0.25</v>
      </c>
      <c r="E3" s="26">
        <f>IF(C2=C3,E2+1,1)</f>
        <v>2</v>
      </c>
      <c r="F3" s="26">
        <f t="shared" ref="F3:F5" si="1">IF(AND(MAX(E$2:E$5)=E3, E3&gt;1),C3,0)</f>
        <v>156</v>
      </c>
      <c r="H3" s="2">
        <v>51</v>
      </c>
      <c r="I3" s="17">
        <f t="shared" ref="I3:I9" si="2" xml:space="preserve"> POWER($H3 - $P$16, 2)</f>
        <v>1</v>
      </c>
      <c r="J3" s="17">
        <f>IF(H2=H3,J2+1,1)</f>
        <v>2</v>
      </c>
      <c r="K3" s="17">
        <f t="shared" ref="K3:K9" si="3">IF(AND(MAX(J$2:J$9)=J3,J3&gt;1),H3,0)</f>
        <v>0</v>
      </c>
      <c r="M3" s="55">
        <v>1</v>
      </c>
      <c r="N3" s="55">
        <v>156</v>
      </c>
      <c r="O3" s="55">
        <v>159</v>
      </c>
      <c r="P3" s="8">
        <f>SUM($C2:$C5) / 4</f>
        <v>156.5</v>
      </c>
      <c r="Q3" s="8">
        <f>SUM($D2:$D5) / 4</f>
        <v>0.25</v>
      </c>
      <c r="R3" s="8">
        <f>4/3*$Q3</f>
        <v>0.33333333333333331</v>
      </c>
      <c r="S3" s="8">
        <f>SQRT($R3)</f>
        <v>0.57735026918962573</v>
      </c>
      <c r="T3" s="8">
        <f>MAX($F2:$F5)</f>
        <v>157</v>
      </c>
      <c r="U3" s="8">
        <f>(C3+C4)/2</f>
        <v>156.5</v>
      </c>
    </row>
    <row r="4" spans="1:21">
      <c r="A4" s="22" t="s">
        <v>55</v>
      </c>
      <c r="C4" s="2">
        <v>157</v>
      </c>
      <c r="D4" s="26">
        <f t="shared" si="0"/>
        <v>0.25</v>
      </c>
      <c r="E4" s="26">
        <f t="shared" ref="E4:E67" si="4">IF(C3=C4,E3+1,1)</f>
        <v>1</v>
      </c>
      <c r="F4" s="26">
        <f t="shared" si="1"/>
        <v>0</v>
      </c>
      <c r="H4" s="2">
        <v>51</v>
      </c>
      <c r="I4" s="17">
        <f t="shared" si="2"/>
        <v>1</v>
      </c>
      <c r="J4" s="17">
        <f t="shared" ref="J4:J67" si="5">IF(H3=H4,J3+1,1)</f>
        <v>3</v>
      </c>
      <c r="K4" s="17">
        <f t="shared" si="3"/>
        <v>51</v>
      </c>
      <c r="M4" s="55">
        <v>2</v>
      </c>
      <c r="N4" s="55">
        <v>159</v>
      </c>
      <c r="O4" s="55">
        <v>163</v>
      </c>
      <c r="P4" s="8">
        <f>SUM($C6:$C38) / 33</f>
        <v>160.93939393939394</v>
      </c>
      <c r="Q4" s="8">
        <f>SUM($D6:$D38) / 33</f>
        <v>0.84481175390266372</v>
      </c>
      <c r="R4" s="8">
        <f>33/32*$Q4</f>
        <v>0.87121212121212199</v>
      </c>
      <c r="S4" s="8">
        <f t="shared" ref="S4:S12" si="6">SQRT($R4)</f>
        <v>0.93338744431887555</v>
      </c>
      <c r="T4" s="8">
        <f>MAX($F6:$F38)</f>
        <v>161</v>
      </c>
      <c r="U4" s="8">
        <f>(C22+C23)/2</f>
        <v>161</v>
      </c>
    </row>
    <row r="5" spans="1:21">
      <c r="A5" s="58" t="s">
        <v>57</v>
      </c>
      <c r="C5" s="2">
        <v>157</v>
      </c>
      <c r="D5" s="26">
        <f t="shared" si="0"/>
        <v>0.25</v>
      </c>
      <c r="E5" s="26">
        <f t="shared" si="4"/>
        <v>2</v>
      </c>
      <c r="F5" s="26">
        <f t="shared" si="1"/>
        <v>157</v>
      </c>
      <c r="H5" s="2">
        <v>52</v>
      </c>
      <c r="I5" s="17">
        <f t="shared" si="2"/>
        <v>0</v>
      </c>
      <c r="J5" s="17">
        <f t="shared" si="5"/>
        <v>1</v>
      </c>
      <c r="K5" s="17">
        <f t="shared" si="3"/>
        <v>0</v>
      </c>
      <c r="M5" s="55">
        <v>3</v>
      </c>
      <c r="N5" s="55">
        <v>163</v>
      </c>
      <c r="O5" s="55">
        <v>166</v>
      </c>
      <c r="P5" s="8">
        <f>SUM($C39:$C73) / 35</f>
        <v>164.22857142857143</v>
      </c>
      <c r="Q5" s="8">
        <f>SUM($D39:$D73) / 35</f>
        <v>0.63346938775510198</v>
      </c>
      <c r="R5" s="8">
        <f>35/34*$Q5</f>
        <v>0.65210084033613436</v>
      </c>
      <c r="S5" s="8">
        <f t="shared" si="6"/>
        <v>0.80752760964324577</v>
      </c>
      <c r="T5" s="8">
        <f>MAX($F39:$F73)</f>
        <v>165</v>
      </c>
      <c r="U5" s="8">
        <f>(C56+C57)/2</f>
        <v>164</v>
      </c>
    </row>
    <row r="6" spans="1:21">
      <c r="C6" s="2">
        <v>159</v>
      </c>
      <c r="D6" s="26">
        <f xml:space="preserve"> POWER($C6 - $P$4, 2)</f>
        <v>3.7612488521579364</v>
      </c>
      <c r="E6" s="26">
        <f t="shared" si="4"/>
        <v>1</v>
      </c>
      <c r="F6" s="26">
        <f>IF(AND(MAX(E$6:E$38)=E6,E6&gt;1),C6,0)</f>
        <v>0</v>
      </c>
      <c r="H6" s="2">
        <v>52</v>
      </c>
      <c r="I6" s="17">
        <f t="shared" si="2"/>
        <v>0</v>
      </c>
      <c r="J6" s="17">
        <f t="shared" si="5"/>
        <v>2</v>
      </c>
      <c r="K6" s="17">
        <f t="shared" si="3"/>
        <v>0</v>
      </c>
      <c r="M6" s="55">
        <v>4</v>
      </c>
      <c r="N6" s="55">
        <v>166</v>
      </c>
      <c r="O6" s="55">
        <v>170</v>
      </c>
      <c r="P6" s="8">
        <f>SUM($C74:$C115) / 42</f>
        <v>167.42857142857142</v>
      </c>
      <c r="Q6" s="8">
        <f>SUM($D74:$D115) / 42</f>
        <v>1.1496598639455782</v>
      </c>
      <c r="R6" s="8">
        <f>42/41*$Q6</f>
        <v>1.1777003484320556</v>
      </c>
      <c r="S6" s="8">
        <f t="shared" si="6"/>
        <v>1.0852190324685869</v>
      </c>
      <c r="T6" s="8">
        <f>MAX($F74:$F115)</f>
        <v>167</v>
      </c>
      <c r="U6" s="8">
        <f>C95</f>
        <v>167</v>
      </c>
    </row>
    <row r="7" spans="1:21">
      <c r="C7" s="2">
        <v>159</v>
      </c>
      <c r="D7" s="26">
        <f xml:space="preserve"> POWER($C7 - $P$4, 2)</f>
        <v>3.7612488521579364</v>
      </c>
      <c r="E7" s="26">
        <f t="shared" si="4"/>
        <v>2</v>
      </c>
      <c r="F7" s="26">
        <f t="shared" ref="F7:F38" si="7">IF(AND(MAX(E$6:E$38)=E7,E7&gt;1),C7,0)</f>
        <v>0</v>
      </c>
      <c r="H7" s="2">
        <v>53</v>
      </c>
      <c r="I7" s="17">
        <f t="shared" si="2"/>
        <v>1</v>
      </c>
      <c r="J7" s="17">
        <f t="shared" si="5"/>
        <v>1</v>
      </c>
      <c r="K7" s="17">
        <f t="shared" si="3"/>
        <v>0</v>
      </c>
      <c r="M7" s="55">
        <v>5</v>
      </c>
      <c r="N7" s="55">
        <v>170</v>
      </c>
      <c r="O7" s="55">
        <v>173</v>
      </c>
      <c r="P7" s="8">
        <f>SUM($C116:$C156) / 41</f>
        <v>171.07317073170731</v>
      </c>
      <c r="Q7" s="8">
        <f>SUM($D116:$D156) / 41</f>
        <v>0.60440214158239114</v>
      </c>
      <c r="R7" s="8">
        <f>41/40*$Q7</f>
        <v>0.61951219512195088</v>
      </c>
      <c r="S7" s="8">
        <f t="shared" si="6"/>
        <v>0.78709097004218698</v>
      </c>
      <c r="T7" s="8">
        <f>MAX($F116:$F156)</f>
        <v>171</v>
      </c>
      <c r="U7" s="8">
        <f>(C136+C137)/2</f>
        <v>171</v>
      </c>
    </row>
    <row r="8" spans="1:21">
      <c r="C8" s="2">
        <v>159</v>
      </c>
      <c r="D8" s="26">
        <f t="shared" ref="D8:D38" si="8" xml:space="preserve"> POWER($C8 - $P$4, 2)</f>
        <v>3.7612488521579364</v>
      </c>
      <c r="E8" s="26">
        <f t="shared" si="4"/>
        <v>3</v>
      </c>
      <c r="F8" s="26">
        <f t="shared" si="7"/>
        <v>0</v>
      </c>
      <c r="H8" s="2">
        <v>53</v>
      </c>
      <c r="I8" s="17">
        <f t="shared" si="2"/>
        <v>1</v>
      </c>
      <c r="J8" s="17">
        <f t="shared" si="5"/>
        <v>2</v>
      </c>
      <c r="K8" s="17">
        <f t="shared" si="3"/>
        <v>0</v>
      </c>
      <c r="M8" s="55">
        <v>6</v>
      </c>
      <c r="N8" s="55">
        <v>173</v>
      </c>
      <c r="O8" s="55">
        <v>177</v>
      </c>
      <c r="P8" s="8">
        <f>SUM($C157:$C180) / 24</f>
        <v>174.66666666666666</v>
      </c>
      <c r="Q8" s="8">
        <f>SUM($D157:$D180) / 24</f>
        <v>1.4722222222222223</v>
      </c>
      <c r="R8" s="8">
        <f>24/23*$Q8</f>
        <v>1.5362318840579712</v>
      </c>
      <c r="S8" s="8">
        <f t="shared" si="6"/>
        <v>1.2394482175782784</v>
      </c>
      <c r="T8" s="8">
        <f>MAX($F157:$F180)</f>
        <v>176</v>
      </c>
      <c r="U8" s="8">
        <f>C169</f>
        <v>175</v>
      </c>
    </row>
    <row r="9" spans="1:21">
      <c r="C9" s="2">
        <v>159</v>
      </c>
      <c r="D9" s="26">
        <f t="shared" si="8"/>
        <v>3.7612488521579364</v>
      </c>
      <c r="E9" s="26">
        <f t="shared" si="4"/>
        <v>4</v>
      </c>
      <c r="F9" s="26">
        <f t="shared" si="7"/>
        <v>0</v>
      </c>
      <c r="H9" s="2">
        <v>53</v>
      </c>
      <c r="I9" s="17">
        <f t="shared" si="2"/>
        <v>1</v>
      </c>
      <c r="J9" s="17">
        <f t="shared" si="5"/>
        <v>3</v>
      </c>
      <c r="K9" s="17">
        <f t="shared" si="3"/>
        <v>53</v>
      </c>
      <c r="M9" s="55">
        <v>7</v>
      </c>
      <c r="N9" s="55">
        <v>177</v>
      </c>
      <c r="O9" s="55">
        <v>180</v>
      </c>
      <c r="P9" s="8">
        <f>SUM($C181:$C188) / 8</f>
        <v>178</v>
      </c>
      <c r="Q9" s="8">
        <f>SUM($D181:$D188) / 8</f>
        <v>0.5</v>
      </c>
      <c r="R9" s="8">
        <f>8/7*$Q9</f>
        <v>0.5714285714285714</v>
      </c>
      <c r="S9" s="8">
        <f t="shared" si="6"/>
        <v>0.7559289460184544</v>
      </c>
      <c r="T9" s="8">
        <f>MAX($F181:$F188)</f>
        <v>178</v>
      </c>
      <c r="U9" s="8">
        <f>C185</f>
        <v>178</v>
      </c>
    </row>
    <row r="10" spans="1:21">
      <c r="C10" s="2">
        <v>160</v>
      </c>
      <c r="D10" s="26">
        <f t="shared" si="8"/>
        <v>0.88246097337006102</v>
      </c>
      <c r="E10" s="26">
        <f t="shared" si="4"/>
        <v>1</v>
      </c>
      <c r="F10" s="26">
        <f t="shared" si="7"/>
        <v>0</v>
      </c>
      <c r="H10" s="2">
        <v>54</v>
      </c>
      <c r="I10" s="17">
        <f xml:space="preserve"> POWER($H10 - $P$17, 2)</f>
        <v>3.1776937618147381</v>
      </c>
      <c r="J10" s="17">
        <f t="shared" si="5"/>
        <v>1</v>
      </c>
      <c r="K10" s="17">
        <f>IF(AND(MAX(J$10:J$32)=J10,J10&gt;1),H10,0)</f>
        <v>0</v>
      </c>
      <c r="M10" s="55">
        <v>8</v>
      </c>
      <c r="N10" s="55">
        <v>180</v>
      </c>
      <c r="O10" s="55">
        <v>184</v>
      </c>
      <c r="P10" s="8">
        <f>SUM($C189:$C197) / 9</f>
        <v>180.88888888888889</v>
      </c>
      <c r="Q10" s="8">
        <f>SUM($D189:$D197) / 9</f>
        <v>0.98765432098765438</v>
      </c>
      <c r="R10" s="8">
        <f>9/8*$Q10</f>
        <v>1.1111111111111112</v>
      </c>
      <c r="S10" s="8">
        <f t="shared" si="6"/>
        <v>1.0540925533894598</v>
      </c>
      <c r="T10" s="8">
        <f>MAX($F189:$F197)</f>
        <v>180</v>
      </c>
      <c r="U10" s="8">
        <f>(C193+C194)/2</f>
        <v>181</v>
      </c>
    </row>
    <row r="11" spans="1:21">
      <c r="C11" s="2">
        <v>160</v>
      </c>
      <c r="D11" s="26">
        <f t="shared" si="8"/>
        <v>0.88246097337006102</v>
      </c>
      <c r="E11" s="26">
        <f t="shared" si="4"/>
        <v>2</v>
      </c>
      <c r="F11" s="26">
        <f t="shared" si="7"/>
        <v>0</v>
      </c>
      <c r="H11" s="2">
        <v>54</v>
      </c>
      <c r="I11" s="17">
        <f t="shared" ref="I11:I32" si="9" xml:space="preserve"> POWER($H11 - $P$17, 2)</f>
        <v>3.1776937618147381</v>
      </c>
      <c r="J11" s="17">
        <f t="shared" si="5"/>
        <v>2</v>
      </c>
      <c r="K11" s="17">
        <f t="shared" ref="K11:K32" si="10">IF(AND(MAX(J$10:J$32)=J11,J11&gt;1),H11,0)</f>
        <v>0</v>
      </c>
      <c r="M11" s="55">
        <v>9</v>
      </c>
      <c r="N11" s="55">
        <v>184</v>
      </c>
      <c r="O11" s="55">
        <v>187</v>
      </c>
      <c r="P11" s="8">
        <f>SUM($C198:$C198) / 1</f>
        <v>184</v>
      </c>
      <c r="Q11" s="8">
        <f>SUM($D198:$D198) / 1</f>
        <v>0</v>
      </c>
      <c r="R11" s="8" t="e">
        <f>1/0*$Q11</f>
        <v>#DIV/0!</v>
      </c>
      <c r="S11" s="8" t="e">
        <f t="shared" si="6"/>
        <v>#DIV/0!</v>
      </c>
      <c r="T11" s="8">
        <f>MAX($F198:$F198)</f>
        <v>0</v>
      </c>
      <c r="U11" s="8">
        <f>C198</f>
        <v>184</v>
      </c>
    </row>
    <row r="12" spans="1:21">
      <c r="C12" s="2">
        <v>160</v>
      </c>
      <c r="D12" s="26">
        <f t="shared" si="8"/>
        <v>0.88246097337006102</v>
      </c>
      <c r="E12" s="26">
        <f t="shared" si="4"/>
        <v>3</v>
      </c>
      <c r="F12" s="26">
        <f t="shared" si="7"/>
        <v>0</v>
      </c>
      <c r="H12" s="2">
        <v>55</v>
      </c>
      <c r="I12" s="17">
        <f t="shared" si="9"/>
        <v>0.61247637051039405</v>
      </c>
      <c r="J12" s="17">
        <f t="shared" si="5"/>
        <v>1</v>
      </c>
      <c r="K12" s="17">
        <f t="shared" si="10"/>
        <v>0</v>
      </c>
      <c r="M12" s="55">
        <v>10</v>
      </c>
      <c r="N12" s="55">
        <v>187</v>
      </c>
      <c r="O12" s="55">
        <v>190</v>
      </c>
      <c r="P12" s="8">
        <f>SUM($C199:$C201) / 3</f>
        <v>188.33333333333334</v>
      </c>
      <c r="Q12" s="8">
        <f>SUM($D199:$D201) / 3</f>
        <v>1.5555555555555554</v>
      </c>
      <c r="R12" s="8">
        <f>3/2*$Q12</f>
        <v>2.333333333333333</v>
      </c>
      <c r="S12" s="8">
        <f t="shared" si="6"/>
        <v>1.5275252316519465</v>
      </c>
      <c r="T12" s="8">
        <f>MAX($F199:$F201)</f>
        <v>0</v>
      </c>
      <c r="U12" s="8">
        <f>C200</f>
        <v>188</v>
      </c>
    </row>
    <row r="13" spans="1:21">
      <c r="C13" s="2">
        <v>161</v>
      </c>
      <c r="D13" s="26">
        <f t="shared" si="8"/>
        <v>3.6730945821857003E-3</v>
      </c>
      <c r="E13" s="26">
        <f t="shared" si="4"/>
        <v>1</v>
      </c>
      <c r="F13" s="26">
        <f t="shared" si="7"/>
        <v>0</v>
      </c>
      <c r="H13" s="2">
        <v>55</v>
      </c>
      <c r="I13" s="17">
        <f t="shared" si="9"/>
        <v>0.61247637051039405</v>
      </c>
      <c r="J13" s="17">
        <f t="shared" si="5"/>
        <v>2</v>
      </c>
      <c r="K13" s="17">
        <f t="shared" si="10"/>
        <v>0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>
      <c r="C14" s="2">
        <v>161</v>
      </c>
      <c r="D14" s="26">
        <f t="shared" si="8"/>
        <v>3.6730945821857003E-3</v>
      </c>
      <c r="E14" s="26">
        <f t="shared" si="4"/>
        <v>2</v>
      </c>
      <c r="F14" s="26">
        <f t="shared" si="7"/>
        <v>0</v>
      </c>
      <c r="H14" s="2">
        <v>55</v>
      </c>
      <c r="I14" s="17">
        <f t="shared" si="9"/>
        <v>0.61247637051039405</v>
      </c>
      <c r="J14" s="17">
        <f t="shared" si="5"/>
        <v>3</v>
      </c>
      <c r="K14" s="17">
        <f t="shared" si="10"/>
        <v>0</v>
      </c>
      <c r="M14" s="159" t="s">
        <v>43</v>
      </c>
      <c r="N14" s="159"/>
      <c r="O14" s="159"/>
      <c r="P14" s="159"/>
      <c r="Q14" s="159"/>
      <c r="R14" s="159"/>
      <c r="S14" s="159"/>
      <c r="T14" s="159"/>
      <c r="U14" s="159"/>
    </row>
    <row r="15" spans="1:21">
      <c r="C15" s="2">
        <v>161</v>
      </c>
      <c r="D15" s="26">
        <f t="shared" si="8"/>
        <v>3.6730945821857003E-3</v>
      </c>
      <c r="E15" s="26">
        <f t="shared" si="4"/>
        <v>3</v>
      </c>
      <c r="F15" s="26">
        <f t="shared" si="7"/>
        <v>0</v>
      </c>
      <c r="H15" s="2">
        <v>55</v>
      </c>
      <c r="I15" s="17">
        <f t="shared" si="9"/>
        <v>0.61247637051039405</v>
      </c>
      <c r="J15" s="17">
        <f t="shared" si="5"/>
        <v>4</v>
      </c>
      <c r="K15" s="17">
        <f t="shared" si="10"/>
        <v>0</v>
      </c>
      <c r="M15" s="56" t="s">
        <v>0</v>
      </c>
      <c r="N15" s="56" t="s">
        <v>22</v>
      </c>
      <c r="O15" s="56" t="s">
        <v>23</v>
      </c>
      <c r="P15" s="56" t="s">
        <v>45</v>
      </c>
      <c r="Q15" s="57" t="s">
        <v>47</v>
      </c>
      <c r="R15" s="9" t="s">
        <v>50</v>
      </c>
      <c r="S15" s="9" t="s">
        <v>51</v>
      </c>
      <c r="T15" s="57" t="s">
        <v>52</v>
      </c>
      <c r="U15" s="57" t="s">
        <v>53</v>
      </c>
    </row>
    <row r="16" spans="1:21">
      <c r="C16" s="2">
        <v>161</v>
      </c>
      <c r="D16" s="26">
        <f t="shared" si="8"/>
        <v>3.6730945821857003E-3</v>
      </c>
      <c r="E16" s="26">
        <f t="shared" si="4"/>
        <v>4</v>
      </c>
      <c r="F16" s="26">
        <f t="shared" si="7"/>
        <v>0</v>
      </c>
      <c r="H16" s="2">
        <v>55</v>
      </c>
      <c r="I16" s="17">
        <f t="shared" si="9"/>
        <v>0.61247637051039405</v>
      </c>
      <c r="J16" s="17">
        <f t="shared" si="5"/>
        <v>5</v>
      </c>
      <c r="K16" s="17">
        <f t="shared" si="10"/>
        <v>0</v>
      </c>
      <c r="M16" s="55">
        <v>1</v>
      </c>
      <c r="N16" s="55">
        <v>51</v>
      </c>
      <c r="O16" s="55">
        <v>54</v>
      </c>
      <c r="P16" s="8">
        <f>SUM($H2:$H9) / 8</f>
        <v>52</v>
      </c>
      <c r="Q16" s="8">
        <f>SUM($I2:$I9) / 8</f>
        <v>0.75</v>
      </c>
      <c r="R16" s="8">
        <f>VAR($H2:$H9)</f>
        <v>0.8571428571428571</v>
      </c>
      <c r="S16" s="8">
        <f t="shared" ref="S16:S25" si="11">SQRT($R16)</f>
        <v>0.92582009977255142</v>
      </c>
      <c r="T16" s="8">
        <f>MAX($K2:$K9)</f>
        <v>53</v>
      </c>
      <c r="U16" s="8">
        <f>H5</f>
        <v>52</v>
      </c>
    </row>
    <row r="17" spans="3:21">
      <c r="C17" s="2">
        <v>161</v>
      </c>
      <c r="D17" s="26">
        <f t="shared" si="8"/>
        <v>3.6730945821857003E-3</v>
      </c>
      <c r="E17" s="26">
        <f t="shared" si="4"/>
        <v>5</v>
      </c>
      <c r="F17" s="26">
        <f t="shared" si="7"/>
        <v>0</v>
      </c>
      <c r="H17" s="2">
        <v>55</v>
      </c>
      <c r="I17" s="17">
        <f t="shared" si="9"/>
        <v>0.61247637051039405</v>
      </c>
      <c r="J17" s="17">
        <f t="shared" si="5"/>
        <v>6</v>
      </c>
      <c r="K17" s="17">
        <f t="shared" si="10"/>
        <v>0</v>
      </c>
      <c r="M17" s="55">
        <v>2</v>
      </c>
      <c r="N17" s="55">
        <v>54</v>
      </c>
      <c r="O17" s="55">
        <v>58</v>
      </c>
      <c r="P17" s="8">
        <f>SUM($H10:$H32) / 23</f>
        <v>55.782608695652172</v>
      </c>
      <c r="Q17" s="8">
        <f>SUM($I10:$I32) / 23</f>
        <v>1.0396975425330814</v>
      </c>
      <c r="R17" s="8">
        <f>VAR($H10:$H32)</f>
        <v>1.0869565217391306</v>
      </c>
      <c r="S17" s="8">
        <f t="shared" si="11"/>
        <v>1.0425720702853738</v>
      </c>
      <c r="T17" s="8">
        <f>MAX($K10:$K32)</f>
        <v>55</v>
      </c>
      <c r="U17" s="8">
        <f>(H21+H22)/2</f>
        <v>56</v>
      </c>
    </row>
    <row r="18" spans="3:21">
      <c r="C18" s="2">
        <v>161</v>
      </c>
      <c r="D18" s="26">
        <f t="shared" si="8"/>
        <v>3.6730945821857003E-3</v>
      </c>
      <c r="E18" s="26">
        <f t="shared" si="4"/>
        <v>6</v>
      </c>
      <c r="F18" s="26">
        <f t="shared" si="7"/>
        <v>0</v>
      </c>
      <c r="H18" s="2">
        <v>55</v>
      </c>
      <c r="I18" s="17">
        <f t="shared" si="9"/>
        <v>0.61247637051039405</v>
      </c>
      <c r="J18" s="17">
        <f t="shared" si="5"/>
        <v>7</v>
      </c>
      <c r="K18" s="17">
        <f t="shared" si="10"/>
        <v>0</v>
      </c>
      <c r="M18" s="55">
        <v>3</v>
      </c>
      <c r="N18" s="55">
        <v>58</v>
      </c>
      <c r="O18" s="55">
        <v>61</v>
      </c>
      <c r="P18" s="8">
        <f>SUM($H33:$H54) / 22</f>
        <v>59.409090909090907</v>
      </c>
      <c r="Q18" s="8">
        <f>SUM($I33:$I54) / 22</f>
        <v>0.4235537190082645</v>
      </c>
      <c r="R18" s="8">
        <f>VAR($H33:$H54)</f>
        <v>0.44372294372294374</v>
      </c>
      <c r="S18" s="8">
        <f t="shared" si="11"/>
        <v>0.66612532133446467</v>
      </c>
      <c r="T18" s="8">
        <f>MAX($K33:$K54)</f>
        <v>60</v>
      </c>
      <c r="U18" s="8">
        <f>(H43+H44)/2</f>
        <v>59.5</v>
      </c>
    </row>
    <row r="19" spans="3:21">
      <c r="C19" s="2">
        <v>161</v>
      </c>
      <c r="D19" s="26">
        <f t="shared" si="8"/>
        <v>3.6730945821857003E-3</v>
      </c>
      <c r="E19" s="26">
        <f t="shared" si="4"/>
        <v>7</v>
      </c>
      <c r="F19" s="26">
        <f t="shared" si="7"/>
        <v>0</v>
      </c>
      <c r="H19" s="2">
        <v>55</v>
      </c>
      <c r="I19" s="17">
        <f t="shared" si="9"/>
        <v>0.61247637051039405</v>
      </c>
      <c r="J19" s="17">
        <f t="shared" si="5"/>
        <v>8</v>
      </c>
      <c r="K19" s="17">
        <f t="shared" si="10"/>
        <v>0</v>
      </c>
      <c r="M19" s="55">
        <v>4</v>
      </c>
      <c r="N19" s="55">
        <v>61</v>
      </c>
      <c r="O19" s="55">
        <v>65</v>
      </c>
      <c r="P19" s="8">
        <f>SUM($H55:$H106) / 52</f>
        <v>62.557692307692307</v>
      </c>
      <c r="Q19" s="8">
        <f>SUM($I55:$I106) / 52</f>
        <v>1.0159023668639049</v>
      </c>
      <c r="R19" s="8">
        <f>VAR($H55:$H106)</f>
        <v>1.0358220211161384</v>
      </c>
      <c r="S19" s="8">
        <f t="shared" si="11"/>
        <v>1.0177534186216908</v>
      </c>
      <c r="T19" s="8">
        <f>MAX($K55:$K106)</f>
        <v>63</v>
      </c>
      <c r="U19" s="8">
        <f>H81</f>
        <v>63</v>
      </c>
    </row>
    <row r="20" spans="3:21">
      <c r="C20" s="2">
        <v>161</v>
      </c>
      <c r="D20" s="26">
        <f t="shared" si="8"/>
        <v>3.6730945821857003E-3</v>
      </c>
      <c r="E20" s="26">
        <f t="shared" si="4"/>
        <v>8</v>
      </c>
      <c r="F20" s="26">
        <f t="shared" si="7"/>
        <v>0</v>
      </c>
      <c r="H20" s="2">
        <v>55</v>
      </c>
      <c r="I20" s="17">
        <f t="shared" si="9"/>
        <v>0.61247637051039405</v>
      </c>
      <c r="J20" s="17">
        <f t="shared" si="5"/>
        <v>9</v>
      </c>
      <c r="K20" s="17">
        <f t="shared" si="10"/>
        <v>55</v>
      </c>
      <c r="M20" s="55">
        <v>5</v>
      </c>
      <c r="N20" s="55">
        <v>65</v>
      </c>
      <c r="O20" s="55">
        <v>68</v>
      </c>
      <c r="P20" s="8">
        <f>AVERAGE($H107:$H143)</f>
        <v>66.081081081081081</v>
      </c>
      <c r="Q20" s="8">
        <f>AVERAGE($I107:$I143)</f>
        <v>0.66910153396639815</v>
      </c>
      <c r="R20" s="8">
        <f>VAR($H107:$H143)</f>
        <v>0.68768768768768707</v>
      </c>
      <c r="S20" s="8">
        <f t="shared" si="11"/>
        <v>0.82926936979951638</v>
      </c>
      <c r="T20" s="8">
        <f>MAX($K107:$K143)</f>
        <v>67</v>
      </c>
      <c r="U20" s="8">
        <f>(H125+H126)/2</f>
        <v>66</v>
      </c>
    </row>
    <row r="21" spans="3:21">
      <c r="C21" s="2">
        <v>161</v>
      </c>
      <c r="D21" s="26">
        <f t="shared" si="8"/>
        <v>3.6730945821857003E-3</v>
      </c>
      <c r="E21" s="26">
        <f t="shared" si="4"/>
        <v>9</v>
      </c>
      <c r="F21" s="26">
        <f t="shared" si="7"/>
        <v>0</v>
      </c>
      <c r="H21" s="2">
        <v>56</v>
      </c>
      <c r="I21" s="17">
        <f t="shared" si="9"/>
        <v>4.7258979206049954E-2</v>
      </c>
      <c r="J21" s="17">
        <f t="shared" si="5"/>
        <v>1</v>
      </c>
      <c r="K21" s="17">
        <f t="shared" si="10"/>
        <v>0</v>
      </c>
      <c r="M21" s="55">
        <v>6</v>
      </c>
      <c r="N21" s="55">
        <v>68</v>
      </c>
      <c r="O21" s="55">
        <v>72</v>
      </c>
      <c r="P21" s="8">
        <f>SUM($H144:$H168) / 25</f>
        <v>69.239999999999995</v>
      </c>
      <c r="Q21" s="8">
        <f>SUM($I144:$I168) / 25</f>
        <v>0.90239999999999976</v>
      </c>
      <c r="R21" s="8">
        <f>VAR($H144:$H168)</f>
        <v>0.93999999999999984</v>
      </c>
      <c r="S21" s="8">
        <f t="shared" si="11"/>
        <v>0.96953597148326576</v>
      </c>
      <c r="T21" s="8">
        <f>MAX($K144:$K168)</f>
        <v>70</v>
      </c>
      <c r="U21" s="8">
        <f>(H156+H157)/2</f>
        <v>69</v>
      </c>
    </row>
    <row r="22" spans="3:21">
      <c r="C22" s="2">
        <v>161</v>
      </c>
      <c r="D22" s="26">
        <f t="shared" si="8"/>
        <v>3.6730945821857003E-3</v>
      </c>
      <c r="E22" s="26">
        <f t="shared" si="4"/>
        <v>10</v>
      </c>
      <c r="F22" s="26">
        <f t="shared" si="7"/>
        <v>0</v>
      </c>
      <c r="H22" s="2">
        <v>56</v>
      </c>
      <c r="I22" s="17">
        <f t="shared" si="9"/>
        <v>4.7258979206049954E-2</v>
      </c>
      <c r="J22" s="17">
        <f t="shared" si="5"/>
        <v>2</v>
      </c>
      <c r="K22" s="17">
        <f t="shared" si="10"/>
        <v>0</v>
      </c>
      <c r="M22" s="55">
        <v>7</v>
      </c>
      <c r="N22" s="55">
        <v>72</v>
      </c>
      <c r="O22" s="55">
        <v>75</v>
      </c>
      <c r="P22" s="8">
        <f>AVERAGE($H169:$H182)</f>
        <v>73.142857142857139</v>
      </c>
      <c r="Q22" s="8">
        <f>AVERAGE($I169:$I182)</f>
        <v>0.55102040816326536</v>
      </c>
      <c r="R22" s="8">
        <f>VAR($H169:$H182)</f>
        <v>0.59340659340659352</v>
      </c>
      <c r="S22" s="8">
        <f t="shared" si="11"/>
        <v>0.77032888651964337</v>
      </c>
      <c r="T22" s="8">
        <f>MAX($K169:$K182)</f>
        <v>73</v>
      </c>
      <c r="U22" s="8">
        <f>H175</f>
        <v>73</v>
      </c>
    </row>
    <row r="23" spans="3:21">
      <c r="C23" s="2">
        <v>161</v>
      </c>
      <c r="D23" s="26">
        <f t="shared" si="8"/>
        <v>3.6730945821857003E-3</v>
      </c>
      <c r="E23" s="26">
        <f t="shared" si="4"/>
        <v>11</v>
      </c>
      <c r="F23" s="26">
        <f t="shared" si="7"/>
        <v>0</v>
      </c>
      <c r="H23" s="2">
        <v>56</v>
      </c>
      <c r="I23" s="17">
        <f t="shared" si="9"/>
        <v>4.7258979206049954E-2</v>
      </c>
      <c r="J23" s="17">
        <f t="shared" si="5"/>
        <v>3</v>
      </c>
      <c r="K23" s="17">
        <f t="shared" si="10"/>
        <v>0</v>
      </c>
      <c r="M23" s="55">
        <v>8</v>
      </c>
      <c r="N23" s="55">
        <v>75</v>
      </c>
      <c r="O23" s="55">
        <v>79</v>
      </c>
      <c r="P23" s="8">
        <f>SUM($H183:$H197) / 15</f>
        <v>76.066666666666663</v>
      </c>
      <c r="Q23" s="8">
        <f>SUM($I183:$I197) / 15</f>
        <v>1.1288888888888888</v>
      </c>
      <c r="R23" s="8">
        <f>VAR($H183:$H197)</f>
        <v>1.2095238095238094</v>
      </c>
      <c r="S23" s="8">
        <f t="shared" si="11"/>
        <v>1.0997835284835873</v>
      </c>
      <c r="T23" s="8">
        <f>MAX($K183:$K197)</f>
        <v>75</v>
      </c>
      <c r="U23" s="8">
        <f>(H190+H191)/2</f>
        <v>76</v>
      </c>
    </row>
    <row r="24" spans="3:21">
      <c r="C24" s="2">
        <v>161</v>
      </c>
      <c r="D24" s="26">
        <f t="shared" si="8"/>
        <v>3.6730945821857003E-3</v>
      </c>
      <c r="E24" s="26">
        <f t="shared" si="4"/>
        <v>12</v>
      </c>
      <c r="F24" s="26">
        <f t="shared" si="7"/>
        <v>0</v>
      </c>
      <c r="H24" s="2">
        <v>56</v>
      </c>
      <c r="I24" s="17">
        <f t="shared" si="9"/>
        <v>4.7258979206049954E-2</v>
      </c>
      <c r="J24" s="17">
        <f t="shared" si="5"/>
        <v>4</v>
      </c>
      <c r="K24" s="17">
        <f t="shared" si="10"/>
        <v>0</v>
      </c>
      <c r="M24" s="55">
        <v>9</v>
      </c>
      <c r="N24" s="55">
        <v>79</v>
      </c>
      <c r="O24" s="55">
        <v>82</v>
      </c>
      <c r="P24" s="8">
        <f>SUM($H198:$H199)/2</f>
        <v>80.5</v>
      </c>
      <c r="Q24" s="8">
        <f>SUM($I198:$I199)/2</f>
        <v>0.25</v>
      </c>
      <c r="R24" s="8">
        <f>VAR($H198:$H199)</f>
        <v>0.5</v>
      </c>
      <c r="S24" s="8">
        <f t="shared" si="11"/>
        <v>0.70710678118654757</v>
      </c>
      <c r="T24" s="8">
        <f>MAX($K198:$K199)</f>
        <v>0</v>
      </c>
      <c r="U24" s="8">
        <f>(H198+H199)/2</f>
        <v>80.5</v>
      </c>
    </row>
    <row r="25" spans="3:21">
      <c r="C25" s="2">
        <v>161</v>
      </c>
      <c r="D25" s="26">
        <f t="shared" si="8"/>
        <v>3.6730945821857003E-3</v>
      </c>
      <c r="E25" s="26">
        <f t="shared" si="4"/>
        <v>13</v>
      </c>
      <c r="F25" s="26">
        <f t="shared" si="7"/>
        <v>0</v>
      </c>
      <c r="H25" s="2">
        <v>57</v>
      </c>
      <c r="I25" s="17">
        <f t="shared" si="9"/>
        <v>1.4820415879017059</v>
      </c>
      <c r="J25" s="17">
        <f t="shared" si="5"/>
        <v>1</v>
      </c>
      <c r="K25" s="17">
        <f t="shared" si="10"/>
        <v>0</v>
      </c>
      <c r="M25" s="55">
        <v>10</v>
      </c>
      <c r="N25" s="55">
        <v>82</v>
      </c>
      <c r="O25" s="55">
        <v>84</v>
      </c>
      <c r="P25" s="8">
        <f>SUM($H200:$H201)/2</f>
        <v>84</v>
      </c>
      <c r="Q25" s="8">
        <f>SUM($I200:$I201)/2</f>
        <v>0</v>
      </c>
      <c r="R25" s="8">
        <f>VAR($H200:$H201)</f>
        <v>0</v>
      </c>
      <c r="S25" s="8">
        <f t="shared" si="11"/>
        <v>0</v>
      </c>
      <c r="T25" s="8">
        <f>MAX($K200:$K201)</f>
        <v>84</v>
      </c>
      <c r="U25" s="8">
        <f>(H200+H201)/2</f>
        <v>84</v>
      </c>
    </row>
    <row r="26" spans="3:21">
      <c r="C26" s="2">
        <v>161</v>
      </c>
      <c r="D26" s="26">
        <f t="shared" si="8"/>
        <v>3.6730945821857003E-3</v>
      </c>
      <c r="E26" s="26">
        <f t="shared" si="4"/>
        <v>14</v>
      </c>
      <c r="F26" s="26">
        <f t="shared" si="7"/>
        <v>0</v>
      </c>
      <c r="H26" s="2">
        <v>57</v>
      </c>
      <c r="I26" s="17">
        <f t="shared" si="9"/>
        <v>1.4820415879017059</v>
      </c>
      <c r="J26" s="17">
        <f t="shared" si="5"/>
        <v>2</v>
      </c>
      <c r="K26" s="17">
        <f t="shared" si="10"/>
        <v>0</v>
      </c>
    </row>
    <row r="27" spans="3:21">
      <c r="C27" s="2">
        <v>161</v>
      </c>
      <c r="D27" s="26">
        <f t="shared" si="8"/>
        <v>3.6730945821857003E-3</v>
      </c>
      <c r="E27" s="26">
        <f t="shared" si="4"/>
        <v>15</v>
      </c>
      <c r="F27" s="26">
        <f t="shared" si="7"/>
        <v>0</v>
      </c>
      <c r="H27" s="2">
        <v>57</v>
      </c>
      <c r="I27" s="17">
        <f t="shared" si="9"/>
        <v>1.4820415879017059</v>
      </c>
      <c r="J27" s="17">
        <f t="shared" si="5"/>
        <v>3</v>
      </c>
      <c r="K27" s="17">
        <f t="shared" si="10"/>
        <v>0</v>
      </c>
    </row>
    <row r="28" spans="3:21">
      <c r="C28" s="2">
        <v>161</v>
      </c>
      <c r="D28" s="26">
        <f t="shared" si="8"/>
        <v>3.6730945821857003E-3</v>
      </c>
      <c r="E28" s="26">
        <f t="shared" si="4"/>
        <v>16</v>
      </c>
      <c r="F28" s="26">
        <f t="shared" si="7"/>
        <v>0</v>
      </c>
      <c r="H28" s="2">
        <v>57</v>
      </c>
      <c r="I28" s="17">
        <f t="shared" si="9"/>
        <v>1.4820415879017059</v>
      </c>
      <c r="J28" s="17">
        <f t="shared" si="5"/>
        <v>4</v>
      </c>
      <c r="K28" s="17">
        <f t="shared" si="10"/>
        <v>0</v>
      </c>
    </row>
    <row r="29" spans="3:21">
      <c r="C29" s="2">
        <v>161</v>
      </c>
      <c r="D29" s="26">
        <f t="shared" si="8"/>
        <v>3.6730945821857003E-3</v>
      </c>
      <c r="E29" s="26">
        <f t="shared" si="4"/>
        <v>17</v>
      </c>
      <c r="F29" s="26">
        <f t="shared" si="7"/>
        <v>161</v>
      </c>
      <c r="H29" s="2">
        <v>57</v>
      </c>
      <c r="I29" s="17">
        <f t="shared" si="9"/>
        <v>1.4820415879017059</v>
      </c>
      <c r="J29" s="17">
        <f t="shared" si="5"/>
        <v>5</v>
      </c>
      <c r="K29" s="17">
        <f t="shared" si="10"/>
        <v>0</v>
      </c>
    </row>
    <row r="30" spans="3:21">
      <c r="C30" s="2">
        <v>162</v>
      </c>
      <c r="D30" s="26">
        <f t="shared" si="8"/>
        <v>1.1248852157943103</v>
      </c>
      <c r="E30" s="26">
        <f t="shared" si="4"/>
        <v>1</v>
      </c>
      <c r="F30" s="26">
        <f t="shared" si="7"/>
        <v>0</v>
      </c>
      <c r="H30" s="2">
        <v>57</v>
      </c>
      <c r="I30" s="17">
        <f t="shared" si="9"/>
        <v>1.4820415879017059</v>
      </c>
      <c r="J30" s="17">
        <f t="shared" si="5"/>
        <v>6</v>
      </c>
      <c r="K30" s="17">
        <f t="shared" si="10"/>
        <v>0</v>
      </c>
    </row>
    <row r="31" spans="3:21">
      <c r="C31" s="2">
        <v>162</v>
      </c>
      <c r="D31" s="26">
        <f t="shared" si="8"/>
        <v>1.1248852157943103</v>
      </c>
      <c r="E31" s="26">
        <f t="shared" si="4"/>
        <v>2</v>
      </c>
      <c r="F31" s="26">
        <f t="shared" si="7"/>
        <v>0</v>
      </c>
      <c r="H31" s="2">
        <v>57</v>
      </c>
      <c r="I31" s="17">
        <f t="shared" si="9"/>
        <v>1.4820415879017059</v>
      </c>
      <c r="J31" s="17">
        <f t="shared" si="5"/>
        <v>7</v>
      </c>
      <c r="K31" s="17">
        <f t="shared" si="10"/>
        <v>0</v>
      </c>
    </row>
    <row r="32" spans="3:21">
      <c r="C32" s="2">
        <v>162</v>
      </c>
      <c r="D32" s="26">
        <f t="shared" si="8"/>
        <v>1.1248852157943103</v>
      </c>
      <c r="E32" s="26">
        <f t="shared" si="4"/>
        <v>3</v>
      </c>
      <c r="F32" s="26">
        <f t="shared" si="7"/>
        <v>0</v>
      </c>
      <c r="H32" s="2">
        <v>57</v>
      </c>
      <c r="I32" s="17">
        <f t="shared" si="9"/>
        <v>1.4820415879017059</v>
      </c>
      <c r="J32" s="17">
        <f t="shared" si="5"/>
        <v>8</v>
      </c>
      <c r="K32" s="17">
        <f t="shared" si="10"/>
        <v>0</v>
      </c>
    </row>
    <row r="33" spans="3:11">
      <c r="C33" s="2">
        <v>162</v>
      </c>
      <c r="D33" s="26">
        <f t="shared" si="8"/>
        <v>1.1248852157943103</v>
      </c>
      <c r="E33" s="26">
        <f t="shared" si="4"/>
        <v>4</v>
      </c>
      <c r="F33" s="26">
        <f t="shared" si="7"/>
        <v>0</v>
      </c>
      <c r="H33" s="2">
        <v>58</v>
      </c>
      <c r="I33" s="17">
        <f xml:space="preserve"> POWER($H33 - $P$18, 2)</f>
        <v>1.9855371900826373</v>
      </c>
      <c r="J33" s="17">
        <f t="shared" si="5"/>
        <v>1</v>
      </c>
      <c r="K33" s="17">
        <f>IF(AND(MAX(J$33:J$54)=J33,J33&gt;1),H33,0)</f>
        <v>0</v>
      </c>
    </row>
    <row r="34" spans="3:11">
      <c r="C34" s="2">
        <v>162</v>
      </c>
      <c r="D34" s="26">
        <f t="shared" si="8"/>
        <v>1.1248852157943103</v>
      </c>
      <c r="E34" s="26">
        <f t="shared" si="4"/>
        <v>5</v>
      </c>
      <c r="F34" s="26">
        <f t="shared" si="7"/>
        <v>0</v>
      </c>
      <c r="H34" s="2">
        <v>58</v>
      </c>
      <c r="I34" s="17">
        <f t="shared" ref="I34:I54" si="12" xml:space="preserve"> POWER($H34 - $P$18, 2)</f>
        <v>1.9855371900826373</v>
      </c>
      <c r="J34" s="17">
        <f t="shared" si="5"/>
        <v>2</v>
      </c>
      <c r="K34" s="17">
        <f t="shared" ref="K34:K54" si="13">IF(AND(MAX(J$33:J$54)=J34,J34&gt;1),H34,0)</f>
        <v>0</v>
      </c>
    </row>
    <row r="35" spans="3:11">
      <c r="C35" s="2">
        <v>162</v>
      </c>
      <c r="D35" s="26">
        <f t="shared" si="8"/>
        <v>1.1248852157943103</v>
      </c>
      <c r="E35" s="26">
        <f t="shared" si="4"/>
        <v>6</v>
      </c>
      <c r="F35" s="26">
        <f t="shared" si="7"/>
        <v>0</v>
      </c>
      <c r="H35" s="2">
        <v>59</v>
      </c>
      <c r="I35" s="17">
        <f t="shared" si="12"/>
        <v>0.16735537190082433</v>
      </c>
      <c r="J35" s="17">
        <f t="shared" si="5"/>
        <v>1</v>
      </c>
      <c r="K35" s="17">
        <f t="shared" si="13"/>
        <v>0</v>
      </c>
    </row>
    <row r="36" spans="3:11">
      <c r="C36" s="2">
        <v>162</v>
      </c>
      <c r="D36" s="26">
        <f t="shared" si="8"/>
        <v>1.1248852157943103</v>
      </c>
      <c r="E36" s="26">
        <f t="shared" si="4"/>
        <v>7</v>
      </c>
      <c r="F36" s="26">
        <f t="shared" si="7"/>
        <v>0</v>
      </c>
      <c r="H36" s="2">
        <v>59</v>
      </c>
      <c r="I36" s="17">
        <f t="shared" si="12"/>
        <v>0.16735537190082433</v>
      </c>
      <c r="J36" s="17">
        <f t="shared" si="5"/>
        <v>2</v>
      </c>
      <c r="K36" s="17">
        <f t="shared" si="13"/>
        <v>0</v>
      </c>
    </row>
    <row r="37" spans="3:11">
      <c r="C37" s="2">
        <v>162</v>
      </c>
      <c r="D37" s="26">
        <f t="shared" si="8"/>
        <v>1.1248852157943103</v>
      </c>
      <c r="E37" s="26">
        <f t="shared" si="4"/>
        <v>8</v>
      </c>
      <c r="F37" s="26">
        <f t="shared" si="7"/>
        <v>0</v>
      </c>
      <c r="H37" s="2">
        <v>59</v>
      </c>
      <c r="I37" s="17">
        <f t="shared" si="12"/>
        <v>0.16735537190082433</v>
      </c>
      <c r="J37" s="17">
        <f t="shared" si="5"/>
        <v>3</v>
      </c>
      <c r="K37" s="17">
        <f t="shared" si="13"/>
        <v>0</v>
      </c>
    </row>
    <row r="38" spans="3:11">
      <c r="C38" s="2">
        <v>162</v>
      </c>
      <c r="D38" s="26">
        <f t="shared" si="8"/>
        <v>1.1248852157943103</v>
      </c>
      <c r="E38" s="26">
        <f t="shared" si="4"/>
        <v>9</v>
      </c>
      <c r="F38" s="26">
        <f t="shared" si="7"/>
        <v>0</v>
      </c>
      <c r="H38" s="2">
        <v>59</v>
      </c>
      <c r="I38" s="17">
        <f t="shared" si="12"/>
        <v>0.16735537190082433</v>
      </c>
      <c r="J38" s="17">
        <f t="shared" si="5"/>
        <v>4</v>
      </c>
      <c r="K38" s="17">
        <f t="shared" si="13"/>
        <v>0</v>
      </c>
    </row>
    <row r="39" spans="3:11">
      <c r="C39" s="2">
        <v>163</v>
      </c>
      <c r="D39" s="26">
        <f xml:space="preserve"> POWER($C39 - $P$5, 2)</f>
        <v>1.5093877551020389</v>
      </c>
      <c r="E39" s="26">
        <f t="shared" si="4"/>
        <v>1</v>
      </c>
      <c r="F39" s="26">
        <f>IF(AND(MAX(E$39:E$73)=E39,E39&gt;1),C39,0)</f>
        <v>0</v>
      </c>
      <c r="H39" s="2">
        <v>59</v>
      </c>
      <c r="I39" s="17">
        <f t="shared" si="12"/>
        <v>0.16735537190082433</v>
      </c>
      <c r="J39" s="17">
        <f t="shared" si="5"/>
        <v>5</v>
      </c>
      <c r="K39" s="17">
        <f t="shared" si="13"/>
        <v>0</v>
      </c>
    </row>
    <row r="40" spans="3:11">
      <c r="C40" s="2">
        <v>163</v>
      </c>
      <c r="D40" s="26">
        <f t="shared" ref="D40:D73" si="14" xml:space="preserve"> POWER($C40 - $P$5, 2)</f>
        <v>1.5093877551020389</v>
      </c>
      <c r="E40" s="26">
        <f t="shared" si="4"/>
        <v>2</v>
      </c>
      <c r="F40" s="26">
        <f t="shared" ref="F40:F73" si="15">IF(AND(MAX(E$39:E$73)=E40,E40&gt;1),C40,0)</f>
        <v>0</v>
      </c>
      <c r="H40" s="2">
        <v>59</v>
      </c>
      <c r="I40" s="17">
        <f t="shared" si="12"/>
        <v>0.16735537190082433</v>
      </c>
      <c r="J40" s="17">
        <f t="shared" si="5"/>
        <v>6</v>
      </c>
      <c r="K40" s="17">
        <f t="shared" si="13"/>
        <v>0</v>
      </c>
    </row>
    <row r="41" spans="3:11">
      <c r="C41" s="2">
        <v>163</v>
      </c>
      <c r="D41" s="26">
        <f t="shared" si="14"/>
        <v>1.5093877551020389</v>
      </c>
      <c r="E41" s="26">
        <f t="shared" si="4"/>
        <v>3</v>
      </c>
      <c r="F41" s="26">
        <f t="shared" si="15"/>
        <v>0</v>
      </c>
      <c r="H41" s="2">
        <v>59</v>
      </c>
      <c r="I41" s="17">
        <f t="shared" si="12"/>
        <v>0.16735537190082433</v>
      </c>
      <c r="J41" s="17">
        <f t="shared" si="5"/>
        <v>7</v>
      </c>
      <c r="K41" s="17">
        <f t="shared" si="13"/>
        <v>0</v>
      </c>
    </row>
    <row r="42" spans="3:11">
      <c r="C42" s="2">
        <v>163</v>
      </c>
      <c r="D42" s="26">
        <f t="shared" si="14"/>
        <v>1.5093877551020389</v>
      </c>
      <c r="E42" s="26">
        <f t="shared" si="4"/>
        <v>4</v>
      </c>
      <c r="F42" s="26">
        <f t="shared" si="15"/>
        <v>0</v>
      </c>
      <c r="H42" s="2">
        <v>59</v>
      </c>
      <c r="I42" s="17">
        <f t="shared" si="12"/>
        <v>0.16735537190082433</v>
      </c>
      <c r="J42" s="17">
        <f t="shared" si="5"/>
        <v>8</v>
      </c>
      <c r="K42" s="17">
        <f t="shared" si="13"/>
        <v>0</v>
      </c>
    </row>
    <row r="43" spans="3:11">
      <c r="C43" s="2">
        <v>163</v>
      </c>
      <c r="D43" s="26">
        <f t="shared" si="14"/>
        <v>1.5093877551020389</v>
      </c>
      <c r="E43" s="26">
        <f t="shared" si="4"/>
        <v>5</v>
      </c>
      <c r="F43" s="26">
        <f t="shared" si="15"/>
        <v>0</v>
      </c>
      <c r="H43" s="2">
        <v>59</v>
      </c>
      <c r="I43" s="17">
        <f t="shared" si="12"/>
        <v>0.16735537190082433</v>
      </c>
      <c r="J43" s="17">
        <f t="shared" si="5"/>
        <v>9</v>
      </c>
      <c r="K43" s="17">
        <f t="shared" si="13"/>
        <v>0</v>
      </c>
    </row>
    <row r="44" spans="3:11">
      <c r="C44" s="2">
        <v>163</v>
      </c>
      <c r="D44" s="26">
        <f t="shared" si="14"/>
        <v>1.5093877551020389</v>
      </c>
      <c r="E44" s="26">
        <f t="shared" si="4"/>
        <v>6</v>
      </c>
      <c r="F44" s="26">
        <f t="shared" si="15"/>
        <v>0</v>
      </c>
      <c r="H44" s="2">
        <v>60</v>
      </c>
      <c r="I44" s="17">
        <f t="shared" si="12"/>
        <v>0.34917355371901132</v>
      </c>
      <c r="J44" s="17">
        <f t="shared" si="5"/>
        <v>1</v>
      </c>
      <c r="K44" s="17">
        <f t="shared" si="13"/>
        <v>0</v>
      </c>
    </row>
    <row r="45" spans="3:11">
      <c r="C45" s="2">
        <v>163</v>
      </c>
      <c r="D45" s="26">
        <f t="shared" si="14"/>
        <v>1.5093877551020389</v>
      </c>
      <c r="E45" s="26">
        <f t="shared" si="4"/>
        <v>7</v>
      </c>
      <c r="F45" s="26">
        <f t="shared" si="15"/>
        <v>0</v>
      </c>
      <c r="H45" s="2">
        <v>60</v>
      </c>
      <c r="I45" s="17">
        <f t="shared" si="12"/>
        <v>0.34917355371901132</v>
      </c>
      <c r="J45" s="17">
        <f t="shared" si="5"/>
        <v>2</v>
      </c>
      <c r="K45" s="17">
        <f t="shared" si="13"/>
        <v>0</v>
      </c>
    </row>
    <row r="46" spans="3:11">
      <c r="C46" s="2">
        <v>163</v>
      </c>
      <c r="D46" s="26">
        <f t="shared" si="14"/>
        <v>1.5093877551020389</v>
      </c>
      <c r="E46" s="26">
        <f t="shared" si="4"/>
        <v>8</v>
      </c>
      <c r="F46" s="26">
        <f t="shared" si="15"/>
        <v>0</v>
      </c>
      <c r="H46" s="2">
        <v>60</v>
      </c>
      <c r="I46" s="17">
        <f t="shared" si="12"/>
        <v>0.34917355371901132</v>
      </c>
      <c r="J46" s="17">
        <f t="shared" si="5"/>
        <v>3</v>
      </c>
      <c r="K46" s="17">
        <f t="shared" si="13"/>
        <v>0</v>
      </c>
    </row>
    <row r="47" spans="3:11">
      <c r="C47" s="2">
        <v>164</v>
      </c>
      <c r="D47" s="26">
        <f t="shared" si="14"/>
        <v>5.2244897959183301E-2</v>
      </c>
      <c r="E47" s="26">
        <f t="shared" si="4"/>
        <v>1</v>
      </c>
      <c r="F47" s="26">
        <f t="shared" si="15"/>
        <v>0</v>
      </c>
      <c r="H47" s="2">
        <v>60</v>
      </c>
      <c r="I47" s="17">
        <f t="shared" si="12"/>
        <v>0.34917355371901132</v>
      </c>
      <c r="J47" s="17">
        <f t="shared" si="5"/>
        <v>4</v>
      </c>
      <c r="K47" s="17">
        <f t="shared" si="13"/>
        <v>0</v>
      </c>
    </row>
    <row r="48" spans="3:11">
      <c r="C48" s="2">
        <v>164</v>
      </c>
      <c r="D48" s="26">
        <f t="shared" si="14"/>
        <v>5.2244897959183301E-2</v>
      </c>
      <c r="E48" s="26">
        <f t="shared" si="4"/>
        <v>2</v>
      </c>
      <c r="F48" s="26">
        <f t="shared" si="15"/>
        <v>0</v>
      </c>
      <c r="H48" s="2">
        <v>60</v>
      </c>
      <c r="I48" s="17">
        <f t="shared" si="12"/>
        <v>0.34917355371901132</v>
      </c>
      <c r="J48" s="17">
        <f t="shared" si="5"/>
        <v>5</v>
      </c>
      <c r="K48" s="17">
        <f t="shared" si="13"/>
        <v>0</v>
      </c>
    </row>
    <row r="49" spans="3:11">
      <c r="C49" s="2">
        <v>164</v>
      </c>
      <c r="D49" s="26">
        <f t="shared" si="14"/>
        <v>5.2244897959183301E-2</v>
      </c>
      <c r="E49" s="26">
        <f t="shared" si="4"/>
        <v>3</v>
      </c>
      <c r="F49" s="26">
        <f t="shared" si="15"/>
        <v>0</v>
      </c>
      <c r="H49" s="2">
        <v>60</v>
      </c>
      <c r="I49" s="17">
        <f t="shared" si="12"/>
        <v>0.34917355371901132</v>
      </c>
      <c r="J49" s="17">
        <f t="shared" si="5"/>
        <v>6</v>
      </c>
      <c r="K49" s="17">
        <f t="shared" si="13"/>
        <v>0</v>
      </c>
    </row>
    <row r="50" spans="3:11">
      <c r="C50" s="2">
        <v>164</v>
      </c>
      <c r="D50" s="26">
        <f t="shared" si="14"/>
        <v>5.2244897959183301E-2</v>
      </c>
      <c r="E50" s="26">
        <f t="shared" si="4"/>
        <v>4</v>
      </c>
      <c r="F50" s="26">
        <f t="shared" si="15"/>
        <v>0</v>
      </c>
      <c r="H50" s="2">
        <v>60</v>
      </c>
      <c r="I50" s="17">
        <f t="shared" si="12"/>
        <v>0.34917355371901132</v>
      </c>
      <c r="J50" s="17">
        <f t="shared" si="5"/>
        <v>7</v>
      </c>
      <c r="K50" s="17">
        <f t="shared" si="13"/>
        <v>0</v>
      </c>
    </row>
    <row r="51" spans="3:11">
      <c r="C51" s="2">
        <v>164</v>
      </c>
      <c r="D51" s="26">
        <f t="shared" si="14"/>
        <v>5.2244897959183301E-2</v>
      </c>
      <c r="E51" s="26">
        <f t="shared" si="4"/>
        <v>5</v>
      </c>
      <c r="F51" s="26">
        <f t="shared" si="15"/>
        <v>0</v>
      </c>
      <c r="H51" s="2">
        <v>60</v>
      </c>
      <c r="I51" s="17">
        <f t="shared" si="12"/>
        <v>0.34917355371901132</v>
      </c>
      <c r="J51" s="17">
        <f t="shared" si="5"/>
        <v>8</v>
      </c>
      <c r="K51" s="17">
        <f t="shared" si="13"/>
        <v>0</v>
      </c>
    </row>
    <row r="52" spans="3:11">
      <c r="C52" s="2">
        <v>164</v>
      </c>
      <c r="D52" s="26">
        <f t="shared" si="14"/>
        <v>5.2244897959183301E-2</v>
      </c>
      <c r="E52" s="26">
        <f t="shared" si="4"/>
        <v>6</v>
      </c>
      <c r="F52" s="26">
        <f t="shared" si="15"/>
        <v>0</v>
      </c>
      <c r="H52" s="2">
        <v>60</v>
      </c>
      <c r="I52" s="17">
        <f t="shared" si="12"/>
        <v>0.34917355371901132</v>
      </c>
      <c r="J52" s="17">
        <f t="shared" si="5"/>
        <v>9</v>
      </c>
      <c r="K52" s="17">
        <f t="shared" si="13"/>
        <v>0</v>
      </c>
    </row>
    <row r="53" spans="3:11">
      <c r="C53" s="2">
        <v>164</v>
      </c>
      <c r="D53" s="26">
        <f t="shared" si="14"/>
        <v>5.2244897959183301E-2</v>
      </c>
      <c r="E53" s="26">
        <f t="shared" si="4"/>
        <v>7</v>
      </c>
      <c r="F53" s="26">
        <f t="shared" si="15"/>
        <v>0</v>
      </c>
      <c r="H53" s="2">
        <v>60</v>
      </c>
      <c r="I53" s="17">
        <f t="shared" si="12"/>
        <v>0.34917355371901132</v>
      </c>
      <c r="J53" s="17">
        <f t="shared" si="5"/>
        <v>10</v>
      </c>
      <c r="K53" s="17">
        <f t="shared" si="13"/>
        <v>0</v>
      </c>
    </row>
    <row r="54" spans="3:11">
      <c r="C54" s="2">
        <v>164</v>
      </c>
      <c r="D54" s="26">
        <f t="shared" si="14"/>
        <v>5.2244897959183301E-2</v>
      </c>
      <c r="E54" s="26">
        <f t="shared" si="4"/>
        <v>8</v>
      </c>
      <c r="F54" s="26">
        <f t="shared" si="15"/>
        <v>0</v>
      </c>
      <c r="H54" s="2">
        <v>60</v>
      </c>
      <c r="I54" s="17">
        <f t="shared" si="12"/>
        <v>0.34917355371901132</v>
      </c>
      <c r="J54" s="17">
        <f t="shared" si="5"/>
        <v>11</v>
      </c>
      <c r="K54" s="17">
        <f t="shared" si="13"/>
        <v>60</v>
      </c>
    </row>
    <row r="55" spans="3:11">
      <c r="C55" s="2">
        <v>164</v>
      </c>
      <c r="D55" s="26">
        <f t="shared" si="14"/>
        <v>5.2244897959183301E-2</v>
      </c>
      <c r="E55" s="26">
        <f t="shared" si="4"/>
        <v>9</v>
      </c>
      <c r="F55" s="26">
        <f t="shared" si="15"/>
        <v>0</v>
      </c>
      <c r="H55" s="2">
        <v>61</v>
      </c>
      <c r="I55" s="17">
        <f xml:space="preserve"> POWER($H55 - $P$19, 2)</f>
        <v>2.4264053254437834</v>
      </c>
      <c r="J55" s="17">
        <f t="shared" si="5"/>
        <v>1</v>
      </c>
      <c r="K55" s="17">
        <f>IF(AND(MAX(J$55:J$106)=J55,J55&gt;1),H55,0)</f>
        <v>0</v>
      </c>
    </row>
    <row r="56" spans="3:11">
      <c r="C56" s="2">
        <v>164</v>
      </c>
      <c r="D56" s="26">
        <f t="shared" si="14"/>
        <v>5.2244897959183301E-2</v>
      </c>
      <c r="E56" s="26">
        <f t="shared" si="4"/>
        <v>10</v>
      </c>
      <c r="F56" s="26">
        <f t="shared" si="15"/>
        <v>0</v>
      </c>
      <c r="H56" s="2">
        <v>61</v>
      </c>
      <c r="I56" s="17">
        <f t="shared" ref="I56:I106" si="16" xml:space="preserve"> POWER($H56 - $P$19, 2)</f>
        <v>2.4264053254437834</v>
      </c>
      <c r="J56" s="17">
        <f t="shared" si="5"/>
        <v>2</v>
      </c>
      <c r="K56" s="17">
        <f t="shared" ref="K56:K106" si="17">IF(AND(MAX(J$55:J$106)=J56,J56&gt;1),H56,0)</f>
        <v>0</v>
      </c>
    </row>
    <row r="57" spans="3:11">
      <c r="C57" s="2">
        <v>164</v>
      </c>
      <c r="D57" s="26">
        <f t="shared" si="14"/>
        <v>5.2244897959183301E-2</v>
      </c>
      <c r="E57" s="26">
        <f t="shared" si="4"/>
        <v>11</v>
      </c>
      <c r="F57" s="26">
        <f t="shared" si="15"/>
        <v>0</v>
      </c>
      <c r="H57" s="2">
        <v>61</v>
      </c>
      <c r="I57" s="17">
        <f t="shared" si="16"/>
        <v>2.4264053254437834</v>
      </c>
      <c r="J57" s="17">
        <f t="shared" si="5"/>
        <v>3</v>
      </c>
      <c r="K57" s="17">
        <f t="shared" si="17"/>
        <v>0</v>
      </c>
    </row>
    <row r="58" spans="3:11">
      <c r="C58" s="2">
        <v>165</v>
      </c>
      <c r="D58" s="26">
        <f t="shared" si="14"/>
        <v>0.59510204081632778</v>
      </c>
      <c r="E58" s="26">
        <f t="shared" si="4"/>
        <v>1</v>
      </c>
      <c r="F58" s="26">
        <f t="shared" si="15"/>
        <v>0</v>
      </c>
      <c r="H58" s="2">
        <v>61</v>
      </c>
      <c r="I58" s="17">
        <f t="shared" si="16"/>
        <v>2.4264053254437834</v>
      </c>
      <c r="J58" s="17">
        <f t="shared" si="5"/>
        <v>4</v>
      </c>
      <c r="K58" s="17">
        <f t="shared" si="17"/>
        <v>0</v>
      </c>
    </row>
    <row r="59" spans="3:11">
      <c r="C59" s="2">
        <v>165</v>
      </c>
      <c r="D59" s="26">
        <f t="shared" si="14"/>
        <v>0.59510204081632778</v>
      </c>
      <c r="E59" s="26">
        <f t="shared" si="4"/>
        <v>2</v>
      </c>
      <c r="F59" s="26">
        <f t="shared" si="15"/>
        <v>0</v>
      </c>
      <c r="H59" s="2">
        <v>61</v>
      </c>
      <c r="I59" s="17">
        <f t="shared" si="16"/>
        <v>2.4264053254437834</v>
      </c>
      <c r="J59" s="17">
        <f t="shared" si="5"/>
        <v>5</v>
      </c>
      <c r="K59" s="17">
        <f t="shared" si="17"/>
        <v>0</v>
      </c>
    </row>
    <row r="60" spans="3:11">
      <c r="C60" s="2">
        <v>165</v>
      </c>
      <c r="D60" s="26">
        <f t="shared" si="14"/>
        <v>0.59510204081632778</v>
      </c>
      <c r="E60" s="26">
        <f t="shared" si="4"/>
        <v>3</v>
      </c>
      <c r="F60" s="26">
        <f t="shared" si="15"/>
        <v>0</v>
      </c>
      <c r="H60" s="2">
        <v>61</v>
      </c>
      <c r="I60" s="17">
        <f t="shared" si="16"/>
        <v>2.4264053254437834</v>
      </c>
      <c r="J60" s="17">
        <f t="shared" si="5"/>
        <v>6</v>
      </c>
      <c r="K60" s="17">
        <f t="shared" si="17"/>
        <v>0</v>
      </c>
    </row>
    <row r="61" spans="3:11">
      <c r="C61" s="2">
        <v>165</v>
      </c>
      <c r="D61" s="26">
        <f t="shared" si="14"/>
        <v>0.59510204081632778</v>
      </c>
      <c r="E61" s="26">
        <f t="shared" si="4"/>
        <v>4</v>
      </c>
      <c r="F61" s="26">
        <f t="shared" si="15"/>
        <v>0</v>
      </c>
      <c r="H61" s="2">
        <v>61</v>
      </c>
      <c r="I61" s="17">
        <f t="shared" si="16"/>
        <v>2.4264053254437834</v>
      </c>
      <c r="J61" s="17">
        <f t="shared" si="5"/>
        <v>7</v>
      </c>
      <c r="K61" s="17">
        <f t="shared" si="17"/>
        <v>0</v>
      </c>
    </row>
    <row r="62" spans="3:11">
      <c r="C62" s="2">
        <v>165</v>
      </c>
      <c r="D62" s="26">
        <f t="shared" si="14"/>
        <v>0.59510204081632778</v>
      </c>
      <c r="E62" s="26">
        <f t="shared" si="4"/>
        <v>5</v>
      </c>
      <c r="F62" s="26">
        <f t="shared" si="15"/>
        <v>0</v>
      </c>
      <c r="H62" s="2">
        <v>61</v>
      </c>
      <c r="I62" s="17">
        <f t="shared" si="16"/>
        <v>2.4264053254437834</v>
      </c>
      <c r="J62" s="17">
        <f t="shared" si="5"/>
        <v>8</v>
      </c>
      <c r="K62" s="17">
        <f t="shared" si="17"/>
        <v>0</v>
      </c>
    </row>
    <row r="63" spans="3:11">
      <c r="C63" s="2">
        <v>165</v>
      </c>
      <c r="D63" s="26">
        <f t="shared" si="14"/>
        <v>0.59510204081632778</v>
      </c>
      <c r="E63" s="26">
        <f t="shared" si="4"/>
        <v>6</v>
      </c>
      <c r="F63" s="26">
        <f t="shared" si="15"/>
        <v>0</v>
      </c>
      <c r="H63" s="2">
        <v>61</v>
      </c>
      <c r="I63" s="17">
        <f t="shared" si="16"/>
        <v>2.4264053254437834</v>
      </c>
      <c r="J63" s="17">
        <f t="shared" si="5"/>
        <v>9</v>
      </c>
      <c r="K63" s="17">
        <f t="shared" si="17"/>
        <v>0</v>
      </c>
    </row>
    <row r="64" spans="3:11">
      <c r="C64" s="2">
        <v>165</v>
      </c>
      <c r="D64" s="26">
        <f t="shared" si="14"/>
        <v>0.59510204081632778</v>
      </c>
      <c r="E64" s="26">
        <f t="shared" si="4"/>
        <v>7</v>
      </c>
      <c r="F64" s="26">
        <f t="shared" si="15"/>
        <v>0</v>
      </c>
      <c r="H64" s="2">
        <v>61</v>
      </c>
      <c r="I64" s="17">
        <f t="shared" si="16"/>
        <v>2.4264053254437834</v>
      </c>
      <c r="J64" s="17">
        <f t="shared" si="5"/>
        <v>10</v>
      </c>
      <c r="K64" s="17">
        <f t="shared" si="17"/>
        <v>0</v>
      </c>
    </row>
    <row r="65" spans="3:11">
      <c r="C65" s="2">
        <v>165</v>
      </c>
      <c r="D65" s="26">
        <f t="shared" si="14"/>
        <v>0.59510204081632778</v>
      </c>
      <c r="E65" s="26">
        <f t="shared" si="4"/>
        <v>8</v>
      </c>
      <c r="F65" s="26">
        <f t="shared" si="15"/>
        <v>0</v>
      </c>
      <c r="H65" s="2">
        <v>61</v>
      </c>
      <c r="I65" s="17">
        <f t="shared" si="16"/>
        <v>2.4264053254437834</v>
      </c>
      <c r="J65" s="17">
        <f t="shared" si="5"/>
        <v>11</v>
      </c>
      <c r="K65" s="17">
        <f t="shared" si="17"/>
        <v>0</v>
      </c>
    </row>
    <row r="66" spans="3:11">
      <c r="C66" s="2">
        <v>165</v>
      </c>
      <c r="D66" s="26">
        <f t="shared" si="14"/>
        <v>0.59510204081632778</v>
      </c>
      <c r="E66" s="26">
        <f t="shared" si="4"/>
        <v>9</v>
      </c>
      <c r="F66" s="26">
        <f t="shared" si="15"/>
        <v>0</v>
      </c>
      <c r="H66" s="2">
        <v>62</v>
      </c>
      <c r="I66" s="17">
        <f t="shared" si="16"/>
        <v>0.31102071005917037</v>
      </c>
      <c r="J66" s="17">
        <f t="shared" si="5"/>
        <v>1</v>
      </c>
      <c r="K66" s="17">
        <f t="shared" si="17"/>
        <v>0</v>
      </c>
    </row>
    <row r="67" spans="3:11">
      <c r="C67" s="2">
        <v>165</v>
      </c>
      <c r="D67" s="26">
        <f t="shared" si="14"/>
        <v>0.59510204081632778</v>
      </c>
      <c r="E67" s="26">
        <f t="shared" si="4"/>
        <v>10</v>
      </c>
      <c r="F67" s="26">
        <f t="shared" si="15"/>
        <v>0</v>
      </c>
      <c r="H67" s="2">
        <v>62</v>
      </c>
      <c r="I67" s="17">
        <f t="shared" si="16"/>
        <v>0.31102071005917037</v>
      </c>
      <c r="J67" s="17">
        <f t="shared" si="5"/>
        <v>2</v>
      </c>
      <c r="K67" s="17">
        <f t="shared" si="17"/>
        <v>0</v>
      </c>
    </row>
    <row r="68" spans="3:11">
      <c r="C68" s="2">
        <v>165</v>
      </c>
      <c r="D68" s="26">
        <f t="shared" si="14"/>
        <v>0.59510204081632778</v>
      </c>
      <c r="E68" s="26">
        <f t="shared" ref="E68:E131" si="18">IF(C67=C68,E67+1,1)</f>
        <v>11</v>
      </c>
      <c r="F68" s="26">
        <f t="shared" si="15"/>
        <v>0</v>
      </c>
      <c r="H68" s="2">
        <v>62</v>
      </c>
      <c r="I68" s="17">
        <f t="shared" si="16"/>
        <v>0.31102071005917037</v>
      </c>
      <c r="J68" s="17">
        <f t="shared" ref="J68:J131" si="19">IF(H67=H68,J67+1,1)</f>
        <v>3</v>
      </c>
      <c r="K68" s="17">
        <f t="shared" si="17"/>
        <v>0</v>
      </c>
    </row>
    <row r="69" spans="3:11">
      <c r="C69" s="2">
        <v>165</v>
      </c>
      <c r="D69" s="26">
        <f t="shared" si="14"/>
        <v>0.59510204081632778</v>
      </c>
      <c r="E69" s="26">
        <f t="shared" si="18"/>
        <v>12</v>
      </c>
      <c r="F69" s="26">
        <f t="shared" si="15"/>
        <v>0</v>
      </c>
      <c r="H69" s="2">
        <v>62</v>
      </c>
      <c r="I69" s="17">
        <f t="shared" si="16"/>
        <v>0.31102071005917037</v>
      </c>
      <c r="J69" s="17">
        <f t="shared" si="19"/>
        <v>4</v>
      </c>
      <c r="K69" s="17">
        <f t="shared" si="17"/>
        <v>0</v>
      </c>
    </row>
    <row r="70" spans="3:11">
      <c r="C70" s="2">
        <v>165</v>
      </c>
      <c r="D70" s="26">
        <f t="shared" si="14"/>
        <v>0.59510204081632778</v>
      </c>
      <c r="E70" s="26">
        <f t="shared" si="18"/>
        <v>13</v>
      </c>
      <c r="F70" s="26">
        <f t="shared" si="15"/>
        <v>0</v>
      </c>
      <c r="H70" s="2">
        <v>62</v>
      </c>
      <c r="I70" s="17">
        <f t="shared" si="16"/>
        <v>0.31102071005917037</v>
      </c>
      <c r="J70" s="17">
        <f t="shared" si="19"/>
        <v>5</v>
      </c>
      <c r="K70" s="17">
        <f t="shared" si="17"/>
        <v>0</v>
      </c>
    </row>
    <row r="71" spans="3:11">
      <c r="C71" s="2">
        <v>165</v>
      </c>
      <c r="D71" s="26">
        <f t="shared" si="14"/>
        <v>0.59510204081632778</v>
      </c>
      <c r="E71" s="26">
        <f t="shared" si="18"/>
        <v>14</v>
      </c>
      <c r="F71" s="26">
        <f t="shared" si="15"/>
        <v>0</v>
      </c>
      <c r="H71" s="2">
        <v>62</v>
      </c>
      <c r="I71" s="17">
        <f t="shared" si="16"/>
        <v>0.31102071005917037</v>
      </c>
      <c r="J71" s="17">
        <f t="shared" si="19"/>
        <v>6</v>
      </c>
      <c r="K71" s="17">
        <f t="shared" si="17"/>
        <v>0</v>
      </c>
    </row>
    <row r="72" spans="3:11">
      <c r="C72" s="2">
        <v>165</v>
      </c>
      <c r="D72" s="26">
        <f t="shared" si="14"/>
        <v>0.59510204081632778</v>
      </c>
      <c r="E72" s="26">
        <f t="shared" si="18"/>
        <v>15</v>
      </c>
      <c r="F72" s="26">
        <f t="shared" si="15"/>
        <v>0</v>
      </c>
      <c r="H72" s="2">
        <v>62</v>
      </c>
      <c r="I72" s="17">
        <f t="shared" si="16"/>
        <v>0.31102071005917037</v>
      </c>
      <c r="J72" s="17">
        <f t="shared" si="19"/>
        <v>7</v>
      </c>
      <c r="K72" s="17">
        <f t="shared" si="17"/>
        <v>0</v>
      </c>
    </row>
    <row r="73" spans="3:11">
      <c r="C73" s="2">
        <v>165</v>
      </c>
      <c r="D73" s="26">
        <f t="shared" si="14"/>
        <v>0.59510204081632778</v>
      </c>
      <c r="E73" s="26">
        <f t="shared" si="18"/>
        <v>16</v>
      </c>
      <c r="F73" s="26">
        <f t="shared" si="15"/>
        <v>165</v>
      </c>
      <c r="H73" s="2">
        <v>62</v>
      </c>
      <c r="I73" s="17">
        <f t="shared" si="16"/>
        <v>0.31102071005917037</v>
      </c>
      <c r="J73" s="17">
        <f t="shared" si="19"/>
        <v>8</v>
      </c>
      <c r="K73" s="17">
        <f t="shared" si="17"/>
        <v>0</v>
      </c>
    </row>
    <row r="74" spans="3:11">
      <c r="C74" s="2">
        <v>166</v>
      </c>
      <c r="D74" s="26">
        <f xml:space="preserve"> POWER($C74 - $P$6, 2)</f>
        <v>2.0408163265305777</v>
      </c>
      <c r="E74" s="26">
        <f t="shared" si="18"/>
        <v>1</v>
      </c>
      <c r="F74" s="26">
        <f>IF(AND(MAX(E$74:E$115)=E74,E74&gt;1),C74,0)</f>
        <v>0</v>
      </c>
      <c r="H74" s="2">
        <v>62</v>
      </c>
      <c r="I74" s="17">
        <f t="shared" si="16"/>
        <v>0.31102071005917037</v>
      </c>
      <c r="J74" s="17">
        <f t="shared" si="19"/>
        <v>9</v>
      </c>
      <c r="K74" s="17">
        <f t="shared" si="17"/>
        <v>0</v>
      </c>
    </row>
    <row r="75" spans="3:11">
      <c r="C75" s="2">
        <v>166</v>
      </c>
      <c r="D75" s="26">
        <f t="shared" ref="D75:D115" si="20" xml:space="preserve"> POWER($C75 - $P$6, 2)</f>
        <v>2.0408163265305777</v>
      </c>
      <c r="E75" s="26">
        <f t="shared" si="18"/>
        <v>2</v>
      </c>
      <c r="F75" s="26">
        <f t="shared" ref="F75:F115" si="21">IF(AND(MAX(E$74:E$115)=E75,E75&gt;1),C75,0)</f>
        <v>0</v>
      </c>
      <c r="H75" s="2">
        <v>62</v>
      </c>
      <c r="I75" s="17">
        <f t="shared" si="16"/>
        <v>0.31102071005917037</v>
      </c>
      <c r="J75" s="17">
        <f t="shared" si="19"/>
        <v>10</v>
      </c>
      <c r="K75" s="17">
        <f t="shared" si="17"/>
        <v>0</v>
      </c>
    </row>
    <row r="76" spans="3:11">
      <c r="C76" s="2">
        <v>166</v>
      </c>
      <c r="D76" s="26">
        <f t="shared" si="20"/>
        <v>2.0408163265305777</v>
      </c>
      <c r="E76" s="26">
        <f t="shared" si="18"/>
        <v>3</v>
      </c>
      <c r="F76" s="26">
        <f t="shared" si="21"/>
        <v>0</v>
      </c>
      <c r="H76" s="2">
        <v>63</v>
      </c>
      <c r="I76" s="17">
        <f t="shared" si="16"/>
        <v>0.19563609467455717</v>
      </c>
      <c r="J76" s="17">
        <f t="shared" si="19"/>
        <v>1</v>
      </c>
      <c r="K76" s="17">
        <f t="shared" si="17"/>
        <v>0</v>
      </c>
    </row>
    <row r="77" spans="3:11">
      <c r="C77" s="2">
        <v>166</v>
      </c>
      <c r="D77" s="26">
        <f t="shared" si="20"/>
        <v>2.0408163265305777</v>
      </c>
      <c r="E77" s="26">
        <f t="shared" si="18"/>
        <v>4</v>
      </c>
      <c r="F77" s="26">
        <f t="shared" si="21"/>
        <v>0</v>
      </c>
      <c r="H77" s="2">
        <v>63</v>
      </c>
      <c r="I77" s="17">
        <f t="shared" si="16"/>
        <v>0.19563609467455717</v>
      </c>
      <c r="J77" s="17">
        <f t="shared" si="19"/>
        <v>2</v>
      </c>
      <c r="K77" s="17">
        <f t="shared" si="17"/>
        <v>0</v>
      </c>
    </row>
    <row r="78" spans="3:11">
      <c r="C78" s="2">
        <v>166</v>
      </c>
      <c r="D78" s="26">
        <f t="shared" si="20"/>
        <v>2.0408163265305777</v>
      </c>
      <c r="E78" s="26">
        <f t="shared" si="18"/>
        <v>5</v>
      </c>
      <c r="F78" s="26">
        <f t="shared" si="21"/>
        <v>0</v>
      </c>
      <c r="H78" s="2">
        <v>63</v>
      </c>
      <c r="I78" s="17">
        <f t="shared" si="16"/>
        <v>0.19563609467455717</v>
      </c>
      <c r="J78" s="17">
        <f t="shared" si="19"/>
        <v>3</v>
      </c>
      <c r="K78" s="17">
        <f t="shared" si="17"/>
        <v>0</v>
      </c>
    </row>
    <row r="79" spans="3:11">
      <c r="C79" s="2">
        <v>166</v>
      </c>
      <c r="D79" s="26">
        <f t="shared" si="20"/>
        <v>2.0408163265305777</v>
      </c>
      <c r="E79" s="26">
        <f t="shared" si="18"/>
        <v>6</v>
      </c>
      <c r="F79" s="26">
        <f t="shared" si="21"/>
        <v>0</v>
      </c>
      <c r="H79" s="2">
        <v>63</v>
      </c>
      <c r="I79" s="17">
        <f t="shared" si="16"/>
        <v>0.19563609467455717</v>
      </c>
      <c r="J79" s="17">
        <f t="shared" si="19"/>
        <v>4</v>
      </c>
      <c r="K79" s="17">
        <f t="shared" si="17"/>
        <v>0</v>
      </c>
    </row>
    <row r="80" spans="3:11">
      <c r="C80" s="2">
        <v>166</v>
      </c>
      <c r="D80" s="26">
        <f t="shared" si="20"/>
        <v>2.0408163265305777</v>
      </c>
      <c r="E80" s="26">
        <f t="shared" si="18"/>
        <v>7</v>
      </c>
      <c r="F80" s="26">
        <f t="shared" si="21"/>
        <v>0</v>
      </c>
      <c r="H80" s="2">
        <v>63</v>
      </c>
      <c r="I80" s="17">
        <f t="shared" si="16"/>
        <v>0.19563609467455717</v>
      </c>
      <c r="J80" s="17">
        <f t="shared" si="19"/>
        <v>5</v>
      </c>
      <c r="K80" s="17">
        <f t="shared" si="17"/>
        <v>0</v>
      </c>
    </row>
    <row r="81" spans="3:11">
      <c r="C81" s="2">
        <v>166</v>
      </c>
      <c r="D81" s="26">
        <f t="shared" si="20"/>
        <v>2.0408163265305777</v>
      </c>
      <c r="E81" s="26">
        <f t="shared" si="18"/>
        <v>8</v>
      </c>
      <c r="F81" s="26">
        <f t="shared" si="21"/>
        <v>0</v>
      </c>
      <c r="H81" s="2">
        <v>63</v>
      </c>
      <c r="I81" s="17">
        <f t="shared" si="16"/>
        <v>0.19563609467455717</v>
      </c>
      <c r="J81" s="17">
        <f t="shared" si="19"/>
        <v>6</v>
      </c>
      <c r="K81" s="17">
        <f t="shared" si="17"/>
        <v>0</v>
      </c>
    </row>
    <row r="82" spans="3:11">
      <c r="C82" s="2">
        <v>166</v>
      </c>
      <c r="D82" s="26">
        <f t="shared" si="20"/>
        <v>2.0408163265305777</v>
      </c>
      <c r="E82" s="26">
        <f t="shared" si="18"/>
        <v>9</v>
      </c>
      <c r="F82" s="26">
        <f t="shared" si="21"/>
        <v>0</v>
      </c>
      <c r="H82" s="2">
        <v>63</v>
      </c>
      <c r="I82" s="17">
        <f t="shared" si="16"/>
        <v>0.19563609467455717</v>
      </c>
      <c r="J82" s="17">
        <f t="shared" si="19"/>
        <v>7</v>
      </c>
      <c r="K82" s="17">
        <f t="shared" si="17"/>
        <v>0</v>
      </c>
    </row>
    <row r="83" spans="3:11">
      <c r="C83" s="2">
        <v>166</v>
      </c>
      <c r="D83" s="26">
        <f t="shared" si="20"/>
        <v>2.0408163265305777</v>
      </c>
      <c r="E83" s="26">
        <f t="shared" si="18"/>
        <v>10</v>
      </c>
      <c r="F83" s="26">
        <f t="shared" si="21"/>
        <v>0</v>
      </c>
      <c r="H83" s="2">
        <v>63</v>
      </c>
      <c r="I83" s="17">
        <f t="shared" si="16"/>
        <v>0.19563609467455717</v>
      </c>
      <c r="J83" s="17">
        <f t="shared" si="19"/>
        <v>8</v>
      </c>
      <c r="K83" s="17">
        <f t="shared" si="17"/>
        <v>0</v>
      </c>
    </row>
    <row r="84" spans="3:11">
      <c r="C84" s="2">
        <v>167</v>
      </c>
      <c r="D84" s="26">
        <f t="shared" si="20"/>
        <v>0.18367346938774465</v>
      </c>
      <c r="E84" s="26">
        <f t="shared" si="18"/>
        <v>1</v>
      </c>
      <c r="F84" s="26">
        <f t="shared" si="21"/>
        <v>0</v>
      </c>
      <c r="H84" s="2">
        <v>63</v>
      </c>
      <c r="I84" s="17">
        <f t="shared" si="16"/>
        <v>0.19563609467455717</v>
      </c>
      <c r="J84" s="17">
        <f t="shared" si="19"/>
        <v>9</v>
      </c>
      <c r="K84" s="17">
        <f t="shared" si="17"/>
        <v>0</v>
      </c>
    </row>
    <row r="85" spans="3:11">
      <c r="C85" s="2">
        <v>167</v>
      </c>
      <c r="D85" s="26">
        <f t="shared" si="20"/>
        <v>0.18367346938774465</v>
      </c>
      <c r="E85" s="26">
        <f t="shared" si="18"/>
        <v>2</v>
      </c>
      <c r="F85" s="26">
        <f t="shared" si="21"/>
        <v>0</v>
      </c>
      <c r="H85" s="2">
        <v>63</v>
      </c>
      <c r="I85" s="17">
        <f t="shared" si="16"/>
        <v>0.19563609467455717</v>
      </c>
      <c r="J85" s="17">
        <f t="shared" si="19"/>
        <v>10</v>
      </c>
      <c r="K85" s="17">
        <f t="shared" si="17"/>
        <v>0</v>
      </c>
    </row>
    <row r="86" spans="3:11">
      <c r="C86" s="2">
        <v>167</v>
      </c>
      <c r="D86" s="26">
        <f t="shared" si="20"/>
        <v>0.18367346938774465</v>
      </c>
      <c r="E86" s="26">
        <f t="shared" si="18"/>
        <v>3</v>
      </c>
      <c r="F86" s="26">
        <f t="shared" si="21"/>
        <v>0</v>
      </c>
      <c r="H86" s="2">
        <v>63</v>
      </c>
      <c r="I86" s="17">
        <f t="shared" si="16"/>
        <v>0.19563609467455717</v>
      </c>
      <c r="J86" s="17">
        <f t="shared" si="19"/>
        <v>11</v>
      </c>
      <c r="K86" s="17">
        <f t="shared" si="17"/>
        <v>0</v>
      </c>
    </row>
    <row r="87" spans="3:11">
      <c r="C87" s="2">
        <v>167</v>
      </c>
      <c r="D87" s="26">
        <f t="shared" si="20"/>
        <v>0.18367346938774465</v>
      </c>
      <c r="E87" s="26">
        <f t="shared" si="18"/>
        <v>4</v>
      </c>
      <c r="F87" s="26">
        <f t="shared" si="21"/>
        <v>0</v>
      </c>
      <c r="H87" s="2">
        <v>63</v>
      </c>
      <c r="I87" s="17">
        <f t="shared" si="16"/>
        <v>0.19563609467455717</v>
      </c>
      <c r="J87" s="17">
        <f t="shared" si="19"/>
        <v>12</v>
      </c>
      <c r="K87" s="17">
        <f t="shared" si="17"/>
        <v>0</v>
      </c>
    </row>
    <row r="88" spans="3:11">
      <c r="C88" s="2">
        <v>167</v>
      </c>
      <c r="D88" s="26">
        <f t="shared" si="20"/>
        <v>0.18367346938774465</v>
      </c>
      <c r="E88" s="26">
        <f t="shared" si="18"/>
        <v>5</v>
      </c>
      <c r="F88" s="26">
        <f t="shared" si="21"/>
        <v>0</v>
      </c>
      <c r="H88" s="2">
        <v>63</v>
      </c>
      <c r="I88" s="17">
        <f t="shared" si="16"/>
        <v>0.19563609467455717</v>
      </c>
      <c r="J88" s="17">
        <f t="shared" si="19"/>
        <v>13</v>
      </c>
      <c r="K88" s="17">
        <f t="shared" si="17"/>
        <v>0</v>
      </c>
    </row>
    <row r="89" spans="3:11">
      <c r="C89" s="2">
        <v>167</v>
      </c>
      <c r="D89" s="26">
        <f t="shared" si="20"/>
        <v>0.18367346938774465</v>
      </c>
      <c r="E89" s="26">
        <f t="shared" si="18"/>
        <v>6</v>
      </c>
      <c r="F89" s="26">
        <f t="shared" si="21"/>
        <v>0</v>
      </c>
      <c r="H89" s="2">
        <v>63</v>
      </c>
      <c r="I89" s="17">
        <f t="shared" si="16"/>
        <v>0.19563609467455717</v>
      </c>
      <c r="J89" s="17">
        <f t="shared" si="19"/>
        <v>14</v>
      </c>
      <c r="K89" s="17">
        <f t="shared" si="17"/>
        <v>0</v>
      </c>
    </row>
    <row r="90" spans="3:11">
      <c r="C90" s="2">
        <v>167</v>
      </c>
      <c r="D90" s="26">
        <f t="shared" si="20"/>
        <v>0.18367346938774465</v>
      </c>
      <c r="E90" s="26">
        <f t="shared" si="18"/>
        <v>7</v>
      </c>
      <c r="F90" s="26">
        <f t="shared" si="21"/>
        <v>0</v>
      </c>
      <c r="H90" s="2">
        <v>63</v>
      </c>
      <c r="I90" s="17">
        <f t="shared" si="16"/>
        <v>0.19563609467455717</v>
      </c>
      <c r="J90" s="17">
        <f t="shared" si="19"/>
        <v>15</v>
      </c>
      <c r="K90" s="17">
        <f t="shared" si="17"/>
        <v>0</v>
      </c>
    </row>
    <row r="91" spans="3:11">
      <c r="C91" s="2">
        <v>167</v>
      </c>
      <c r="D91" s="26">
        <f t="shared" si="20"/>
        <v>0.18367346938774465</v>
      </c>
      <c r="E91" s="26">
        <f t="shared" si="18"/>
        <v>8</v>
      </c>
      <c r="F91" s="26">
        <f t="shared" si="21"/>
        <v>0</v>
      </c>
      <c r="H91" s="2">
        <v>63</v>
      </c>
      <c r="I91" s="17">
        <f t="shared" si="16"/>
        <v>0.19563609467455717</v>
      </c>
      <c r="J91" s="17">
        <f t="shared" si="19"/>
        <v>16</v>
      </c>
      <c r="K91" s="17">
        <f t="shared" si="17"/>
        <v>0</v>
      </c>
    </row>
    <row r="92" spans="3:11">
      <c r="C92" s="2">
        <v>167</v>
      </c>
      <c r="D92" s="26">
        <f t="shared" si="20"/>
        <v>0.18367346938774465</v>
      </c>
      <c r="E92" s="26">
        <f t="shared" si="18"/>
        <v>9</v>
      </c>
      <c r="F92" s="26">
        <f t="shared" si="21"/>
        <v>0</v>
      </c>
      <c r="H92" s="2">
        <v>63</v>
      </c>
      <c r="I92" s="17">
        <f t="shared" si="16"/>
        <v>0.19563609467455717</v>
      </c>
      <c r="J92" s="17">
        <f t="shared" si="19"/>
        <v>17</v>
      </c>
      <c r="K92" s="17">
        <f t="shared" si="17"/>
        <v>0</v>
      </c>
    </row>
    <row r="93" spans="3:11">
      <c r="C93" s="2">
        <v>167</v>
      </c>
      <c r="D93" s="26">
        <f t="shared" si="20"/>
        <v>0.18367346938774465</v>
      </c>
      <c r="E93" s="26">
        <f t="shared" si="18"/>
        <v>10</v>
      </c>
      <c r="F93" s="26">
        <f t="shared" si="21"/>
        <v>0</v>
      </c>
      <c r="H93" s="2">
        <v>63</v>
      </c>
      <c r="I93" s="17">
        <f t="shared" si="16"/>
        <v>0.19563609467455717</v>
      </c>
      <c r="J93" s="17">
        <f t="shared" si="19"/>
        <v>18</v>
      </c>
      <c r="K93" s="17">
        <f t="shared" si="17"/>
        <v>0</v>
      </c>
    </row>
    <row r="94" spans="3:11">
      <c r="C94" s="2">
        <v>167</v>
      </c>
      <c r="D94" s="26">
        <f t="shared" si="20"/>
        <v>0.18367346938774465</v>
      </c>
      <c r="E94" s="26">
        <f t="shared" si="18"/>
        <v>11</v>
      </c>
      <c r="F94" s="26">
        <f t="shared" si="21"/>
        <v>0</v>
      </c>
      <c r="H94" s="2">
        <v>63</v>
      </c>
      <c r="I94" s="17">
        <f t="shared" si="16"/>
        <v>0.19563609467455717</v>
      </c>
      <c r="J94" s="17">
        <f t="shared" si="19"/>
        <v>19</v>
      </c>
      <c r="K94" s="17">
        <f t="shared" si="17"/>
        <v>0</v>
      </c>
    </row>
    <row r="95" spans="3:11">
      <c r="C95" s="2">
        <v>167</v>
      </c>
      <c r="D95" s="26">
        <f t="shared" si="20"/>
        <v>0.18367346938774465</v>
      </c>
      <c r="E95" s="26">
        <f t="shared" si="18"/>
        <v>12</v>
      </c>
      <c r="F95" s="26">
        <f t="shared" si="21"/>
        <v>0</v>
      </c>
      <c r="H95" s="2">
        <v>63</v>
      </c>
      <c r="I95" s="17">
        <f t="shared" si="16"/>
        <v>0.19563609467455717</v>
      </c>
      <c r="J95" s="17">
        <f t="shared" si="19"/>
        <v>20</v>
      </c>
      <c r="K95" s="17">
        <f t="shared" si="17"/>
        <v>0</v>
      </c>
    </row>
    <row r="96" spans="3:11">
      <c r="C96" s="2">
        <v>167</v>
      </c>
      <c r="D96" s="26">
        <f t="shared" si="20"/>
        <v>0.18367346938774465</v>
      </c>
      <c r="E96" s="26">
        <f t="shared" si="18"/>
        <v>13</v>
      </c>
      <c r="F96" s="26">
        <f t="shared" si="21"/>
        <v>167</v>
      </c>
      <c r="H96" s="2">
        <v>63</v>
      </c>
      <c r="I96" s="17">
        <f t="shared" si="16"/>
        <v>0.19563609467455717</v>
      </c>
      <c r="J96" s="17">
        <f t="shared" si="19"/>
        <v>21</v>
      </c>
      <c r="K96" s="17">
        <f t="shared" si="17"/>
        <v>0</v>
      </c>
    </row>
    <row r="97" spans="3:11">
      <c r="C97" s="2">
        <v>168</v>
      </c>
      <c r="D97" s="26">
        <f t="shared" si="20"/>
        <v>0.32653061224491187</v>
      </c>
      <c r="E97" s="26">
        <f t="shared" si="18"/>
        <v>1</v>
      </c>
      <c r="F97" s="26">
        <f t="shared" si="21"/>
        <v>0</v>
      </c>
      <c r="H97" s="2">
        <v>63</v>
      </c>
      <c r="I97" s="17">
        <f t="shared" si="16"/>
        <v>0.19563609467455717</v>
      </c>
      <c r="J97" s="17">
        <f t="shared" si="19"/>
        <v>22</v>
      </c>
      <c r="K97" s="17">
        <f t="shared" si="17"/>
        <v>63</v>
      </c>
    </row>
    <row r="98" spans="3:11">
      <c r="C98" s="2">
        <v>168</v>
      </c>
      <c r="D98" s="26">
        <f t="shared" si="20"/>
        <v>0.32653061224491187</v>
      </c>
      <c r="E98" s="26">
        <f t="shared" si="18"/>
        <v>2</v>
      </c>
      <c r="F98" s="26">
        <f t="shared" si="21"/>
        <v>0</v>
      </c>
      <c r="H98" s="2">
        <v>64</v>
      </c>
      <c r="I98" s="17">
        <f t="shared" si="16"/>
        <v>2.0802514792899438</v>
      </c>
      <c r="J98" s="17">
        <f t="shared" si="19"/>
        <v>1</v>
      </c>
      <c r="K98" s="17">
        <f t="shared" si="17"/>
        <v>0</v>
      </c>
    </row>
    <row r="99" spans="3:11">
      <c r="C99" s="2">
        <v>168</v>
      </c>
      <c r="D99" s="26">
        <f t="shared" si="20"/>
        <v>0.32653061224491187</v>
      </c>
      <c r="E99" s="26">
        <f t="shared" si="18"/>
        <v>3</v>
      </c>
      <c r="F99" s="26">
        <f t="shared" si="21"/>
        <v>0</v>
      </c>
      <c r="H99" s="2">
        <v>64</v>
      </c>
      <c r="I99" s="17">
        <f t="shared" si="16"/>
        <v>2.0802514792899438</v>
      </c>
      <c r="J99" s="17">
        <f t="shared" si="19"/>
        <v>2</v>
      </c>
      <c r="K99" s="17">
        <f t="shared" si="17"/>
        <v>0</v>
      </c>
    </row>
    <row r="100" spans="3:11">
      <c r="C100" s="2">
        <v>168</v>
      </c>
      <c r="D100" s="26">
        <f t="shared" si="20"/>
        <v>0.32653061224491187</v>
      </c>
      <c r="E100" s="26">
        <f t="shared" si="18"/>
        <v>4</v>
      </c>
      <c r="F100" s="26">
        <f t="shared" si="21"/>
        <v>0</v>
      </c>
      <c r="H100" s="2">
        <v>64</v>
      </c>
      <c r="I100" s="17">
        <f t="shared" si="16"/>
        <v>2.0802514792899438</v>
      </c>
      <c r="J100" s="17">
        <f t="shared" si="19"/>
        <v>3</v>
      </c>
      <c r="K100" s="17">
        <f t="shared" si="17"/>
        <v>0</v>
      </c>
    </row>
    <row r="101" spans="3:11">
      <c r="C101" s="2">
        <v>168</v>
      </c>
      <c r="D101" s="26">
        <f t="shared" si="20"/>
        <v>0.32653061224491187</v>
      </c>
      <c r="E101" s="26">
        <f t="shared" si="18"/>
        <v>5</v>
      </c>
      <c r="F101" s="26">
        <f t="shared" si="21"/>
        <v>0</v>
      </c>
      <c r="H101" s="2">
        <v>64</v>
      </c>
      <c r="I101" s="17">
        <f t="shared" si="16"/>
        <v>2.0802514792899438</v>
      </c>
      <c r="J101" s="17">
        <f t="shared" si="19"/>
        <v>4</v>
      </c>
      <c r="K101" s="17">
        <f t="shared" si="17"/>
        <v>0</v>
      </c>
    </row>
    <row r="102" spans="3:11">
      <c r="C102" s="2">
        <v>168</v>
      </c>
      <c r="D102" s="26">
        <f t="shared" si="20"/>
        <v>0.32653061224491187</v>
      </c>
      <c r="E102" s="26">
        <f t="shared" si="18"/>
        <v>6</v>
      </c>
      <c r="F102" s="26">
        <f t="shared" si="21"/>
        <v>0</v>
      </c>
      <c r="H102" s="2">
        <v>64</v>
      </c>
      <c r="I102" s="17">
        <f t="shared" si="16"/>
        <v>2.0802514792899438</v>
      </c>
      <c r="J102" s="17">
        <f t="shared" si="19"/>
        <v>5</v>
      </c>
      <c r="K102" s="17">
        <f t="shared" si="17"/>
        <v>0</v>
      </c>
    </row>
    <row r="103" spans="3:11">
      <c r="C103" s="2">
        <v>168</v>
      </c>
      <c r="D103" s="26">
        <f t="shared" si="20"/>
        <v>0.32653061224491187</v>
      </c>
      <c r="E103" s="26">
        <f t="shared" si="18"/>
        <v>7</v>
      </c>
      <c r="F103" s="26">
        <f t="shared" si="21"/>
        <v>0</v>
      </c>
      <c r="H103" s="2">
        <v>64</v>
      </c>
      <c r="I103" s="17">
        <f t="shared" si="16"/>
        <v>2.0802514792899438</v>
      </c>
      <c r="J103" s="17">
        <f t="shared" si="19"/>
        <v>6</v>
      </c>
      <c r="K103" s="17">
        <f t="shared" si="17"/>
        <v>0</v>
      </c>
    </row>
    <row r="104" spans="3:11">
      <c r="C104" s="2">
        <v>168</v>
      </c>
      <c r="D104" s="26">
        <f t="shared" si="20"/>
        <v>0.32653061224491187</v>
      </c>
      <c r="E104" s="26">
        <f t="shared" si="18"/>
        <v>8</v>
      </c>
      <c r="F104" s="26">
        <f t="shared" si="21"/>
        <v>0</v>
      </c>
      <c r="H104" s="2">
        <v>64</v>
      </c>
      <c r="I104" s="17">
        <f t="shared" si="16"/>
        <v>2.0802514792899438</v>
      </c>
      <c r="J104" s="17">
        <f t="shared" si="19"/>
        <v>7</v>
      </c>
      <c r="K104" s="17">
        <f t="shared" si="17"/>
        <v>0</v>
      </c>
    </row>
    <row r="105" spans="3:11">
      <c r="C105" s="2">
        <v>168</v>
      </c>
      <c r="D105" s="26">
        <f t="shared" si="20"/>
        <v>0.32653061224491187</v>
      </c>
      <c r="E105" s="26">
        <f t="shared" si="18"/>
        <v>9</v>
      </c>
      <c r="F105" s="26">
        <f t="shared" si="21"/>
        <v>0</v>
      </c>
      <c r="H105" s="2">
        <v>64</v>
      </c>
      <c r="I105" s="17">
        <f t="shared" si="16"/>
        <v>2.0802514792899438</v>
      </c>
      <c r="J105" s="17">
        <f t="shared" si="19"/>
        <v>8</v>
      </c>
      <c r="K105" s="17">
        <f t="shared" si="17"/>
        <v>0</v>
      </c>
    </row>
    <row r="106" spans="3:11">
      <c r="C106" s="2">
        <v>168</v>
      </c>
      <c r="D106" s="26">
        <f t="shared" si="20"/>
        <v>0.32653061224491187</v>
      </c>
      <c r="E106" s="26">
        <f t="shared" si="18"/>
        <v>10</v>
      </c>
      <c r="F106" s="26">
        <f t="shared" si="21"/>
        <v>0</v>
      </c>
      <c r="H106" s="2">
        <v>64</v>
      </c>
      <c r="I106" s="17">
        <f t="shared" si="16"/>
        <v>2.0802514792899438</v>
      </c>
      <c r="J106" s="17">
        <f t="shared" si="19"/>
        <v>9</v>
      </c>
      <c r="K106" s="17">
        <f t="shared" si="17"/>
        <v>0</v>
      </c>
    </row>
    <row r="107" spans="3:11">
      <c r="C107" s="2">
        <v>169</v>
      </c>
      <c r="D107" s="26">
        <f t="shared" si="20"/>
        <v>2.4693877551020793</v>
      </c>
      <c r="E107" s="26">
        <f t="shared" si="18"/>
        <v>1</v>
      </c>
      <c r="F107" s="26">
        <f t="shared" si="21"/>
        <v>0</v>
      </c>
      <c r="H107" s="2">
        <v>65</v>
      </c>
      <c r="I107" s="17">
        <f xml:space="preserve"> POWER($H107 - $P$20, 2)</f>
        <v>1.1687363038714382</v>
      </c>
      <c r="J107" s="17">
        <f t="shared" si="19"/>
        <v>1</v>
      </c>
      <c r="K107" s="17">
        <f>IF(AND(MAX(J$107:J$143)=J107,J107&gt;1),H107,0)</f>
        <v>0</v>
      </c>
    </row>
    <row r="108" spans="3:11">
      <c r="C108" s="2">
        <v>169</v>
      </c>
      <c r="D108" s="26">
        <f t="shared" si="20"/>
        <v>2.4693877551020793</v>
      </c>
      <c r="E108" s="26">
        <f t="shared" si="18"/>
        <v>2</v>
      </c>
      <c r="F108" s="26">
        <f t="shared" si="21"/>
        <v>0</v>
      </c>
      <c r="H108" s="2">
        <v>65</v>
      </c>
      <c r="I108" s="17">
        <f t="shared" ref="I108:I142" si="22" xml:space="preserve"> POWER($H108 - $P$20, 2)</f>
        <v>1.1687363038714382</v>
      </c>
      <c r="J108" s="17">
        <f t="shared" si="19"/>
        <v>2</v>
      </c>
      <c r="K108" s="17">
        <f t="shared" ref="K108:K143" si="23">IF(AND(MAX(J$107:J$143)=J108,J108&gt;1),H108,0)</f>
        <v>0</v>
      </c>
    </row>
    <row r="109" spans="3:11">
      <c r="C109" s="2">
        <v>169</v>
      </c>
      <c r="D109" s="26">
        <f t="shared" si="20"/>
        <v>2.4693877551020793</v>
      </c>
      <c r="E109" s="26">
        <f t="shared" si="18"/>
        <v>3</v>
      </c>
      <c r="F109" s="26">
        <f t="shared" si="21"/>
        <v>0</v>
      </c>
      <c r="H109" s="2">
        <v>65</v>
      </c>
      <c r="I109" s="17">
        <f t="shared" si="22"/>
        <v>1.1687363038714382</v>
      </c>
      <c r="J109" s="17">
        <f t="shared" si="19"/>
        <v>3</v>
      </c>
      <c r="K109" s="17">
        <f t="shared" si="23"/>
        <v>0</v>
      </c>
    </row>
    <row r="110" spans="3:11">
      <c r="C110" s="2">
        <v>169</v>
      </c>
      <c r="D110" s="26">
        <f t="shared" si="20"/>
        <v>2.4693877551020793</v>
      </c>
      <c r="E110" s="26">
        <f t="shared" si="18"/>
        <v>4</v>
      </c>
      <c r="F110" s="26">
        <f t="shared" si="21"/>
        <v>0</v>
      </c>
      <c r="H110" s="2">
        <v>65</v>
      </c>
      <c r="I110" s="17">
        <f t="shared" si="22"/>
        <v>1.1687363038714382</v>
      </c>
      <c r="J110" s="17">
        <f t="shared" si="19"/>
        <v>4</v>
      </c>
      <c r="K110" s="17">
        <f t="shared" si="23"/>
        <v>0</v>
      </c>
    </row>
    <row r="111" spans="3:11">
      <c r="C111" s="2">
        <v>169</v>
      </c>
      <c r="D111" s="26">
        <f t="shared" si="20"/>
        <v>2.4693877551020793</v>
      </c>
      <c r="E111" s="26">
        <f t="shared" si="18"/>
        <v>5</v>
      </c>
      <c r="F111" s="26">
        <f t="shared" si="21"/>
        <v>0</v>
      </c>
      <c r="H111" s="2">
        <v>65</v>
      </c>
      <c r="I111" s="17">
        <f t="shared" si="22"/>
        <v>1.1687363038714382</v>
      </c>
      <c r="J111" s="17">
        <f t="shared" si="19"/>
        <v>5</v>
      </c>
      <c r="K111" s="17">
        <f t="shared" si="23"/>
        <v>0</v>
      </c>
    </row>
    <row r="112" spans="3:11">
      <c r="C112" s="2">
        <v>169</v>
      </c>
      <c r="D112" s="26">
        <f t="shared" si="20"/>
        <v>2.4693877551020793</v>
      </c>
      <c r="E112" s="26">
        <f t="shared" si="18"/>
        <v>6</v>
      </c>
      <c r="F112" s="26">
        <f t="shared" si="21"/>
        <v>0</v>
      </c>
      <c r="H112" s="2">
        <v>65</v>
      </c>
      <c r="I112" s="17">
        <f t="shared" si="22"/>
        <v>1.1687363038714382</v>
      </c>
      <c r="J112" s="17">
        <f t="shared" si="19"/>
        <v>6</v>
      </c>
      <c r="K112" s="17">
        <f t="shared" si="23"/>
        <v>0</v>
      </c>
    </row>
    <row r="113" spans="3:11">
      <c r="C113" s="2">
        <v>169</v>
      </c>
      <c r="D113" s="26">
        <f t="shared" si="20"/>
        <v>2.4693877551020793</v>
      </c>
      <c r="E113" s="26">
        <f t="shared" si="18"/>
        <v>7</v>
      </c>
      <c r="F113" s="26">
        <f t="shared" si="21"/>
        <v>0</v>
      </c>
      <c r="H113" s="2">
        <v>65</v>
      </c>
      <c r="I113" s="17">
        <f t="shared" si="22"/>
        <v>1.1687363038714382</v>
      </c>
      <c r="J113" s="17">
        <f t="shared" si="19"/>
        <v>7</v>
      </c>
      <c r="K113" s="17">
        <f t="shared" si="23"/>
        <v>0</v>
      </c>
    </row>
    <row r="114" spans="3:11">
      <c r="C114" s="2">
        <v>169</v>
      </c>
      <c r="D114" s="26">
        <f t="shared" si="20"/>
        <v>2.4693877551020793</v>
      </c>
      <c r="E114" s="26">
        <f t="shared" si="18"/>
        <v>8</v>
      </c>
      <c r="F114" s="26">
        <f t="shared" si="21"/>
        <v>0</v>
      </c>
      <c r="H114" s="2">
        <v>65</v>
      </c>
      <c r="I114" s="17">
        <f t="shared" si="22"/>
        <v>1.1687363038714382</v>
      </c>
      <c r="J114" s="17">
        <f t="shared" si="19"/>
        <v>8</v>
      </c>
      <c r="K114" s="17">
        <f t="shared" si="23"/>
        <v>0</v>
      </c>
    </row>
    <row r="115" spans="3:11">
      <c r="C115" s="2">
        <v>169</v>
      </c>
      <c r="D115" s="26">
        <f t="shared" si="20"/>
        <v>2.4693877551020793</v>
      </c>
      <c r="E115" s="26">
        <f t="shared" si="18"/>
        <v>9</v>
      </c>
      <c r="F115" s="26">
        <f t="shared" si="21"/>
        <v>0</v>
      </c>
      <c r="H115" s="2">
        <v>65</v>
      </c>
      <c r="I115" s="17">
        <f t="shared" si="22"/>
        <v>1.1687363038714382</v>
      </c>
      <c r="J115" s="17">
        <f t="shared" si="19"/>
        <v>9</v>
      </c>
      <c r="K115" s="17">
        <f t="shared" si="23"/>
        <v>0</v>
      </c>
    </row>
    <row r="116" spans="3:11">
      <c r="C116" s="2">
        <v>170</v>
      </c>
      <c r="D116" s="26">
        <f xml:space="preserve"> POWER($C116 - $P$7, 2)</f>
        <v>1.1516954193931974</v>
      </c>
      <c r="E116" s="26">
        <f t="shared" si="18"/>
        <v>1</v>
      </c>
      <c r="F116" s="26">
        <f>IF(AND(MAX(E$116:E$156)=E116,E116&gt;1),C116,0)</f>
        <v>0</v>
      </c>
      <c r="H116" s="2">
        <v>65</v>
      </c>
      <c r="I116" s="17">
        <f t="shared" si="22"/>
        <v>1.1687363038714382</v>
      </c>
      <c r="J116" s="17">
        <f t="shared" si="19"/>
        <v>10</v>
      </c>
      <c r="K116" s="17">
        <f t="shared" si="23"/>
        <v>0</v>
      </c>
    </row>
    <row r="117" spans="3:11">
      <c r="C117" s="2">
        <v>170</v>
      </c>
      <c r="D117" s="26">
        <f t="shared" ref="D117:D156" si="24" xml:space="preserve"> POWER($C117 - $P$7, 2)</f>
        <v>1.1516954193931974</v>
      </c>
      <c r="E117" s="26">
        <f t="shared" si="18"/>
        <v>2</v>
      </c>
      <c r="F117" s="26">
        <f t="shared" ref="F117:F156" si="25">IF(AND(MAX(E$116:E$156)=E117,E117&gt;1),C117,0)</f>
        <v>0</v>
      </c>
      <c r="H117" s="2">
        <v>65</v>
      </c>
      <c r="I117" s="17">
        <f t="shared" si="22"/>
        <v>1.1687363038714382</v>
      </c>
      <c r="J117" s="17">
        <f t="shared" si="19"/>
        <v>11</v>
      </c>
      <c r="K117" s="17">
        <f t="shared" si="23"/>
        <v>0</v>
      </c>
    </row>
    <row r="118" spans="3:11">
      <c r="C118" s="2">
        <v>170</v>
      </c>
      <c r="D118" s="26">
        <f t="shared" si="24"/>
        <v>1.1516954193931974</v>
      </c>
      <c r="E118" s="26">
        <f t="shared" si="18"/>
        <v>3</v>
      </c>
      <c r="F118" s="26">
        <f t="shared" si="25"/>
        <v>0</v>
      </c>
      <c r="H118" s="2">
        <v>66</v>
      </c>
      <c r="I118" s="17">
        <f t="shared" si="22"/>
        <v>6.5741417092767818E-3</v>
      </c>
      <c r="J118" s="17">
        <f t="shared" si="19"/>
        <v>1</v>
      </c>
      <c r="K118" s="17">
        <f t="shared" si="23"/>
        <v>0</v>
      </c>
    </row>
    <row r="119" spans="3:11">
      <c r="C119" s="2">
        <v>170</v>
      </c>
      <c r="D119" s="26">
        <f t="shared" si="24"/>
        <v>1.1516954193931974</v>
      </c>
      <c r="E119" s="26">
        <f t="shared" si="18"/>
        <v>4</v>
      </c>
      <c r="F119" s="26">
        <f t="shared" si="25"/>
        <v>0</v>
      </c>
      <c r="H119" s="2">
        <v>66</v>
      </c>
      <c r="I119" s="17">
        <f t="shared" si="22"/>
        <v>6.5741417092767818E-3</v>
      </c>
      <c r="J119" s="17">
        <f t="shared" si="19"/>
        <v>2</v>
      </c>
      <c r="K119" s="17">
        <f t="shared" si="23"/>
        <v>0</v>
      </c>
    </row>
    <row r="120" spans="3:11">
      <c r="C120" s="2">
        <v>170</v>
      </c>
      <c r="D120" s="26">
        <f t="shared" si="24"/>
        <v>1.1516954193931974</v>
      </c>
      <c r="E120" s="26">
        <f t="shared" si="18"/>
        <v>5</v>
      </c>
      <c r="F120" s="26">
        <f t="shared" si="25"/>
        <v>0</v>
      </c>
      <c r="H120" s="2">
        <v>66</v>
      </c>
      <c r="I120" s="17">
        <f t="shared" si="22"/>
        <v>6.5741417092767818E-3</v>
      </c>
      <c r="J120" s="17">
        <f t="shared" si="19"/>
        <v>3</v>
      </c>
      <c r="K120" s="17">
        <f t="shared" si="23"/>
        <v>0</v>
      </c>
    </row>
    <row r="121" spans="3:11">
      <c r="C121" s="2">
        <v>170</v>
      </c>
      <c r="D121" s="26">
        <f t="shared" si="24"/>
        <v>1.1516954193931974</v>
      </c>
      <c r="E121" s="26">
        <f t="shared" si="18"/>
        <v>6</v>
      </c>
      <c r="F121" s="26">
        <f t="shared" si="25"/>
        <v>0</v>
      </c>
      <c r="H121" s="2">
        <v>66</v>
      </c>
      <c r="I121" s="17">
        <f t="shared" si="22"/>
        <v>6.5741417092767818E-3</v>
      </c>
      <c r="J121" s="17">
        <f t="shared" si="19"/>
        <v>4</v>
      </c>
      <c r="K121" s="17">
        <f t="shared" si="23"/>
        <v>0</v>
      </c>
    </row>
    <row r="122" spans="3:11">
      <c r="C122" s="2">
        <v>170</v>
      </c>
      <c r="D122" s="26">
        <f t="shared" si="24"/>
        <v>1.1516954193931974</v>
      </c>
      <c r="E122" s="26">
        <f t="shared" si="18"/>
        <v>7</v>
      </c>
      <c r="F122" s="26">
        <f t="shared" si="25"/>
        <v>0</v>
      </c>
      <c r="H122" s="2">
        <v>66</v>
      </c>
      <c r="I122" s="17">
        <f t="shared" si="22"/>
        <v>6.5741417092767818E-3</v>
      </c>
      <c r="J122" s="17">
        <f t="shared" si="19"/>
        <v>5</v>
      </c>
      <c r="K122" s="17">
        <f t="shared" si="23"/>
        <v>0</v>
      </c>
    </row>
    <row r="123" spans="3:11">
      <c r="C123" s="2">
        <v>170</v>
      </c>
      <c r="D123" s="26">
        <f t="shared" si="24"/>
        <v>1.1516954193931974</v>
      </c>
      <c r="E123" s="26">
        <f t="shared" si="18"/>
        <v>8</v>
      </c>
      <c r="F123" s="26">
        <f t="shared" si="25"/>
        <v>0</v>
      </c>
      <c r="H123" s="2">
        <v>66</v>
      </c>
      <c r="I123" s="17">
        <f t="shared" si="22"/>
        <v>6.5741417092767818E-3</v>
      </c>
      <c r="J123" s="17">
        <f t="shared" si="19"/>
        <v>6</v>
      </c>
      <c r="K123" s="17">
        <f t="shared" si="23"/>
        <v>0</v>
      </c>
    </row>
    <row r="124" spans="3:11">
      <c r="C124" s="2">
        <v>170</v>
      </c>
      <c r="D124" s="26">
        <f t="shared" si="24"/>
        <v>1.1516954193931974</v>
      </c>
      <c r="E124" s="26">
        <f t="shared" si="18"/>
        <v>9</v>
      </c>
      <c r="F124" s="26">
        <f t="shared" si="25"/>
        <v>0</v>
      </c>
      <c r="H124" s="2">
        <v>66</v>
      </c>
      <c r="I124" s="17">
        <f t="shared" si="22"/>
        <v>6.5741417092767818E-3</v>
      </c>
      <c r="J124" s="17">
        <f t="shared" si="19"/>
        <v>7</v>
      </c>
      <c r="K124" s="17">
        <f t="shared" si="23"/>
        <v>0</v>
      </c>
    </row>
    <row r="125" spans="3:11">
      <c r="C125" s="2">
        <v>170</v>
      </c>
      <c r="D125" s="26">
        <f t="shared" si="24"/>
        <v>1.1516954193931974</v>
      </c>
      <c r="E125" s="26">
        <f t="shared" si="18"/>
        <v>10</v>
      </c>
      <c r="F125" s="26">
        <f t="shared" si="25"/>
        <v>0</v>
      </c>
      <c r="H125" s="2">
        <v>66</v>
      </c>
      <c r="I125" s="17">
        <f t="shared" si="22"/>
        <v>6.5741417092767818E-3</v>
      </c>
      <c r="J125" s="17">
        <f t="shared" si="19"/>
        <v>8</v>
      </c>
      <c r="K125" s="17">
        <f t="shared" si="23"/>
        <v>0</v>
      </c>
    </row>
    <row r="126" spans="3:11">
      <c r="C126" s="2">
        <v>170</v>
      </c>
      <c r="D126" s="26">
        <f t="shared" si="24"/>
        <v>1.1516954193931974</v>
      </c>
      <c r="E126" s="26">
        <f t="shared" si="18"/>
        <v>11</v>
      </c>
      <c r="F126" s="26">
        <f t="shared" si="25"/>
        <v>0</v>
      </c>
      <c r="H126" s="2">
        <v>66</v>
      </c>
      <c r="I126" s="17">
        <f t="shared" si="22"/>
        <v>6.5741417092767818E-3</v>
      </c>
      <c r="J126" s="17">
        <f t="shared" si="19"/>
        <v>9</v>
      </c>
      <c r="K126" s="17">
        <f t="shared" si="23"/>
        <v>0</v>
      </c>
    </row>
    <row r="127" spans="3:11">
      <c r="C127" s="2">
        <v>171</v>
      </c>
      <c r="D127" s="26">
        <f t="shared" si="24"/>
        <v>5.3539559785827561E-3</v>
      </c>
      <c r="E127" s="26">
        <f t="shared" si="18"/>
        <v>1</v>
      </c>
      <c r="F127" s="26">
        <f t="shared" si="25"/>
        <v>0</v>
      </c>
      <c r="H127" s="2">
        <v>66</v>
      </c>
      <c r="I127" s="17">
        <f t="shared" si="22"/>
        <v>6.5741417092767818E-3</v>
      </c>
      <c r="J127" s="17">
        <f t="shared" si="19"/>
        <v>10</v>
      </c>
      <c r="K127" s="17">
        <f t="shared" si="23"/>
        <v>0</v>
      </c>
    </row>
    <row r="128" spans="3:11">
      <c r="C128" s="2">
        <v>171</v>
      </c>
      <c r="D128" s="26">
        <f t="shared" si="24"/>
        <v>5.3539559785827561E-3</v>
      </c>
      <c r="E128" s="26">
        <f t="shared" si="18"/>
        <v>2</v>
      </c>
      <c r="F128" s="26">
        <f t="shared" si="25"/>
        <v>0</v>
      </c>
      <c r="H128" s="2">
        <v>66</v>
      </c>
      <c r="I128" s="17">
        <f t="shared" si="22"/>
        <v>6.5741417092767818E-3</v>
      </c>
      <c r="J128" s="17">
        <f t="shared" si="19"/>
        <v>11</v>
      </c>
      <c r="K128" s="17">
        <f t="shared" si="23"/>
        <v>0</v>
      </c>
    </row>
    <row r="129" spans="3:11">
      <c r="C129" s="2">
        <v>171</v>
      </c>
      <c r="D129" s="26">
        <f t="shared" si="24"/>
        <v>5.3539559785827561E-3</v>
      </c>
      <c r="E129" s="26">
        <f t="shared" si="18"/>
        <v>3</v>
      </c>
      <c r="F129" s="26">
        <f t="shared" si="25"/>
        <v>0</v>
      </c>
      <c r="H129" s="2">
        <v>66</v>
      </c>
      <c r="I129" s="17">
        <f t="shared" si="22"/>
        <v>6.5741417092767818E-3</v>
      </c>
      <c r="J129" s="17">
        <f t="shared" si="19"/>
        <v>12</v>
      </c>
      <c r="K129" s="17">
        <f t="shared" si="23"/>
        <v>0</v>
      </c>
    </row>
    <row r="130" spans="3:11">
      <c r="C130" s="2">
        <v>171</v>
      </c>
      <c r="D130" s="26">
        <f t="shared" si="24"/>
        <v>5.3539559785827561E-3</v>
      </c>
      <c r="E130" s="26">
        <f t="shared" si="18"/>
        <v>4</v>
      </c>
      <c r="F130" s="26">
        <f t="shared" si="25"/>
        <v>0</v>
      </c>
      <c r="H130" s="2">
        <v>67</v>
      </c>
      <c r="I130" s="17">
        <f t="shared" si="22"/>
        <v>0.84441197954711544</v>
      </c>
      <c r="J130" s="17">
        <f t="shared" si="19"/>
        <v>1</v>
      </c>
      <c r="K130" s="17">
        <f t="shared" si="23"/>
        <v>0</v>
      </c>
    </row>
    <row r="131" spans="3:11">
      <c r="C131" s="2">
        <v>171</v>
      </c>
      <c r="D131" s="26">
        <f t="shared" si="24"/>
        <v>5.3539559785827561E-3</v>
      </c>
      <c r="E131" s="26">
        <f t="shared" si="18"/>
        <v>5</v>
      </c>
      <c r="F131" s="26">
        <f t="shared" si="25"/>
        <v>0</v>
      </c>
      <c r="H131" s="2">
        <v>67</v>
      </c>
      <c r="I131" s="17">
        <f t="shared" si="22"/>
        <v>0.84441197954711544</v>
      </c>
      <c r="J131" s="17">
        <f t="shared" si="19"/>
        <v>2</v>
      </c>
      <c r="K131" s="17">
        <f t="shared" si="23"/>
        <v>0</v>
      </c>
    </row>
    <row r="132" spans="3:11">
      <c r="C132" s="2">
        <v>171</v>
      </c>
      <c r="D132" s="26">
        <f t="shared" si="24"/>
        <v>5.3539559785827561E-3</v>
      </c>
      <c r="E132" s="26">
        <f t="shared" ref="E132:E195" si="26">IF(C131=C132,E131+1,1)</f>
        <v>6</v>
      </c>
      <c r="F132" s="26">
        <f t="shared" si="25"/>
        <v>0</v>
      </c>
      <c r="H132" s="2">
        <v>67</v>
      </c>
      <c r="I132" s="17">
        <f t="shared" si="22"/>
        <v>0.84441197954711544</v>
      </c>
      <c r="J132" s="17">
        <f t="shared" ref="J132:J195" si="27">IF(H131=H132,J131+1,1)</f>
        <v>3</v>
      </c>
      <c r="K132" s="17">
        <f t="shared" si="23"/>
        <v>0</v>
      </c>
    </row>
    <row r="133" spans="3:11">
      <c r="C133" s="2">
        <v>171</v>
      </c>
      <c r="D133" s="26">
        <f t="shared" si="24"/>
        <v>5.3539559785827561E-3</v>
      </c>
      <c r="E133" s="26">
        <f t="shared" si="26"/>
        <v>7</v>
      </c>
      <c r="F133" s="26">
        <f t="shared" si="25"/>
        <v>0</v>
      </c>
      <c r="H133" s="2">
        <v>67</v>
      </c>
      <c r="I133" s="17">
        <f t="shared" si="22"/>
        <v>0.84441197954711544</v>
      </c>
      <c r="J133" s="17">
        <f t="shared" si="27"/>
        <v>4</v>
      </c>
      <c r="K133" s="17">
        <f t="shared" si="23"/>
        <v>0</v>
      </c>
    </row>
    <row r="134" spans="3:11">
      <c r="C134" s="2">
        <v>171</v>
      </c>
      <c r="D134" s="26">
        <f t="shared" si="24"/>
        <v>5.3539559785827561E-3</v>
      </c>
      <c r="E134" s="26">
        <f t="shared" si="26"/>
        <v>8</v>
      </c>
      <c r="F134" s="26">
        <f t="shared" si="25"/>
        <v>0</v>
      </c>
      <c r="H134" s="2">
        <v>67</v>
      </c>
      <c r="I134" s="17">
        <f t="shared" si="22"/>
        <v>0.84441197954711544</v>
      </c>
      <c r="J134" s="17">
        <f t="shared" si="27"/>
        <v>5</v>
      </c>
      <c r="K134" s="17">
        <f t="shared" si="23"/>
        <v>0</v>
      </c>
    </row>
    <row r="135" spans="3:11">
      <c r="C135" s="2">
        <v>171</v>
      </c>
      <c r="D135" s="26">
        <f t="shared" si="24"/>
        <v>5.3539559785827561E-3</v>
      </c>
      <c r="E135" s="26">
        <f t="shared" si="26"/>
        <v>9</v>
      </c>
      <c r="F135" s="26">
        <f t="shared" si="25"/>
        <v>0</v>
      </c>
      <c r="H135" s="2">
        <v>67</v>
      </c>
      <c r="I135" s="17">
        <f t="shared" si="22"/>
        <v>0.84441197954711544</v>
      </c>
      <c r="J135" s="17">
        <f t="shared" si="27"/>
        <v>6</v>
      </c>
      <c r="K135" s="17">
        <f t="shared" si="23"/>
        <v>0</v>
      </c>
    </row>
    <row r="136" spans="3:11">
      <c r="C136" s="2">
        <v>171</v>
      </c>
      <c r="D136" s="26">
        <f t="shared" si="24"/>
        <v>5.3539559785827561E-3</v>
      </c>
      <c r="E136" s="26">
        <f t="shared" si="26"/>
        <v>10</v>
      </c>
      <c r="F136" s="26">
        <f t="shared" si="25"/>
        <v>0</v>
      </c>
      <c r="H136" s="2">
        <v>67</v>
      </c>
      <c r="I136" s="17">
        <f t="shared" si="22"/>
        <v>0.84441197954711544</v>
      </c>
      <c r="J136" s="17">
        <f t="shared" si="27"/>
        <v>7</v>
      </c>
      <c r="K136" s="17">
        <f t="shared" si="23"/>
        <v>0</v>
      </c>
    </row>
    <row r="137" spans="3:11">
      <c r="C137" s="2">
        <v>171</v>
      </c>
      <c r="D137" s="26">
        <f t="shared" si="24"/>
        <v>5.3539559785827561E-3</v>
      </c>
      <c r="E137" s="26">
        <f t="shared" si="26"/>
        <v>11</v>
      </c>
      <c r="F137" s="26">
        <f t="shared" si="25"/>
        <v>0</v>
      </c>
      <c r="H137" s="2">
        <v>67</v>
      </c>
      <c r="I137" s="17">
        <f t="shared" si="22"/>
        <v>0.84441197954711544</v>
      </c>
      <c r="J137" s="17">
        <f t="shared" si="27"/>
        <v>8</v>
      </c>
      <c r="K137" s="17">
        <f t="shared" si="23"/>
        <v>0</v>
      </c>
    </row>
    <row r="138" spans="3:11">
      <c r="C138" s="2">
        <v>171</v>
      </c>
      <c r="D138" s="26">
        <f t="shared" si="24"/>
        <v>5.3539559785827561E-3</v>
      </c>
      <c r="E138" s="26">
        <f t="shared" si="26"/>
        <v>12</v>
      </c>
      <c r="F138" s="26">
        <f t="shared" si="25"/>
        <v>0</v>
      </c>
      <c r="H138" s="2">
        <v>67</v>
      </c>
      <c r="I138" s="17">
        <f t="shared" si="22"/>
        <v>0.84441197954711544</v>
      </c>
      <c r="J138" s="17">
        <f t="shared" si="27"/>
        <v>9</v>
      </c>
      <c r="K138" s="17">
        <f t="shared" si="23"/>
        <v>0</v>
      </c>
    </row>
    <row r="139" spans="3:11">
      <c r="C139" s="2">
        <v>171</v>
      </c>
      <c r="D139" s="26">
        <f t="shared" si="24"/>
        <v>5.3539559785827561E-3</v>
      </c>
      <c r="E139" s="26">
        <f t="shared" si="26"/>
        <v>13</v>
      </c>
      <c r="F139" s="26">
        <f t="shared" si="25"/>
        <v>0</v>
      </c>
      <c r="H139" s="2">
        <v>67</v>
      </c>
      <c r="I139" s="17">
        <f t="shared" si="22"/>
        <v>0.84441197954711544</v>
      </c>
      <c r="J139" s="17">
        <f t="shared" si="27"/>
        <v>10</v>
      </c>
      <c r="K139" s="17">
        <f t="shared" si="23"/>
        <v>0</v>
      </c>
    </row>
    <row r="140" spans="3:11">
      <c r="C140" s="2">
        <v>171</v>
      </c>
      <c r="D140" s="26">
        <f t="shared" si="24"/>
        <v>5.3539559785827561E-3</v>
      </c>
      <c r="E140" s="26">
        <f t="shared" si="26"/>
        <v>14</v>
      </c>
      <c r="F140" s="26">
        <f t="shared" si="25"/>
        <v>0</v>
      </c>
      <c r="H140" s="2">
        <v>67</v>
      </c>
      <c r="I140" s="17">
        <f t="shared" si="22"/>
        <v>0.84441197954711544</v>
      </c>
      <c r="J140" s="17">
        <f t="shared" si="27"/>
        <v>11</v>
      </c>
      <c r="K140" s="17">
        <f t="shared" si="23"/>
        <v>0</v>
      </c>
    </row>
    <row r="141" spans="3:11">
      <c r="C141" s="2">
        <v>171</v>
      </c>
      <c r="D141" s="26">
        <f t="shared" si="24"/>
        <v>5.3539559785827561E-3</v>
      </c>
      <c r="E141" s="26">
        <f t="shared" si="26"/>
        <v>15</v>
      </c>
      <c r="F141" s="26">
        <f t="shared" si="25"/>
        <v>0</v>
      </c>
      <c r="H141" s="2">
        <v>67</v>
      </c>
      <c r="I141" s="17">
        <f t="shared" si="22"/>
        <v>0.84441197954711544</v>
      </c>
      <c r="J141" s="17">
        <f t="shared" si="27"/>
        <v>12</v>
      </c>
      <c r="K141" s="17">
        <f t="shared" si="23"/>
        <v>0</v>
      </c>
    </row>
    <row r="142" spans="3:11">
      <c r="C142" s="2">
        <v>171</v>
      </c>
      <c r="D142" s="26">
        <f t="shared" si="24"/>
        <v>5.3539559785827561E-3</v>
      </c>
      <c r="E142" s="26">
        <f t="shared" si="26"/>
        <v>16</v>
      </c>
      <c r="F142" s="26">
        <f t="shared" si="25"/>
        <v>171</v>
      </c>
      <c r="H142" s="2">
        <v>67</v>
      </c>
      <c r="I142" s="17">
        <f t="shared" si="22"/>
        <v>0.84441197954711544</v>
      </c>
      <c r="J142" s="17">
        <f t="shared" si="27"/>
        <v>13</v>
      </c>
      <c r="K142" s="17">
        <f t="shared" si="23"/>
        <v>0</v>
      </c>
    </row>
    <row r="143" spans="3:11">
      <c r="C143" s="2">
        <v>172</v>
      </c>
      <c r="D143" s="26">
        <f t="shared" si="24"/>
        <v>0.85901249256396806</v>
      </c>
      <c r="E143" s="26">
        <f t="shared" si="26"/>
        <v>1</v>
      </c>
      <c r="F143" s="26">
        <f t="shared" si="25"/>
        <v>0</v>
      </c>
      <c r="H143" s="2">
        <v>67</v>
      </c>
      <c r="I143" s="17">
        <f xml:space="preserve"> POWER($H143 - $P$20, 2)</f>
        <v>0.84441197954711544</v>
      </c>
      <c r="J143" s="17">
        <f t="shared" si="27"/>
        <v>14</v>
      </c>
      <c r="K143" s="17">
        <f t="shared" si="23"/>
        <v>67</v>
      </c>
    </row>
    <row r="144" spans="3:11">
      <c r="C144" s="2">
        <v>172</v>
      </c>
      <c r="D144" s="26">
        <f t="shared" si="24"/>
        <v>0.85901249256396806</v>
      </c>
      <c r="E144" s="26">
        <f t="shared" si="26"/>
        <v>2</v>
      </c>
      <c r="F144" s="26">
        <f t="shared" si="25"/>
        <v>0</v>
      </c>
      <c r="H144" s="2">
        <v>68</v>
      </c>
      <c r="I144" s="17">
        <f xml:space="preserve"> POWER($H144 - $P$21, 2)</f>
        <v>1.5375999999999874</v>
      </c>
      <c r="J144" s="17">
        <f t="shared" si="27"/>
        <v>1</v>
      </c>
      <c r="K144" s="17">
        <f>IF(AND(MAX(J$144:J$168)=J144,J144&gt;1),H144,0)</f>
        <v>0</v>
      </c>
    </row>
    <row r="145" spans="3:11">
      <c r="C145" s="2">
        <v>172</v>
      </c>
      <c r="D145" s="26">
        <f t="shared" si="24"/>
        <v>0.85901249256396806</v>
      </c>
      <c r="E145" s="26">
        <f t="shared" si="26"/>
        <v>3</v>
      </c>
      <c r="F145" s="26">
        <f t="shared" si="25"/>
        <v>0</v>
      </c>
      <c r="H145" s="2">
        <v>68</v>
      </c>
      <c r="I145" s="17">
        <f t="shared" ref="I145:I168" si="28" xml:space="preserve"> POWER($H145 - $P$21, 2)</f>
        <v>1.5375999999999874</v>
      </c>
      <c r="J145" s="17">
        <f t="shared" si="27"/>
        <v>2</v>
      </c>
      <c r="K145" s="17">
        <f t="shared" ref="K145:K168" si="29">IF(AND(MAX(J$144:J$168)=J145,J145&gt;1),H145,0)</f>
        <v>0</v>
      </c>
    </row>
    <row r="146" spans="3:11">
      <c r="C146" s="2">
        <v>172</v>
      </c>
      <c r="D146" s="26">
        <f t="shared" si="24"/>
        <v>0.85901249256396806</v>
      </c>
      <c r="E146" s="26">
        <f t="shared" si="26"/>
        <v>4</v>
      </c>
      <c r="F146" s="26">
        <f t="shared" si="25"/>
        <v>0</v>
      </c>
      <c r="H146" s="2">
        <v>68</v>
      </c>
      <c r="I146" s="17">
        <f t="shared" si="28"/>
        <v>1.5375999999999874</v>
      </c>
      <c r="J146" s="17">
        <f t="shared" si="27"/>
        <v>3</v>
      </c>
      <c r="K146" s="17">
        <f t="shared" si="29"/>
        <v>0</v>
      </c>
    </row>
    <row r="147" spans="3:11">
      <c r="C147" s="2">
        <v>172</v>
      </c>
      <c r="D147" s="26">
        <f t="shared" si="24"/>
        <v>0.85901249256396806</v>
      </c>
      <c r="E147" s="26">
        <f t="shared" si="26"/>
        <v>5</v>
      </c>
      <c r="F147" s="26">
        <f t="shared" si="25"/>
        <v>0</v>
      </c>
      <c r="H147" s="2">
        <v>68</v>
      </c>
      <c r="I147" s="17">
        <f t="shared" si="28"/>
        <v>1.5375999999999874</v>
      </c>
      <c r="J147" s="17">
        <f t="shared" si="27"/>
        <v>4</v>
      </c>
      <c r="K147" s="17">
        <f t="shared" si="29"/>
        <v>0</v>
      </c>
    </row>
    <row r="148" spans="3:11">
      <c r="C148" s="2">
        <v>172</v>
      </c>
      <c r="D148" s="26">
        <f t="shared" si="24"/>
        <v>0.85901249256396806</v>
      </c>
      <c r="E148" s="26">
        <f t="shared" si="26"/>
        <v>6</v>
      </c>
      <c r="F148" s="26">
        <f t="shared" si="25"/>
        <v>0</v>
      </c>
      <c r="H148" s="2">
        <v>68</v>
      </c>
      <c r="I148" s="17">
        <f t="shared" si="28"/>
        <v>1.5375999999999874</v>
      </c>
      <c r="J148" s="17">
        <f t="shared" si="27"/>
        <v>5</v>
      </c>
      <c r="K148" s="17">
        <f t="shared" si="29"/>
        <v>0</v>
      </c>
    </row>
    <row r="149" spans="3:11">
      <c r="C149" s="2">
        <v>172</v>
      </c>
      <c r="D149" s="26">
        <f t="shared" si="24"/>
        <v>0.85901249256396806</v>
      </c>
      <c r="E149" s="26">
        <f t="shared" si="26"/>
        <v>7</v>
      </c>
      <c r="F149" s="26">
        <f t="shared" si="25"/>
        <v>0</v>
      </c>
      <c r="H149" s="2">
        <v>68</v>
      </c>
      <c r="I149" s="17">
        <f t="shared" si="28"/>
        <v>1.5375999999999874</v>
      </c>
      <c r="J149" s="17">
        <f t="shared" si="27"/>
        <v>6</v>
      </c>
      <c r="K149" s="17">
        <f t="shared" si="29"/>
        <v>0</v>
      </c>
    </row>
    <row r="150" spans="3:11">
      <c r="C150" s="2">
        <v>172</v>
      </c>
      <c r="D150" s="26">
        <f t="shared" si="24"/>
        <v>0.85901249256396806</v>
      </c>
      <c r="E150" s="26">
        <f t="shared" si="26"/>
        <v>8</v>
      </c>
      <c r="F150" s="26">
        <f t="shared" si="25"/>
        <v>0</v>
      </c>
      <c r="H150" s="2">
        <v>68</v>
      </c>
      <c r="I150" s="17">
        <f t="shared" si="28"/>
        <v>1.5375999999999874</v>
      </c>
      <c r="J150" s="17">
        <f t="shared" si="27"/>
        <v>7</v>
      </c>
      <c r="K150" s="17">
        <f t="shared" si="29"/>
        <v>0</v>
      </c>
    </row>
    <row r="151" spans="3:11">
      <c r="C151" s="2">
        <v>172</v>
      </c>
      <c r="D151" s="26">
        <f t="shared" si="24"/>
        <v>0.85901249256396806</v>
      </c>
      <c r="E151" s="26">
        <f t="shared" si="26"/>
        <v>9</v>
      </c>
      <c r="F151" s="26">
        <f t="shared" si="25"/>
        <v>0</v>
      </c>
      <c r="H151" s="2">
        <v>69</v>
      </c>
      <c r="I151" s="17">
        <f t="shared" si="28"/>
        <v>5.7599999999997542E-2</v>
      </c>
      <c r="J151" s="17">
        <f t="shared" si="27"/>
        <v>1</v>
      </c>
      <c r="K151" s="17">
        <f t="shared" si="29"/>
        <v>0</v>
      </c>
    </row>
    <row r="152" spans="3:11">
      <c r="C152" s="2">
        <v>172</v>
      </c>
      <c r="D152" s="26">
        <f t="shared" si="24"/>
        <v>0.85901249256396806</v>
      </c>
      <c r="E152" s="26">
        <f t="shared" si="26"/>
        <v>10</v>
      </c>
      <c r="F152" s="26">
        <f t="shared" si="25"/>
        <v>0</v>
      </c>
      <c r="H152" s="2">
        <v>69</v>
      </c>
      <c r="I152" s="17">
        <f t="shared" si="28"/>
        <v>5.7599999999997542E-2</v>
      </c>
      <c r="J152" s="17">
        <f t="shared" si="27"/>
        <v>2</v>
      </c>
      <c r="K152" s="17">
        <f t="shared" si="29"/>
        <v>0</v>
      </c>
    </row>
    <row r="153" spans="3:11">
      <c r="C153" s="2">
        <v>172</v>
      </c>
      <c r="D153" s="26">
        <f t="shared" si="24"/>
        <v>0.85901249256396806</v>
      </c>
      <c r="E153" s="26">
        <f t="shared" si="26"/>
        <v>11</v>
      </c>
      <c r="F153" s="26">
        <f t="shared" si="25"/>
        <v>0</v>
      </c>
      <c r="H153" s="2">
        <v>69</v>
      </c>
      <c r="I153" s="17">
        <f t="shared" si="28"/>
        <v>5.7599999999997542E-2</v>
      </c>
      <c r="J153" s="17">
        <f t="shared" si="27"/>
        <v>3</v>
      </c>
      <c r="K153" s="17">
        <f t="shared" si="29"/>
        <v>0</v>
      </c>
    </row>
    <row r="154" spans="3:11">
      <c r="C154" s="2">
        <v>172</v>
      </c>
      <c r="D154" s="26">
        <f t="shared" si="24"/>
        <v>0.85901249256396806</v>
      </c>
      <c r="E154" s="26">
        <f t="shared" si="26"/>
        <v>12</v>
      </c>
      <c r="F154" s="26">
        <f t="shared" si="25"/>
        <v>0</v>
      </c>
      <c r="H154" s="2">
        <v>69</v>
      </c>
      <c r="I154" s="17">
        <f t="shared" si="28"/>
        <v>5.7599999999997542E-2</v>
      </c>
      <c r="J154" s="17">
        <f t="shared" si="27"/>
        <v>4</v>
      </c>
      <c r="K154" s="17">
        <f t="shared" si="29"/>
        <v>0</v>
      </c>
    </row>
    <row r="155" spans="3:11">
      <c r="C155" s="2">
        <v>172</v>
      </c>
      <c r="D155" s="26">
        <f t="shared" si="24"/>
        <v>0.85901249256396806</v>
      </c>
      <c r="E155" s="26">
        <f t="shared" si="26"/>
        <v>13</v>
      </c>
      <c r="F155" s="26">
        <f t="shared" si="25"/>
        <v>0</v>
      </c>
      <c r="H155" s="2">
        <v>69</v>
      </c>
      <c r="I155" s="17">
        <f t="shared" si="28"/>
        <v>5.7599999999997542E-2</v>
      </c>
      <c r="J155" s="17">
        <f t="shared" si="27"/>
        <v>5</v>
      </c>
      <c r="K155" s="17">
        <f t="shared" si="29"/>
        <v>0</v>
      </c>
    </row>
    <row r="156" spans="3:11">
      <c r="C156" s="2">
        <v>172</v>
      </c>
      <c r="D156" s="26">
        <f t="shared" si="24"/>
        <v>0.85901249256396806</v>
      </c>
      <c r="E156" s="26">
        <f t="shared" si="26"/>
        <v>14</v>
      </c>
      <c r="F156" s="26">
        <f t="shared" si="25"/>
        <v>0</v>
      </c>
      <c r="H156" s="2">
        <v>69</v>
      </c>
      <c r="I156" s="17">
        <f t="shared" si="28"/>
        <v>5.7599999999997542E-2</v>
      </c>
      <c r="J156" s="17">
        <f t="shared" si="27"/>
        <v>6</v>
      </c>
      <c r="K156" s="17">
        <f t="shared" si="29"/>
        <v>0</v>
      </c>
    </row>
    <row r="157" spans="3:11">
      <c r="C157" s="2">
        <v>173</v>
      </c>
      <c r="D157" s="26">
        <f xml:space="preserve"> POWER($C157 - $P$8, 2)</f>
        <v>2.7777777777777461</v>
      </c>
      <c r="E157" s="26">
        <f t="shared" si="26"/>
        <v>1</v>
      </c>
      <c r="F157" s="26">
        <f>IF(AND(MAX(E$157:E$180)=E157,E157&gt;1),C157,0)</f>
        <v>0</v>
      </c>
      <c r="H157" s="2">
        <v>69</v>
      </c>
      <c r="I157" s="17">
        <f t="shared" si="28"/>
        <v>5.7599999999997542E-2</v>
      </c>
      <c r="J157" s="17">
        <f t="shared" si="27"/>
        <v>7</v>
      </c>
      <c r="K157" s="17">
        <f t="shared" si="29"/>
        <v>0</v>
      </c>
    </row>
    <row r="158" spans="3:11">
      <c r="C158" s="2">
        <v>173</v>
      </c>
      <c r="D158" s="26">
        <f t="shared" ref="D158:D180" si="30" xml:space="preserve"> POWER($C158 - $P$8, 2)</f>
        <v>2.7777777777777461</v>
      </c>
      <c r="E158" s="26">
        <f t="shared" si="26"/>
        <v>2</v>
      </c>
      <c r="F158" s="26">
        <f t="shared" ref="F158:F180" si="31">IF(AND(MAX(E$157:E$180)=E158,E158&gt;1),C158,0)</f>
        <v>0</v>
      </c>
      <c r="H158" s="2">
        <v>70</v>
      </c>
      <c r="I158" s="17">
        <f t="shared" si="28"/>
        <v>0.57760000000000777</v>
      </c>
      <c r="J158" s="17">
        <f t="shared" si="27"/>
        <v>1</v>
      </c>
      <c r="K158" s="17">
        <f t="shared" si="29"/>
        <v>0</v>
      </c>
    </row>
    <row r="159" spans="3:11">
      <c r="C159" s="2">
        <v>173</v>
      </c>
      <c r="D159" s="26">
        <f t="shared" si="30"/>
        <v>2.7777777777777461</v>
      </c>
      <c r="E159" s="26">
        <f t="shared" si="26"/>
        <v>3</v>
      </c>
      <c r="F159" s="26">
        <f t="shared" si="31"/>
        <v>0</v>
      </c>
      <c r="H159" s="2">
        <v>70</v>
      </c>
      <c r="I159" s="17">
        <f t="shared" si="28"/>
        <v>0.57760000000000777</v>
      </c>
      <c r="J159" s="17">
        <f t="shared" si="27"/>
        <v>2</v>
      </c>
      <c r="K159" s="17">
        <f t="shared" si="29"/>
        <v>0</v>
      </c>
    </row>
    <row r="160" spans="3:11">
      <c r="C160" s="2">
        <v>173</v>
      </c>
      <c r="D160" s="26">
        <f t="shared" si="30"/>
        <v>2.7777777777777461</v>
      </c>
      <c r="E160" s="26">
        <f t="shared" si="26"/>
        <v>4</v>
      </c>
      <c r="F160" s="26">
        <f t="shared" si="31"/>
        <v>0</v>
      </c>
      <c r="H160" s="2">
        <v>70</v>
      </c>
      <c r="I160" s="17">
        <f t="shared" si="28"/>
        <v>0.57760000000000777</v>
      </c>
      <c r="J160" s="17">
        <f t="shared" si="27"/>
        <v>3</v>
      </c>
      <c r="K160" s="17">
        <f t="shared" si="29"/>
        <v>0</v>
      </c>
    </row>
    <row r="161" spans="3:11">
      <c r="C161" s="2">
        <v>173</v>
      </c>
      <c r="D161" s="26">
        <f t="shared" si="30"/>
        <v>2.7777777777777461</v>
      </c>
      <c r="E161" s="26">
        <f t="shared" si="26"/>
        <v>5</v>
      </c>
      <c r="F161" s="26">
        <f t="shared" si="31"/>
        <v>0</v>
      </c>
      <c r="H161" s="2">
        <v>70</v>
      </c>
      <c r="I161" s="17">
        <f t="shared" si="28"/>
        <v>0.57760000000000777</v>
      </c>
      <c r="J161" s="17">
        <f t="shared" si="27"/>
        <v>4</v>
      </c>
      <c r="K161" s="17">
        <f t="shared" si="29"/>
        <v>0</v>
      </c>
    </row>
    <row r="162" spans="3:11">
      <c r="C162" s="2">
        <v>173</v>
      </c>
      <c r="D162" s="26">
        <f t="shared" si="30"/>
        <v>2.7777777777777461</v>
      </c>
      <c r="E162" s="26">
        <f t="shared" si="26"/>
        <v>6</v>
      </c>
      <c r="F162" s="26">
        <f t="shared" si="31"/>
        <v>0</v>
      </c>
      <c r="H162" s="2">
        <v>70</v>
      </c>
      <c r="I162" s="17">
        <f t="shared" si="28"/>
        <v>0.57760000000000777</v>
      </c>
      <c r="J162" s="17">
        <f t="shared" si="27"/>
        <v>5</v>
      </c>
      <c r="K162" s="17">
        <f t="shared" si="29"/>
        <v>0</v>
      </c>
    </row>
    <row r="163" spans="3:11">
      <c r="C163" s="2">
        <v>174</v>
      </c>
      <c r="D163" s="26">
        <f t="shared" si="30"/>
        <v>0.44444444444443182</v>
      </c>
      <c r="E163" s="26">
        <f t="shared" si="26"/>
        <v>1</v>
      </c>
      <c r="F163" s="26">
        <f t="shared" si="31"/>
        <v>0</v>
      </c>
      <c r="H163" s="2">
        <v>70</v>
      </c>
      <c r="I163" s="17">
        <f t="shared" si="28"/>
        <v>0.57760000000000777</v>
      </c>
      <c r="J163" s="17">
        <f t="shared" si="27"/>
        <v>6</v>
      </c>
      <c r="K163" s="17">
        <f t="shared" si="29"/>
        <v>0</v>
      </c>
    </row>
    <row r="164" spans="3:11">
      <c r="C164" s="2">
        <v>174</v>
      </c>
      <c r="D164" s="26">
        <f t="shared" si="30"/>
        <v>0.44444444444443182</v>
      </c>
      <c r="E164" s="26">
        <f t="shared" si="26"/>
        <v>2</v>
      </c>
      <c r="F164" s="26">
        <f t="shared" si="31"/>
        <v>0</v>
      </c>
      <c r="H164" s="2">
        <v>70</v>
      </c>
      <c r="I164" s="17">
        <f t="shared" si="28"/>
        <v>0.57760000000000777</v>
      </c>
      <c r="J164" s="17">
        <f t="shared" si="27"/>
        <v>7</v>
      </c>
      <c r="K164" s="17">
        <f t="shared" si="29"/>
        <v>0</v>
      </c>
    </row>
    <row r="165" spans="3:11">
      <c r="C165" s="2">
        <v>174</v>
      </c>
      <c r="D165" s="26">
        <f t="shared" si="30"/>
        <v>0.44444444444443182</v>
      </c>
      <c r="E165" s="26">
        <f t="shared" si="26"/>
        <v>3</v>
      </c>
      <c r="F165" s="26">
        <f t="shared" si="31"/>
        <v>0</v>
      </c>
      <c r="H165" s="2">
        <v>70</v>
      </c>
      <c r="I165" s="17">
        <f t="shared" si="28"/>
        <v>0.57760000000000777</v>
      </c>
      <c r="J165" s="17">
        <f t="shared" si="27"/>
        <v>8</v>
      </c>
      <c r="K165" s="17">
        <f t="shared" si="29"/>
        <v>0</v>
      </c>
    </row>
    <row r="166" spans="3:11">
      <c r="C166" s="2">
        <v>174</v>
      </c>
      <c r="D166" s="26">
        <f t="shared" si="30"/>
        <v>0.44444444444443182</v>
      </c>
      <c r="E166" s="26">
        <f t="shared" si="26"/>
        <v>4</v>
      </c>
      <c r="F166" s="26">
        <f t="shared" si="31"/>
        <v>0</v>
      </c>
      <c r="H166" s="2">
        <v>70</v>
      </c>
      <c r="I166" s="17">
        <f t="shared" si="28"/>
        <v>0.57760000000000777</v>
      </c>
      <c r="J166" s="17">
        <f t="shared" si="27"/>
        <v>9</v>
      </c>
      <c r="K166" s="17">
        <f t="shared" si="29"/>
        <v>70</v>
      </c>
    </row>
    <row r="167" spans="3:11">
      <c r="C167" s="2">
        <v>174</v>
      </c>
      <c r="D167" s="26">
        <f t="shared" si="30"/>
        <v>0.44444444444443182</v>
      </c>
      <c r="E167" s="26">
        <f t="shared" si="26"/>
        <v>5</v>
      </c>
      <c r="F167" s="26">
        <f t="shared" si="31"/>
        <v>0</v>
      </c>
      <c r="H167" s="2">
        <v>71</v>
      </c>
      <c r="I167" s="17">
        <f t="shared" si="28"/>
        <v>3.0976000000000181</v>
      </c>
      <c r="J167" s="17">
        <f t="shared" si="27"/>
        <v>1</v>
      </c>
      <c r="K167" s="17">
        <f t="shared" si="29"/>
        <v>0</v>
      </c>
    </row>
    <row r="168" spans="3:11">
      <c r="C168" s="2">
        <v>175</v>
      </c>
      <c r="D168" s="26">
        <f t="shared" si="30"/>
        <v>0.11111111111111743</v>
      </c>
      <c r="E168" s="26">
        <f t="shared" si="26"/>
        <v>1</v>
      </c>
      <c r="F168" s="26">
        <f t="shared" si="31"/>
        <v>0</v>
      </c>
      <c r="H168" s="2">
        <v>71</v>
      </c>
      <c r="I168" s="17">
        <f t="shared" si="28"/>
        <v>3.0976000000000181</v>
      </c>
      <c r="J168" s="17">
        <f t="shared" si="27"/>
        <v>2</v>
      </c>
      <c r="K168" s="17">
        <f t="shared" si="29"/>
        <v>0</v>
      </c>
    </row>
    <row r="169" spans="3:11">
      <c r="C169" s="2">
        <v>175</v>
      </c>
      <c r="D169" s="26">
        <f t="shared" si="30"/>
        <v>0.11111111111111743</v>
      </c>
      <c r="E169" s="26">
        <f t="shared" si="26"/>
        <v>2</v>
      </c>
      <c r="F169" s="26">
        <f t="shared" si="31"/>
        <v>0</v>
      </c>
      <c r="H169" s="2">
        <v>72</v>
      </c>
      <c r="I169" s="17">
        <f xml:space="preserve"> POWER($H169 - $P$22, 2)</f>
        <v>1.3061224489795826</v>
      </c>
      <c r="J169" s="17">
        <f t="shared" si="27"/>
        <v>1</v>
      </c>
      <c r="K169" s="17">
        <f>IF(AND(MAX(J$169:J$183)=J169,J169&gt;1),H169,0)</f>
        <v>0</v>
      </c>
    </row>
    <row r="170" spans="3:11">
      <c r="C170" s="2">
        <v>175</v>
      </c>
      <c r="D170" s="26">
        <f t="shared" si="30"/>
        <v>0.11111111111111743</v>
      </c>
      <c r="E170" s="26">
        <f t="shared" si="26"/>
        <v>3</v>
      </c>
      <c r="F170" s="26">
        <f t="shared" si="31"/>
        <v>0</v>
      </c>
      <c r="H170" s="2">
        <v>72</v>
      </c>
      <c r="I170" s="17">
        <f t="shared" ref="I170:I182" si="32" xml:space="preserve"> POWER($H170 - $P$22, 2)</f>
        <v>1.3061224489795826</v>
      </c>
      <c r="J170" s="17">
        <f t="shared" si="27"/>
        <v>2</v>
      </c>
      <c r="K170" s="17">
        <f t="shared" ref="K170:K183" si="33">IF(AND(MAX(J$169:J$183)=J170,J170&gt;1),H170,0)</f>
        <v>0</v>
      </c>
    </row>
    <row r="171" spans="3:11">
      <c r="C171" s="2">
        <v>175</v>
      </c>
      <c r="D171" s="26">
        <f t="shared" si="30"/>
        <v>0.11111111111111743</v>
      </c>
      <c r="E171" s="26">
        <f t="shared" si="26"/>
        <v>4</v>
      </c>
      <c r="F171" s="26">
        <f t="shared" si="31"/>
        <v>0</v>
      </c>
      <c r="H171" s="2">
        <v>72</v>
      </c>
      <c r="I171" s="17">
        <f t="shared" si="32"/>
        <v>1.3061224489795826</v>
      </c>
      <c r="J171" s="17">
        <f t="shared" si="27"/>
        <v>3</v>
      </c>
      <c r="K171" s="17">
        <f t="shared" si="33"/>
        <v>0</v>
      </c>
    </row>
    <row r="172" spans="3:11">
      <c r="C172" s="2">
        <v>176</v>
      </c>
      <c r="D172" s="26">
        <f t="shared" si="30"/>
        <v>1.777777777777803</v>
      </c>
      <c r="E172" s="26">
        <f t="shared" si="26"/>
        <v>1</v>
      </c>
      <c r="F172" s="26">
        <f t="shared" si="31"/>
        <v>0</v>
      </c>
      <c r="H172" s="2">
        <v>73</v>
      </c>
      <c r="I172" s="17">
        <f t="shared" si="32"/>
        <v>2.0408163265304962E-2</v>
      </c>
      <c r="J172" s="17">
        <f t="shared" si="27"/>
        <v>1</v>
      </c>
      <c r="K172" s="17">
        <f t="shared" si="33"/>
        <v>0</v>
      </c>
    </row>
    <row r="173" spans="3:11">
      <c r="C173" s="2">
        <v>176</v>
      </c>
      <c r="D173" s="26">
        <f t="shared" si="30"/>
        <v>1.777777777777803</v>
      </c>
      <c r="E173" s="26">
        <f t="shared" si="26"/>
        <v>2</v>
      </c>
      <c r="F173" s="26">
        <f t="shared" si="31"/>
        <v>0</v>
      </c>
      <c r="H173" s="2">
        <v>73</v>
      </c>
      <c r="I173" s="17">
        <f t="shared" si="32"/>
        <v>2.0408163265304962E-2</v>
      </c>
      <c r="J173" s="17">
        <f t="shared" si="27"/>
        <v>2</v>
      </c>
      <c r="K173" s="17">
        <f t="shared" si="33"/>
        <v>0</v>
      </c>
    </row>
    <row r="174" spans="3:11">
      <c r="C174" s="2">
        <v>176</v>
      </c>
      <c r="D174" s="26">
        <f t="shared" si="30"/>
        <v>1.777777777777803</v>
      </c>
      <c r="E174" s="26">
        <f t="shared" si="26"/>
        <v>3</v>
      </c>
      <c r="F174" s="26">
        <f t="shared" si="31"/>
        <v>0</v>
      </c>
      <c r="H174" s="2">
        <v>73</v>
      </c>
      <c r="I174" s="17">
        <f t="shared" si="32"/>
        <v>2.0408163265304962E-2</v>
      </c>
      <c r="J174" s="17">
        <f t="shared" si="27"/>
        <v>3</v>
      </c>
      <c r="K174" s="17">
        <f t="shared" si="33"/>
        <v>0</v>
      </c>
    </row>
    <row r="175" spans="3:11">
      <c r="C175" s="2">
        <v>176</v>
      </c>
      <c r="D175" s="26">
        <f t="shared" si="30"/>
        <v>1.777777777777803</v>
      </c>
      <c r="E175" s="26">
        <f t="shared" si="26"/>
        <v>4</v>
      </c>
      <c r="F175" s="26">
        <f t="shared" si="31"/>
        <v>0</v>
      </c>
      <c r="H175" s="2">
        <v>73</v>
      </c>
      <c r="I175" s="17">
        <f t="shared" si="32"/>
        <v>2.0408163265304962E-2</v>
      </c>
      <c r="J175" s="17">
        <f t="shared" si="27"/>
        <v>4</v>
      </c>
      <c r="K175" s="17">
        <f t="shared" si="33"/>
        <v>0</v>
      </c>
    </row>
    <row r="176" spans="3:11">
      <c r="C176" s="2">
        <v>176</v>
      </c>
      <c r="D176" s="26">
        <f t="shared" si="30"/>
        <v>1.777777777777803</v>
      </c>
      <c r="E176" s="26">
        <f t="shared" si="26"/>
        <v>5</v>
      </c>
      <c r="F176" s="26">
        <f t="shared" si="31"/>
        <v>0</v>
      </c>
      <c r="H176" s="2">
        <v>73</v>
      </c>
      <c r="I176" s="17">
        <f t="shared" si="32"/>
        <v>2.0408163265304962E-2</v>
      </c>
      <c r="J176" s="17">
        <f t="shared" si="27"/>
        <v>5</v>
      </c>
      <c r="K176" s="17">
        <f t="shared" si="33"/>
        <v>0</v>
      </c>
    </row>
    <row r="177" spans="3:11">
      <c r="C177" s="2">
        <v>176</v>
      </c>
      <c r="D177" s="26">
        <f t="shared" si="30"/>
        <v>1.777777777777803</v>
      </c>
      <c r="E177" s="26">
        <f t="shared" si="26"/>
        <v>6</v>
      </c>
      <c r="F177" s="26">
        <f t="shared" si="31"/>
        <v>0</v>
      </c>
      <c r="H177" s="2">
        <v>73</v>
      </c>
      <c r="I177" s="17">
        <f t="shared" si="32"/>
        <v>2.0408163265304962E-2</v>
      </c>
      <c r="J177" s="17">
        <f t="shared" si="27"/>
        <v>6</v>
      </c>
      <c r="K177" s="17">
        <f t="shared" si="33"/>
        <v>73</v>
      </c>
    </row>
    <row r="178" spans="3:11">
      <c r="C178" s="2">
        <v>176</v>
      </c>
      <c r="D178" s="26">
        <f t="shared" si="30"/>
        <v>1.777777777777803</v>
      </c>
      <c r="E178" s="26">
        <f t="shared" si="26"/>
        <v>7</v>
      </c>
      <c r="F178" s="26">
        <f t="shared" si="31"/>
        <v>0</v>
      </c>
      <c r="H178" s="2">
        <v>74</v>
      </c>
      <c r="I178" s="17">
        <f t="shared" si="32"/>
        <v>0.73469387755102733</v>
      </c>
      <c r="J178" s="17">
        <f t="shared" si="27"/>
        <v>1</v>
      </c>
      <c r="K178" s="17">
        <f t="shared" si="33"/>
        <v>0</v>
      </c>
    </row>
    <row r="179" spans="3:11">
      <c r="C179" s="2">
        <v>176</v>
      </c>
      <c r="D179" s="26">
        <f t="shared" si="30"/>
        <v>1.777777777777803</v>
      </c>
      <c r="E179" s="26">
        <f t="shared" si="26"/>
        <v>8</v>
      </c>
      <c r="F179" s="26">
        <f t="shared" si="31"/>
        <v>0</v>
      </c>
      <c r="H179" s="2">
        <v>74</v>
      </c>
      <c r="I179" s="17">
        <f t="shared" si="32"/>
        <v>0.73469387755102733</v>
      </c>
      <c r="J179" s="17">
        <f t="shared" si="27"/>
        <v>2</v>
      </c>
      <c r="K179" s="17">
        <f t="shared" si="33"/>
        <v>0</v>
      </c>
    </row>
    <row r="180" spans="3:11">
      <c r="C180" s="2">
        <v>176</v>
      </c>
      <c r="D180" s="26">
        <f t="shared" si="30"/>
        <v>1.777777777777803</v>
      </c>
      <c r="E180" s="26">
        <f t="shared" si="26"/>
        <v>9</v>
      </c>
      <c r="F180" s="26">
        <f t="shared" si="31"/>
        <v>176</v>
      </c>
      <c r="H180" s="2">
        <v>74</v>
      </c>
      <c r="I180" s="17">
        <f t="shared" si="32"/>
        <v>0.73469387755102733</v>
      </c>
      <c r="J180" s="17">
        <f t="shared" si="27"/>
        <v>3</v>
      </c>
      <c r="K180" s="17">
        <f t="shared" si="33"/>
        <v>0</v>
      </c>
    </row>
    <row r="181" spans="3:11">
      <c r="C181" s="2">
        <v>177</v>
      </c>
      <c r="D181" s="26">
        <f xml:space="preserve"> POWER($C181 - $P$9, 2)</f>
        <v>1</v>
      </c>
      <c r="E181" s="26">
        <f t="shared" si="26"/>
        <v>1</v>
      </c>
      <c r="F181" s="26">
        <f>IF(AND(MAX(E$181:E$188)=E181,E181&gt;1),C181,0)</f>
        <v>0</v>
      </c>
      <c r="H181" s="2">
        <v>74</v>
      </c>
      <c r="I181" s="17">
        <f t="shared" si="32"/>
        <v>0.73469387755102733</v>
      </c>
      <c r="J181" s="17">
        <f t="shared" si="27"/>
        <v>4</v>
      </c>
      <c r="K181" s="17">
        <f t="shared" si="33"/>
        <v>0</v>
      </c>
    </row>
    <row r="182" spans="3:11">
      <c r="C182" s="2">
        <v>177</v>
      </c>
      <c r="D182" s="26">
        <f t="shared" ref="D182:D188" si="34" xml:space="preserve"> POWER($C182 - $P$9, 2)</f>
        <v>1</v>
      </c>
      <c r="E182" s="26">
        <f t="shared" si="26"/>
        <v>2</v>
      </c>
      <c r="F182" s="26">
        <f t="shared" ref="F182:F188" si="35">IF(AND(MAX(E$181:E$188)=E182,E182&gt;1),C182,0)</f>
        <v>0</v>
      </c>
      <c r="H182" s="2">
        <v>74</v>
      </c>
      <c r="I182" s="17">
        <f t="shared" si="32"/>
        <v>0.73469387755102733</v>
      </c>
      <c r="J182" s="17">
        <f t="shared" si="27"/>
        <v>5</v>
      </c>
      <c r="K182" s="17">
        <f t="shared" si="33"/>
        <v>0</v>
      </c>
    </row>
    <row r="183" spans="3:11">
      <c r="C183" s="2">
        <v>178</v>
      </c>
      <c r="D183" s="26">
        <f t="shared" si="34"/>
        <v>0</v>
      </c>
      <c r="E183" s="26">
        <f t="shared" si="26"/>
        <v>1</v>
      </c>
      <c r="F183" s="26">
        <f t="shared" si="35"/>
        <v>0</v>
      </c>
      <c r="H183" s="2">
        <v>75</v>
      </c>
      <c r="I183" s="17">
        <f xml:space="preserve"> POWER($H183 - $P$23, 2)</f>
        <v>1.1377777777777698</v>
      </c>
      <c r="J183" s="17">
        <f t="shared" si="27"/>
        <v>1</v>
      </c>
      <c r="K183" s="17">
        <f t="shared" si="33"/>
        <v>0</v>
      </c>
    </row>
    <row r="184" spans="3:11">
      <c r="C184" s="2">
        <v>178</v>
      </c>
      <c r="D184" s="26">
        <f t="shared" si="34"/>
        <v>0</v>
      </c>
      <c r="E184" s="26">
        <f t="shared" si="26"/>
        <v>2</v>
      </c>
      <c r="F184" s="26">
        <f t="shared" si="35"/>
        <v>0</v>
      </c>
      <c r="H184" s="2">
        <v>75</v>
      </c>
      <c r="I184" s="17">
        <f t="shared" ref="I184:I197" si="36" xml:space="preserve"> POWER($H184 - $P$23, 2)</f>
        <v>1.1377777777777698</v>
      </c>
      <c r="J184" s="17">
        <f t="shared" si="27"/>
        <v>2</v>
      </c>
      <c r="K184" s="17">
        <f>IF(AND(MAX(J$183:J$197)=J184,J184&gt;1),H184,0)</f>
        <v>0</v>
      </c>
    </row>
    <row r="185" spans="3:11">
      <c r="C185" s="2">
        <v>178</v>
      </c>
      <c r="D185" s="26">
        <f t="shared" si="34"/>
        <v>0</v>
      </c>
      <c r="E185" s="26">
        <f t="shared" si="26"/>
        <v>3</v>
      </c>
      <c r="F185" s="26">
        <f t="shared" si="35"/>
        <v>0</v>
      </c>
      <c r="H185" s="2">
        <v>75</v>
      </c>
      <c r="I185" s="17">
        <f t="shared" si="36"/>
        <v>1.1377777777777698</v>
      </c>
      <c r="J185" s="17">
        <f t="shared" si="27"/>
        <v>3</v>
      </c>
      <c r="K185" s="17">
        <f t="shared" ref="K185:K197" si="37">IF(AND(MAX(J$183:J$197)=J185,J185&gt;1),H185,0)</f>
        <v>0</v>
      </c>
    </row>
    <row r="186" spans="3:11">
      <c r="C186" s="2">
        <v>178</v>
      </c>
      <c r="D186" s="26">
        <f t="shared" si="34"/>
        <v>0</v>
      </c>
      <c r="E186" s="26">
        <f t="shared" si="26"/>
        <v>4</v>
      </c>
      <c r="F186" s="26">
        <f t="shared" si="35"/>
        <v>178</v>
      </c>
      <c r="H186" s="2">
        <v>75</v>
      </c>
      <c r="I186" s="17">
        <f t="shared" si="36"/>
        <v>1.1377777777777698</v>
      </c>
      <c r="J186" s="17">
        <f t="shared" si="27"/>
        <v>4</v>
      </c>
      <c r="K186" s="17">
        <f t="shared" si="37"/>
        <v>0</v>
      </c>
    </row>
    <row r="187" spans="3:11">
      <c r="C187" s="2">
        <v>179</v>
      </c>
      <c r="D187" s="26">
        <f t="shared" si="34"/>
        <v>1</v>
      </c>
      <c r="E187" s="26">
        <f t="shared" si="26"/>
        <v>1</v>
      </c>
      <c r="F187" s="26">
        <f t="shared" si="35"/>
        <v>0</v>
      </c>
      <c r="H187" s="2">
        <v>75</v>
      </c>
      <c r="I187" s="17">
        <f t="shared" si="36"/>
        <v>1.1377777777777698</v>
      </c>
      <c r="J187" s="17">
        <f t="shared" si="27"/>
        <v>5</v>
      </c>
      <c r="K187" s="17">
        <f t="shared" si="37"/>
        <v>0</v>
      </c>
    </row>
    <row r="188" spans="3:11">
      <c r="C188" s="2">
        <v>179</v>
      </c>
      <c r="D188" s="26">
        <f t="shared" si="34"/>
        <v>1</v>
      </c>
      <c r="E188" s="26">
        <f t="shared" si="26"/>
        <v>2</v>
      </c>
      <c r="F188" s="26">
        <f t="shared" si="35"/>
        <v>0</v>
      </c>
      <c r="H188" s="2">
        <v>75</v>
      </c>
      <c r="I188" s="17">
        <f t="shared" si="36"/>
        <v>1.1377777777777698</v>
      </c>
      <c r="J188" s="17">
        <f t="shared" si="27"/>
        <v>6</v>
      </c>
      <c r="K188" s="17">
        <f t="shared" si="37"/>
        <v>75</v>
      </c>
    </row>
    <row r="189" spans="3:11">
      <c r="C189" s="2">
        <v>180</v>
      </c>
      <c r="D189" s="26">
        <f xml:space="preserve"> POWER($C189 - $P$10, 2)</f>
        <v>0.79012345679011786</v>
      </c>
      <c r="E189" s="26">
        <f t="shared" si="26"/>
        <v>1</v>
      </c>
      <c r="F189" s="26">
        <f>IF(AND(MAX(E$189:E$197)=E189,E189&gt;1),C189,0)</f>
        <v>0</v>
      </c>
      <c r="H189" s="2">
        <v>76</v>
      </c>
      <c r="I189" s="17">
        <f t="shared" si="36"/>
        <v>4.4444444444439388E-3</v>
      </c>
      <c r="J189" s="17">
        <f t="shared" si="27"/>
        <v>1</v>
      </c>
      <c r="K189" s="17">
        <f t="shared" si="37"/>
        <v>0</v>
      </c>
    </row>
    <row r="190" spans="3:11">
      <c r="C190" s="2">
        <v>180</v>
      </c>
      <c r="D190" s="26">
        <f t="shared" ref="D190:D197" si="38" xml:space="preserve"> POWER($C190 - $P$10, 2)</f>
        <v>0.79012345679011786</v>
      </c>
      <c r="E190" s="26">
        <f t="shared" si="26"/>
        <v>2</v>
      </c>
      <c r="F190" s="26">
        <f t="shared" ref="F190:F197" si="39">IF(AND(MAX(E$189:E$197)=E190,E190&gt;1),C190,0)</f>
        <v>0</v>
      </c>
      <c r="H190" s="2">
        <v>76</v>
      </c>
      <c r="I190" s="17">
        <f t="shared" si="36"/>
        <v>4.4444444444439388E-3</v>
      </c>
      <c r="J190" s="17">
        <f t="shared" si="27"/>
        <v>2</v>
      </c>
      <c r="K190" s="17">
        <f t="shared" si="37"/>
        <v>0</v>
      </c>
    </row>
    <row r="191" spans="3:11">
      <c r="C191" s="2">
        <v>180</v>
      </c>
      <c r="D191" s="26">
        <f t="shared" si="38"/>
        <v>0.79012345679011786</v>
      </c>
      <c r="E191" s="26">
        <f t="shared" si="26"/>
        <v>3</v>
      </c>
      <c r="F191" s="26">
        <f t="shared" si="39"/>
        <v>0</v>
      </c>
      <c r="H191" s="2">
        <v>76</v>
      </c>
      <c r="I191" s="17">
        <f t="shared" si="36"/>
        <v>4.4444444444439388E-3</v>
      </c>
      <c r="J191" s="17">
        <f t="shared" si="27"/>
        <v>3</v>
      </c>
      <c r="K191" s="17">
        <f t="shared" si="37"/>
        <v>0</v>
      </c>
    </row>
    <row r="192" spans="3:11">
      <c r="C192" s="2">
        <v>180</v>
      </c>
      <c r="D192" s="26">
        <f t="shared" si="38"/>
        <v>0.79012345679011786</v>
      </c>
      <c r="E192" s="26">
        <f t="shared" si="26"/>
        <v>4</v>
      </c>
      <c r="F192" s="26">
        <f t="shared" si="39"/>
        <v>180</v>
      </c>
      <c r="H192" s="2">
        <v>76</v>
      </c>
      <c r="I192" s="17">
        <f t="shared" si="36"/>
        <v>4.4444444444439388E-3</v>
      </c>
      <c r="J192" s="17">
        <f t="shared" si="27"/>
        <v>4</v>
      </c>
      <c r="K192" s="17">
        <f t="shared" si="37"/>
        <v>0</v>
      </c>
    </row>
    <row r="193" spans="3:11">
      <c r="C193" s="2">
        <v>181</v>
      </c>
      <c r="D193" s="26">
        <f t="shared" si="38"/>
        <v>1.2345679012346381E-2</v>
      </c>
      <c r="E193" s="26">
        <f t="shared" si="26"/>
        <v>1</v>
      </c>
      <c r="F193" s="26">
        <f t="shared" si="39"/>
        <v>0</v>
      </c>
      <c r="H193" s="2">
        <v>77</v>
      </c>
      <c r="I193" s="17">
        <f t="shared" si="36"/>
        <v>0.87111111111111816</v>
      </c>
      <c r="J193" s="17">
        <f t="shared" si="27"/>
        <v>1</v>
      </c>
      <c r="K193" s="17">
        <f t="shared" si="37"/>
        <v>0</v>
      </c>
    </row>
    <row r="194" spans="3:11">
      <c r="C194" s="2">
        <v>181</v>
      </c>
      <c r="D194" s="26">
        <f t="shared" si="38"/>
        <v>1.2345679012346381E-2</v>
      </c>
      <c r="E194" s="26">
        <f t="shared" si="26"/>
        <v>2</v>
      </c>
      <c r="F194" s="26">
        <f t="shared" si="39"/>
        <v>0</v>
      </c>
      <c r="H194" s="2">
        <v>77</v>
      </c>
      <c r="I194" s="17">
        <f t="shared" si="36"/>
        <v>0.87111111111111816</v>
      </c>
      <c r="J194" s="17">
        <f t="shared" si="27"/>
        <v>2</v>
      </c>
      <c r="K194" s="17">
        <f t="shared" si="37"/>
        <v>0</v>
      </c>
    </row>
    <row r="195" spans="3:11">
      <c r="C195" s="2">
        <v>181</v>
      </c>
      <c r="D195" s="26">
        <f t="shared" si="38"/>
        <v>1.2345679012346381E-2</v>
      </c>
      <c r="E195" s="26">
        <f t="shared" si="26"/>
        <v>3</v>
      </c>
      <c r="F195" s="26">
        <f t="shared" si="39"/>
        <v>0</v>
      </c>
      <c r="H195" s="2">
        <v>77</v>
      </c>
      <c r="I195" s="17">
        <f t="shared" si="36"/>
        <v>0.87111111111111816</v>
      </c>
      <c r="J195" s="17">
        <f t="shared" si="27"/>
        <v>3</v>
      </c>
      <c r="K195" s="17">
        <f t="shared" si="37"/>
        <v>0</v>
      </c>
    </row>
    <row r="196" spans="3:11">
      <c r="C196" s="2">
        <v>182</v>
      </c>
      <c r="D196" s="26">
        <f t="shared" si="38"/>
        <v>1.2345679012345749</v>
      </c>
      <c r="E196" s="26">
        <f t="shared" ref="E196:E201" si="40">IF(C195=C196,E195+1,1)</f>
        <v>1</v>
      </c>
      <c r="F196" s="26">
        <f t="shared" si="39"/>
        <v>0</v>
      </c>
      <c r="H196" s="2">
        <v>78</v>
      </c>
      <c r="I196" s="17">
        <f t="shared" si="36"/>
        <v>3.7377777777777923</v>
      </c>
      <c r="J196" s="17">
        <f t="shared" ref="J196:J201" si="41">IF(H195=H196,J195+1,1)</f>
        <v>1</v>
      </c>
      <c r="K196" s="17">
        <f t="shared" si="37"/>
        <v>0</v>
      </c>
    </row>
    <row r="197" spans="3:11">
      <c r="C197" s="2">
        <v>183</v>
      </c>
      <c r="D197" s="26">
        <f t="shared" si="38"/>
        <v>4.4567901234568037</v>
      </c>
      <c r="E197" s="26">
        <f t="shared" si="40"/>
        <v>1</v>
      </c>
      <c r="F197" s="26">
        <f t="shared" si="39"/>
        <v>0</v>
      </c>
      <c r="H197" s="2">
        <v>78</v>
      </c>
      <c r="I197" s="17">
        <f t="shared" si="36"/>
        <v>3.7377777777777923</v>
      </c>
      <c r="J197" s="17">
        <f t="shared" si="41"/>
        <v>2</v>
      </c>
      <c r="K197" s="17">
        <f t="shared" si="37"/>
        <v>0</v>
      </c>
    </row>
    <row r="198" spans="3:11">
      <c r="C198" s="2">
        <v>184</v>
      </c>
      <c r="D198" s="26">
        <f xml:space="preserve"> POWER($C198 - $P$11, 2)</f>
        <v>0</v>
      </c>
      <c r="E198" s="26">
        <f t="shared" si="40"/>
        <v>1</v>
      </c>
      <c r="F198" s="26">
        <f>IF(AND(MAX(E$198:E$198)=E198,E198&gt;1),C198,0)</f>
        <v>0</v>
      </c>
      <c r="H198" s="2">
        <v>80</v>
      </c>
      <c r="I198" s="17">
        <f xml:space="preserve"> POWER($H198 - $P$24, 2)</f>
        <v>0.25</v>
      </c>
      <c r="J198" s="17">
        <f t="shared" si="41"/>
        <v>1</v>
      </c>
      <c r="K198" s="17">
        <f>IF(AND(MAX(J$198:J$199)=J198,J198&gt;1),H198,0)</f>
        <v>0</v>
      </c>
    </row>
    <row r="199" spans="3:11">
      <c r="C199" s="2">
        <v>187</v>
      </c>
      <c r="D199" s="26">
        <f xml:space="preserve"> POWER($C199 - $P$12, 2)</f>
        <v>1.777777777777803</v>
      </c>
      <c r="E199" s="26">
        <f t="shared" si="40"/>
        <v>1</v>
      </c>
      <c r="F199" s="26">
        <f>IF(AND(MAX(E$199:E$201)=E199,E199&gt;1),C199,0)</f>
        <v>0</v>
      </c>
      <c r="H199" s="2">
        <v>81</v>
      </c>
      <c r="I199" s="17">
        <f xml:space="preserve"> POWER($H199 - $P$24, 2)</f>
        <v>0.25</v>
      </c>
      <c r="J199" s="17">
        <f t="shared" si="41"/>
        <v>1</v>
      </c>
      <c r="K199" s="17">
        <f>IF(AND(MAX(J$198:J$199)=J199,J199&gt;1),H199,0)</f>
        <v>0</v>
      </c>
    </row>
    <row r="200" spans="3:11">
      <c r="C200" s="2">
        <v>188</v>
      </c>
      <c r="D200" s="26">
        <f t="shared" ref="D200:D201" si="42" xml:space="preserve"> POWER($C200 - $P$12, 2)</f>
        <v>0.11111111111111743</v>
      </c>
      <c r="E200" s="26">
        <f t="shared" si="40"/>
        <v>1</v>
      </c>
      <c r="F200" s="26">
        <f t="shared" ref="F200:F201" si="43">IF(AND(MAX(E$199:E$201)=E200,E200&gt;1),C200,0)</f>
        <v>0</v>
      </c>
      <c r="H200" s="2">
        <v>84</v>
      </c>
      <c r="I200" s="17">
        <f xml:space="preserve"> POWER($H200 - $P$25, 2)</f>
        <v>0</v>
      </c>
      <c r="J200" s="17">
        <f t="shared" si="41"/>
        <v>1</v>
      </c>
      <c r="K200" s="17">
        <f>IF(AND(MAX(J$200:J$201)=J200,J200&gt;1),H200,0)</f>
        <v>0</v>
      </c>
    </row>
    <row r="201" spans="3:11">
      <c r="C201" s="2">
        <v>190</v>
      </c>
      <c r="D201" s="26">
        <f t="shared" si="42"/>
        <v>2.7777777777777461</v>
      </c>
      <c r="E201" s="26">
        <f t="shared" si="40"/>
        <v>1</v>
      </c>
      <c r="F201" s="26">
        <f t="shared" si="43"/>
        <v>0</v>
      </c>
      <c r="H201" s="2">
        <v>84</v>
      </c>
      <c r="I201" s="17">
        <f xml:space="preserve"> POWER($H201 - $P$25, 2)</f>
        <v>0</v>
      </c>
      <c r="J201" s="17">
        <f t="shared" si="41"/>
        <v>2</v>
      </c>
      <c r="K201" s="17">
        <f>IF(AND(MAX(J$200:J$201)=J201,J201&gt;1),H201,0)</f>
        <v>84</v>
      </c>
    </row>
  </sheetData>
  <mergeCells count="2">
    <mergeCell ref="M1:U1"/>
    <mergeCell ref="M14:U14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4AB6-BB13-9E42-88B2-27FEE5B06DF0}">
  <dimension ref="A1:O201"/>
  <sheetViews>
    <sheetView workbookViewId="0">
      <selection activeCell="J29" sqref="J29"/>
    </sheetView>
  </sheetViews>
  <sheetFormatPr baseColWidth="10" defaultRowHeight="16"/>
  <cols>
    <col min="1" max="1" width="77.6640625" bestFit="1" customWidth="1"/>
    <col min="8" max="8" width="20" bestFit="1" customWidth="1"/>
    <col min="10" max="10" width="20" bestFit="1" customWidth="1"/>
    <col min="11" max="11" width="22" bestFit="1" customWidth="1"/>
    <col min="12" max="12" width="34.33203125" bestFit="1" customWidth="1"/>
    <col min="13" max="13" width="58" bestFit="1" customWidth="1"/>
  </cols>
  <sheetData>
    <row r="1" spans="1:15">
      <c r="A1" s="6" t="s">
        <v>3</v>
      </c>
      <c r="C1" s="1" t="s">
        <v>1</v>
      </c>
      <c r="E1" s="1" t="s">
        <v>2</v>
      </c>
      <c r="G1" s="159" t="s">
        <v>44</v>
      </c>
      <c r="H1" s="159"/>
      <c r="I1" s="159"/>
      <c r="J1" s="159"/>
      <c r="K1" s="159"/>
      <c r="L1" s="159"/>
      <c r="M1" s="159"/>
      <c r="N1" s="159"/>
      <c r="O1" s="159"/>
    </row>
    <row r="2" spans="1:15">
      <c r="A2" s="22" t="s">
        <v>46</v>
      </c>
      <c r="C2" s="2">
        <v>156</v>
      </c>
      <c r="E2" s="2">
        <v>51</v>
      </c>
      <c r="G2" s="56" t="s">
        <v>0</v>
      </c>
      <c r="H2" s="56" t="s">
        <v>22</v>
      </c>
      <c r="I2" s="56" t="s">
        <v>23</v>
      </c>
      <c r="J2" s="56" t="s">
        <v>45</v>
      </c>
      <c r="K2" s="57" t="s">
        <v>47</v>
      </c>
      <c r="L2" s="9" t="s">
        <v>50</v>
      </c>
      <c r="M2" s="9" t="s">
        <v>51</v>
      </c>
      <c r="N2" s="57" t="s">
        <v>52</v>
      </c>
      <c r="O2" s="57" t="s">
        <v>53</v>
      </c>
    </row>
    <row r="3" spans="1:15">
      <c r="A3" s="22" t="s">
        <v>42</v>
      </c>
      <c r="C3" s="2">
        <v>156</v>
      </c>
      <c r="E3" s="2">
        <v>51</v>
      </c>
      <c r="G3" s="55">
        <v>1</v>
      </c>
      <c r="H3" s="55">
        <v>156</v>
      </c>
      <c r="I3" s="55">
        <v>159</v>
      </c>
      <c r="J3" s="8">
        <f>AVERAGE($C2:$C5)</f>
        <v>156.5</v>
      </c>
      <c r="K3" s="8">
        <f>VARP($C2:$C5)</f>
        <v>0.25</v>
      </c>
      <c r="L3" s="8">
        <f>VAR($C2:$C5)</f>
        <v>0.33333333333333331</v>
      </c>
      <c r="M3" s="8">
        <f>STDEV($C2:$C5)</f>
        <v>0.57735026918962573</v>
      </c>
      <c r="N3" s="8">
        <f>MODE($C2:$C5)</f>
        <v>156</v>
      </c>
      <c r="O3" s="8">
        <f>MEDIAN($C2:$C5)</f>
        <v>156.5</v>
      </c>
    </row>
    <row r="4" spans="1:15">
      <c r="A4" s="22" t="s">
        <v>54</v>
      </c>
      <c r="C4" s="2">
        <v>157</v>
      </c>
      <c r="E4" s="2">
        <v>51</v>
      </c>
      <c r="G4" s="55">
        <v>2</v>
      </c>
      <c r="H4" s="55">
        <v>159</v>
      </c>
      <c r="I4" s="55">
        <v>163</v>
      </c>
      <c r="J4" s="8">
        <f>AVERAGE($C6:$C38)</f>
        <v>160.93939393939394</v>
      </c>
      <c r="K4" s="8">
        <f>VARP($C6:$C38)</f>
        <v>0.84481175390266372</v>
      </c>
      <c r="L4" s="8">
        <f>VAR($C6:$C38)</f>
        <v>0.87121212121212199</v>
      </c>
      <c r="M4" s="8">
        <f>STDEV($C6:$C38)</f>
        <v>0.93338744431887555</v>
      </c>
      <c r="N4" s="8">
        <f>MODE($C6:$C38)</f>
        <v>161</v>
      </c>
      <c r="O4" s="8">
        <f>MEDIAN($C6:$C38)</f>
        <v>161</v>
      </c>
    </row>
    <row r="5" spans="1:15">
      <c r="C5" s="2">
        <v>157</v>
      </c>
      <c r="E5" s="2">
        <v>52</v>
      </c>
      <c r="G5" s="55">
        <v>3</v>
      </c>
      <c r="H5" s="55">
        <v>163</v>
      </c>
      <c r="I5" s="55">
        <v>166</v>
      </c>
      <c r="J5" s="8">
        <f>AVERAGE($C39:$C73)</f>
        <v>164.22857142857143</v>
      </c>
      <c r="K5" s="8">
        <f>VARP($C39:$C73)</f>
        <v>0.63346938775510198</v>
      </c>
      <c r="L5" s="8">
        <f>VAR($C39:$C73)</f>
        <v>0.65210084033613447</v>
      </c>
      <c r="M5" s="8">
        <f>STDEV($C39:$C73)</f>
        <v>0.80752760964324588</v>
      </c>
      <c r="N5" s="8">
        <f>MODE($C39:$C73)</f>
        <v>165</v>
      </c>
      <c r="O5" s="8">
        <f>MEDIAN($C39:$C73)</f>
        <v>164</v>
      </c>
    </row>
    <row r="6" spans="1:15">
      <c r="C6" s="2">
        <v>159</v>
      </c>
      <c r="E6" s="2">
        <v>52</v>
      </c>
      <c r="G6" s="55">
        <v>4</v>
      </c>
      <c r="H6" s="55">
        <v>166</v>
      </c>
      <c r="I6" s="55">
        <v>170</v>
      </c>
      <c r="J6" s="8">
        <f>AVERAGE($C74:$C115)</f>
        <v>167.42857142857142</v>
      </c>
      <c r="K6" s="8">
        <f>VARP($C74:$C115)</f>
        <v>1.1496598639455782</v>
      </c>
      <c r="L6" s="8">
        <f>VAR($C74:$C115)</f>
        <v>1.1777003484320556</v>
      </c>
      <c r="M6" s="8">
        <f>STDEV($C74:$C115)</f>
        <v>1.0852190324685869</v>
      </c>
      <c r="N6" s="8">
        <f>MODE($C74:$C115)</f>
        <v>167</v>
      </c>
      <c r="O6" s="8">
        <f>MEDIAN($C74:$C115)</f>
        <v>167</v>
      </c>
    </row>
    <row r="7" spans="1:15">
      <c r="C7" s="2">
        <v>159</v>
      </c>
      <c r="E7" s="2">
        <v>53</v>
      </c>
      <c r="G7" s="55">
        <v>5</v>
      </c>
      <c r="H7" s="55">
        <v>170</v>
      </c>
      <c r="I7" s="55">
        <v>173</v>
      </c>
      <c r="J7" s="8">
        <f>AVERAGE($C116:$C156)</f>
        <v>171.07317073170731</v>
      </c>
      <c r="K7" s="8">
        <f>VARP($C116:$C156)</f>
        <v>0.60440214158239114</v>
      </c>
      <c r="L7" s="8">
        <f>VAR($C116:$C156)</f>
        <v>0.61951219512195088</v>
      </c>
      <c r="M7" s="8">
        <f>STDEV($C116:$C156)</f>
        <v>0.78709097004218698</v>
      </c>
      <c r="N7" s="8">
        <f>MODE($C116:$C156)</f>
        <v>171</v>
      </c>
      <c r="O7" s="8">
        <f>MEDIAN($C116:$C156)</f>
        <v>171</v>
      </c>
    </row>
    <row r="8" spans="1:15">
      <c r="C8" s="2">
        <v>159</v>
      </c>
      <c r="E8" s="2">
        <v>53</v>
      </c>
      <c r="G8" s="55">
        <v>6</v>
      </c>
      <c r="H8" s="55">
        <v>173</v>
      </c>
      <c r="I8" s="55">
        <v>177</v>
      </c>
      <c r="J8" s="8">
        <f>AVERAGE($C157:$C180)</f>
        <v>174.66666666666666</v>
      </c>
      <c r="K8" s="8">
        <f>VARP($C157:$C180)</f>
        <v>1.4722222222222223</v>
      </c>
      <c r="L8" s="8">
        <f>VAR($C157:$C180)</f>
        <v>1.5362318840579712</v>
      </c>
      <c r="M8" s="8">
        <f>STDEV($C157:$C180)</f>
        <v>1.2394482175782784</v>
      </c>
      <c r="N8" s="8">
        <f>MODE($C157:$C180)</f>
        <v>176</v>
      </c>
      <c r="O8" s="8">
        <f>MEDIAN($C157:$C180)</f>
        <v>175</v>
      </c>
    </row>
    <row r="9" spans="1:15">
      <c r="C9" s="2">
        <v>159</v>
      </c>
      <c r="E9" s="2">
        <v>53</v>
      </c>
      <c r="G9" s="55">
        <v>7</v>
      </c>
      <c r="H9" s="55">
        <v>177</v>
      </c>
      <c r="I9" s="55">
        <v>180</v>
      </c>
      <c r="J9" s="8">
        <f>AVERAGE($C181:$C188)</f>
        <v>178</v>
      </c>
      <c r="K9" s="8">
        <f>VARP($C181:$C188)</f>
        <v>0.5</v>
      </c>
      <c r="L9" s="8">
        <f>VAR($C181:$C188)</f>
        <v>0.5714285714285714</v>
      </c>
      <c r="M9" s="8">
        <f>STDEV($C181:$C188)</f>
        <v>0.7559289460184544</v>
      </c>
      <c r="N9" s="8">
        <f>MODE($C181:$C188)</f>
        <v>178</v>
      </c>
      <c r="O9" s="8">
        <f>MEDIAN($C181:$C188)</f>
        <v>178</v>
      </c>
    </row>
    <row r="10" spans="1:15">
      <c r="C10" s="2">
        <v>160</v>
      </c>
      <c r="E10" s="2">
        <v>54</v>
      </c>
      <c r="G10" s="55">
        <v>8</v>
      </c>
      <c r="H10" s="55">
        <v>180</v>
      </c>
      <c r="I10" s="55">
        <v>184</v>
      </c>
      <c r="J10" s="8">
        <f>AVERAGE($C189:$C197)</f>
        <v>180.88888888888889</v>
      </c>
      <c r="K10" s="8">
        <f>VARP($C189:$C197)</f>
        <v>0.98765432098765438</v>
      </c>
      <c r="L10" s="8">
        <f>VAR($C189:$C197)</f>
        <v>1.1111111111111112</v>
      </c>
      <c r="M10" s="8">
        <f>STDEV($C189:$C197)</f>
        <v>1.0540925533894598</v>
      </c>
      <c r="N10" s="8">
        <f>MODE($C189:$C197)</f>
        <v>180</v>
      </c>
      <c r="O10" s="8">
        <f>MEDIAN($C189:$C197)</f>
        <v>181</v>
      </c>
    </row>
    <row r="11" spans="1:15">
      <c r="C11" s="2">
        <v>160</v>
      </c>
      <c r="E11" s="2">
        <v>54</v>
      </c>
      <c r="G11" s="55">
        <v>9</v>
      </c>
      <c r="H11" s="55">
        <v>184</v>
      </c>
      <c r="I11" s="55">
        <v>187</v>
      </c>
      <c r="J11" s="8">
        <f>AVERAGE($C198:$C198)</f>
        <v>184</v>
      </c>
      <c r="K11" s="8">
        <f>VARP($C198:$C198)</f>
        <v>0</v>
      </c>
      <c r="L11" s="8" t="e">
        <f>VAR($C198:$C198)</f>
        <v>#DIV/0!</v>
      </c>
      <c r="M11" s="8" t="e">
        <f>STDEV($C198:$C198)</f>
        <v>#DIV/0!</v>
      </c>
      <c r="N11" s="8" t="e">
        <f>MODE($C198:$C198)</f>
        <v>#N/A</v>
      </c>
      <c r="O11" s="8">
        <f>MEDIAN($C198:$C198)</f>
        <v>184</v>
      </c>
    </row>
    <row r="12" spans="1:15">
      <c r="C12" s="2">
        <v>160</v>
      </c>
      <c r="E12" s="2">
        <v>55</v>
      </c>
      <c r="G12" s="55">
        <v>10</v>
      </c>
      <c r="H12" s="55">
        <v>187</v>
      </c>
      <c r="I12" s="55">
        <v>190</v>
      </c>
      <c r="J12" s="8">
        <f>AVERAGE($C199:$C201)</f>
        <v>188.33333333333334</v>
      </c>
      <c r="K12" s="8">
        <f>VARP($C199:$C201)</f>
        <v>1.5555555555555554</v>
      </c>
      <c r="L12" s="8">
        <f>VAR($C199:$C201)</f>
        <v>2.333333333333333</v>
      </c>
      <c r="M12" s="8">
        <f>STDEV($C199:$C201)</f>
        <v>1.5275252316519465</v>
      </c>
      <c r="N12" s="8" t="e">
        <f>MODE($C199:$C201)</f>
        <v>#N/A</v>
      </c>
      <c r="O12" s="8">
        <f>MEDIAN($C199:$C201)</f>
        <v>188</v>
      </c>
    </row>
    <row r="13" spans="1:15">
      <c r="C13" s="2">
        <v>161</v>
      </c>
      <c r="E13" s="2">
        <v>55</v>
      </c>
      <c r="G13" s="17"/>
      <c r="H13" s="17"/>
      <c r="I13" s="17"/>
      <c r="J13" s="17"/>
      <c r="K13" s="17"/>
      <c r="L13" s="17"/>
      <c r="M13" s="17"/>
    </row>
    <row r="14" spans="1:15">
      <c r="C14" s="2">
        <v>161</v>
      </c>
      <c r="E14" s="2">
        <v>55</v>
      </c>
      <c r="G14" s="159" t="s">
        <v>43</v>
      </c>
      <c r="H14" s="159"/>
      <c r="I14" s="159"/>
      <c r="J14" s="159"/>
      <c r="K14" s="159"/>
      <c r="L14" s="159"/>
      <c r="M14" s="159"/>
      <c r="N14" s="159"/>
      <c r="O14" s="159"/>
    </row>
    <row r="15" spans="1:15">
      <c r="C15" s="2">
        <v>161</v>
      </c>
      <c r="E15" s="2">
        <v>55</v>
      </c>
      <c r="G15" s="56" t="s">
        <v>0</v>
      </c>
      <c r="H15" s="56" t="s">
        <v>22</v>
      </c>
      <c r="I15" s="56" t="s">
        <v>23</v>
      </c>
      <c r="J15" s="56" t="s">
        <v>45</v>
      </c>
      <c r="K15" s="57" t="s">
        <v>47</v>
      </c>
      <c r="L15" s="9" t="s">
        <v>50</v>
      </c>
      <c r="M15" s="9" t="s">
        <v>51</v>
      </c>
      <c r="N15" s="57" t="s">
        <v>52</v>
      </c>
      <c r="O15" s="57" t="s">
        <v>53</v>
      </c>
    </row>
    <row r="16" spans="1:15">
      <c r="C16" s="2">
        <v>161</v>
      </c>
      <c r="E16" s="2">
        <v>55</v>
      </c>
      <c r="G16" s="55">
        <v>1</v>
      </c>
      <c r="H16" s="55">
        <v>51</v>
      </c>
      <c r="I16" s="55">
        <v>54</v>
      </c>
      <c r="J16" s="8">
        <f>AVERAGE($E2:$E9)</f>
        <v>52</v>
      </c>
      <c r="K16" s="8">
        <f>VARP($E2:$E9)</f>
        <v>0.75</v>
      </c>
      <c r="L16" s="8">
        <f>VAR($E2:$E9)</f>
        <v>0.8571428571428571</v>
      </c>
      <c r="M16" s="8">
        <f>STDEV($E2:$E9)</f>
        <v>0.92582009977255142</v>
      </c>
      <c r="N16" s="8">
        <f>MODE($E2:$E9)</f>
        <v>51</v>
      </c>
      <c r="O16" s="8">
        <f>MEDIAN($E2:$E9)</f>
        <v>52</v>
      </c>
    </row>
    <row r="17" spans="3:15">
      <c r="C17" s="2">
        <v>161</v>
      </c>
      <c r="E17" s="2">
        <v>55</v>
      </c>
      <c r="G17" s="55">
        <v>2</v>
      </c>
      <c r="H17" s="55">
        <v>54</v>
      </c>
      <c r="I17" s="55">
        <v>58</v>
      </c>
      <c r="J17" s="8">
        <f>AVERAGE($E10:$E32)</f>
        <v>55.782608695652172</v>
      </c>
      <c r="K17" s="8">
        <f>VARP($E10:$E32)</f>
        <v>1.0396975425330814</v>
      </c>
      <c r="L17" s="8">
        <f>VAR($E10:$E32)</f>
        <v>1.0869565217391306</v>
      </c>
      <c r="M17" s="8">
        <f>STDEV($E10:$E32)</f>
        <v>1.0425720702853738</v>
      </c>
      <c r="N17" s="8">
        <f>MODE($E10:$E32)</f>
        <v>55</v>
      </c>
      <c r="O17" s="8">
        <f>MEDIAN($E10:$E32)</f>
        <v>56</v>
      </c>
    </row>
    <row r="18" spans="3:15">
      <c r="C18" s="2">
        <v>161</v>
      </c>
      <c r="E18" s="2">
        <v>55</v>
      </c>
      <c r="G18" s="55">
        <v>3</v>
      </c>
      <c r="H18" s="55">
        <v>58</v>
      </c>
      <c r="I18" s="55">
        <v>61</v>
      </c>
      <c r="J18" s="8">
        <f>AVERAGE($E33:$E54)</f>
        <v>59.409090909090907</v>
      </c>
      <c r="K18" s="8">
        <f>VARP($E33:$E54)</f>
        <v>0.4235537190082645</v>
      </c>
      <c r="L18" s="8">
        <f>VAR($E33:$E54)</f>
        <v>0.44372294372294374</v>
      </c>
      <c r="M18" s="8">
        <f>STDEV($E33:$E54)</f>
        <v>0.66612532133446467</v>
      </c>
      <c r="N18" s="8">
        <f>MODE($E33:$E54)</f>
        <v>60</v>
      </c>
      <c r="O18" s="8">
        <f>MEDIAN($E33:$E54)</f>
        <v>59.5</v>
      </c>
    </row>
    <row r="19" spans="3:15">
      <c r="C19" s="2">
        <v>161</v>
      </c>
      <c r="E19" s="2">
        <v>55</v>
      </c>
      <c r="G19" s="55">
        <v>4</v>
      </c>
      <c r="H19" s="55">
        <v>61</v>
      </c>
      <c r="I19" s="55">
        <v>65</v>
      </c>
      <c r="J19" s="8">
        <f>AVERAGE($E55:$E106)</f>
        <v>62.557692307692307</v>
      </c>
      <c r="K19" s="8">
        <f>VARP($E55:$E106)</f>
        <v>1.0159023668639049</v>
      </c>
      <c r="L19" s="8">
        <f>VAR($E55:$E106)</f>
        <v>1.0358220211161384</v>
      </c>
      <c r="M19" s="8">
        <f>STDEV($E55:$E106)</f>
        <v>1.0177534186216908</v>
      </c>
      <c r="N19" s="8">
        <f>MODE($E55:$E106)</f>
        <v>63</v>
      </c>
      <c r="O19" s="8">
        <f>MEDIAN($E55:$E106)</f>
        <v>63</v>
      </c>
    </row>
    <row r="20" spans="3:15">
      <c r="C20" s="2">
        <v>161</v>
      </c>
      <c r="E20" s="2">
        <v>55</v>
      </c>
      <c r="G20" s="55">
        <v>5</v>
      </c>
      <c r="H20" s="55">
        <v>65</v>
      </c>
      <c r="I20" s="55">
        <v>68</v>
      </c>
      <c r="J20" s="8">
        <f>AVERAGE($E107:$E143)</f>
        <v>66.081081081081081</v>
      </c>
      <c r="K20" s="8">
        <f>VARP($E107:$E143)</f>
        <v>0.66910153396639815</v>
      </c>
      <c r="L20" s="8">
        <f>VAR($E107:$E143)</f>
        <v>0.68768768768768707</v>
      </c>
      <c r="M20" s="8">
        <f>STDEV($E107:$E143)</f>
        <v>0.82926936979951638</v>
      </c>
      <c r="N20" s="8">
        <f>MODE($E107:$E143)</f>
        <v>67</v>
      </c>
      <c r="O20" s="8">
        <f>MEDIAN($E107:$E143)</f>
        <v>66</v>
      </c>
    </row>
    <row r="21" spans="3:15">
      <c r="C21" s="2">
        <v>161</v>
      </c>
      <c r="E21" s="2">
        <v>56</v>
      </c>
      <c r="G21" s="55">
        <v>6</v>
      </c>
      <c r="H21" s="55">
        <v>68</v>
      </c>
      <c r="I21" s="55">
        <v>72</v>
      </c>
      <c r="J21" s="8">
        <f>AVERAGE($E144:$E168)</f>
        <v>69.239999999999995</v>
      </c>
      <c r="K21" s="8">
        <f>VARP($E144:$E168)</f>
        <v>0.90239999999999976</v>
      </c>
      <c r="L21" s="8">
        <f>VAR($E144:$E168)</f>
        <v>0.93999999999999984</v>
      </c>
      <c r="M21" s="8">
        <f>STDEV($E144:$E168)</f>
        <v>0.96953597148326576</v>
      </c>
      <c r="N21" s="8">
        <f>MODE($E144:$E168)</f>
        <v>70</v>
      </c>
      <c r="O21" s="8">
        <f>MEDIAN($E144:$E168)</f>
        <v>69</v>
      </c>
    </row>
    <row r="22" spans="3:15">
      <c r="C22" s="2">
        <v>161</v>
      </c>
      <c r="E22" s="2">
        <v>56</v>
      </c>
      <c r="G22" s="55">
        <v>7</v>
      </c>
      <c r="H22" s="55">
        <v>72</v>
      </c>
      <c r="I22" s="55">
        <v>75</v>
      </c>
      <c r="J22" s="8">
        <f>AVERAGE($E169:$E182)</f>
        <v>73.142857142857139</v>
      </c>
      <c r="K22" s="8">
        <f>VARP($E169:$E182)</f>
        <v>0.55102040816326536</v>
      </c>
      <c r="L22" s="8">
        <f>VAR($E169:$E182)</f>
        <v>0.59340659340659352</v>
      </c>
      <c r="M22" s="8">
        <f>STDEV($E169:$E182)</f>
        <v>0.77032888651964337</v>
      </c>
      <c r="N22" s="8">
        <f>MODE($E169:$E182)</f>
        <v>73</v>
      </c>
      <c r="O22" s="8">
        <f>MEDIAN($E169:$E182)</f>
        <v>73</v>
      </c>
    </row>
    <row r="23" spans="3:15">
      <c r="C23" s="2">
        <v>161</v>
      </c>
      <c r="E23" s="2">
        <v>56</v>
      </c>
      <c r="G23" s="55">
        <v>8</v>
      </c>
      <c r="H23" s="55">
        <v>75</v>
      </c>
      <c r="I23" s="55">
        <v>79</v>
      </c>
      <c r="J23" s="8">
        <f>AVERAGE($E183:$E197)</f>
        <v>76.066666666666663</v>
      </c>
      <c r="K23" s="8">
        <f>VARP($E183:$E197)</f>
        <v>1.1288888888888888</v>
      </c>
      <c r="L23" s="8">
        <f>VAR($E183:$E197)</f>
        <v>1.2095238095238094</v>
      </c>
      <c r="M23" s="8">
        <f>STDEV($E183:$E197)</f>
        <v>1.0997835284835873</v>
      </c>
      <c r="N23" s="8">
        <f>MODE($E183:$E197)</f>
        <v>75</v>
      </c>
      <c r="O23" s="8">
        <f>MEDIAN($E183:$E197)</f>
        <v>76</v>
      </c>
    </row>
    <row r="24" spans="3:15">
      <c r="C24" s="2">
        <v>161</v>
      </c>
      <c r="E24" s="2">
        <v>56</v>
      </c>
      <c r="G24" s="55">
        <v>9</v>
      </c>
      <c r="H24" s="55">
        <v>79</v>
      </c>
      <c r="I24" s="55">
        <v>82</v>
      </c>
      <c r="J24" s="8">
        <f>AVERAGE($E198:$E199)</f>
        <v>80.5</v>
      </c>
      <c r="K24" s="8">
        <f>VARP($E198:$E199)</f>
        <v>0.25</v>
      </c>
      <c r="L24" s="8">
        <f>VAR($E198:$E199)</f>
        <v>0.5</v>
      </c>
      <c r="M24" s="8">
        <f>STDEV($E198:$E199)</f>
        <v>0.70710678118654757</v>
      </c>
      <c r="N24" s="8" t="e">
        <f>MODE($E198:$E199)</f>
        <v>#N/A</v>
      </c>
      <c r="O24" s="8">
        <f>MEDIAN($E198:$E199)</f>
        <v>80.5</v>
      </c>
    </row>
    <row r="25" spans="3:15">
      <c r="C25" s="2">
        <v>161</v>
      </c>
      <c r="E25" s="2">
        <v>57</v>
      </c>
      <c r="G25" s="55">
        <v>10</v>
      </c>
      <c r="H25" s="55">
        <v>82</v>
      </c>
      <c r="I25" s="55">
        <v>84</v>
      </c>
      <c r="J25" s="8">
        <f>AVERAGE($E200:$E201)</f>
        <v>84</v>
      </c>
      <c r="K25" s="8">
        <f>VARP($E200:$E201)</f>
        <v>0</v>
      </c>
      <c r="L25" s="8">
        <f>VAR($E200:$E201)</f>
        <v>0</v>
      </c>
      <c r="M25" s="8">
        <f>STDEV($E200:$E201)</f>
        <v>0</v>
      </c>
      <c r="N25" s="8">
        <f>MODE($E200:$E201)</f>
        <v>84</v>
      </c>
      <c r="O25" s="8">
        <f>MEDIAN($E200:$E201)</f>
        <v>84</v>
      </c>
    </row>
    <row r="26" spans="3:15">
      <c r="C26" s="2">
        <v>161</v>
      </c>
      <c r="E26" s="2">
        <v>57</v>
      </c>
    </row>
    <row r="27" spans="3:15">
      <c r="C27" s="2">
        <v>161</v>
      </c>
      <c r="E27" s="2">
        <v>57</v>
      </c>
    </row>
    <row r="28" spans="3:15">
      <c r="C28" s="2">
        <v>161</v>
      </c>
      <c r="E28" s="2">
        <v>57</v>
      </c>
    </row>
    <row r="29" spans="3:15">
      <c r="C29" s="2">
        <v>161</v>
      </c>
      <c r="E29" s="2">
        <v>57</v>
      </c>
    </row>
    <row r="30" spans="3:15">
      <c r="C30" s="2">
        <v>162</v>
      </c>
      <c r="E30" s="2">
        <v>57</v>
      </c>
    </row>
    <row r="31" spans="3:15">
      <c r="C31" s="2">
        <v>162</v>
      </c>
      <c r="E31" s="2">
        <v>57</v>
      </c>
    </row>
    <row r="32" spans="3:15">
      <c r="C32" s="2">
        <v>162</v>
      </c>
      <c r="E32" s="2">
        <v>57</v>
      </c>
    </row>
    <row r="33" spans="3:5">
      <c r="C33" s="2">
        <v>162</v>
      </c>
      <c r="E33" s="2">
        <v>58</v>
      </c>
    </row>
    <row r="34" spans="3:5">
      <c r="C34" s="2">
        <v>162</v>
      </c>
      <c r="E34" s="2">
        <v>58</v>
      </c>
    </row>
    <row r="35" spans="3:5">
      <c r="C35" s="2">
        <v>162</v>
      </c>
      <c r="E35" s="2">
        <v>59</v>
      </c>
    </row>
    <row r="36" spans="3:5">
      <c r="C36" s="2">
        <v>162</v>
      </c>
      <c r="E36" s="2">
        <v>59</v>
      </c>
    </row>
    <row r="37" spans="3:5">
      <c r="C37" s="2">
        <v>162</v>
      </c>
      <c r="E37" s="2">
        <v>59</v>
      </c>
    </row>
    <row r="38" spans="3:5">
      <c r="C38" s="2">
        <v>162</v>
      </c>
      <c r="E38" s="2">
        <v>59</v>
      </c>
    </row>
    <row r="39" spans="3:5">
      <c r="C39" s="2">
        <v>163</v>
      </c>
      <c r="E39" s="2">
        <v>59</v>
      </c>
    </row>
    <row r="40" spans="3:5">
      <c r="C40" s="2">
        <v>163</v>
      </c>
      <c r="E40" s="2">
        <v>59</v>
      </c>
    </row>
    <row r="41" spans="3:5">
      <c r="C41" s="2">
        <v>163</v>
      </c>
      <c r="E41" s="2">
        <v>59</v>
      </c>
    </row>
    <row r="42" spans="3:5">
      <c r="C42" s="2">
        <v>163</v>
      </c>
      <c r="E42" s="2">
        <v>59</v>
      </c>
    </row>
    <row r="43" spans="3:5">
      <c r="C43" s="2">
        <v>163</v>
      </c>
      <c r="E43" s="2">
        <v>59</v>
      </c>
    </row>
    <row r="44" spans="3:5">
      <c r="C44" s="2">
        <v>163</v>
      </c>
      <c r="E44" s="2">
        <v>60</v>
      </c>
    </row>
    <row r="45" spans="3:5">
      <c r="C45" s="2">
        <v>163</v>
      </c>
      <c r="E45" s="2">
        <v>60</v>
      </c>
    </row>
    <row r="46" spans="3:5">
      <c r="C46" s="2">
        <v>163</v>
      </c>
      <c r="E46" s="2">
        <v>60</v>
      </c>
    </row>
    <row r="47" spans="3:5">
      <c r="C47" s="2">
        <v>164</v>
      </c>
      <c r="E47" s="2">
        <v>60</v>
      </c>
    </row>
    <row r="48" spans="3:5">
      <c r="C48" s="2">
        <v>164</v>
      </c>
      <c r="E48" s="2">
        <v>60</v>
      </c>
    </row>
    <row r="49" spans="3:5">
      <c r="C49" s="2">
        <v>164</v>
      </c>
      <c r="E49" s="2">
        <v>60</v>
      </c>
    </row>
    <row r="50" spans="3:5">
      <c r="C50" s="2">
        <v>164</v>
      </c>
      <c r="E50" s="2">
        <v>60</v>
      </c>
    </row>
    <row r="51" spans="3:5">
      <c r="C51" s="2">
        <v>164</v>
      </c>
      <c r="E51" s="2">
        <v>60</v>
      </c>
    </row>
    <row r="52" spans="3:5">
      <c r="C52" s="2">
        <v>164</v>
      </c>
      <c r="E52" s="2">
        <v>60</v>
      </c>
    </row>
    <row r="53" spans="3:5">
      <c r="C53" s="2">
        <v>164</v>
      </c>
      <c r="E53" s="2">
        <v>60</v>
      </c>
    </row>
    <row r="54" spans="3:5">
      <c r="C54" s="2">
        <v>164</v>
      </c>
      <c r="E54" s="2">
        <v>60</v>
      </c>
    </row>
    <row r="55" spans="3:5">
      <c r="C55" s="2">
        <v>164</v>
      </c>
      <c r="E55" s="2">
        <v>61</v>
      </c>
    </row>
    <row r="56" spans="3:5">
      <c r="C56" s="2">
        <v>164</v>
      </c>
      <c r="E56" s="2">
        <v>61</v>
      </c>
    </row>
    <row r="57" spans="3:5">
      <c r="C57" s="2">
        <v>164</v>
      </c>
      <c r="E57" s="2">
        <v>61</v>
      </c>
    </row>
    <row r="58" spans="3:5">
      <c r="C58" s="2">
        <v>165</v>
      </c>
      <c r="E58" s="2">
        <v>61</v>
      </c>
    </row>
    <row r="59" spans="3:5">
      <c r="C59" s="2">
        <v>165</v>
      </c>
      <c r="E59" s="2">
        <v>61</v>
      </c>
    </row>
    <row r="60" spans="3:5">
      <c r="C60" s="2">
        <v>165</v>
      </c>
      <c r="E60" s="2">
        <v>61</v>
      </c>
    </row>
    <row r="61" spans="3:5">
      <c r="C61" s="2">
        <v>165</v>
      </c>
      <c r="E61" s="2">
        <v>61</v>
      </c>
    </row>
    <row r="62" spans="3:5">
      <c r="C62" s="2">
        <v>165</v>
      </c>
      <c r="E62" s="2">
        <v>61</v>
      </c>
    </row>
    <row r="63" spans="3:5">
      <c r="C63" s="2">
        <v>165</v>
      </c>
      <c r="E63" s="2">
        <v>61</v>
      </c>
    </row>
    <row r="64" spans="3:5">
      <c r="C64" s="2">
        <v>165</v>
      </c>
      <c r="E64" s="2">
        <v>61</v>
      </c>
    </row>
    <row r="65" spans="3:5">
      <c r="C65" s="2">
        <v>165</v>
      </c>
      <c r="E65" s="2">
        <v>61</v>
      </c>
    </row>
    <row r="66" spans="3:5">
      <c r="C66" s="2">
        <v>165</v>
      </c>
      <c r="E66" s="2">
        <v>62</v>
      </c>
    </row>
    <row r="67" spans="3:5">
      <c r="C67" s="2">
        <v>165</v>
      </c>
      <c r="E67" s="2">
        <v>62</v>
      </c>
    </row>
    <row r="68" spans="3:5">
      <c r="C68" s="2">
        <v>165</v>
      </c>
      <c r="E68" s="2">
        <v>62</v>
      </c>
    </row>
    <row r="69" spans="3:5">
      <c r="C69" s="2">
        <v>165</v>
      </c>
      <c r="E69" s="2">
        <v>62</v>
      </c>
    </row>
    <row r="70" spans="3:5">
      <c r="C70" s="2">
        <v>165</v>
      </c>
      <c r="E70" s="2">
        <v>62</v>
      </c>
    </row>
    <row r="71" spans="3:5">
      <c r="C71" s="2">
        <v>165</v>
      </c>
      <c r="E71" s="2">
        <v>62</v>
      </c>
    </row>
    <row r="72" spans="3:5">
      <c r="C72" s="2">
        <v>165</v>
      </c>
      <c r="E72" s="2">
        <v>62</v>
      </c>
    </row>
    <row r="73" spans="3:5">
      <c r="C73" s="2">
        <v>165</v>
      </c>
      <c r="E73" s="2">
        <v>62</v>
      </c>
    </row>
    <row r="74" spans="3:5">
      <c r="C74" s="2">
        <v>166</v>
      </c>
      <c r="E74" s="2">
        <v>62</v>
      </c>
    </row>
    <row r="75" spans="3:5">
      <c r="C75" s="2">
        <v>166</v>
      </c>
      <c r="E75" s="2">
        <v>62</v>
      </c>
    </row>
    <row r="76" spans="3:5">
      <c r="C76" s="2">
        <v>166</v>
      </c>
      <c r="E76" s="2">
        <v>63</v>
      </c>
    </row>
    <row r="77" spans="3:5">
      <c r="C77" s="2">
        <v>166</v>
      </c>
      <c r="E77" s="2">
        <v>63</v>
      </c>
    </row>
    <row r="78" spans="3:5">
      <c r="C78" s="2">
        <v>166</v>
      </c>
      <c r="E78" s="2">
        <v>63</v>
      </c>
    </row>
    <row r="79" spans="3:5">
      <c r="C79" s="2">
        <v>166</v>
      </c>
      <c r="E79" s="2">
        <v>63</v>
      </c>
    </row>
    <row r="80" spans="3:5">
      <c r="C80" s="2">
        <v>166</v>
      </c>
      <c r="E80" s="2">
        <v>63</v>
      </c>
    </row>
    <row r="81" spans="3:5">
      <c r="C81" s="2">
        <v>166</v>
      </c>
      <c r="E81" s="2">
        <v>63</v>
      </c>
    </row>
    <row r="82" spans="3:5">
      <c r="C82" s="2">
        <v>166</v>
      </c>
      <c r="E82" s="2">
        <v>63</v>
      </c>
    </row>
    <row r="83" spans="3:5">
      <c r="C83" s="2">
        <v>166</v>
      </c>
      <c r="E83" s="2">
        <v>63</v>
      </c>
    </row>
    <row r="84" spans="3:5">
      <c r="C84" s="2">
        <v>167</v>
      </c>
      <c r="E84" s="2">
        <v>63</v>
      </c>
    </row>
    <row r="85" spans="3:5">
      <c r="C85" s="2">
        <v>167</v>
      </c>
      <c r="E85" s="2">
        <v>63</v>
      </c>
    </row>
    <row r="86" spans="3:5">
      <c r="C86" s="2">
        <v>167</v>
      </c>
      <c r="E86" s="2">
        <v>63</v>
      </c>
    </row>
    <row r="87" spans="3:5">
      <c r="C87" s="2">
        <v>167</v>
      </c>
      <c r="E87" s="2">
        <v>63</v>
      </c>
    </row>
    <row r="88" spans="3:5">
      <c r="C88" s="2">
        <v>167</v>
      </c>
      <c r="E88" s="2">
        <v>63</v>
      </c>
    </row>
    <row r="89" spans="3:5">
      <c r="C89" s="2">
        <v>167</v>
      </c>
      <c r="E89" s="2">
        <v>63</v>
      </c>
    </row>
    <row r="90" spans="3:5">
      <c r="C90" s="2">
        <v>167</v>
      </c>
      <c r="E90" s="2">
        <v>63</v>
      </c>
    </row>
    <row r="91" spans="3:5">
      <c r="C91" s="2">
        <v>167</v>
      </c>
      <c r="E91" s="2">
        <v>63</v>
      </c>
    </row>
    <row r="92" spans="3:5">
      <c r="C92" s="2">
        <v>167</v>
      </c>
      <c r="E92" s="2">
        <v>63</v>
      </c>
    </row>
    <row r="93" spans="3:5">
      <c r="C93" s="2">
        <v>167</v>
      </c>
      <c r="E93" s="2">
        <v>63</v>
      </c>
    </row>
    <row r="94" spans="3:5">
      <c r="C94" s="2">
        <v>167</v>
      </c>
      <c r="E94" s="2">
        <v>63</v>
      </c>
    </row>
    <row r="95" spans="3:5">
      <c r="C95" s="2">
        <v>167</v>
      </c>
      <c r="E95" s="2">
        <v>63</v>
      </c>
    </row>
    <row r="96" spans="3:5">
      <c r="C96" s="2">
        <v>167</v>
      </c>
      <c r="E96" s="2">
        <v>63</v>
      </c>
    </row>
    <row r="97" spans="3:5">
      <c r="C97" s="2">
        <v>168</v>
      </c>
      <c r="E97" s="2">
        <v>63</v>
      </c>
    </row>
    <row r="98" spans="3:5">
      <c r="C98" s="2">
        <v>168</v>
      </c>
      <c r="E98" s="2">
        <v>64</v>
      </c>
    </row>
    <row r="99" spans="3:5">
      <c r="C99" s="2">
        <v>168</v>
      </c>
      <c r="E99" s="2">
        <v>64</v>
      </c>
    </row>
    <row r="100" spans="3:5">
      <c r="C100" s="2">
        <v>168</v>
      </c>
      <c r="E100" s="2">
        <v>64</v>
      </c>
    </row>
    <row r="101" spans="3:5">
      <c r="C101" s="2">
        <v>168</v>
      </c>
      <c r="E101" s="2">
        <v>64</v>
      </c>
    </row>
    <row r="102" spans="3:5">
      <c r="C102" s="2">
        <v>168</v>
      </c>
      <c r="E102" s="2">
        <v>64</v>
      </c>
    </row>
    <row r="103" spans="3:5">
      <c r="C103" s="2">
        <v>168</v>
      </c>
      <c r="E103" s="2">
        <v>64</v>
      </c>
    </row>
    <row r="104" spans="3:5">
      <c r="C104" s="2">
        <v>168</v>
      </c>
      <c r="E104" s="2">
        <v>64</v>
      </c>
    </row>
    <row r="105" spans="3:5">
      <c r="C105" s="2">
        <v>168</v>
      </c>
      <c r="E105" s="2">
        <v>64</v>
      </c>
    </row>
    <row r="106" spans="3:5">
      <c r="C106" s="2">
        <v>168</v>
      </c>
      <c r="E106" s="2">
        <v>64</v>
      </c>
    </row>
    <row r="107" spans="3:5">
      <c r="C107" s="2">
        <v>169</v>
      </c>
      <c r="E107" s="2">
        <v>65</v>
      </c>
    </row>
    <row r="108" spans="3:5">
      <c r="C108" s="2">
        <v>169</v>
      </c>
      <c r="E108" s="2">
        <v>65</v>
      </c>
    </row>
    <row r="109" spans="3:5">
      <c r="C109" s="2">
        <v>169</v>
      </c>
      <c r="E109" s="2">
        <v>65</v>
      </c>
    </row>
    <row r="110" spans="3:5">
      <c r="C110" s="2">
        <v>169</v>
      </c>
      <c r="E110" s="2">
        <v>65</v>
      </c>
    </row>
    <row r="111" spans="3:5">
      <c r="C111" s="2">
        <v>169</v>
      </c>
      <c r="E111" s="2">
        <v>65</v>
      </c>
    </row>
    <row r="112" spans="3:5">
      <c r="C112" s="2">
        <v>169</v>
      </c>
      <c r="E112" s="2">
        <v>65</v>
      </c>
    </row>
    <row r="113" spans="3:5">
      <c r="C113" s="2">
        <v>169</v>
      </c>
      <c r="E113" s="2">
        <v>65</v>
      </c>
    </row>
    <row r="114" spans="3:5">
      <c r="C114" s="2">
        <v>169</v>
      </c>
      <c r="E114" s="2">
        <v>65</v>
      </c>
    </row>
    <row r="115" spans="3:5">
      <c r="C115" s="2">
        <v>169</v>
      </c>
      <c r="E115" s="2">
        <v>65</v>
      </c>
    </row>
    <row r="116" spans="3:5">
      <c r="C116" s="2">
        <v>170</v>
      </c>
      <c r="E116" s="2">
        <v>65</v>
      </c>
    </row>
    <row r="117" spans="3:5">
      <c r="C117" s="2">
        <v>170</v>
      </c>
      <c r="E117" s="2">
        <v>65</v>
      </c>
    </row>
    <row r="118" spans="3:5">
      <c r="C118" s="2">
        <v>170</v>
      </c>
      <c r="E118" s="2">
        <v>66</v>
      </c>
    </row>
    <row r="119" spans="3:5">
      <c r="C119" s="2">
        <v>170</v>
      </c>
      <c r="E119" s="2">
        <v>66</v>
      </c>
    </row>
    <row r="120" spans="3:5">
      <c r="C120" s="2">
        <v>170</v>
      </c>
      <c r="E120" s="2">
        <v>66</v>
      </c>
    </row>
    <row r="121" spans="3:5">
      <c r="C121" s="2">
        <v>170</v>
      </c>
      <c r="E121" s="2">
        <v>66</v>
      </c>
    </row>
    <row r="122" spans="3:5">
      <c r="C122" s="2">
        <v>170</v>
      </c>
      <c r="E122" s="2">
        <v>66</v>
      </c>
    </row>
    <row r="123" spans="3:5">
      <c r="C123" s="2">
        <v>170</v>
      </c>
      <c r="E123" s="2">
        <v>66</v>
      </c>
    </row>
    <row r="124" spans="3:5">
      <c r="C124" s="2">
        <v>170</v>
      </c>
      <c r="E124" s="2">
        <v>66</v>
      </c>
    </row>
    <row r="125" spans="3:5">
      <c r="C125" s="2">
        <v>170</v>
      </c>
      <c r="E125" s="2">
        <v>66</v>
      </c>
    </row>
    <row r="126" spans="3:5">
      <c r="C126" s="2">
        <v>170</v>
      </c>
      <c r="E126" s="2">
        <v>66</v>
      </c>
    </row>
    <row r="127" spans="3:5">
      <c r="C127" s="2">
        <v>171</v>
      </c>
      <c r="E127" s="2">
        <v>66</v>
      </c>
    </row>
    <row r="128" spans="3:5">
      <c r="C128" s="2">
        <v>171</v>
      </c>
      <c r="E128" s="2">
        <v>66</v>
      </c>
    </row>
    <row r="129" spans="3:5">
      <c r="C129" s="2">
        <v>171</v>
      </c>
      <c r="E129" s="2">
        <v>66</v>
      </c>
    </row>
    <row r="130" spans="3:5">
      <c r="C130" s="2">
        <v>171</v>
      </c>
      <c r="E130" s="2">
        <v>67</v>
      </c>
    </row>
    <row r="131" spans="3:5">
      <c r="C131" s="2">
        <v>171</v>
      </c>
      <c r="E131" s="2">
        <v>67</v>
      </c>
    </row>
    <row r="132" spans="3:5">
      <c r="C132" s="2">
        <v>171</v>
      </c>
      <c r="E132" s="2">
        <v>67</v>
      </c>
    </row>
    <row r="133" spans="3:5">
      <c r="C133" s="2">
        <v>171</v>
      </c>
      <c r="E133" s="2">
        <v>67</v>
      </c>
    </row>
    <row r="134" spans="3:5">
      <c r="C134" s="2">
        <v>171</v>
      </c>
      <c r="E134" s="2">
        <v>67</v>
      </c>
    </row>
    <row r="135" spans="3:5">
      <c r="C135" s="2">
        <v>171</v>
      </c>
      <c r="E135" s="2">
        <v>67</v>
      </c>
    </row>
    <row r="136" spans="3:5">
      <c r="C136" s="2">
        <v>171</v>
      </c>
      <c r="E136" s="2">
        <v>67</v>
      </c>
    </row>
    <row r="137" spans="3:5">
      <c r="C137" s="2">
        <v>171</v>
      </c>
      <c r="E137" s="2">
        <v>67</v>
      </c>
    </row>
    <row r="138" spans="3:5">
      <c r="C138" s="2">
        <v>171</v>
      </c>
      <c r="E138" s="2">
        <v>67</v>
      </c>
    </row>
    <row r="139" spans="3:5">
      <c r="C139" s="2">
        <v>171</v>
      </c>
      <c r="E139" s="2">
        <v>67</v>
      </c>
    </row>
    <row r="140" spans="3:5">
      <c r="C140" s="2">
        <v>171</v>
      </c>
      <c r="E140" s="2">
        <v>67</v>
      </c>
    </row>
    <row r="141" spans="3:5">
      <c r="C141" s="2">
        <v>171</v>
      </c>
      <c r="E141" s="2">
        <v>67</v>
      </c>
    </row>
    <row r="142" spans="3:5">
      <c r="C142" s="2">
        <v>171</v>
      </c>
      <c r="E142" s="2">
        <v>67</v>
      </c>
    </row>
    <row r="143" spans="3:5">
      <c r="C143" s="2">
        <v>172</v>
      </c>
      <c r="E143" s="2">
        <v>67</v>
      </c>
    </row>
    <row r="144" spans="3:5">
      <c r="C144" s="2">
        <v>172</v>
      </c>
      <c r="E144" s="2">
        <v>68</v>
      </c>
    </row>
    <row r="145" spans="3:5">
      <c r="C145" s="2">
        <v>172</v>
      </c>
      <c r="E145" s="2">
        <v>68</v>
      </c>
    </row>
    <row r="146" spans="3:5">
      <c r="C146" s="2">
        <v>172</v>
      </c>
      <c r="E146" s="2">
        <v>68</v>
      </c>
    </row>
    <row r="147" spans="3:5">
      <c r="C147" s="2">
        <v>172</v>
      </c>
      <c r="E147" s="2">
        <v>68</v>
      </c>
    </row>
    <row r="148" spans="3:5">
      <c r="C148" s="2">
        <v>172</v>
      </c>
      <c r="E148" s="2">
        <v>68</v>
      </c>
    </row>
    <row r="149" spans="3:5">
      <c r="C149" s="2">
        <v>172</v>
      </c>
      <c r="E149" s="2">
        <v>68</v>
      </c>
    </row>
    <row r="150" spans="3:5">
      <c r="C150" s="2">
        <v>172</v>
      </c>
      <c r="E150" s="2">
        <v>68</v>
      </c>
    </row>
    <row r="151" spans="3:5">
      <c r="C151" s="2">
        <v>172</v>
      </c>
      <c r="E151" s="2">
        <v>69</v>
      </c>
    </row>
    <row r="152" spans="3:5">
      <c r="C152" s="2">
        <v>172</v>
      </c>
      <c r="E152" s="2">
        <v>69</v>
      </c>
    </row>
    <row r="153" spans="3:5">
      <c r="C153" s="2">
        <v>172</v>
      </c>
      <c r="E153" s="2">
        <v>69</v>
      </c>
    </row>
    <row r="154" spans="3:5">
      <c r="C154" s="2">
        <v>172</v>
      </c>
      <c r="E154" s="2">
        <v>69</v>
      </c>
    </row>
    <row r="155" spans="3:5">
      <c r="C155" s="2">
        <v>172</v>
      </c>
      <c r="E155" s="2">
        <v>69</v>
      </c>
    </row>
    <row r="156" spans="3:5">
      <c r="C156" s="2">
        <v>172</v>
      </c>
      <c r="E156" s="2">
        <v>69</v>
      </c>
    </row>
    <row r="157" spans="3:5">
      <c r="C157" s="2">
        <v>173</v>
      </c>
      <c r="E157" s="2">
        <v>69</v>
      </c>
    </row>
    <row r="158" spans="3:5">
      <c r="C158" s="2">
        <v>173</v>
      </c>
      <c r="E158" s="2">
        <v>70</v>
      </c>
    </row>
    <row r="159" spans="3:5">
      <c r="C159" s="2">
        <v>173</v>
      </c>
      <c r="E159" s="2">
        <v>70</v>
      </c>
    </row>
    <row r="160" spans="3:5">
      <c r="C160" s="2">
        <v>173</v>
      </c>
      <c r="E160" s="2">
        <v>70</v>
      </c>
    </row>
    <row r="161" spans="3:5">
      <c r="C161" s="2">
        <v>173</v>
      </c>
      <c r="E161" s="2">
        <v>70</v>
      </c>
    </row>
    <row r="162" spans="3:5">
      <c r="C162" s="2">
        <v>173</v>
      </c>
      <c r="E162" s="2">
        <v>70</v>
      </c>
    </row>
    <row r="163" spans="3:5">
      <c r="C163" s="2">
        <v>174</v>
      </c>
      <c r="E163" s="2">
        <v>70</v>
      </c>
    </row>
    <row r="164" spans="3:5">
      <c r="C164" s="2">
        <v>174</v>
      </c>
      <c r="E164" s="2">
        <v>70</v>
      </c>
    </row>
    <row r="165" spans="3:5">
      <c r="C165" s="2">
        <v>174</v>
      </c>
      <c r="E165" s="2">
        <v>70</v>
      </c>
    </row>
    <row r="166" spans="3:5">
      <c r="C166" s="2">
        <v>174</v>
      </c>
      <c r="E166" s="2">
        <v>70</v>
      </c>
    </row>
    <row r="167" spans="3:5">
      <c r="C167" s="2">
        <v>174</v>
      </c>
      <c r="E167" s="2">
        <v>71</v>
      </c>
    </row>
    <row r="168" spans="3:5">
      <c r="C168" s="2">
        <v>175</v>
      </c>
      <c r="E168" s="2">
        <v>71</v>
      </c>
    </row>
    <row r="169" spans="3:5">
      <c r="C169" s="2">
        <v>175</v>
      </c>
      <c r="E169" s="2">
        <v>72</v>
      </c>
    </row>
    <row r="170" spans="3:5">
      <c r="C170" s="2">
        <v>175</v>
      </c>
      <c r="E170" s="2">
        <v>72</v>
      </c>
    </row>
    <row r="171" spans="3:5">
      <c r="C171" s="2">
        <v>175</v>
      </c>
      <c r="E171" s="2">
        <v>72</v>
      </c>
    </row>
    <row r="172" spans="3:5">
      <c r="C172" s="2">
        <v>176</v>
      </c>
      <c r="E172" s="2">
        <v>73</v>
      </c>
    </row>
    <row r="173" spans="3:5">
      <c r="C173" s="2">
        <v>176</v>
      </c>
      <c r="E173" s="2">
        <v>73</v>
      </c>
    </row>
    <row r="174" spans="3:5">
      <c r="C174" s="2">
        <v>176</v>
      </c>
      <c r="E174" s="2">
        <v>73</v>
      </c>
    </row>
    <row r="175" spans="3:5">
      <c r="C175" s="2">
        <v>176</v>
      </c>
      <c r="E175" s="2">
        <v>73</v>
      </c>
    </row>
    <row r="176" spans="3:5">
      <c r="C176" s="2">
        <v>176</v>
      </c>
      <c r="E176" s="2">
        <v>73</v>
      </c>
    </row>
    <row r="177" spans="3:5">
      <c r="C177" s="2">
        <v>176</v>
      </c>
      <c r="E177" s="2">
        <v>73</v>
      </c>
    </row>
    <row r="178" spans="3:5">
      <c r="C178" s="2">
        <v>176</v>
      </c>
      <c r="E178" s="2">
        <v>74</v>
      </c>
    </row>
    <row r="179" spans="3:5">
      <c r="C179" s="2">
        <v>176</v>
      </c>
      <c r="E179" s="2">
        <v>74</v>
      </c>
    </row>
    <row r="180" spans="3:5">
      <c r="C180" s="2">
        <v>176</v>
      </c>
      <c r="E180" s="2">
        <v>74</v>
      </c>
    </row>
    <row r="181" spans="3:5">
      <c r="C181" s="2">
        <v>177</v>
      </c>
      <c r="E181" s="2">
        <v>74</v>
      </c>
    </row>
    <row r="182" spans="3:5">
      <c r="C182" s="2">
        <v>177</v>
      </c>
      <c r="E182" s="2">
        <v>74</v>
      </c>
    </row>
    <row r="183" spans="3:5">
      <c r="C183" s="2">
        <v>178</v>
      </c>
      <c r="E183" s="2">
        <v>75</v>
      </c>
    </row>
    <row r="184" spans="3:5">
      <c r="C184" s="2">
        <v>178</v>
      </c>
      <c r="E184" s="2">
        <v>75</v>
      </c>
    </row>
    <row r="185" spans="3:5">
      <c r="C185" s="2">
        <v>178</v>
      </c>
      <c r="E185" s="2">
        <v>75</v>
      </c>
    </row>
    <row r="186" spans="3:5">
      <c r="C186" s="2">
        <v>178</v>
      </c>
      <c r="E186" s="2">
        <v>75</v>
      </c>
    </row>
    <row r="187" spans="3:5">
      <c r="C187" s="2">
        <v>179</v>
      </c>
      <c r="E187" s="2">
        <v>75</v>
      </c>
    </row>
    <row r="188" spans="3:5">
      <c r="C188" s="2">
        <v>179</v>
      </c>
      <c r="E188" s="2">
        <v>75</v>
      </c>
    </row>
    <row r="189" spans="3:5">
      <c r="C189" s="2">
        <v>180</v>
      </c>
      <c r="E189" s="2">
        <v>76</v>
      </c>
    </row>
    <row r="190" spans="3:5">
      <c r="C190" s="2">
        <v>180</v>
      </c>
      <c r="E190" s="2">
        <v>76</v>
      </c>
    </row>
    <row r="191" spans="3:5">
      <c r="C191" s="2">
        <v>180</v>
      </c>
      <c r="E191" s="2">
        <v>76</v>
      </c>
    </row>
    <row r="192" spans="3:5">
      <c r="C192" s="2">
        <v>180</v>
      </c>
      <c r="E192" s="2">
        <v>76</v>
      </c>
    </row>
    <row r="193" spans="3:5">
      <c r="C193" s="2">
        <v>181</v>
      </c>
      <c r="E193" s="2">
        <v>77</v>
      </c>
    </row>
    <row r="194" spans="3:5">
      <c r="C194" s="2">
        <v>181</v>
      </c>
      <c r="E194" s="2">
        <v>77</v>
      </c>
    </row>
    <row r="195" spans="3:5">
      <c r="C195" s="2">
        <v>181</v>
      </c>
      <c r="E195" s="2">
        <v>77</v>
      </c>
    </row>
    <row r="196" spans="3:5">
      <c r="C196" s="2">
        <v>182</v>
      </c>
      <c r="E196" s="2">
        <v>78</v>
      </c>
    </row>
    <row r="197" spans="3:5">
      <c r="C197" s="2">
        <v>183</v>
      </c>
      <c r="E197" s="2">
        <v>78</v>
      </c>
    </row>
    <row r="198" spans="3:5">
      <c r="C198" s="2">
        <v>184</v>
      </c>
      <c r="E198" s="2">
        <v>80</v>
      </c>
    </row>
    <row r="199" spans="3:5">
      <c r="C199" s="2">
        <v>187</v>
      </c>
      <c r="E199" s="2">
        <v>81</v>
      </c>
    </row>
    <row r="200" spans="3:5">
      <c r="C200" s="2">
        <v>188</v>
      </c>
      <c r="E200" s="2">
        <v>84</v>
      </c>
    </row>
    <row r="201" spans="3:5">
      <c r="C201" s="2">
        <v>190</v>
      </c>
      <c r="E201" s="2">
        <v>84</v>
      </c>
    </row>
  </sheetData>
  <mergeCells count="2">
    <mergeCell ref="G1:O1"/>
    <mergeCell ref="G14:O1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512A-46CE-534C-8018-906186FF8C05}">
  <dimension ref="A1:H201"/>
  <sheetViews>
    <sheetView workbookViewId="0">
      <selection activeCell="F50" sqref="F50"/>
    </sheetView>
  </sheetViews>
  <sheetFormatPr baseColWidth="10" defaultRowHeight="16"/>
  <cols>
    <col min="1" max="1" width="59" bestFit="1" customWidth="1"/>
    <col min="4" max="4" width="19.1640625" customWidth="1"/>
    <col min="5" max="5" width="16.1640625" customWidth="1"/>
    <col min="6" max="6" width="93.5" bestFit="1" customWidth="1"/>
    <col min="9" max="9" width="13.5" bestFit="1" customWidth="1"/>
  </cols>
  <sheetData>
    <row r="1" spans="1:8">
      <c r="A1" s="31" t="s">
        <v>3</v>
      </c>
      <c r="C1" s="1" t="s">
        <v>1</v>
      </c>
      <c r="D1" t="s">
        <v>91</v>
      </c>
      <c r="E1" s="23" t="s">
        <v>78</v>
      </c>
      <c r="F1" s="23" t="s">
        <v>77</v>
      </c>
      <c r="G1" s="143" t="s">
        <v>80</v>
      </c>
      <c r="H1" s="142"/>
    </row>
    <row r="2" spans="1:8">
      <c r="A2" t="s">
        <v>72</v>
      </c>
      <c r="C2" s="74">
        <v>176</v>
      </c>
      <c r="D2" s="17">
        <f>POWER(C2-170,2)</f>
        <v>36</v>
      </c>
      <c r="E2" s="161" t="s">
        <v>82</v>
      </c>
      <c r="F2" s="78" t="s">
        <v>79</v>
      </c>
      <c r="G2" s="161"/>
      <c r="H2" s="161">
        <f>_xlfn.NORM.S.INV(0.95/2 + 0.5)</f>
        <v>1.9599639845400536</v>
      </c>
    </row>
    <row r="3" spans="1:8">
      <c r="A3" t="s">
        <v>76</v>
      </c>
      <c r="C3" s="74">
        <v>171</v>
      </c>
      <c r="D3" s="17">
        <f t="shared" ref="D3:D66" si="0">POWER(C3-170,2)</f>
        <v>1</v>
      </c>
      <c r="E3" s="161"/>
      <c r="F3" s="8" t="s">
        <v>73</v>
      </c>
      <c r="G3" s="161"/>
      <c r="H3" s="161"/>
    </row>
    <row r="4" spans="1:8">
      <c r="C4" s="74">
        <v>166</v>
      </c>
      <c r="D4" s="17">
        <f t="shared" si="0"/>
        <v>16</v>
      </c>
      <c r="E4" s="161"/>
      <c r="F4" s="8" t="s">
        <v>81</v>
      </c>
      <c r="G4" s="161"/>
      <c r="H4" s="161"/>
    </row>
    <row r="5" spans="1:8">
      <c r="C5" s="74">
        <v>182</v>
      </c>
      <c r="D5" s="17">
        <f t="shared" si="0"/>
        <v>144</v>
      </c>
      <c r="E5" s="161"/>
      <c r="F5" s="161"/>
      <c r="G5" s="161" t="s">
        <v>74</v>
      </c>
      <c r="H5" s="161">
        <f>AVERAGE(C2:C201) - H2*6/SQRT(200)</f>
        <v>167.78845770539019</v>
      </c>
    </row>
    <row r="6" spans="1:8">
      <c r="C6" s="74">
        <v>165</v>
      </c>
      <c r="D6" s="17">
        <f t="shared" si="0"/>
        <v>25</v>
      </c>
      <c r="E6" s="161"/>
      <c r="F6" s="161"/>
      <c r="G6" s="161"/>
      <c r="H6" s="161"/>
    </row>
    <row r="7" spans="1:8">
      <c r="C7" s="74">
        <v>168</v>
      </c>
      <c r="D7" s="17">
        <f t="shared" si="0"/>
        <v>4</v>
      </c>
      <c r="E7" s="161"/>
      <c r="F7" s="161"/>
      <c r="G7" s="161"/>
      <c r="H7" s="161"/>
    </row>
    <row r="8" spans="1:8">
      <c r="C8" s="74">
        <v>170</v>
      </c>
      <c r="D8" s="17">
        <f t="shared" si="0"/>
        <v>0</v>
      </c>
      <c r="E8" s="161"/>
      <c r="F8" s="161"/>
      <c r="G8" s="161" t="s">
        <v>75</v>
      </c>
      <c r="H8" s="161">
        <f>AVERAGE(C2:C201) + H2*6/SQRT(200)</f>
        <v>169.45154229460982</v>
      </c>
    </row>
    <row r="9" spans="1:8">
      <c r="C9" s="74">
        <v>181</v>
      </c>
      <c r="D9" s="17">
        <f t="shared" si="0"/>
        <v>121</v>
      </c>
      <c r="E9" s="161"/>
      <c r="F9" s="161"/>
      <c r="G9" s="161"/>
      <c r="H9" s="161"/>
    </row>
    <row r="10" spans="1:8">
      <c r="C10" s="74">
        <v>161</v>
      </c>
      <c r="D10" s="17">
        <f t="shared" si="0"/>
        <v>81</v>
      </c>
      <c r="E10" s="161"/>
      <c r="F10" s="161"/>
      <c r="G10" s="161"/>
      <c r="H10" s="161"/>
    </row>
    <row r="11" spans="1:8">
      <c r="C11" s="74">
        <v>168</v>
      </c>
      <c r="D11" s="17">
        <f t="shared" si="0"/>
        <v>4</v>
      </c>
      <c r="E11" s="161" t="s">
        <v>83</v>
      </c>
      <c r="F11" s="78" t="s">
        <v>84</v>
      </c>
      <c r="G11" s="161"/>
      <c r="H11" s="161">
        <f>_xlfn.T.INV.2T(0.05,199)</f>
        <v>1.9719565442517553</v>
      </c>
    </row>
    <row r="12" spans="1:8">
      <c r="C12" s="74">
        <v>161</v>
      </c>
      <c r="D12" s="17">
        <f t="shared" si="0"/>
        <v>81</v>
      </c>
      <c r="E12" s="161"/>
      <c r="F12" s="8" t="s">
        <v>73</v>
      </c>
      <c r="G12" s="161"/>
      <c r="H12" s="161"/>
    </row>
    <row r="13" spans="1:8">
      <c r="C13" s="74">
        <v>161</v>
      </c>
      <c r="D13" s="17">
        <f t="shared" si="0"/>
        <v>81</v>
      </c>
      <c r="E13" s="161"/>
      <c r="F13" s="8" t="s">
        <v>81</v>
      </c>
      <c r="G13" s="161"/>
      <c r="H13" s="161"/>
    </row>
    <row r="14" spans="1:8">
      <c r="C14" s="74">
        <v>165</v>
      </c>
      <c r="D14" s="17">
        <f t="shared" si="0"/>
        <v>25</v>
      </c>
      <c r="E14" s="161"/>
      <c r="F14" s="161"/>
      <c r="G14" s="161" t="s">
        <v>74</v>
      </c>
      <c r="H14" s="161">
        <f>AVERAGE(C2:C201)-H11*STDEV(C2:C201)/SQRT(200)</f>
        <v>167.73418330384223</v>
      </c>
    </row>
    <row r="15" spans="1:8">
      <c r="C15" s="74">
        <v>176</v>
      </c>
      <c r="D15" s="17">
        <f t="shared" si="0"/>
        <v>36</v>
      </c>
      <c r="E15" s="161"/>
      <c r="F15" s="161"/>
      <c r="G15" s="161"/>
      <c r="H15" s="161"/>
    </row>
    <row r="16" spans="1:8">
      <c r="C16" s="74">
        <v>165</v>
      </c>
      <c r="D16" s="17">
        <f t="shared" si="0"/>
        <v>25</v>
      </c>
      <c r="E16" s="161"/>
      <c r="F16" s="161"/>
      <c r="G16" s="161"/>
      <c r="H16" s="161"/>
    </row>
    <row r="17" spans="3:8">
      <c r="C17" s="74">
        <v>161</v>
      </c>
      <c r="D17" s="17">
        <f t="shared" si="0"/>
        <v>81</v>
      </c>
      <c r="E17" s="161"/>
      <c r="F17" s="161"/>
      <c r="G17" s="161" t="s">
        <v>75</v>
      </c>
      <c r="H17" s="161">
        <f>AVERAGE(C2:C201)+H11*STDEV(C2:C201)/SQRT(200)</f>
        <v>169.50581669615778</v>
      </c>
    </row>
    <row r="18" spans="3:8">
      <c r="C18" s="74">
        <v>166</v>
      </c>
      <c r="D18" s="17">
        <f t="shared" si="0"/>
        <v>16</v>
      </c>
      <c r="E18" s="161"/>
      <c r="F18" s="161"/>
      <c r="G18" s="161"/>
      <c r="H18" s="161"/>
    </row>
    <row r="19" spans="3:8">
      <c r="C19" s="74">
        <v>167</v>
      </c>
      <c r="D19" s="17">
        <f t="shared" si="0"/>
        <v>9</v>
      </c>
      <c r="E19" s="161"/>
      <c r="F19" s="161"/>
      <c r="G19" s="161"/>
      <c r="H19" s="161"/>
    </row>
    <row r="20" spans="3:8">
      <c r="C20" s="74">
        <v>167</v>
      </c>
      <c r="D20" s="17">
        <f t="shared" si="0"/>
        <v>9</v>
      </c>
      <c r="E20" s="161" t="s">
        <v>85</v>
      </c>
      <c r="F20" s="79" t="s">
        <v>86</v>
      </c>
      <c r="G20" s="160"/>
      <c r="H20" s="161">
        <f>_xlfn.CHISQ.INV((1-0.95)/2,199)</f>
        <v>161.82618239364686</v>
      </c>
    </row>
    <row r="21" spans="3:8">
      <c r="C21" s="74">
        <v>165</v>
      </c>
      <c r="D21" s="17">
        <f t="shared" si="0"/>
        <v>25</v>
      </c>
      <c r="E21" s="161"/>
      <c r="F21" s="8" t="s">
        <v>87</v>
      </c>
      <c r="G21" s="160"/>
      <c r="H21" s="161"/>
    </row>
    <row r="22" spans="3:8">
      <c r="C22" s="74">
        <v>168</v>
      </c>
      <c r="D22" s="17">
        <f t="shared" si="0"/>
        <v>4</v>
      </c>
      <c r="E22" s="161"/>
      <c r="F22" s="8" t="s">
        <v>81</v>
      </c>
      <c r="G22" s="160"/>
      <c r="H22" s="161"/>
    </row>
    <row r="23" spans="3:8">
      <c r="C23" s="74">
        <v>161</v>
      </c>
      <c r="D23" s="17">
        <f t="shared" si="0"/>
        <v>81</v>
      </c>
      <c r="E23" s="161"/>
      <c r="F23" s="160"/>
      <c r="G23" s="160"/>
      <c r="H23" s="161">
        <f>_xlfn.CHISQ.INV((1 + 0.95)/2,199)</f>
        <v>239.9596818276442</v>
      </c>
    </row>
    <row r="24" spans="3:8">
      <c r="C24" s="74">
        <v>163</v>
      </c>
      <c r="D24" s="17">
        <f t="shared" si="0"/>
        <v>49</v>
      </c>
      <c r="E24" s="161"/>
      <c r="F24" s="160"/>
      <c r="G24" s="160"/>
      <c r="H24" s="161"/>
    </row>
    <row r="25" spans="3:8">
      <c r="C25" s="74">
        <v>168</v>
      </c>
      <c r="D25" s="17">
        <f t="shared" si="0"/>
        <v>4</v>
      </c>
      <c r="E25" s="161"/>
      <c r="F25" s="160"/>
      <c r="G25" s="160"/>
      <c r="H25" s="161"/>
    </row>
    <row r="26" spans="3:8">
      <c r="C26" s="74">
        <v>175</v>
      </c>
      <c r="D26" s="17">
        <f t="shared" si="0"/>
        <v>25</v>
      </c>
      <c r="E26" s="161"/>
      <c r="F26" s="160"/>
      <c r="G26" s="161" t="s">
        <v>74</v>
      </c>
      <c r="H26" s="161">
        <f>(VARP(C2:C201)*199)/H23</f>
        <v>33.301279361337322</v>
      </c>
    </row>
    <row r="27" spans="3:8">
      <c r="C27" s="74">
        <v>161</v>
      </c>
      <c r="D27" s="17">
        <f t="shared" si="0"/>
        <v>81</v>
      </c>
      <c r="E27" s="161"/>
      <c r="F27" s="160"/>
      <c r="G27" s="161"/>
      <c r="H27" s="161"/>
    </row>
    <row r="28" spans="3:8">
      <c r="C28" s="74">
        <v>171</v>
      </c>
      <c r="D28" s="17">
        <f t="shared" si="0"/>
        <v>1</v>
      </c>
      <c r="E28" s="161"/>
      <c r="F28" s="160"/>
      <c r="G28" s="161"/>
      <c r="H28" s="161"/>
    </row>
    <row r="29" spans="3:8">
      <c r="C29" s="74">
        <v>184</v>
      </c>
      <c r="D29" s="17">
        <f t="shared" si="0"/>
        <v>196</v>
      </c>
      <c r="E29" s="161"/>
      <c r="F29" s="160"/>
      <c r="G29" s="161" t="s">
        <v>75</v>
      </c>
      <c r="H29" s="161">
        <f>(VARP(C2:C201)*199)/H20</f>
        <v>49.379922839443545</v>
      </c>
    </row>
    <row r="30" spans="3:8">
      <c r="C30" s="74">
        <v>173</v>
      </c>
      <c r="D30" s="17">
        <f t="shared" si="0"/>
        <v>9</v>
      </c>
      <c r="E30" s="161"/>
      <c r="F30" s="160"/>
      <c r="G30" s="161"/>
      <c r="H30" s="161"/>
    </row>
    <row r="31" spans="3:8">
      <c r="C31" s="74">
        <v>166</v>
      </c>
      <c r="D31" s="17">
        <f t="shared" si="0"/>
        <v>16</v>
      </c>
      <c r="E31" s="161"/>
      <c r="F31" s="160"/>
      <c r="G31" s="161"/>
      <c r="H31" s="161"/>
    </row>
    <row r="32" spans="3:8">
      <c r="C32" s="74">
        <v>170</v>
      </c>
      <c r="D32" s="17">
        <f t="shared" si="0"/>
        <v>0</v>
      </c>
      <c r="E32" s="161" t="s">
        <v>88</v>
      </c>
      <c r="F32" s="78" t="s">
        <v>89</v>
      </c>
      <c r="G32" s="160"/>
      <c r="H32" s="161">
        <f>SUM(D2:D201)/200</f>
        <v>42.06</v>
      </c>
    </row>
    <row r="33" spans="3:8">
      <c r="C33" s="74">
        <v>172</v>
      </c>
      <c r="D33" s="17">
        <f t="shared" si="0"/>
        <v>4</v>
      </c>
      <c r="E33" s="161"/>
      <c r="F33" s="80" t="s">
        <v>90</v>
      </c>
      <c r="G33" s="160"/>
      <c r="H33" s="161"/>
    </row>
    <row r="34" spans="3:8">
      <c r="C34" s="74">
        <v>176</v>
      </c>
      <c r="D34" s="17">
        <f t="shared" si="0"/>
        <v>36</v>
      </c>
      <c r="E34" s="161"/>
      <c r="F34" s="8" t="s">
        <v>81</v>
      </c>
      <c r="G34" s="160"/>
      <c r="H34" s="161"/>
    </row>
    <row r="35" spans="3:8">
      <c r="C35" s="74">
        <v>162</v>
      </c>
      <c r="D35" s="17">
        <f t="shared" si="0"/>
        <v>64</v>
      </c>
      <c r="E35" s="161"/>
      <c r="F35" s="160"/>
      <c r="G35" s="160" t="s">
        <v>74</v>
      </c>
      <c r="H35" s="162">
        <f>SQRT(200*H32/H23)</f>
        <v>5.9208013919076459</v>
      </c>
    </row>
    <row r="36" spans="3:8">
      <c r="C36" s="74">
        <v>157</v>
      </c>
      <c r="D36" s="17">
        <f t="shared" si="0"/>
        <v>169</v>
      </c>
      <c r="E36" s="161"/>
      <c r="F36" s="160"/>
      <c r="G36" s="160"/>
      <c r="H36" s="162"/>
    </row>
    <row r="37" spans="3:8">
      <c r="C37" s="74">
        <v>188</v>
      </c>
      <c r="D37" s="17">
        <f t="shared" si="0"/>
        <v>324</v>
      </c>
      <c r="E37" s="161"/>
      <c r="F37" s="160"/>
      <c r="G37" s="160"/>
      <c r="H37" s="162"/>
    </row>
    <row r="38" spans="3:8">
      <c r="C38" s="74">
        <v>164</v>
      </c>
      <c r="D38" s="17">
        <f t="shared" si="0"/>
        <v>36</v>
      </c>
      <c r="E38" s="161"/>
      <c r="F38" s="160"/>
      <c r="G38" s="160" t="s">
        <v>75</v>
      </c>
      <c r="H38" s="161">
        <f>SQRT(200*H32/H20)</f>
        <v>7.2098335345751163</v>
      </c>
    </row>
    <row r="39" spans="3:8">
      <c r="C39" s="74">
        <v>167</v>
      </c>
      <c r="D39" s="17">
        <f t="shared" si="0"/>
        <v>9</v>
      </c>
      <c r="E39" s="161"/>
      <c r="F39" s="160"/>
      <c r="G39" s="160"/>
      <c r="H39" s="161"/>
    </row>
    <row r="40" spans="3:8">
      <c r="C40" s="74">
        <v>174</v>
      </c>
      <c r="D40" s="17">
        <f t="shared" si="0"/>
        <v>16</v>
      </c>
      <c r="E40" s="161"/>
      <c r="F40" s="160"/>
      <c r="G40" s="160"/>
      <c r="H40" s="161"/>
    </row>
    <row r="41" spans="3:8">
      <c r="C41" s="74">
        <v>161</v>
      </c>
      <c r="D41" s="17">
        <f t="shared" si="0"/>
        <v>81</v>
      </c>
      <c r="E41" s="76"/>
      <c r="F41" s="75"/>
    </row>
    <row r="42" spans="3:8">
      <c r="C42" s="74">
        <v>172</v>
      </c>
      <c r="D42" s="17">
        <f t="shared" si="0"/>
        <v>4</v>
      </c>
      <c r="E42" s="76"/>
      <c r="F42" s="75"/>
    </row>
    <row r="43" spans="3:8">
      <c r="C43" s="74">
        <v>171</v>
      </c>
      <c r="D43" s="17">
        <f t="shared" si="0"/>
        <v>1</v>
      </c>
      <c r="E43" s="76"/>
      <c r="F43" s="75"/>
    </row>
    <row r="44" spans="3:8">
      <c r="C44" s="74">
        <v>173</v>
      </c>
      <c r="D44" s="17">
        <f t="shared" si="0"/>
        <v>9</v>
      </c>
    </row>
    <row r="45" spans="3:8">
      <c r="C45" s="74">
        <v>176</v>
      </c>
      <c r="D45" s="17">
        <f t="shared" si="0"/>
        <v>36</v>
      </c>
    </row>
    <row r="46" spans="3:8">
      <c r="C46" s="74">
        <v>156</v>
      </c>
      <c r="D46" s="17">
        <f t="shared" si="0"/>
        <v>196</v>
      </c>
    </row>
    <row r="47" spans="3:8">
      <c r="C47" s="74">
        <v>161</v>
      </c>
      <c r="D47" s="17">
        <f t="shared" si="0"/>
        <v>81</v>
      </c>
    </row>
    <row r="48" spans="3:8">
      <c r="C48" s="74">
        <v>165</v>
      </c>
      <c r="D48" s="17">
        <f t="shared" si="0"/>
        <v>25</v>
      </c>
    </row>
    <row r="49" spans="3:4">
      <c r="C49" s="74">
        <v>174</v>
      </c>
      <c r="D49" s="17">
        <f t="shared" si="0"/>
        <v>16</v>
      </c>
    </row>
    <row r="50" spans="3:4">
      <c r="C50" s="74">
        <v>183</v>
      </c>
      <c r="D50" s="17">
        <f t="shared" si="0"/>
        <v>169</v>
      </c>
    </row>
    <row r="51" spans="3:4">
      <c r="C51" s="74">
        <v>173</v>
      </c>
      <c r="D51" s="17">
        <f t="shared" si="0"/>
        <v>9</v>
      </c>
    </row>
    <row r="52" spans="3:4">
      <c r="C52" s="74">
        <v>160</v>
      </c>
      <c r="D52" s="17">
        <f t="shared" si="0"/>
        <v>100</v>
      </c>
    </row>
    <row r="53" spans="3:4">
      <c r="C53" s="74">
        <v>178</v>
      </c>
      <c r="D53" s="17">
        <f t="shared" si="0"/>
        <v>64</v>
      </c>
    </row>
    <row r="54" spans="3:4">
      <c r="C54" s="74">
        <v>170</v>
      </c>
      <c r="D54" s="17">
        <f t="shared" si="0"/>
        <v>0</v>
      </c>
    </row>
    <row r="55" spans="3:4">
      <c r="C55" s="74">
        <v>168</v>
      </c>
      <c r="D55" s="17">
        <f t="shared" si="0"/>
        <v>4</v>
      </c>
    </row>
    <row r="56" spans="3:4">
      <c r="C56" s="74">
        <v>173</v>
      </c>
      <c r="D56" s="17">
        <f t="shared" si="0"/>
        <v>9</v>
      </c>
    </row>
    <row r="57" spans="3:4">
      <c r="C57" s="74">
        <v>176</v>
      </c>
      <c r="D57" s="17">
        <f t="shared" si="0"/>
        <v>36</v>
      </c>
    </row>
    <row r="58" spans="3:4">
      <c r="C58" s="74">
        <v>170</v>
      </c>
      <c r="D58" s="17">
        <f t="shared" si="0"/>
        <v>0</v>
      </c>
    </row>
    <row r="59" spans="3:4">
      <c r="C59" s="74">
        <v>163</v>
      </c>
      <c r="D59" s="17">
        <f t="shared" si="0"/>
        <v>49</v>
      </c>
    </row>
    <row r="60" spans="3:4">
      <c r="C60" s="74">
        <v>165</v>
      </c>
      <c r="D60" s="17">
        <f t="shared" si="0"/>
        <v>25</v>
      </c>
    </row>
    <row r="61" spans="3:4">
      <c r="C61" s="74">
        <v>165</v>
      </c>
      <c r="D61" s="17">
        <f t="shared" si="0"/>
        <v>25</v>
      </c>
    </row>
    <row r="62" spans="3:4">
      <c r="C62" s="74">
        <v>170</v>
      </c>
      <c r="D62" s="17">
        <f t="shared" si="0"/>
        <v>0</v>
      </c>
    </row>
    <row r="63" spans="3:4">
      <c r="C63" s="74">
        <v>166</v>
      </c>
      <c r="D63" s="17">
        <f t="shared" si="0"/>
        <v>16</v>
      </c>
    </row>
    <row r="64" spans="3:4">
      <c r="C64" s="74">
        <v>165</v>
      </c>
      <c r="D64" s="17">
        <f t="shared" si="0"/>
        <v>25</v>
      </c>
    </row>
    <row r="65" spans="3:4">
      <c r="C65" s="74">
        <v>181</v>
      </c>
      <c r="D65" s="17">
        <f t="shared" si="0"/>
        <v>121</v>
      </c>
    </row>
    <row r="66" spans="3:4">
      <c r="C66" s="74">
        <v>172</v>
      </c>
      <c r="D66" s="17">
        <f t="shared" si="0"/>
        <v>4</v>
      </c>
    </row>
    <row r="67" spans="3:4">
      <c r="C67" s="74">
        <v>165</v>
      </c>
      <c r="D67" s="17">
        <f t="shared" ref="D67:D130" si="1">POWER(C67-170,2)</f>
        <v>25</v>
      </c>
    </row>
    <row r="68" spans="3:4">
      <c r="C68" s="74">
        <v>172</v>
      </c>
      <c r="D68" s="17">
        <f t="shared" si="1"/>
        <v>4</v>
      </c>
    </row>
    <row r="69" spans="3:4">
      <c r="C69" s="74">
        <v>178</v>
      </c>
      <c r="D69" s="17">
        <f t="shared" si="1"/>
        <v>64</v>
      </c>
    </row>
    <row r="70" spans="3:4">
      <c r="C70" s="74">
        <v>169</v>
      </c>
      <c r="D70" s="17">
        <f t="shared" si="1"/>
        <v>1</v>
      </c>
    </row>
    <row r="71" spans="3:4">
      <c r="C71" s="74">
        <v>165</v>
      </c>
      <c r="D71" s="17">
        <f t="shared" si="1"/>
        <v>25</v>
      </c>
    </row>
    <row r="72" spans="3:4">
      <c r="C72" s="74">
        <v>174</v>
      </c>
      <c r="D72" s="17">
        <f t="shared" si="1"/>
        <v>16</v>
      </c>
    </row>
    <row r="73" spans="3:4">
      <c r="C73" s="74">
        <v>159</v>
      </c>
      <c r="D73" s="17">
        <f t="shared" si="1"/>
        <v>121</v>
      </c>
    </row>
    <row r="74" spans="3:4">
      <c r="C74" s="74">
        <v>171</v>
      </c>
      <c r="D74" s="17">
        <f t="shared" si="1"/>
        <v>1</v>
      </c>
    </row>
    <row r="75" spans="3:4">
      <c r="C75" s="74">
        <v>169</v>
      </c>
      <c r="D75" s="17">
        <f t="shared" si="1"/>
        <v>1</v>
      </c>
    </row>
    <row r="76" spans="3:4">
      <c r="C76" s="74">
        <v>176</v>
      </c>
      <c r="D76" s="17">
        <f t="shared" si="1"/>
        <v>36</v>
      </c>
    </row>
    <row r="77" spans="3:4">
      <c r="C77" s="74">
        <v>170</v>
      </c>
      <c r="D77" s="17">
        <f t="shared" si="1"/>
        <v>0</v>
      </c>
    </row>
    <row r="78" spans="3:4">
      <c r="C78" s="74">
        <v>170</v>
      </c>
      <c r="D78" s="17">
        <f t="shared" si="1"/>
        <v>0</v>
      </c>
    </row>
    <row r="79" spans="3:4">
      <c r="C79" s="74">
        <v>165</v>
      </c>
      <c r="D79" s="17">
        <f t="shared" si="1"/>
        <v>25</v>
      </c>
    </row>
    <row r="80" spans="3:4">
      <c r="C80" s="74">
        <v>162</v>
      </c>
      <c r="D80" s="17">
        <f t="shared" si="1"/>
        <v>64</v>
      </c>
    </row>
    <row r="81" spans="3:4">
      <c r="C81" s="74">
        <v>175</v>
      </c>
      <c r="D81" s="17">
        <f t="shared" si="1"/>
        <v>25</v>
      </c>
    </row>
    <row r="82" spans="3:4">
      <c r="C82" s="74">
        <v>157</v>
      </c>
      <c r="D82" s="17">
        <f t="shared" si="1"/>
        <v>169</v>
      </c>
    </row>
    <row r="83" spans="3:4">
      <c r="C83" s="74">
        <v>161</v>
      </c>
      <c r="D83" s="17">
        <f t="shared" si="1"/>
        <v>81</v>
      </c>
    </row>
    <row r="84" spans="3:4">
      <c r="C84" s="74">
        <v>172</v>
      </c>
      <c r="D84" s="17">
        <f t="shared" si="1"/>
        <v>4</v>
      </c>
    </row>
    <row r="85" spans="3:4">
      <c r="C85" s="74">
        <v>159</v>
      </c>
      <c r="D85" s="17">
        <f t="shared" si="1"/>
        <v>121</v>
      </c>
    </row>
    <row r="86" spans="3:4">
      <c r="C86" s="74">
        <v>162</v>
      </c>
      <c r="D86" s="17">
        <f t="shared" si="1"/>
        <v>64</v>
      </c>
    </row>
    <row r="87" spans="3:4">
      <c r="C87" s="74">
        <v>167</v>
      </c>
      <c r="D87" s="17">
        <f t="shared" si="1"/>
        <v>9</v>
      </c>
    </row>
    <row r="88" spans="3:4">
      <c r="C88" s="74">
        <v>159</v>
      </c>
      <c r="D88" s="17">
        <f t="shared" si="1"/>
        <v>121</v>
      </c>
    </row>
    <row r="89" spans="3:4">
      <c r="C89" s="74">
        <v>160</v>
      </c>
      <c r="D89" s="17">
        <f t="shared" si="1"/>
        <v>100</v>
      </c>
    </row>
    <row r="90" spans="3:4">
      <c r="C90" s="74">
        <v>175</v>
      </c>
      <c r="D90" s="17">
        <f t="shared" si="1"/>
        <v>25</v>
      </c>
    </row>
    <row r="91" spans="3:4">
      <c r="C91" s="74">
        <v>163</v>
      </c>
      <c r="D91" s="17">
        <f t="shared" si="1"/>
        <v>49</v>
      </c>
    </row>
    <row r="92" spans="3:4">
      <c r="C92" s="74">
        <v>169</v>
      </c>
      <c r="D92" s="17">
        <f t="shared" si="1"/>
        <v>1</v>
      </c>
    </row>
    <row r="93" spans="3:4">
      <c r="C93" s="74">
        <v>180</v>
      </c>
      <c r="D93" s="17">
        <f t="shared" si="1"/>
        <v>100</v>
      </c>
    </row>
    <row r="94" spans="3:4">
      <c r="C94" s="74">
        <v>165</v>
      </c>
      <c r="D94" s="17">
        <f t="shared" si="1"/>
        <v>25</v>
      </c>
    </row>
    <row r="95" spans="3:4">
      <c r="C95" s="74">
        <v>168</v>
      </c>
      <c r="D95" s="17">
        <f t="shared" si="1"/>
        <v>4</v>
      </c>
    </row>
    <row r="96" spans="3:4">
      <c r="C96" s="74">
        <v>169</v>
      </c>
      <c r="D96" s="17">
        <f t="shared" si="1"/>
        <v>1</v>
      </c>
    </row>
    <row r="97" spans="3:4">
      <c r="C97" s="74">
        <v>170</v>
      </c>
      <c r="D97" s="17">
        <f t="shared" si="1"/>
        <v>0</v>
      </c>
    </row>
    <row r="98" spans="3:4">
      <c r="C98" s="74">
        <v>163</v>
      </c>
      <c r="D98" s="17">
        <f t="shared" si="1"/>
        <v>49</v>
      </c>
    </row>
    <row r="99" spans="3:4">
      <c r="C99" s="74">
        <v>178</v>
      </c>
      <c r="D99" s="17">
        <f t="shared" si="1"/>
        <v>64</v>
      </c>
    </row>
    <row r="100" spans="3:4">
      <c r="C100" s="74">
        <v>162</v>
      </c>
      <c r="D100" s="17">
        <f t="shared" si="1"/>
        <v>64</v>
      </c>
    </row>
    <row r="101" spans="3:4">
      <c r="C101" s="74">
        <v>178</v>
      </c>
      <c r="D101" s="17">
        <f t="shared" si="1"/>
        <v>64</v>
      </c>
    </row>
    <row r="102" spans="3:4">
      <c r="C102" s="74">
        <v>172</v>
      </c>
      <c r="D102" s="17">
        <f t="shared" si="1"/>
        <v>4</v>
      </c>
    </row>
    <row r="103" spans="3:4">
      <c r="C103" s="74">
        <v>162</v>
      </c>
      <c r="D103" s="17">
        <f t="shared" si="1"/>
        <v>64</v>
      </c>
    </row>
    <row r="104" spans="3:4">
      <c r="C104" s="74">
        <v>164</v>
      </c>
      <c r="D104" s="17">
        <f t="shared" si="1"/>
        <v>36</v>
      </c>
    </row>
    <row r="105" spans="3:4">
      <c r="C105" s="74">
        <v>162</v>
      </c>
      <c r="D105" s="17">
        <f t="shared" si="1"/>
        <v>64</v>
      </c>
    </row>
    <row r="106" spans="3:4">
      <c r="C106" s="74">
        <v>171</v>
      </c>
      <c r="D106" s="17">
        <f t="shared" si="1"/>
        <v>1</v>
      </c>
    </row>
    <row r="107" spans="3:4">
      <c r="C107" s="74">
        <v>167</v>
      </c>
      <c r="D107" s="17">
        <f t="shared" si="1"/>
        <v>9</v>
      </c>
    </row>
    <row r="108" spans="3:4">
      <c r="C108" s="74">
        <v>156</v>
      </c>
      <c r="D108" s="17">
        <f t="shared" si="1"/>
        <v>196</v>
      </c>
    </row>
    <row r="109" spans="3:4">
      <c r="C109" s="74">
        <v>172</v>
      </c>
      <c r="D109" s="17">
        <f t="shared" si="1"/>
        <v>4</v>
      </c>
    </row>
    <row r="110" spans="3:4">
      <c r="C110" s="74">
        <v>167</v>
      </c>
      <c r="D110" s="17">
        <f t="shared" si="1"/>
        <v>9</v>
      </c>
    </row>
    <row r="111" spans="3:4">
      <c r="C111" s="74">
        <v>170</v>
      </c>
      <c r="D111" s="17">
        <f t="shared" si="1"/>
        <v>0</v>
      </c>
    </row>
    <row r="112" spans="3:4">
      <c r="C112" s="74">
        <v>169</v>
      </c>
      <c r="D112" s="17">
        <f t="shared" si="1"/>
        <v>1</v>
      </c>
    </row>
    <row r="113" spans="3:4">
      <c r="C113" s="74">
        <v>171</v>
      </c>
      <c r="D113" s="17">
        <f t="shared" si="1"/>
        <v>1</v>
      </c>
    </row>
    <row r="114" spans="3:4">
      <c r="C114" s="74">
        <v>160</v>
      </c>
      <c r="D114" s="17">
        <f t="shared" si="1"/>
        <v>100</v>
      </c>
    </row>
    <row r="115" spans="3:4">
      <c r="C115" s="74">
        <v>169</v>
      </c>
      <c r="D115" s="17">
        <f t="shared" si="1"/>
        <v>1</v>
      </c>
    </row>
    <row r="116" spans="3:4">
      <c r="C116" s="74">
        <v>168</v>
      </c>
      <c r="D116" s="17">
        <f t="shared" si="1"/>
        <v>4</v>
      </c>
    </row>
    <row r="117" spans="3:4">
      <c r="C117" s="74">
        <v>165</v>
      </c>
      <c r="D117" s="17">
        <f t="shared" si="1"/>
        <v>25</v>
      </c>
    </row>
    <row r="118" spans="3:4">
      <c r="C118" s="74">
        <v>164</v>
      </c>
      <c r="D118" s="17">
        <f t="shared" si="1"/>
        <v>36</v>
      </c>
    </row>
    <row r="119" spans="3:4">
      <c r="C119" s="74">
        <v>180</v>
      </c>
      <c r="D119" s="17">
        <f t="shared" si="1"/>
        <v>100</v>
      </c>
    </row>
    <row r="120" spans="3:4">
      <c r="C120" s="74">
        <v>164</v>
      </c>
      <c r="D120" s="17">
        <f t="shared" si="1"/>
        <v>36</v>
      </c>
    </row>
    <row r="121" spans="3:4">
      <c r="C121" s="74">
        <v>171</v>
      </c>
      <c r="D121" s="17">
        <f t="shared" si="1"/>
        <v>1</v>
      </c>
    </row>
    <row r="122" spans="3:4">
      <c r="C122" s="74">
        <v>181</v>
      </c>
      <c r="D122" s="17">
        <f t="shared" si="1"/>
        <v>121</v>
      </c>
    </row>
    <row r="123" spans="3:4">
      <c r="C123" s="74">
        <v>171</v>
      </c>
      <c r="D123" s="17">
        <f t="shared" si="1"/>
        <v>1</v>
      </c>
    </row>
    <row r="124" spans="3:4">
      <c r="C124" s="74">
        <v>172</v>
      </c>
      <c r="D124" s="17">
        <f t="shared" si="1"/>
        <v>4</v>
      </c>
    </row>
    <row r="125" spans="3:4">
      <c r="C125" s="74">
        <v>161</v>
      </c>
      <c r="D125" s="17">
        <f t="shared" si="1"/>
        <v>81</v>
      </c>
    </row>
    <row r="126" spans="3:4">
      <c r="C126" s="74">
        <v>187</v>
      </c>
      <c r="D126" s="17">
        <f t="shared" si="1"/>
        <v>289</v>
      </c>
    </row>
    <row r="127" spans="3:4">
      <c r="C127" s="74">
        <v>163</v>
      </c>
      <c r="D127" s="17">
        <f t="shared" si="1"/>
        <v>49</v>
      </c>
    </row>
    <row r="128" spans="3:4">
      <c r="C128" s="74">
        <v>166</v>
      </c>
      <c r="D128" s="17">
        <f t="shared" si="1"/>
        <v>16</v>
      </c>
    </row>
    <row r="129" spans="3:4">
      <c r="C129" s="74">
        <v>164</v>
      </c>
      <c r="D129" s="17">
        <f t="shared" si="1"/>
        <v>36</v>
      </c>
    </row>
    <row r="130" spans="3:4">
      <c r="C130" s="74">
        <v>159</v>
      </c>
      <c r="D130" s="17">
        <f t="shared" si="1"/>
        <v>121</v>
      </c>
    </row>
    <row r="131" spans="3:4">
      <c r="C131" s="74">
        <v>176</v>
      </c>
      <c r="D131" s="17">
        <f t="shared" ref="D131:D194" si="2">POWER(C131-170,2)</f>
        <v>36</v>
      </c>
    </row>
    <row r="132" spans="3:4">
      <c r="C132" s="74">
        <v>167</v>
      </c>
      <c r="D132" s="17">
        <f t="shared" si="2"/>
        <v>9</v>
      </c>
    </row>
    <row r="133" spans="3:4">
      <c r="C133" s="74">
        <v>167</v>
      </c>
      <c r="D133" s="17">
        <f t="shared" si="2"/>
        <v>9</v>
      </c>
    </row>
    <row r="134" spans="3:4">
      <c r="C134" s="74">
        <v>169</v>
      </c>
      <c r="D134" s="17">
        <f t="shared" si="2"/>
        <v>1</v>
      </c>
    </row>
    <row r="135" spans="3:4">
      <c r="C135" s="74">
        <v>190</v>
      </c>
      <c r="D135" s="17">
        <f t="shared" si="2"/>
        <v>400</v>
      </c>
    </row>
    <row r="136" spans="3:4">
      <c r="C136" s="74">
        <v>171</v>
      </c>
      <c r="D136" s="17">
        <f t="shared" si="2"/>
        <v>1</v>
      </c>
    </row>
    <row r="137" spans="3:4">
      <c r="C137" s="74">
        <v>164</v>
      </c>
      <c r="D137" s="17">
        <f t="shared" si="2"/>
        <v>36</v>
      </c>
    </row>
    <row r="138" spans="3:4">
      <c r="C138" s="74">
        <v>164</v>
      </c>
      <c r="D138" s="17">
        <f t="shared" si="2"/>
        <v>36</v>
      </c>
    </row>
    <row r="139" spans="3:4">
      <c r="C139" s="74">
        <v>177</v>
      </c>
      <c r="D139" s="17">
        <f t="shared" si="2"/>
        <v>49</v>
      </c>
    </row>
    <row r="140" spans="3:4">
      <c r="C140" s="74">
        <v>161</v>
      </c>
      <c r="D140" s="17">
        <f t="shared" si="2"/>
        <v>81</v>
      </c>
    </row>
    <row r="141" spans="3:4">
      <c r="C141" s="74">
        <v>166</v>
      </c>
      <c r="D141" s="17">
        <f t="shared" si="2"/>
        <v>16</v>
      </c>
    </row>
    <row r="142" spans="3:4">
      <c r="C142" s="74">
        <v>172</v>
      </c>
      <c r="D142" s="17">
        <f t="shared" si="2"/>
        <v>4</v>
      </c>
    </row>
    <row r="143" spans="3:4">
      <c r="C143" s="74">
        <v>171</v>
      </c>
      <c r="D143" s="17">
        <f t="shared" si="2"/>
        <v>1</v>
      </c>
    </row>
    <row r="144" spans="3:4">
      <c r="C144" s="74">
        <v>161</v>
      </c>
      <c r="D144" s="17">
        <f t="shared" si="2"/>
        <v>81</v>
      </c>
    </row>
    <row r="145" spans="3:4">
      <c r="C145" s="74">
        <v>173</v>
      </c>
      <c r="D145" s="17">
        <f t="shared" si="2"/>
        <v>9</v>
      </c>
    </row>
    <row r="146" spans="3:4">
      <c r="C146" s="74">
        <v>172</v>
      </c>
      <c r="D146" s="17">
        <f t="shared" si="2"/>
        <v>4</v>
      </c>
    </row>
    <row r="147" spans="3:4">
      <c r="C147" s="74">
        <v>162</v>
      </c>
      <c r="D147" s="17">
        <f t="shared" si="2"/>
        <v>64</v>
      </c>
    </row>
    <row r="148" spans="3:4">
      <c r="C148" s="74">
        <v>167</v>
      </c>
      <c r="D148" s="17">
        <f t="shared" si="2"/>
        <v>9</v>
      </c>
    </row>
    <row r="149" spans="3:4">
      <c r="C149" s="74">
        <v>164</v>
      </c>
      <c r="D149" s="17">
        <f t="shared" si="2"/>
        <v>36</v>
      </c>
    </row>
    <row r="150" spans="3:4">
      <c r="C150" s="74">
        <v>171</v>
      </c>
      <c r="D150" s="17">
        <f t="shared" si="2"/>
        <v>1</v>
      </c>
    </row>
    <row r="151" spans="3:4">
      <c r="C151" s="74">
        <v>174</v>
      </c>
      <c r="D151" s="17">
        <f t="shared" si="2"/>
        <v>16</v>
      </c>
    </row>
    <row r="152" spans="3:4">
      <c r="C152" s="74">
        <v>166</v>
      </c>
      <c r="D152" s="17">
        <f t="shared" si="2"/>
        <v>16</v>
      </c>
    </row>
    <row r="153" spans="3:4">
      <c r="C153" s="74">
        <v>170</v>
      </c>
      <c r="D153" s="17">
        <f t="shared" si="2"/>
        <v>0</v>
      </c>
    </row>
    <row r="154" spans="3:4">
      <c r="C154" s="74">
        <v>166</v>
      </c>
      <c r="D154" s="17">
        <f t="shared" si="2"/>
        <v>16</v>
      </c>
    </row>
    <row r="155" spans="3:4">
      <c r="C155" s="74">
        <v>177</v>
      </c>
      <c r="D155" s="17">
        <f t="shared" si="2"/>
        <v>49</v>
      </c>
    </row>
    <row r="156" spans="3:4">
      <c r="C156" s="74">
        <v>172</v>
      </c>
      <c r="D156" s="17">
        <f t="shared" si="2"/>
        <v>4</v>
      </c>
    </row>
    <row r="157" spans="3:4">
      <c r="C157" s="74">
        <v>161</v>
      </c>
      <c r="D157" s="17">
        <f t="shared" si="2"/>
        <v>81</v>
      </c>
    </row>
    <row r="158" spans="3:4">
      <c r="C158" s="74">
        <v>172</v>
      </c>
      <c r="D158" s="17">
        <f t="shared" si="2"/>
        <v>4</v>
      </c>
    </row>
    <row r="159" spans="3:4">
      <c r="C159" s="74">
        <v>163</v>
      </c>
      <c r="D159" s="17">
        <f t="shared" si="2"/>
        <v>49</v>
      </c>
    </row>
    <row r="160" spans="3:4">
      <c r="C160" s="74">
        <v>176</v>
      </c>
      <c r="D160" s="17">
        <f t="shared" si="2"/>
        <v>36</v>
      </c>
    </row>
    <row r="161" spans="3:4">
      <c r="C161" s="74">
        <v>161</v>
      </c>
      <c r="D161" s="17">
        <f t="shared" si="2"/>
        <v>81</v>
      </c>
    </row>
    <row r="162" spans="3:4">
      <c r="C162" s="74">
        <v>161</v>
      </c>
      <c r="D162" s="17">
        <f t="shared" si="2"/>
        <v>81</v>
      </c>
    </row>
    <row r="163" spans="3:4">
      <c r="C163" s="74">
        <v>172</v>
      </c>
      <c r="D163" s="17">
        <f t="shared" si="2"/>
        <v>4</v>
      </c>
    </row>
    <row r="164" spans="3:4">
      <c r="C164" s="74">
        <v>167</v>
      </c>
      <c r="D164" s="17">
        <f t="shared" si="2"/>
        <v>9</v>
      </c>
    </row>
    <row r="165" spans="3:4">
      <c r="C165" s="74">
        <v>168</v>
      </c>
      <c r="D165" s="17">
        <f t="shared" si="2"/>
        <v>4</v>
      </c>
    </row>
    <row r="166" spans="3:4">
      <c r="C166" s="74">
        <v>161</v>
      </c>
      <c r="D166" s="17">
        <f t="shared" si="2"/>
        <v>81</v>
      </c>
    </row>
    <row r="167" spans="3:4">
      <c r="C167" s="74">
        <v>169</v>
      </c>
      <c r="D167" s="17">
        <f t="shared" si="2"/>
        <v>1</v>
      </c>
    </row>
    <row r="168" spans="3:4">
      <c r="C168" s="74">
        <v>168</v>
      </c>
      <c r="D168" s="17">
        <f t="shared" si="2"/>
        <v>4</v>
      </c>
    </row>
    <row r="169" spans="3:4">
      <c r="C169" s="74">
        <v>170</v>
      </c>
      <c r="D169" s="17">
        <f t="shared" si="2"/>
        <v>0</v>
      </c>
    </row>
    <row r="170" spans="3:4">
      <c r="C170" s="74">
        <v>166</v>
      </c>
      <c r="D170" s="17">
        <f t="shared" si="2"/>
        <v>16</v>
      </c>
    </row>
    <row r="171" spans="3:4">
      <c r="C171" s="74">
        <v>175</v>
      </c>
      <c r="D171" s="17">
        <f t="shared" si="2"/>
        <v>25</v>
      </c>
    </row>
    <row r="172" spans="3:4">
      <c r="C172" s="74">
        <v>180</v>
      </c>
      <c r="D172" s="17">
        <f t="shared" si="2"/>
        <v>100</v>
      </c>
    </row>
    <row r="173" spans="3:4">
      <c r="C173" s="74">
        <v>164</v>
      </c>
      <c r="D173" s="17">
        <f t="shared" si="2"/>
        <v>36</v>
      </c>
    </row>
    <row r="174" spans="3:4">
      <c r="C174" s="74">
        <v>161</v>
      </c>
      <c r="D174" s="17">
        <f t="shared" si="2"/>
        <v>81</v>
      </c>
    </row>
    <row r="175" spans="3:4">
      <c r="C175" s="74">
        <v>162</v>
      </c>
      <c r="D175" s="17">
        <f t="shared" si="2"/>
        <v>64</v>
      </c>
    </row>
    <row r="176" spans="3:4">
      <c r="C176" s="74">
        <v>171</v>
      </c>
      <c r="D176" s="17">
        <f t="shared" si="2"/>
        <v>1</v>
      </c>
    </row>
    <row r="177" spans="3:4">
      <c r="C177" s="74">
        <v>166</v>
      </c>
      <c r="D177" s="17">
        <f t="shared" si="2"/>
        <v>16</v>
      </c>
    </row>
    <row r="178" spans="3:4">
      <c r="C178" s="74">
        <v>179</v>
      </c>
      <c r="D178" s="17">
        <f t="shared" si="2"/>
        <v>81</v>
      </c>
    </row>
    <row r="179" spans="3:4">
      <c r="C179" s="74">
        <v>162</v>
      </c>
      <c r="D179" s="17">
        <f t="shared" si="2"/>
        <v>64</v>
      </c>
    </row>
    <row r="180" spans="3:4">
      <c r="C180" s="74">
        <v>167</v>
      </c>
      <c r="D180" s="17">
        <f t="shared" si="2"/>
        <v>9</v>
      </c>
    </row>
    <row r="181" spans="3:4">
      <c r="C181" s="74">
        <v>176</v>
      </c>
      <c r="D181" s="17">
        <f t="shared" si="2"/>
        <v>36</v>
      </c>
    </row>
    <row r="182" spans="3:4">
      <c r="C182" s="74">
        <v>163</v>
      </c>
      <c r="D182" s="17">
        <f t="shared" si="2"/>
        <v>49</v>
      </c>
    </row>
    <row r="183" spans="3:4">
      <c r="C183" s="74">
        <v>169</v>
      </c>
      <c r="D183" s="17">
        <f t="shared" si="2"/>
        <v>1</v>
      </c>
    </row>
    <row r="184" spans="3:4">
      <c r="C184" s="74">
        <v>174</v>
      </c>
      <c r="D184" s="17">
        <f t="shared" si="2"/>
        <v>16</v>
      </c>
    </row>
    <row r="185" spans="3:4">
      <c r="C185" s="74">
        <v>167</v>
      </c>
      <c r="D185" s="17">
        <f t="shared" si="2"/>
        <v>9</v>
      </c>
    </row>
    <row r="186" spans="3:4">
      <c r="C186" s="74">
        <v>179</v>
      </c>
      <c r="D186" s="17">
        <f t="shared" si="2"/>
        <v>81</v>
      </c>
    </row>
    <row r="187" spans="3:4">
      <c r="C187" s="74">
        <v>173</v>
      </c>
      <c r="D187" s="17">
        <f t="shared" si="2"/>
        <v>9</v>
      </c>
    </row>
    <row r="188" spans="3:4">
      <c r="C188" s="74">
        <v>172</v>
      </c>
      <c r="D188" s="17">
        <f t="shared" si="2"/>
        <v>4</v>
      </c>
    </row>
    <row r="189" spans="3:4">
      <c r="C189" s="74">
        <v>171</v>
      </c>
      <c r="D189" s="17">
        <f t="shared" si="2"/>
        <v>1</v>
      </c>
    </row>
    <row r="190" spans="3:4">
      <c r="C190" s="74">
        <v>171</v>
      </c>
      <c r="D190" s="17">
        <f t="shared" si="2"/>
        <v>1</v>
      </c>
    </row>
    <row r="191" spans="3:4">
      <c r="C191" s="74">
        <v>171</v>
      </c>
      <c r="D191" s="17">
        <f t="shared" si="2"/>
        <v>1</v>
      </c>
    </row>
    <row r="192" spans="3:4">
      <c r="C192" s="74">
        <v>163</v>
      </c>
      <c r="D192" s="17">
        <f t="shared" si="2"/>
        <v>49</v>
      </c>
    </row>
    <row r="193" spans="3:4">
      <c r="C193" s="74">
        <v>168</v>
      </c>
      <c r="D193" s="17">
        <f t="shared" si="2"/>
        <v>4</v>
      </c>
    </row>
    <row r="194" spans="3:4">
      <c r="C194" s="74">
        <v>164</v>
      </c>
      <c r="D194" s="17">
        <f t="shared" si="2"/>
        <v>36</v>
      </c>
    </row>
    <row r="195" spans="3:4">
      <c r="C195" s="74">
        <v>167</v>
      </c>
      <c r="D195" s="17">
        <f t="shared" ref="D195:D201" si="3">POWER(C195-170,2)</f>
        <v>9</v>
      </c>
    </row>
    <row r="196" spans="3:4">
      <c r="C196" s="74">
        <v>171</v>
      </c>
      <c r="D196" s="17">
        <f t="shared" si="3"/>
        <v>1</v>
      </c>
    </row>
    <row r="197" spans="3:4">
      <c r="C197" s="74">
        <v>165</v>
      </c>
      <c r="D197" s="17">
        <f t="shared" si="3"/>
        <v>25</v>
      </c>
    </row>
    <row r="198" spans="3:4">
      <c r="C198" s="74">
        <v>164</v>
      </c>
      <c r="D198" s="17">
        <f t="shared" si="3"/>
        <v>36</v>
      </c>
    </row>
    <row r="199" spans="3:4">
      <c r="C199" s="74">
        <v>180</v>
      </c>
      <c r="D199" s="17">
        <f t="shared" si="3"/>
        <v>100</v>
      </c>
    </row>
    <row r="200" spans="3:4">
      <c r="C200" s="74">
        <v>165</v>
      </c>
      <c r="D200" s="17">
        <f t="shared" si="3"/>
        <v>25</v>
      </c>
    </row>
    <row r="201" spans="3:4">
      <c r="C201" s="74">
        <v>165</v>
      </c>
      <c r="D201" s="17">
        <f t="shared" si="3"/>
        <v>25</v>
      </c>
    </row>
  </sheetData>
  <mergeCells count="35">
    <mergeCell ref="G26:G28"/>
    <mergeCell ref="G29:G31"/>
    <mergeCell ref="H29:H31"/>
    <mergeCell ref="E2:E10"/>
    <mergeCell ref="G11:G13"/>
    <mergeCell ref="H11:H13"/>
    <mergeCell ref="G14:G16"/>
    <mergeCell ref="G17:G19"/>
    <mergeCell ref="H14:H16"/>
    <mergeCell ref="H17:H19"/>
    <mergeCell ref="F14:F19"/>
    <mergeCell ref="E11:E19"/>
    <mergeCell ref="H2:H4"/>
    <mergeCell ref="G5:G7"/>
    <mergeCell ref="G8:G10"/>
    <mergeCell ref="H5:H7"/>
    <mergeCell ref="H8:H10"/>
    <mergeCell ref="F5:F10"/>
    <mergeCell ref="G2:G4"/>
    <mergeCell ref="G1:H1"/>
    <mergeCell ref="G38:G40"/>
    <mergeCell ref="H38:H40"/>
    <mergeCell ref="F35:F40"/>
    <mergeCell ref="E32:E40"/>
    <mergeCell ref="H35:H37"/>
    <mergeCell ref="G35:G37"/>
    <mergeCell ref="E20:E31"/>
    <mergeCell ref="H32:H34"/>
    <mergeCell ref="G32:G34"/>
    <mergeCell ref="H26:H28"/>
    <mergeCell ref="G20:G22"/>
    <mergeCell ref="F23:F31"/>
    <mergeCell ref="G23:G25"/>
    <mergeCell ref="H20:H22"/>
    <mergeCell ref="H23:H25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A10B-8508-224A-BAEE-683137829750}">
  <dimension ref="A1:Q202"/>
  <sheetViews>
    <sheetView topLeftCell="A4" workbookViewId="0">
      <selection activeCell="G47" sqref="G47:H47"/>
    </sheetView>
  </sheetViews>
  <sheetFormatPr baseColWidth="10" defaultRowHeight="16"/>
  <cols>
    <col min="1" max="1" width="87.83203125" bestFit="1" customWidth="1"/>
  </cols>
  <sheetData>
    <row r="1" spans="1:14">
      <c r="A1" s="23" t="s">
        <v>92</v>
      </c>
      <c r="C1" s="81"/>
      <c r="E1" s="138" t="s">
        <v>21</v>
      </c>
      <c r="F1" s="138"/>
      <c r="G1" s="143"/>
      <c r="H1" s="138" t="s">
        <v>25</v>
      </c>
      <c r="I1" s="77"/>
      <c r="J1" s="77"/>
      <c r="K1" s="77"/>
    </row>
    <row r="2" spans="1:14">
      <c r="A2" s="29" t="s">
        <v>93</v>
      </c>
      <c r="C2" s="1" t="s">
        <v>1</v>
      </c>
      <c r="E2" s="138" t="s">
        <v>0</v>
      </c>
      <c r="F2" s="138" t="s">
        <v>6</v>
      </c>
      <c r="G2" s="143"/>
      <c r="H2" s="138"/>
      <c r="I2" s="77"/>
      <c r="J2" s="77"/>
      <c r="K2" s="77"/>
    </row>
    <row r="3" spans="1:14">
      <c r="A3" s="29" t="s">
        <v>94</v>
      </c>
      <c r="C3" s="2">
        <v>156</v>
      </c>
      <c r="E3" s="138"/>
      <c r="F3" s="23" t="s">
        <v>22</v>
      </c>
      <c r="G3" s="25" t="s">
        <v>23</v>
      </c>
      <c r="H3" s="23" t="s">
        <v>6</v>
      </c>
      <c r="I3" s="30"/>
      <c r="J3" s="30"/>
      <c r="K3" s="30"/>
    </row>
    <row r="4" spans="1:14">
      <c r="A4" s="29" t="s">
        <v>95</v>
      </c>
      <c r="C4" s="2">
        <v>156</v>
      </c>
      <c r="E4" s="8">
        <v>1</v>
      </c>
      <c r="F4" s="8">
        <v>156</v>
      </c>
      <c r="G4" s="82">
        <f t="shared" ref="G4:G12" si="0">F5</f>
        <v>159</v>
      </c>
      <c r="H4" s="8">
        <v>4</v>
      </c>
      <c r="I4" s="17"/>
      <c r="J4" s="17"/>
      <c r="K4" s="17"/>
    </row>
    <row r="5" spans="1:14">
      <c r="A5" s="29" t="s">
        <v>96</v>
      </c>
      <c r="C5" s="2">
        <v>157</v>
      </c>
      <c r="E5" s="8">
        <v>2</v>
      </c>
      <c r="F5" s="8">
        <v>159</v>
      </c>
      <c r="G5" s="82">
        <f t="shared" si="0"/>
        <v>163</v>
      </c>
      <c r="H5" s="8">
        <v>33</v>
      </c>
      <c r="I5" s="17"/>
      <c r="J5" s="17"/>
      <c r="K5" s="17"/>
    </row>
    <row r="6" spans="1:14">
      <c r="A6" s="29" t="s">
        <v>97</v>
      </c>
      <c r="C6" s="2">
        <v>157</v>
      </c>
      <c r="E6" s="8">
        <v>3</v>
      </c>
      <c r="F6" s="8">
        <v>163</v>
      </c>
      <c r="G6" s="82">
        <f t="shared" si="0"/>
        <v>166</v>
      </c>
      <c r="H6" s="8">
        <v>35</v>
      </c>
      <c r="I6" s="17"/>
      <c r="J6" s="17"/>
      <c r="K6" s="17"/>
    </row>
    <row r="7" spans="1:14" ht="18">
      <c r="A7" s="29" t="s">
        <v>98</v>
      </c>
      <c r="C7" s="2">
        <v>159</v>
      </c>
      <c r="E7" s="8">
        <v>4</v>
      </c>
      <c r="F7" s="8">
        <v>166</v>
      </c>
      <c r="G7" s="82">
        <f t="shared" si="0"/>
        <v>170</v>
      </c>
      <c r="H7" s="8">
        <v>42</v>
      </c>
      <c r="I7" s="17"/>
      <c r="J7" s="17"/>
      <c r="K7" s="17"/>
    </row>
    <row r="8" spans="1:14">
      <c r="A8" s="29" t="s">
        <v>99</v>
      </c>
      <c r="C8" s="2">
        <v>159</v>
      </c>
      <c r="E8" s="8">
        <v>5</v>
      </c>
      <c r="F8" s="8">
        <v>170</v>
      </c>
      <c r="G8" s="82">
        <f t="shared" si="0"/>
        <v>173</v>
      </c>
      <c r="H8" s="8">
        <v>41</v>
      </c>
      <c r="I8" s="17"/>
      <c r="J8" s="17"/>
      <c r="K8" s="17"/>
    </row>
    <row r="9" spans="1:14">
      <c r="C9" s="2">
        <v>159</v>
      </c>
      <c r="E9" s="8">
        <v>6</v>
      </c>
      <c r="F9" s="8">
        <v>173</v>
      </c>
      <c r="G9" s="82">
        <f t="shared" si="0"/>
        <v>177</v>
      </c>
      <c r="H9" s="8">
        <v>24</v>
      </c>
      <c r="I9" s="17"/>
      <c r="J9" s="17"/>
      <c r="K9" s="17"/>
    </row>
    <row r="10" spans="1:14">
      <c r="C10" s="2">
        <v>159</v>
      </c>
      <c r="E10" s="8">
        <v>7</v>
      </c>
      <c r="F10" s="8">
        <v>177</v>
      </c>
      <c r="G10" s="82">
        <f t="shared" si="0"/>
        <v>180</v>
      </c>
      <c r="H10" s="8">
        <v>8</v>
      </c>
      <c r="I10" s="17"/>
      <c r="J10" s="17"/>
      <c r="K10" s="17"/>
    </row>
    <row r="11" spans="1:14">
      <c r="C11" s="2">
        <v>160</v>
      </c>
      <c r="E11" s="8">
        <v>8</v>
      </c>
      <c r="F11" s="8">
        <v>180</v>
      </c>
      <c r="G11" s="82">
        <f t="shared" si="0"/>
        <v>184</v>
      </c>
      <c r="H11" s="8">
        <v>9</v>
      </c>
      <c r="I11" s="17"/>
      <c r="J11" s="17"/>
      <c r="K11" s="17"/>
    </row>
    <row r="12" spans="1:14">
      <c r="C12" s="2">
        <v>160</v>
      </c>
      <c r="E12" s="8">
        <v>9</v>
      </c>
      <c r="F12" s="8">
        <v>184</v>
      </c>
      <c r="G12" s="82">
        <f t="shared" si="0"/>
        <v>187</v>
      </c>
      <c r="H12" s="8">
        <v>1</v>
      </c>
      <c r="I12" s="17"/>
      <c r="J12" s="17"/>
      <c r="K12" s="17"/>
    </row>
    <row r="13" spans="1:14">
      <c r="C13" s="2">
        <v>160</v>
      </c>
      <c r="E13" s="8">
        <v>10</v>
      </c>
      <c r="F13" s="8">
        <v>187</v>
      </c>
      <c r="G13" s="82">
        <v>190</v>
      </c>
      <c r="H13" s="8">
        <v>3</v>
      </c>
      <c r="I13" s="17"/>
      <c r="J13" s="17"/>
      <c r="K13" s="17"/>
    </row>
    <row r="14" spans="1:14">
      <c r="C14" s="2">
        <v>161</v>
      </c>
    </row>
    <row r="15" spans="1:14" ht="17" thickBot="1">
      <c r="C15" s="2">
        <v>161</v>
      </c>
    </row>
    <row r="16" spans="1:14">
      <c r="C16" s="2">
        <v>161</v>
      </c>
      <c r="E16" s="187" t="s">
        <v>100</v>
      </c>
      <c r="F16" s="188"/>
      <c r="G16" s="188"/>
      <c r="H16" s="188"/>
      <c r="I16" s="188"/>
      <c r="J16" s="188"/>
      <c r="K16" s="188"/>
      <c r="L16" s="188"/>
      <c r="M16" s="188"/>
      <c r="N16" s="83"/>
    </row>
    <row r="17" spans="3:14">
      <c r="C17" s="2">
        <v>161</v>
      </c>
      <c r="E17" s="186" t="s">
        <v>101</v>
      </c>
      <c r="F17" s="177"/>
      <c r="G17" s="177"/>
      <c r="H17" s="177"/>
      <c r="I17" s="177"/>
      <c r="J17" s="177"/>
      <c r="K17" s="177"/>
      <c r="L17" s="177"/>
      <c r="M17" s="177"/>
      <c r="N17" s="84"/>
    </row>
    <row r="18" spans="3:14" ht="17" thickBot="1">
      <c r="C18" s="2">
        <v>161</v>
      </c>
      <c r="E18" s="165" t="s">
        <v>102</v>
      </c>
      <c r="F18" s="166"/>
      <c r="G18" s="166"/>
      <c r="H18" s="166"/>
      <c r="I18" s="166"/>
      <c r="J18" s="166"/>
      <c r="K18" s="166"/>
      <c r="L18" s="166"/>
      <c r="M18" s="166"/>
      <c r="N18" s="167"/>
    </row>
    <row r="19" spans="3:14">
      <c r="C19" s="2">
        <v>161</v>
      </c>
    </row>
    <row r="20" spans="3:14">
      <c r="C20" s="2">
        <v>161</v>
      </c>
    </row>
    <row r="21" spans="3:14">
      <c r="C21" s="2">
        <v>161</v>
      </c>
      <c r="E21" s="138" t="s">
        <v>21</v>
      </c>
      <c r="F21" s="138"/>
      <c r="G21" s="143"/>
      <c r="H21" s="178" t="s">
        <v>25</v>
      </c>
      <c r="I21" s="181" t="s">
        <v>103</v>
      </c>
      <c r="J21" s="178" t="s">
        <v>104</v>
      </c>
      <c r="K21" s="181" t="s">
        <v>105</v>
      </c>
      <c r="L21" s="181" t="s">
        <v>106</v>
      </c>
      <c r="M21" s="138" t="s">
        <v>107</v>
      </c>
    </row>
    <row r="22" spans="3:14">
      <c r="C22" s="2">
        <v>161</v>
      </c>
      <c r="E22" s="138" t="s">
        <v>0</v>
      </c>
      <c r="F22" s="138" t="s">
        <v>6</v>
      </c>
      <c r="G22" s="143"/>
      <c r="H22" s="179"/>
      <c r="I22" s="182"/>
      <c r="J22" s="184"/>
      <c r="K22" s="184"/>
      <c r="L22" s="184"/>
      <c r="M22" s="161"/>
    </row>
    <row r="23" spans="3:14">
      <c r="C23" s="2">
        <v>161</v>
      </c>
      <c r="E23" s="138"/>
      <c r="F23" s="23" t="s">
        <v>22</v>
      </c>
      <c r="G23" s="25" t="s">
        <v>23</v>
      </c>
      <c r="H23" s="180"/>
      <c r="I23" s="183"/>
      <c r="J23" s="185"/>
      <c r="K23" s="185"/>
      <c r="L23" s="185"/>
      <c r="M23" s="161"/>
    </row>
    <row r="24" spans="3:14">
      <c r="C24" s="2">
        <v>161</v>
      </c>
      <c r="E24" s="8">
        <v>1</v>
      </c>
      <c r="F24" s="8">
        <v>156</v>
      </c>
      <c r="G24" s="82">
        <v>160</v>
      </c>
      <c r="H24" s="8">
        <v>8</v>
      </c>
      <c r="I24" s="80">
        <f>(F24 - $I$43) / $I$44</f>
        <v>-1.9865423846440105</v>
      </c>
      <c r="J24" s="29">
        <f t="shared" ref="J24:J33" si="1">_xlfn.NORM.S.DIST(I24,TRUE)</f>
        <v>2.3486565714338079E-2</v>
      </c>
      <c r="K24" s="29">
        <f t="shared" ref="K24:K32" si="2">J25-J24</f>
        <v>6.3920968257928104E-2</v>
      </c>
      <c r="L24" s="29">
        <f t="shared" ref="L24:L33" si="3">K24*200</f>
        <v>12.784193651585621</v>
      </c>
      <c r="M24" s="29">
        <f>POWER((H24-L24),2)/L24</f>
        <v>1.7903756403935029</v>
      </c>
    </row>
    <row r="25" spans="3:14">
      <c r="C25" s="2">
        <v>161</v>
      </c>
      <c r="E25" s="8">
        <v>2</v>
      </c>
      <c r="F25" s="8">
        <v>160</v>
      </c>
      <c r="G25" s="82">
        <v>162</v>
      </c>
      <c r="H25" s="8">
        <v>20</v>
      </c>
      <c r="I25" s="80">
        <f t="shared" ref="I25:I33" si="4">(F25 - $I$43) / $I$44</f>
        <v>-1.3568934513178583</v>
      </c>
      <c r="J25" s="29">
        <f t="shared" si="1"/>
        <v>8.740753397226618E-2</v>
      </c>
      <c r="K25" s="29">
        <f t="shared" si="2"/>
        <v>6.1282314476683211E-2</v>
      </c>
      <c r="L25" s="29">
        <f t="shared" si="3"/>
        <v>12.256462895336643</v>
      </c>
      <c r="M25" s="29">
        <f>POWER((H25-L25),2)/L25</f>
        <v>4.892305994261422</v>
      </c>
    </row>
    <row r="26" spans="3:14">
      <c r="C26" s="2">
        <v>161</v>
      </c>
      <c r="E26" s="8">
        <v>3</v>
      </c>
      <c r="F26" s="8">
        <v>162</v>
      </c>
      <c r="G26" s="82">
        <f>165</f>
        <v>165</v>
      </c>
      <c r="H26" s="8">
        <v>28</v>
      </c>
      <c r="I26" s="80">
        <f t="shared" si="4"/>
        <v>-1.0420689846547824</v>
      </c>
      <c r="J26" s="29">
        <f t="shared" si="1"/>
        <v>0.14868984844894939</v>
      </c>
      <c r="K26" s="29">
        <f t="shared" si="2"/>
        <v>0.13570587966525427</v>
      </c>
      <c r="L26" s="29">
        <f t="shared" si="3"/>
        <v>27.141175933050853</v>
      </c>
      <c r="M26" s="29">
        <f>POWER((H26-L26),2)/L26</f>
        <v>2.7175638218125062E-2</v>
      </c>
    </row>
    <row r="27" spans="3:14">
      <c r="C27" s="2">
        <v>161</v>
      </c>
      <c r="E27" s="8">
        <v>4</v>
      </c>
      <c r="F27" s="8">
        <v>165</v>
      </c>
      <c r="G27" s="82">
        <f>169</f>
        <v>169</v>
      </c>
      <c r="H27" s="8">
        <v>49</v>
      </c>
      <c r="I27" s="80">
        <f t="shared" si="4"/>
        <v>-0.56983228466016833</v>
      </c>
      <c r="J27" s="29">
        <f t="shared" si="1"/>
        <v>0.28439572811420366</v>
      </c>
      <c r="K27" s="29">
        <f t="shared" si="2"/>
        <v>0.23945343908483385</v>
      </c>
      <c r="L27" s="29">
        <f t="shared" si="3"/>
        <v>47.890687816966768</v>
      </c>
      <c r="M27" s="29">
        <f>POWER((H27-L27),2)/L27</f>
        <v>2.5695465559590194E-2</v>
      </c>
    </row>
    <row r="28" spans="3:14">
      <c r="C28" s="2">
        <v>161</v>
      </c>
      <c r="E28" s="8">
        <v>5</v>
      </c>
      <c r="F28" s="8">
        <v>169</v>
      </c>
      <c r="G28" s="82">
        <f>172</f>
        <v>172</v>
      </c>
      <c r="H28" s="8">
        <v>36</v>
      </c>
      <c r="I28" s="80">
        <f t="shared" si="4"/>
        <v>5.9816648665983733E-2</v>
      </c>
      <c r="J28" s="29">
        <f t="shared" si="1"/>
        <v>0.52384916719903751</v>
      </c>
      <c r="K28" s="29">
        <f t="shared" si="2"/>
        <v>0.17880630941487508</v>
      </c>
      <c r="L28" s="29">
        <f t="shared" si="3"/>
        <v>35.761261882975013</v>
      </c>
      <c r="M28" s="29">
        <f t="shared" ref="M28:M33" si="5">POWER((H28-L28),2)/L28</f>
        <v>1.5937885163881892E-3</v>
      </c>
    </row>
    <row r="29" spans="3:14">
      <c r="C29" s="2">
        <v>161</v>
      </c>
      <c r="E29" s="8">
        <v>6</v>
      </c>
      <c r="F29" s="8">
        <v>172</v>
      </c>
      <c r="G29" s="82">
        <f>175</f>
        <v>175</v>
      </c>
      <c r="H29" s="8">
        <v>25</v>
      </c>
      <c r="I29" s="80">
        <f t="shared" si="4"/>
        <v>0.53205334866059784</v>
      </c>
      <c r="J29" s="29">
        <f t="shared" si="1"/>
        <v>0.70265547661391259</v>
      </c>
      <c r="K29" s="29">
        <f t="shared" si="2"/>
        <v>0.139725108965566</v>
      </c>
      <c r="L29" s="29">
        <f t="shared" si="3"/>
        <v>27.945021793113199</v>
      </c>
      <c r="M29" s="29">
        <f t="shared" si="5"/>
        <v>0.3103648809481015</v>
      </c>
    </row>
    <row r="30" spans="3:14">
      <c r="C30" s="2">
        <v>161</v>
      </c>
      <c r="E30" s="8">
        <v>7</v>
      </c>
      <c r="F30" s="8">
        <v>175</v>
      </c>
      <c r="G30" s="82">
        <v>178</v>
      </c>
      <c r="H30" s="8">
        <v>15</v>
      </c>
      <c r="I30" s="80">
        <f t="shared" si="4"/>
        <v>1.0042900486552118</v>
      </c>
      <c r="J30" s="29">
        <f t="shared" si="1"/>
        <v>0.84238058557947859</v>
      </c>
      <c r="K30" s="29">
        <f t="shared" si="2"/>
        <v>8.7718144456175207E-2</v>
      </c>
      <c r="L30" s="29">
        <f t="shared" si="3"/>
        <v>17.543628891235041</v>
      </c>
      <c r="M30" s="29">
        <f t="shared" si="5"/>
        <v>0.36879758323878481</v>
      </c>
    </row>
    <row r="31" spans="3:14">
      <c r="C31" s="2">
        <v>162</v>
      </c>
      <c r="E31" s="8">
        <v>8</v>
      </c>
      <c r="F31" s="8">
        <v>178</v>
      </c>
      <c r="G31" s="82">
        <f>180</f>
        <v>180</v>
      </c>
      <c r="H31" s="8">
        <v>6</v>
      </c>
      <c r="I31" s="80">
        <f t="shared" si="4"/>
        <v>1.4765267486498259</v>
      </c>
      <c r="J31" s="29">
        <f t="shared" si="1"/>
        <v>0.9300987300356538</v>
      </c>
      <c r="K31" s="29">
        <f t="shared" si="2"/>
        <v>3.3282793825493706E-2</v>
      </c>
      <c r="L31" s="29">
        <f t="shared" si="3"/>
        <v>6.6565587650987412</v>
      </c>
      <c r="M31" s="29">
        <f t="shared" si="5"/>
        <v>6.4758597834085177E-2</v>
      </c>
    </row>
    <row r="32" spans="3:14">
      <c r="C32" s="2">
        <v>162</v>
      </c>
      <c r="E32" s="8">
        <v>9</v>
      </c>
      <c r="F32" s="8">
        <v>180</v>
      </c>
      <c r="G32" s="82">
        <v>183</v>
      </c>
      <c r="H32" s="8">
        <v>8</v>
      </c>
      <c r="I32" s="80">
        <f t="shared" si="4"/>
        <v>1.7913512153129019</v>
      </c>
      <c r="J32" s="29">
        <f t="shared" si="1"/>
        <v>0.9633815238611475</v>
      </c>
      <c r="K32" s="29">
        <f t="shared" si="2"/>
        <v>2.4818740234664349E-2</v>
      </c>
      <c r="L32" s="29">
        <f t="shared" si="3"/>
        <v>4.9637480469328699</v>
      </c>
      <c r="M32" s="29">
        <f t="shared" si="5"/>
        <v>1.8572308335029879</v>
      </c>
    </row>
    <row r="33" spans="3:14">
      <c r="C33" s="2">
        <v>162</v>
      </c>
      <c r="E33" s="8">
        <v>10</v>
      </c>
      <c r="F33" s="8">
        <v>183</v>
      </c>
      <c r="G33" s="8">
        <v>190</v>
      </c>
      <c r="H33" s="8">
        <v>5</v>
      </c>
      <c r="I33" s="80">
        <f t="shared" si="4"/>
        <v>2.2635879153075158</v>
      </c>
      <c r="J33" s="29">
        <f t="shared" si="1"/>
        <v>0.98820026409581185</v>
      </c>
      <c r="K33" s="29">
        <f>1-J33</f>
        <v>1.1799735904188147E-2</v>
      </c>
      <c r="L33" s="29">
        <f t="shared" si="3"/>
        <v>2.3599471808376293</v>
      </c>
      <c r="M33" s="29">
        <f t="shared" si="5"/>
        <v>2.9534046120020885</v>
      </c>
    </row>
    <row r="34" spans="3:14">
      <c r="C34" s="2">
        <v>162</v>
      </c>
    </row>
    <row r="35" spans="3:14">
      <c r="C35" s="2">
        <v>162</v>
      </c>
    </row>
    <row r="36" spans="3:14">
      <c r="C36" s="2">
        <v>162</v>
      </c>
      <c r="E36" s="168" t="s">
        <v>108</v>
      </c>
      <c r="F36" s="169"/>
      <c r="G36" s="170"/>
    </row>
    <row r="37" spans="3:14" ht="18">
      <c r="C37" s="2">
        <v>162</v>
      </c>
      <c r="E37" s="171" t="s">
        <v>109</v>
      </c>
      <c r="F37" s="172"/>
      <c r="G37" s="173"/>
    </row>
    <row r="38" spans="3:14" ht="18">
      <c r="C38" s="2">
        <v>162</v>
      </c>
      <c r="E38" s="174" t="s">
        <v>110</v>
      </c>
      <c r="F38" s="175"/>
      <c r="G38" s="176"/>
    </row>
    <row r="39" spans="3:14">
      <c r="C39" s="2">
        <v>162</v>
      </c>
    </row>
    <row r="40" spans="3:14">
      <c r="C40" s="2">
        <v>163</v>
      </c>
    </row>
    <row r="41" spans="3:14">
      <c r="C41" s="2">
        <v>163</v>
      </c>
      <c r="E41" s="164" t="s">
        <v>111</v>
      </c>
      <c r="F41" s="164"/>
      <c r="G41" s="164"/>
      <c r="H41" s="164"/>
      <c r="I41" s="164"/>
      <c r="J41" s="164"/>
      <c r="K41" s="164"/>
      <c r="L41" s="164"/>
      <c r="M41" s="164"/>
      <c r="N41" s="164"/>
    </row>
    <row r="42" spans="3:14">
      <c r="C42" s="2">
        <v>163</v>
      </c>
      <c r="E42" s="177" t="s">
        <v>112</v>
      </c>
      <c r="F42" s="177"/>
      <c r="G42" s="177"/>
      <c r="H42" s="177"/>
      <c r="I42" s="177"/>
      <c r="J42" s="177"/>
      <c r="K42" s="177"/>
      <c r="L42" s="177"/>
      <c r="M42" s="177"/>
      <c r="N42" s="177"/>
    </row>
    <row r="43" spans="3:14">
      <c r="C43" s="2">
        <v>163</v>
      </c>
      <c r="G43" s="177" t="s">
        <v>113</v>
      </c>
      <c r="H43" s="177"/>
      <c r="I43" s="85">
        <f>AVERAGE(C3:C202)</f>
        <v>168.62</v>
      </c>
    </row>
    <row r="44" spans="3:14">
      <c r="C44" s="2">
        <v>163</v>
      </c>
      <c r="E44" s="163" t="s">
        <v>114</v>
      </c>
      <c r="F44" s="163"/>
      <c r="G44" s="163"/>
      <c r="H44" s="163"/>
      <c r="I44" s="85">
        <f>STDEV(C3:C202)</f>
        <v>6.3527464088119698</v>
      </c>
    </row>
    <row r="45" spans="3:14">
      <c r="C45" s="2">
        <v>163</v>
      </c>
    </row>
    <row r="46" spans="3:14">
      <c r="C46" s="2">
        <v>163</v>
      </c>
    </row>
    <row r="47" spans="3:14">
      <c r="C47" s="2">
        <v>163</v>
      </c>
      <c r="G47" s="164" t="s">
        <v>115</v>
      </c>
      <c r="H47" s="164"/>
      <c r="K47" s="164" t="s">
        <v>116</v>
      </c>
      <c r="L47" s="164"/>
      <c r="M47" s="164"/>
      <c r="N47" s="164"/>
    </row>
    <row r="48" spans="3:14" ht="18">
      <c r="C48" s="2">
        <v>164</v>
      </c>
      <c r="F48" s="86" t="s">
        <v>117</v>
      </c>
      <c r="G48">
        <f>SUM(M24:M33)</f>
        <v>12.291703034475077</v>
      </c>
      <c r="K48" s="86" t="s">
        <v>118</v>
      </c>
      <c r="L48" t="s">
        <v>119</v>
      </c>
    </row>
    <row r="49" spans="3:17" ht="18">
      <c r="C49" s="2">
        <v>164</v>
      </c>
      <c r="K49" s="86" t="s">
        <v>120</v>
      </c>
      <c r="L49" t="s">
        <v>121</v>
      </c>
    </row>
    <row r="50" spans="3:17" ht="19" thickBot="1">
      <c r="C50" s="2">
        <v>164</v>
      </c>
      <c r="G50" s="87" t="s">
        <v>122</v>
      </c>
    </row>
    <row r="51" spans="3:17">
      <c r="C51" s="2">
        <v>164</v>
      </c>
      <c r="G51" s="88" t="s">
        <v>123</v>
      </c>
      <c r="H51" s="85">
        <v>7</v>
      </c>
      <c r="K51" s="89" t="s">
        <v>124</v>
      </c>
      <c r="L51" s="90"/>
      <c r="M51" s="90"/>
      <c r="N51" s="90"/>
      <c r="O51" s="90"/>
      <c r="P51" s="90"/>
      <c r="Q51" s="83"/>
    </row>
    <row r="52" spans="3:17" ht="19" thickBot="1">
      <c r="C52" s="2">
        <v>164</v>
      </c>
      <c r="G52" s="86" t="s">
        <v>125</v>
      </c>
      <c r="H52">
        <f>_xlfn.CHISQ.INV.RT(0.05,7)</f>
        <v>14.067140449340167</v>
      </c>
      <c r="K52" s="165" t="s">
        <v>126</v>
      </c>
      <c r="L52" s="166"/>
      <c r="M52" s="166"/>
      <c r="N52" s="166"/>
      <c r="O52" s="166"/>
      <c r="P52" s="166"/>
      <c r="Q52" s="167"/>
    </row>
    <row r="53" spans="3:17">
      <c r="C53" s="2">
        <v>164</v>
      </c>
    </row>
    <row r="54" spans="3:17">
      <c r="C54" s="2">
        <v>164</v>
      </c>
    </row>
    <row r="55" spans="3:17">
      <c r="C55" s="2">
        <v>164</v>
      </c>
    </row>
    <row r="56" spans="3:17">
      <c r="C56" s="2">
        <v>164</v>
      </c>
    </row>
    <row r="57" spans="3:17">
      <c r="C57" s="2">
        <v>164</v>
      </c>
    </row>
    <row r="58" spans="3:17">
      <c r="C58" s="2">
        <v>164</v>
      </c>
    </row>
    <row r="59" spans="3:17">
      <c r="C59" s="2">
        <v>165</v>
      </c>
    </row>
    <row r="60" spans="3:17">
      <c r="C60" s="2">
        <v>165</v>
      </c>
    </row>
    <row r="61" spans="3:17">
      <c r="C61" s="2">
        <v>165</v>
      </c>
    </row>
    <row r="62" spans="3:17">
      <c r="C62" s="2">
        <v>165</v>
      </c>
    </row>
    <row r="63" spans="3:17">
      <c r="C63" s="2">
        <v>165</v>
      </c>
    </row>
    <row r="64" spans="3:17">
      <c r="C64" s="2">
        <v>165</v>
      </c>
    </row>
    <row r="65" spans="3:3">
      <c r="C65" s="2">
        <v>165</v>
      </c>
    </row>
    <row r="66" spans="3:3">
      <c r="C66" s="2">
        <v>165</v>
      </c>
    </row>
    <row r="67" spans="3:3">
      <c r="C67" s="2">
        <v>165</v>
      </c>
    </row>
    <row r="68" spans="3:3">
      <c r="C68" s="2">
        <v>165</v>
      </c>
    </row>
    <row r="69" spans="3:3">
      <c r="C69" s="2">
        <v>165</v>
      </c>
    </row>
    <row r="70" spans="3:3">
      <c r="C70" s="2">
        <v>165</v>
      </c>
    </row>
    <row r="71" spans="3:3">
      <c r="C71" s="2">
        <v>165</v>
      </c>
    </row>
    <row r="72" spans="3:3">
      <c r="C72" s="2">
        <v>165</v>
      </c>
    </row>
    <row r="73" spans="3:3">
      <c r="C73" s="2">
        <v>165</v>
      </c>
    </row>
    <row r="74" spans="3:3">
      <c r="C74" s="2">
        <v>165</v>
      </c>
    </row>
    <row r="75" spans="3:3">
      <c r="C75" s="2">
        <v>166</v>
      </c>
    </row>
    <row r="76" spans="3:3">
      <c r="C76" s="2">
        <v>166</v>
      </c>
    </row>
    <row r="77" spans="3:3">
      <c r="C77" s="2">
        <v>166</v>
      </c>
    </row>
    <row r="78" spans="3:3">
      <c r="C78" s="2">
        <v>166</v>
      </c>
    </row>
    <row r="79" spans="3:3">
      <c r="C79" s="2">
        <v>166</v>
      </c>
    </row>
    <row r="80" spans="3:3">
      <c r="C80" s="2">
        <v>166</v>
      </c>
    </row>
    <row r="81" spans="3:3">
      <c r="C81" s="2">
        <v>166</v>
      </c>
    </row>
    <row r="82" spans="3:3">
      <c r="C82" s="2">
        <v>166</v>
      </c>
    </row>
    <row r="83" spans="3:3">
      <c r="C83" s="2">
        <v>166</v>
      </c>
    </row>
    <row r="84" spans="3:3">
      <c r="C84" s="2">
        <v>166</v>
      </c>
    </row>
    <row r="85" spans="3:3">
      <c r="C85" s="2">
        <v>167</v>
      </c>
    </row>
    <row r="86" spans="3:3">
      <c r="C86" s="2">
        <v>167</v>
      </c>
    </row>
    <row r="87" spans="3:3">
      <c r="C87" s="2">
        <v>167</v>
      </c>
    </row>
    <row r="88" spans="3:3">
      <c r="C88" s="2">
        <v>167</v>
      </c>
    </row>
    <row r="89" spans="3:3">
      <c r="C89" s="2">
        <v>167</v>
      </c>
    </row>
    <row r="90" spans="3:3">
      <c r="C90" s="2">
        <v>167</v>
      </c>
    </row>
    <row r="91" spans="3:3">
      <c r="C91" s="2">
        <v>167</v>
      </c>
    </row>
    <row r="92" spans="3:3">
      <c r="C92" s="2">
        <v>167</v>
      </c>
    </row>
    <row r="93" spans="3:3">
      <c r="C93" s="2">
        <v>167</v>
      </c>
    </row>
    <row r="94" spans="3:3">
      <c r="C94" s="2">
        <v>167</v>
      </c>
    </row>
    <row r="95" spans="3:3">
      <c r="C95" s="2">
        <v>167</v>
      </c>
    </row>
    <row r="96" spans="3:3">
      <c r="C96" s="2">
        <v>167</v>
      </c>
    </row>
    <row r="97" spans="3:3">
      <c r="C97" s="2">
        <v>167</v>
      </c>
    </row>
    <row r="98" spans="3:3">
      <c r="C98" s="2">
        <v>168</v>
      </c>
    </row>
    <row r="99" spans="3:3">
      <c r="C99" s="2">
        <v>168</v>
      </c>
    </row>
    <row r="100" spans="3:3">
      <c r="C100" s="2">
        <v>168</v>
      </c>
    </row>
    <row r="101" spans="3:3">
      <c r="C101" s="2">
        <v>168</v>
      </c>
    </row>
    <row r="102" spans="3:3">
      <c r="C102" s="2">
        <v>168</v>
      </c>
    </row>
    <row r="103" spans="3:3">
      <c r="C103" s="2">
        <v>168</v>
      </c>
    </row>
    <row r="104" spans="3:3">
      <c r="C104" s="2">
        <v>168</v>
      </c>
    </row>
    <row r="105" spans="3:3">
      <c r="C105" s="2">
        <v>168</v>
      </c>
    </row>
    <row r="106" spans="3:3">
      <c r="C106" s="2">
        <v>168</v>
      </c>
    </row>
    <row r="107" spans="3:3">
      <c r="C107" s="2">
        <v>168</v>
      </c>
    </row>
    <row r="108" spans="3:3">
      <c r="C108" s="2">
        <v>169</v>
      </c>
    </row>
    <row r="109" spans="3:3">
      <c r="C109" s="2">
        <v>169</v>
      </c>
    </row>
    <row r="110" spans="3:3">
      <c r="C110" s="2">
        <v>169</v>
      </c>
    </row>
    <row r="111" spans="3:3">
      <c r="C111" s="2">
        <v>169</v>
      </c>
    </row>
    <row r="112" spans="3:3">
      <c r="C112" s="2">
        <v>169</v>
      </c>
    </row>
    <row r="113" spans="3:3">
      <c r="C113" s="2">
        <v>169</v>
      </c>
    </row>
    <row r="114" spans="3:3">
      <c r="C114" s="2">
        <v>169</v>
      </c>
    </row>
    <row r="115" spans="3:3">
      <c r="C115" s="2">
        <v>169</v>
      </c>
    </row>
    <row r="116" spans="3:3">
      <c r="C116" s="2">
        <v>169</v>
      </c>
    </row>
    <row r="117" spans="3:3">
      <c r="C117" s="2">
        <v>170</v>
      </c>
    </row>
    <row r="118" spans="3:3">
      <c r="C118" s="2">
        <v>170</v>
      </c>
    </row>
    <row r="119" spans="3:3">
      <c r="C119" s="2">
        <v>170</v>
      </c>
    </row>
    <row r="120" spans="3:3">
      <c r="C120" s="2">
        <v>170</v>
      </c>
    </row>
    <row r="121" spans="3:3">
      <c r="C121" s="2">
        <v>170</v>
      </c>
    </row>
    <row r="122" spans="3:3">
      <c r="C122" s="2">
        <v>170</v>
      </c>
    </row>
    <row r="123" spans="3:3">
      <c r="C123" s="2">
        <v>170</v>
      </c>
    </row>
    <row r="124" spans="3:3">
      <c r="C124" s="2">
        <v>170</v>
      </c>
    </row>
    <row r="125" spans="3:3">
      <c r="C125" s="2">
        <v>170</v>
      </c>
    </row>
    <row r="126" spans="3:3">
      <c r="C126" s="2">
        <v>170</v>
      </c>
    </row>
    <row r="127" spans="3:3">
      <c r="C127" s="2">
        <v>170</v>
      </c>
    </row>
    <row r="128" spans="3:3">
      <c r="C128" s="2">
        <v>171</v>
      </c>
    </row>
    <row r="129" spans="3:3">
      <c r="C129" s="2">
        <v>171</v>
      </c>
    </row>
    <row r="130" spans="3:3">
      <c r="C130" s="2">
        <v>171</v>
      </c>
    </row>
    <row r="131" spans="3:3">
      <c r="C131" s="2">
        <v>171</v>
      </c>
    </row>
    <row r="132" spans="3:3">
      <c r="C132" s="2">
        <v>171</v>
      </c>
    </row>
    <row r="133" spans="3:3">
      <c r="C133" s="2">
        <v>171</v>
      </c>
    </row>
    <row r="134" spans="3:3">
      <c r="C134" s="2">
        <v>171</v>
      </c>
    </row>
    <row r="135" spans="3:3">
      <c r="C135" s="2">
        <v>171</v>
      </c>
    </row>
    <row r="136" spans="3:3">
      <c r="C136" s="2">
        <v>171</v>
      </c>
    </row>
    <row r="137" spans="3:3">
      <c r="C137" s="2">
        <v>171</v>
      </c>
    </row>
    <row r="138" spans="3:3">
      <c r="C138" s="2">
        <v>171</v>
      </c>
    </row>
    <row r="139" spans="3:3">
      <c r="C139" s="2">
        <v>171</v>
      </c>
    </row>
    <row r="140" spans="3:3">
      <c r="C140" s="2">
        <v>171</v>
      </c>
    </row>
    <row r="141" spans="3:3">
      <c r="C141" s="2">
        <v>171</v>
      </c>
    </row>
    <row r="142" spans="3:3">
      <c r="C142" s="2">
        <v>171</v>
      </c>
    </row>
    <row r="143" spans="3:3">
      <c r="C143" s="2">
        <v>171</v>
      </c>
    </row>
    <row r="144" spans="3:3">
      <c r="C144" s="2">
        <v>172</v>
      </c>
    </row>
    <row r="145" spans="3:3">
      <c r="C145" s="2">
        <v>172</v>
      </c>
    </row>
    <row r="146" spans="3:3">
      <c r="C146" s="2">
        <v>172</v>
      </c>
    </row>
    <row r="147" spans="3:3">
      <c r="C147" s="2">
        <v>172</v>
      </c>
    </row>
    <row r="148" spans="3:3">
      <c r="C148" s="2">
        <v>172</v>
      </c>
    </row>
    <row r="149" spans="3:3">
      <c r="C149" s="2">
        <v>172</v>
      </c>
    </row>
    <row r="150" spans="3:3">
      <c r="C150" s="2">
        <v>172</v>
      </c>
    </row>
    <row r="151" spans="3:3">
      <c r="C151" s="2">
        <v>172</v>
      </c>
    </row>
    <row r="152" spans="3:3">
      <c r="C152" s="2">
        <v>172</v>
      </c>
    </row>
    <row r="153" spans="3:3">
      <c r="C153" s="2">
        <v>172</v>
      </c>
    </row>
    <row r="154" spans="3:3">
      <c r="C154" s="2">
        <v>172</v>
      </c>
    </row>
    <row r="155" spans="3:3">
      <c r="C155" s="2">
        <v>172</v>
      </c>
    </row>
    <row r="156" spans="3:3">
      <c r="C156" s="2">
        <v>172</v>
      </c>
    </row>
    <row r="157" spans="3:3">
      <c r="C157" s="2">
        <v>172</v>
      </c>
    </row>
    <row r="158" spans="3:3">
      <c r="C158" s="2">
        <v>173</v>
      </c>
    </row>
    <row r="159" spans="3:3">
      <c r="C159" s="2">
        <v>173</v>
      </c>
    </row>
    <row r="160" spans="3:3">
      <c r="C160" s="2">
        <v>173</v>
      </c>
    </row>
    <row r="161" spans="3:3">
      <c r="C161" s="2">
        <v>173</v>
      </c>
    </row>
    <row r="162" spans="3:3">
      <c r="C162" s="2">
        <v>173</v>
      </c>
    </row>
    <row r="163" spans="3:3">
      <c r="C163" s="2">
        <v>173</v>
      </c>
    </row>
    <row r="164" spans="3:3">
      <c r="C164" s="2">
        <v>174</v>
      </c>
    </row>
    <row r="165" spans="3:3">
      <c r="C165" s="2">
        <v>174</v>
      </c>
    </row>
    <row r="166" spans="3:3">
      <c r="C166" s="2">
        <v>174</v>
      </c>
    </row>
    <row r="167" spans="3:3">
      <c r="C167" s="2">
        <v>174</v>
      </c>
    </row>
    <row r="168" spans="3:3">
      <c r="C168" s="2">
        <v>174</v>
      </c>
    </row>
    <row r="169" spans="3:3">
      <c r="C169" s="2">
        <v>175</v>
      </c>
    </row>
    <row r="170" spans="3:3">
      <c r="C170" s="2">
        <v>175</v>
      </c>
    </row>
    <row r="171" spans="3:3">
      <c r="C171" s="2">
        <v>175</v>
      </c>
    </row>
    <row r="172" spans="3:3">
      <c r="C172" s="2">
        <v>175</v>
      </c>
    </row>
    <row r="173" spans="3:3">
      <c r="C173" s="2">
        <v>176</v>
      </c>
    </row>
    <row r="174" spans="3:3">
      <c r="C174" s="2">
        <v>176</v>
      </c>
    </row>
    <row r="175" spans="3:3">
      <c r="C175" s="2">
        <v>176</v>
      </c>
    </row>
    <row r="176" spans="3:3">
      <c r="C176" s="2">
        <v>176</v>
      </c>
    </row>
    <row r="177" spans="3:3">
      <c r="C177" s="2">
        <v>176</v>
      </c>
    </row>
    <row r="178" spans="3:3">
      <c r="C178" s="2">
        <v>176</v>
      </c>
    </row>
    <row r="179" spans="3:3">
      <c r="C179" s="2">
        <v>176</v>
      </c>
    </row>
    <row r="180" spans="3:3">
      <c r="C180" s="2">
        <v>176</v>
      </c>
    </row>
    <row r="181" spans="3:3">
      <c r="C181" s="2">
        <v>176</v>
      </c>
    </row>
    <row r="182" spans="3:3">
      <c r="C182" s="2">
        <v>177</v>
      </c>
    </row>
    <row r="183" spans="3:3">
      <c r="C183" s="2">
        <v>177</v>
      </c>
    </row>
    <row r="184" spans="3:3">
      <c r="C184" s="2">
        <v>178</v>
      </c>
    </row>
    <row r="185" spans="3:3">
      <c r="C185" s="2">
        <v>178</v>
      </c>
    </row>
    <row r="186" spans="3:3">
      <c r="C186" s="2">
        <v>178</v>
      </c>
    </row>
    <row r="187" spans="3:3">
      <c r="C187" s="2">
        <v>178</v>
      </c>
    </row>
    <row r="188" spans="3:3">
      <c r="C188" s="2">
        <v>179</v>
      </c>
    </row>
    <row r="189" spans="3:3">
      <c r="C189" s="2">
        <v>179</v>
      </c>
    </row>
    <row r="190" spans="3:3">
      <c r="C190" s="2">
        <v>180</v>
      </c>
    </row>
    <row r="191" spans="3:3">
      <c r="C191" s="2">
        <v>180</v>
      </c>
    </row>
    <row r="192" spans="3:3">
      <c r="C192" s="2">
        <v>180</v>
      </c>
    </row>
    <row r="193" spans="3:3">
      <c r="C193" s="2">
        <v>180</v>
      </c>
    </row>
    <row r="194" spans="3:3">
      <c r="C194" s="2">
        <v>181</v>
      </c>
    </row>
    <row r="195" spans="3:3">
      <c r="C195" s="2">
        <v>181</v>
      </c>
    </row>
    <row r="196" spans="3:3">
      <c r="C196" s="2">
        <v>181</v>
      </c>
    </row>
    <row r="197" spans="3:3">
      <c r="C197" s="2">
        <v>182</v>
      </c>
    </row>
    <row r="198" spans="3:3">
      <c r="C198" s="2">
        <v>183</v>
      </c>
    </row>
    <row r="199" spans="3:3">
      <c r="C199" s="2">
        <v>184</v>
      </c>
    </row>
    <row r="200" spans="3:3">
      <c r="C200" s="2">
        <v>187</v>
      </c>
    </row>
    <row r="201" spans="3:3">
      <c r="C201" s="2">
        <v>188</v>
      </c>
    </row>
    <row r="202" spans="3:3">
      <c r="C202" s="2">
        <v>190</v>
      </c>
    </row>
  </sheetData>
  <mergeCells count="26">
    <mergeCell ref="E17:M17"/>
    <mergeCell ref="E1:G1"/>
    <mergeCell ref="H1:H2"/>
    <mergeCell ref="E2:E3"/>
    <mergeCell ref="F2:G2"/>
    <mergeCell ref="E16:M16"/>
    <mergeCell ref="E18:N18"/>
    <mergeCell ref="E21:G21"/>
    <mergeCell ref="H21:H23"/>
    <mergeCell ref="I21:I23"/>
    <mergeCell ref="J21:J23"/>
    <mergeCell ref="K21:K23"/>
    <mergeCell ref="L21:L23"/>
    <mergeCell ref="M21:M23"/>
    <mergeCell ref="E22:E23"/>
    <mergeCell ref="F22:G22"/>
    <mergeCell ref="E44:H44"/>
    <mergeCell ref="G47:H47"/>
    <mergeCell ref="K47:N47"/>
    <mergeCell ref="K52:Q52"/>
    <mergeCell ref="E36:G36"/>
    <mergeCell ref="E37:G37"/>
    <mergeCell ref="E38:G38"/>
    <mergeCell ref="E41:N41"/>
    <mergeCell ref="E42:N42"/>
    <mergeCell ref="G43:H4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03FA-54AA-A04B-BD37-EE0C6C0821B2}">
  <dimension ref="A1:H201"/>
  <sheetViews>
    <sheetView workbookViewId="0">
      <selection activeCell="D1" sqref="D1:D201"/>
    </sheetView>
  </sheetViews>
  <sheetFormatPr baseColWidth="10" defaultRowHeight="16"/>
  <cols>
    <col min="1" max="1" width="33.6640625" bestFit="1" customWidth="1"/>
    <col min="3" max="5" width="6.6640625" customWidth="1"/>
    <col min="7" max="7" width="25" bestFit="1" customWidth="1"/>
  </cols>
  <sheetData>
    <row r="1" spans="1:8" ht="17" thickBot="1">
      <c r="A1" s="62" t="s">
        <v>3</v>
      </c>
      <c r="C1" s="1" t="s">
        <v>0</v>
      </c>
      <c r="D1" s="1" t="s">
        <v>1</v>
      </c>
      <c r="E1" s="1" t="s">
        <v>2</v>
      </c>
    </row>
    <row r="2" spans="1:8" ht="17" thickBot="1">
      <c r="A2" s="61" t="s">
        <v>60</v>
      </c>
      <c r="C2" s="2">
        <v>1</v>
      </c>
      <c r="D2" s="2">
        <v>176</v>
      </c>
      <c r="E2" s="2">
        <v>65</v>
      </c>
      <c r="G2" s="31" t="s">
        <v>62</v>
      </c>
      <c r="H2">
        <f>CORREL(D1:D200,E1:E200)</f>
        <v>0.69046503519629143</v>
      </c>
    </row>
    <row r="3" spans="1:8" ht="17" thickBot="1">
      <c r="A3" s="61" t="s">
        <v>61</v>
      </c>
      <c r="C3" s="2">
        <v>2</v>
      </c>
      <c r="D3" s="2">
        <v>171</v>
      </c>
      <c r="E3" s="2">
        <v>70</v>
      </c>
    </row>
    <row r="4" spans="1:8" ht="17" thickBot="1">
      <c r="A4" s="61" t="s">
        <v>63</v>
      </c>
      <c r="C4" s="2">
        <v>3</v>
      </c>
      <c r="D4" s="2">
        <v>166</v>
      </c>
      <c r="E4" s="2">
        <v>57</v>
      </c>
    </row>
    <row r="5" spans="1:8">
      <c r="C5" s="2">
        <v>4</v>
      </c>
      <c r="D5" s="2">
        <v>182</v>
      </c>
      <c r="E5" s="2">
        <v>76</v>
      </c>
    </row>
    <row r="6" spans="1:8">
      <c r="C6" s="2">
        <v>5</v>
      </c>
      <c r="D6" s="2">
        <v>165</v>
      </c>
      <c r="E6" s="2">
        <v>59</v>
      </c>
    </row>
    <row r="7" spans="1:8">
      <c r="C7" s="2">
        <v>6</v>
      </c>
      <c r="D7" s="2">
        <v>168</v>
      </c>
      <c r="E7" s="2">
        <v>62</v>
      </c>
    </row>
    <row r="8" spans="1:8">
      <c r="C8" s="2">
        <v>7</v>
      </c>
      <c r="D8" s="2">
        <v>170</v>
      </c>
      <c r="E8" s="2">
        <v>76</v>
      </c>
    </row>
    <row r="9" spans="1:8">
      <c r="C9" s="2">
        <v>8</v>
      </c>
      <c r="D9" s="2">
        <v>181</v>
      </c>
      <c r="E9" s="2">
        <v>68</v>
      </c>
    </row>
    <row r="10" spans="1:8">
      <c r="C10" s="2">
        <v>9</v>
      </c>
      <c r="D10" s="2">
        <v>161</v>
      </c>
      <c r="E10" s="2">
        <v>66</v>
      </c>
    </row>
    <row r="11" spans="1:8">
      <c r="C11" s="2">
        <v>10</v>
      </c>
      <c r="D11" s="2">
        <v>168</v>
      </c>
      <c r="E11" s="2">
        <v>67</v>
      </c>
    </row>
    <row r="12" spans="1:8">
      <c r="C12" s="2">
        <v>11</v>
      </c>
      <c r="D12" s="2">
        <v>161</v>
      </c>
      <c r="E12" s="2">
        <v>55</v>
      </c>
    </row>
    <row r="13" spans="1:8">
      <c r="C13" s="2">
        <v>12</v>
      </c>
      <c r="D13" s="2">
        <v>161</v>
      </c>
      <c r="E13" s="2">
        <v>66</v>
      </c>
    </row>
    <row r="14" spans="1:8">
      <c r="C14" s="2">
        <v>13</v>
      </c>
      <c r="D14" s="2">
        <v>165</v>
      </c>
      <c r="E14" s="2">
        <v>63</v>
      </c>
    </row>
    <row r="15" spans="1:8">
      <c r="C15" s="2">
        <v>14</v>
      </c>
      <c r="D15" s="2">
        <v>176</v>
      </c>
      <c r="E15" s="2">
        <v>78</v>
      </c>
    </row>
    <row r="16" spans="1:8">
      <c r="C16" s="2">
        <v>15</v>
      </c>
      <c r="D16" s="2">
        <v>165</v>
      </c>
      <c r="E16" s="2">
        <v>56</v>
      </c>
    </row>
    <row r="17" spans="3:5">
      <c r="C17" s="2">
        <v>16</v>
      </c>
      <c r="D17" s="2">
        <v>161</v>
      </c>
      <c r="E17" s="2">
        <v>51</v>
      </c>
    </row>
    <row r="18" spans="3:5">
      <c r="C18" s="2">
        <v>17</v>
      </c>
      <c r="D18" s="2">
        <v>166</v>
      </c>
      <c r="E18" s="2">
        <v>62</v>
      </c>
    </row>
    <row r="19" spans="3:5">
      <c r="C19" s="2">
        <v>18</v>
      </c>
      <c r="D19" s="2">
        <v>167</v>
      </c>
      <c r="E19" s="2">
        <v>65</v>
      </c>
    </row>
    <row r="20" spans="3:5">
      <c r="C20" s="2">
        <v>19</v>
      </c>
      <c r="D20" s="2">
        <v>167</v>
      </c>
      <c r="E20" s="2">
        <v>63</v>
      </c>
    </row>
    <row r="21" spans="3:5">
      <c r="C21" s="2">
        <v>20</v>
      </c>
      <c r="D21" s="2">
        <v>165</v>
      </c>
      <c r="E21" s="2">
        <v>63</v>
      </c>
    </row>
    <row r="22" spans="3:5">
      <c r="C22" s="2">
        <v>21</v>
      </c>
      <c r="D22" s="2">
        <v>168</v>
      </c>
      <c r="E22" s="2">
        <v>73</v>
      </c>
    </row>
    <row r="23" spans="3:5">
      <c r="C23" s="2">
        <v>22</v>
      </c>
      <c r="D23" s="2">
        <v>161</v>
      </c>
      <c r="E23" s="2">
        <v>59</v>
      </c>
    </row>
    <row r="24" spans="3:5">
      <c r="C24" s="2">
        <v>23</v>
      </c>
      <c r="D24" s="2">
        <v>163</v>
      </c>
      <c r="E24" s="2">
        <v>65</v>
      </c>
    </row>
    <row r="25" spans="3:5">
      <c r="C25" s="2">
        <v>24</v>
      </c>
      <c r="D25" s="2">
        <v>168</v>
      </c>
      <c r="E25" s="2">
        <v>66</v>
      </c>
    </row>
    <row r="26" spans="3:5">
      <c r="C26" s="2">
        <v>25</v>
      </c>
      <c r="D26" s="2">
        <v>175</v>
      </c>
      <c r="E26" s="2">
        <v>66</v>
      </c>
    </row>
    <row r="27" spans="3:5">
      <c r="C27" s="2">
        <v>26</v>
      </c>
      <c r="D27" s="2">
        <v>161</v>
      </c>
      <c r="E27" s="2">
        <v>52</v>
      </c>
    </row>
    <row r="28" spans="3:5">
      <c r="C28" s="2">
        <v>27</v>
      </c>
      <c r="D28" s="2">
        <v>171</v>
      </c>
      <c r="E28" s="2">
        <v>63</v>
      </c>
    </row>
    <row r="29" spans="3:5">
      <c r="C29" s="2">
        <v>28</v>
      </c>
      <c r="D29" s="2">
        <v>184</v>
      </c>
      <c r="E29" s="2">
        <v>72</v>
      </c>
    </row>
    <row r="30" spans="3:5">
      <c r="C30" s="2">
        <v>29</v>
      </c>
      <c r="D30" s="2">
        <v>173</v>
      </c>
      <c r="E30" s="2">
        <v>63</v>
      </c>
    </row>
    <row r="31" spans="3:5">
      <c r="C31" s="2">
        <v>30</v>
      </c>
      <c r="D31" s="2">
        <v>166</v>
      </c>
      <c r="E31" s="2">
        <v>67</v>
      </c>
    </row>
    <row r="32" spans="3:5">
      <c r="C32" s="2">
        <v>31</v>
      </c>
      <c r="D32" s="2">
        <v>170</v>
      </c>
      <c r="E32" s="2">
        <v>61</v>
      </c>
    </row>
    <row r="33" spans="3:5">
      <c r="C33" s="2">
        <v>32</v>
      </c>
      <c r="D33" s="2">
        <v>172</v>
      </c>
      <c r="E33" s="2">
        <v>74</v>
      </c>
    </row>
    <row r="34" spans="3:5">
      <c r="C34" s="2">
        <v>33</v>
      </c>
      <c r="D34" s="2">
        <v>176</v>
      </c>
      <c r="E34" s="2">
        <v>81</v>
      </c>
    </row>
    <row r="35" spans="3:5">
      <c r="C35" s="2">
        <v>34</v>
      </c>
      <c r="D35" s="2">
        <v>162</v>
      </c>
      <c r="E35" s="2">
        <v>60</v>
      </c>
    </row>
    <row r="36" spans="3:5">
      <c r="C36" s="2">
        <v>35</v>
      </c>
      <c r="D36" s="2">
        <v>157</v>
      </c>
      <c r="E36" s="2">
        <v>60</v>
      </c>
    </row>
    <row r="37" spans="3:5">
      <c r="C37" s="2">
        <v>36</v>
      </c>
      <c r="D37" s="2">
        <v>188</v>
      </c>
      <c r="E37" s="2">
        <v>75</v>
      </c>
    </row>
    <row r="38" spans="3:5">
      <c r="C38" s="2">
        <v>37</v>
      </c>
      <c r="D38" s="2">
        <v>164</v>
      </c>
      <c r="E38" s="2">
        <v>53</v>
      </c>
    </row>
    <row r="39" spans="3:5">
      <c r="C39" s="2">
        <v>38</v>
      </c>
      <c r="D39" s="2">
        <v>167</v>
      </c>
      <c r="E39" s="2">
        <v>64</v>
      </c>
    </row>
    <row r="40" spans="3:5">
      <c r="C40" s="2">
        <v>39</v>
      </c>
      <c r="D40" s="2">
        <v>174</v>
      </c>
      <c r="E40" s="2">
        <v>69</v>
      </c>
    </row>
    <row r="41" spans="3:5">
      <c r="C41" s="2">
        <v>40</v>
      </c>
      <c r="D41" s="2">
        <v>161</v>
      </c>
      <c r="E41" s="2">
        <v>62</v>
      </c>
    </row>
    <row r="42" spans="3:5">
      <c r="C42" s="2">
        <v>41</v>
      </c>
      <c r="D42" s="2">
        <v>172</v>
      </c>
      <c r="E42" s="2">
        <v>63</v>
      </c>
    </row>
    <row r="43" spans="3:5">
      <c r="C43" s="2">
        <v>42</v>
      </c>
      <c r="D43" s="2">
        <v>171</v>
      </c>
      <c r="E43" s="2">
        <v>69</v>
      </c>
    </row>
    <row r="44" spans="3:5">
      <c r="C44" s="2">
        <v>43</v>
      </c>
      <c r="D44" s="2">
        <v>173</v>
      </c>
      <c r="E44" s="2">
        <v>68</v>
      </c>
    </row>
    <row r="45" spans="3:5">
      <c r="C45" s="2">
        <v>44</v>
      </c>
      <c r="D45" s="2">
        <v>176</v>
      </c>
      <c r="E45" s="2">
        <v>70</v>
      </c>
    </row>
    <row r="46" spans="3:5">
      <c r="C46" s="2">
        <v>45</v>
      </c>
      <c r="D46" s="2">
        <v>156</v>
      </c>
      <c r="E46" s="2">
        <v>54</v>
      </c>
    </row>
    <row r="47" spans="3:5">
      <c r="C47" s="2">
        <v>46</v>
      </c>
      <c r="D47" s="2">
        <v>161</v>
      </c>
      <c r="E47" s="2">
        <v>59</v>
      </c>
    </row>
    <row r="48" spans="3:5">
      <c r="C48" s="2">
        <v>47</v>
      </c>
      <c r="D48" s="2">
        <v>165</v>
      </c>
      <c r="E48" s="2">
        <v>63</v>
      </c>
    </row>
    <row r="49" spans="3:5">
      <c r="C49" s="2">
        <v>48</v>
      </c>
      <c r="D49" s="2">
        <v>174</v>
      </c>
      <c r="E49" s="2">
        <v>66</v>
      </c>
    </row>
    <row r="50" spans="3:5">
      <c r="C50" s="2">
        <v>49</v>
      </c>
      <c r="D50" s="2">
        <v>183</v>
      </c>
      <c r="E50" s="2">
        <v>73</v>
      </c>
    </row>
    <row r="51" spans="3:5">
      <c r="C51" s="2">
        <v>50</v>
      </c>
      <c r="D51" s="2">
        <v>173</v>
      </c>
      <c r="E51" s="2">
        <v>71</v>
      </c>
    </row>
    <row r="52" spans="3:5">
      <c r="C52" s="2">
        <v>51</v>
      </c>
      <c r="D52" s="2">
        <v>160</v>
      </c>
      <c r="E52" s="2">
        <v>61</v>
      </c>
    </row>
    <row r="53" spans="3:5">
      <c r="C53" s="2">
        <v>52</v>
      </c>
      <c r="D53" s="2">
        <v>178</v>
      </c>
      <c r="E53" s="2">
        <v>69</v>
      </c>
    </row>
    <row r="54" spans="3:5">
      <c r="C54" s="2">
        <v>53</v>
      </c>
      <c r="D54" s="2">
        <v>170</v>
      </c>
      <c r="E54" s="2">
        <v>70</v>
      </c>
    </row>
    <row r="55" spans="3:5">
      <c r="C55" s="2">
        <v>54</v>
      </c>
      <c r="D55" s="2">
        <v>168</v>
      </c>
      <c r="E55" s="2">
        <v>60</v>
      </c>
    </row>
    <row r="56" spans="3:5">
      <c r="C56" s="2">
        <v>55</v>
      </c>
      <c r="D56" s="2">
        <v>173</v>
      </c>
      <c r="E56" s="2">
        <v>69</v>
      </c>
    </row>
    <row r="57" spans="3:5">
      <c r="C57" s="2">
        <v>56</v>
      </c>
      <c r="D57" s="2">
        <v>176</v>
      </c>
      <c r="E57" s="2">
        <v>70</v>
      </c>
    </row>
    <row r="58" spans="3:5">
      <c r="C58" s="2">
        <v>57</v>
      </c>
      <c r="D58" s="2">
        <v>170</v>
      </c>
      <c r="E58" s="2">
        <v>58</v>
      </c>
    </row>
    <row r="59" spans="3:5">
      <c r="C59" s="2">
        <v>58</v>
      </c>
      <c r="D59" s="2">
        <v>163</v>
      </c>
      <c r="E59" s="2">
        <v>64</v>
      </c>
    </row>
    <row r="60" spans="3:5">
      <c r="C60" s="2">
        <v>59</v>
      </c>
      <c r="D60" s="2">
        <v>165</v>
      </c>
      <c r="E60" s="2">
        <v>57</v>
      </c>
    </row>
    <row r="61" spans="3:5">
      <c r="C61" s="2">
        <v>60</v>
      </c>
      <c r="D61" s="2">
        <v>165</v>
      </c>
      <c r="E61" s="2">
        <v>60</v>
      </c>
    </row>
    <row r="62" spans="3:5">
      <c r="C62" s="2">
        <v>61</v>
      </c>
      <c r="D62" s="2">
        <v>170</v>
      </c>
      <c r="E62" s="2">
        <v>61</v>
      </c>
    </row>
    <row r="63" spans="3:5">
      <c r="C63" s="2">
        <v>62</v>
      </c>
      <c r="D63" s="2">
        <v>166</v>
      </c>
      <c r="E63" s="2">
        <v>55</v>
      </c>
    </row>
    <row r="64" spans="3:5">
      <c r="C64" s="2">
        <v>63</v>
      </c>
      <c r="D64" s="2">
        <v>165</v>
      </c>
      <c r="E64" s="2">
        <v>63</v>
      </c>
    </row>
    <row r="65" spans="3:5">
      <c r="C65" s="2">
        <v>64</v>
      </c>
      <c r="D65" s="2">
        <v>181</v>
      </c>
      <c r="E65" s="2">
        <v>77</v>
      </c>
    </row>
    <row r="66" spans="3:5">
      <c r="C66" s="2">
        <v>65</v>
      </c>
      <c r="D66" s="2">
        <v>172</v>
      </c>
      <c r="E66" s="2">
        <v>64</v>
      </c>
    </row>
    <row r="67" spans="3:5">
      <c r="C67" s="2">
        <v>66</v>
      </c>
      <c r="D67" s="2">
        <v>165</v>
      </c>
      <c r="E67" s="2">
        <v>63</v>
      </c>
    </row>
    <row r="68" spans="3:5">
      <c r="C68" s="2">
        <v>67</v>
      </c>
      <c r="D68" s="2">
        <v>172</v>
      </c>
      <c r="E68" s="2">
        <v>78</v>
      </c>
    </row>
    <row r="69" spans="3:5">
      <c r="C69" s="2">
        <v>68</v>
      </c>
      <c r="D69" s="2">
        <v>178</v>
      </c>
      <c r="E69" s="2">
        <v>75</v>
      </c>
    </row>
    <row r="70" spans="3:5">
      <c r="C70" s="2">
        <v>69</v>
      </c>
      <c r="D70" s="2">
        <v>169</v>
      </c>
      <c r="E70" s="2">
        <v>74</v>
      </c>
    </row>
    <row r="71" spans="3:5">
      <c r="C71" s="2">
        <v>70</v>
      </c>
      <c r="D71" s="2">
        <v>165</v>
      </c>
      <c r="E71" s="2">
        <v>63</v>
      </c>
    </row>
    <row r="72" spans="3:5">
      <c r="C72" s="2">
        <v>71</v>
      </c>
      <c r="D72" s="2">
        <v>174</v>
      </c>
      <c r="E72" s="2">
        <v>75</v>
      </c>
    </row>
    <row r="73" spans="3:5">
      <c r="C73" s="2">
        <v>72</v>
      </c>
      <c r="D73" s="2">
        <v>159</v>
      </c>
      <c r="E73" s="2">
        <v>54</v>
      </c>
    </row>
    <row r="74" spans="3:5">
      <c r="C74" s="2">
        <v>73</v>
      </c>
      <c r="D74" s="2">
        <v>171</v>
      </c>
      <c r="E74" s="2">
        <v>66</v>
      </c>
    </row>
    <row r="75" spans="3:5">
      <c r="C75" s="2">
        <v>74</v>
      </c>
      <c r="D75" s="2">
        <v>169</v>
      </c>
      <c r="E75" s="2">
        <v>67</v>
      </c>
    </row>
    <row r="76" spans="3:5">
      <c r="C76" s="2">
        <v>75</v>
      </c>
      <c r="D76" s="2">
        <v>176</v>
      </c>
      <c r="E76" s="2">
        <v>62</v>
      </c>
    </row>
    <row r="77" spans="3:5">
      <c r="C77" s="2">
        <v>76</v>
      </c>
      <c r="D77" s="2">
        <v>170</v>
      </c>
      <c r="E77" s="2">
        <v>65</v>
      </c>
    </row>
    <row r="78" spans="3:5">
      <c r="C78" s="2">
        <v>77</v>
      </c>
      <c r="D78" s="2">
        <v>170</v>
      </c>
      <c r="E78" s="2">
        <v>66</v>
      </c>
    </row>
    <row r="79" spans="3:5">
      <c r="C79" s="2">
        <v>78</v>
      </c>
      <c r="D79" s="2">
        <v>165</v>
      </c>
      <c r="E79" s="2">
        <v>61</v>
      </c>
    </row>
    <row r="80" spans="3:5">
      <c r="C80" s="2">
        <v>79</v>
      </c>
      <c r="D80" s="2">
        <v>162</v>
      </c>
      <c r="E80" s="2">
        <v>66</v>
      </c>
    </row>
    <row r="81" spans="3:5">
      <c r="C81" s="2">
        <v>80</v>
      </c>
      <c r="D81" s="2">
        <v>175</v>
      </c>
      <c r="E81" s="2">
        <v>75</v>
      </c>
    </row>
    <row r="82" spans="3:5">
      <c r="C82" s="2">
        <v>81</v>
      </c>
      <c r="D82" s="2">
        <v>157</v>
      </c>
      <c r="E82" s="2">
        <v>53</v>
      </c>
    </row>
    <row r="83" spans="3:5">
      <c r="C83" s="2">
        <v>82</v>
      </c>
      <c r="D83" s="2">
        <v>161</v>
      </c>
      <c r="E83" s="2">
        <v>55</v>
      </c>
    </row>
    <row r="84" spans="3:5">
      <c r="C84" s="2">
        <v>83</v>
      </c>
      <c r="D84" s="2">
        <v>172</v>
      </c>
      <c r="E84" s="2">
        <v>66</v>
      </c>
    </row>
    <row r="85" spans="3:5">
      <c r="C85" s="2">
        <v>84</v>
      </c>
      <c r="D85" s="2">
        <v>159</v>
      </c>
      <c r="E85" s="2">
        <v>55</v>
      </c>
    </row>
    <row r="86" spans="3:5">
      <c r="C86" s="2">
        <v>85</v>
      </c>
      <c r="D86" s="2">
        <v>162</v>
      </c>
      <c r="E86" s="2">
        <v>65</v>
      </c>
    </row>
    <row r="87" spans="3:5">
      <c r="C87" s="2">
        <v>86</v>
      </c>
      <c r="D87" s="2">
        <v>167</v>
      </c>
      <c r="E87" s="2">
        <v>63</v>
      </c>
    </row>
    <row r="88" spans="3:5">
      <c r="C88" s="2">
        <v>87</v>
      </c>
      <c r="D88" s="2">
        <v>159</v>
      </c>
      <c r="E88" s="2">
        <v>68</v>
      </c>
    </row>
    <row r="89" spans="3:5">
      <c r="C89" s="2">
        <v>88</v>
      </c>
      <c r="D89" s="2">
        <v>160</v>
      </c>
      <c r="E89" s="2">
        <v>62</v>
      </c>
    </row>
    <row r="90" spans="3:5">
      <c r="C90" s="2">
        <v>89</v>
      </c>
      <c r="D90" s="2">
        <v>175</v>
      </c>
      <c r="E90" s="2">
        <v>75</v>
      </c>
    </row>
    <row r="91" spans="3:5">
      <c r="C91" s="2">
        <v>90</v>
      </c>
      <c r="D91" s="2">
        <v>163</v>
      </c>
      <c r="E91" s="2">
        <v>67</v>
      </c>
    </row>
    <row r="92" spans="3:5">
      <c r="C92" s="2">
        <v>91</v>
      </c>
      <c r="D92" s="2">
        <v>169</v>
      </c>
      <c r="E92" s="2">
        <v>56</v>
      </c>
    </row>
    <row r="93" spans="3:5">
      <c r="C93" s="2">
        <v>92</v>
      </c>
      <c r="D93" s="2">
        <v>180</v>
      </c>
      <c r="E93" s="2">
        <v>65</v>
      </c>
    </row>
    <row r="94" spans="3:5">
      <c r="C94" s="2">
        <v>93</v>
      </c>
      <c r="D94" s="2">
        <v>165</v>
      </c>
      <c r="E94" s="2">
        <v>63</v>
      </c>
    </row>
    <row r="95" spans="3:5">
      <c r="C95" s="2">
        <v>94</v>
      </c>
      <c r="D95" s="2">
        <v>168</v>
      </c>
      <c r="E95" s="2">
        <v>67</v>
      </c>
    </row>
    <row r="96" spans="3:5">
      <c r="C96" s="2">
        <v>95</v>
      </c>
      <c r="D96" s="2">
        <v>169</v>
      </c>
      <c r="E96" s="2">
        <v>68</v>
      </c>
    </row>
    <row r="97" spans="3:5">
      <c r="C97" s="2">
        <v>96</v>
      </c>
      <c r="D97" s="2">
        <v>170</v>
      </c>
      <c r="E97" s="2">
        <v>69</v>
      </c>
    </row>
    <row r="98" spans="3:5">
      <c r="C98" s="2">
        <v>97</v>
      </c>
      <c r="D98" s="2">
        <v>163</v>
      </c>
      <c r="E98" s="2">
        <v>57</v>
      </c>
    </row>
    <row r="99" spans="3:5">
      <c r="C99" s="2">
        <v>98</v>
      </c>
      <c r="D99" s="2">
        <v>178</v>
      </c>
      <c r="E99" s="2">
        <v>75</v>
      </c>
    </row>
    <row r="100" spans="3:5">
      <c r="C100" s="2">
        <v>99</v>
      </c>
      <c r="D100" s="2">
        <v>162</v>
      </c>
      <c r="E100" s="2">
        <v>53</v>
      </c>
    </row>
    <row r="101" spans="3:5">
      <c r="C101" s="2">
        <v>100</v>
      </c>
      <c r="D101" s="2">
        <v>178</v>
      </c>
      <c r="E101" s="2">
        <v>69</v>
      </c>
    </row>
    <row r="102" spans="3:5">
      <c r="C102" s="2">
        <v>101</v>
      </c>
      <c r="D102" s="2">
        <v>172</v>
      </c>
      <c r="E102" s="2">
        <v>73</v>
      </c>
    </row>
    <row r="103" spans="3:5">
      <c r="C103" s="2">
        <v>102</v>
      </c>
      <c r="D103" s="2">
        <v>162</v>
      </c>
      <c r="E103" s="2">
        <v>65</v>
      </c>
    </row>
    <row r="104" spans="3:5">
      <c r="C104" s="2">
        <v>103</v>
      </c>
      <c r="D104" s="2">
        <v>164</v>
      </c>
      <c r="E104" s="2">
        <v>59</v>
      </c>
    </row>
    <row r="105" spans="3:5">
      <c r="C105" s="2">
        <v>104</v>
      </c>
      <c r="D105" s="2">
        <v>162</v>
      </c>
      <c r="E105" s="2">
        <v>58</v>
      </c>
    </row>
    <row r="106" spans="3:5">
      <c r="C106" s="2">
        <v>105</v>
      </c>
      <c r="D106" s="2">
        <v>171</v>
      </c>
      <c r="E106" s="2">
        <v>70</v>
      </c>
    </row>
    <row r="107" spans="3:5">
      <c r="C107" s="2">
        <v>106</v>
      </c>
      <c r="D107" s="2">
        <v>167</v>
      </c>
      <c r="E107" s="2">
        <v>55</v>
      </c>
    </row>
    <row r="108" spans="3:5">
      <c r="C108" s="2">
        <v>107</v>
      </c>
      <c r="D108" s="2">
        <v>156</v>
      </c>
      <c r="E108" s="2">
        <v>59</v>
      </c>
    </row>
    <row r="109" spans="3:5">
      <c r="C109" s="2">
        <v>108</v>
      </c>
      <c r="D109" s="2">
        <v>172</v>
      </c>
      <c r="E109" s="2">
        <v>67</v>
      </c>
    </row>
    <row r="110" spans="3:5">
      <c r="C110" s="2">
        <v>109</v>
      </c>
      <c r="D110" s="2">
        <v>167</v>
      </c>
      <c r="E110" s="2">
        <v>61</v>
      </c>
    </row>
    <row r="111" spans="3:5">
      <c r="C111" s="2">
        <v>110</v>
      </c>
      <c r="D111" s="2">
        <v>170</v>
      </c>
      <c r="E111" s="2">
        <v>63</v>
      </c>
    </row>
    <row r="112" spans="3:5">
      <c r="C112" s="2">
        <v>111</v>
      </c>
      <c r="D112" s="2">
        <v>169</v>
      </c>
      <c r="E112" s="2">
        <v>74</v>
      </c>
    </row>
    <row r="113" spans="3:5">
      <c r="C113" s="2">
        <v>112</v>
      </c>
      <c r="D113" s="2">
        <v>171</v>
      </c>
      <c r="E113" s="2">
        <v>60</v>
      </c>
    </row>
    <row r="114" spans="3:5">
      <c r="C114" s="2">
        <v>113</v>
      </c>
      <c r="D114" s="2">
        <v>160</v>
      </c>
      <c r="E114" s="2">
        <v>59</v>
      </c>
    </row>
    <row r="115" spans="3:5">
      <c r="C115" s="2">
        <v>114</v>
      </c>
      <c r="D115" s="2">
        <v>169</v>
      </c>
      <c r="E115" s="2">
        <v>57</v>
      </c>
    </row>
    <row r="116" spans="3:5">
      <c r="C116" s="2">
        <v>115</v>
      </c>
      <c r="D116" s="2">
        <v>168</v>
      </c>
      <c r="E116" s="2">
        <v>59</v>
      </c>
    </row>
    <row r="117" spans="3:5">
      <c r="C117" s="2">
        <v>116</v>
      </c>
      <c r="D117" s="2">
        <v>165</v>
      </c>
      <c r="E117" s="2">
        <v>60</v>
      </c>
    </row>
    <row r="118" spans="3:5">
      <c r="C118" s="2">
        <v>117</v>
      </c>
      <c r="D118" s="2">
        <v>164</v>
      </c>
      <c r="E118" s="2">
        <v>59</v>
      </c>
    </row>
    <row r="119" spans="3:5">
      <c r="C119" s="2">
        <v>118</v>
      </c>
      <c r="D119" s="2">
        <v>180</v>
      </c>
      <c r="E119" s="2">
        <v>84</v>
      </c>
    </row>
    <row r="120" spans="3:5">
      <c r="C120" s="2">
        <v>119</v>
      </c>
      <c r="D120" s="2">
        <v>164</v>
      </c>
      <c r="E120" s="2">
        <v>57</v>
      </c>
    </row>
    <row r="121" spans="3:5">
      <c r="C121" s="2">
        <v>120</v>
      </c>
      <c r="D121" s="2">
        <v>171</v>
      </c>
      <c r="E121" s="2">
        <v>64</v>
      </c>
    </row>
    <row r="122" spans="3:5">
      <c r="C122" s="2">
        <v>121</v>
      </c>
      <c r="D122" s="2">
        <v>181</v>
      </c>
      <c r="E122" s="2">
        <v>77</v>
      </c>
    </row>
    <row r="123" spans="3:5">
      <c r="C123" s="2">
        <v>122</v>
      </c>
      <c r="D123" s="2">
        <v>171</v>
      </c>
      <c r="E123" s="2">
        <v>62</v>
      </c>
    </row>
    <row r="124" spans="3:5">
      <c r="C124" s="2">
        <v>123</v>
      </c>
      <c r="D124" s="2">
        <v>172</v>
      </c>
      <c r="E124" s="2">
        <v>74</v>
      </c>
    </row>
    <row r="125" spans="3:5">
      <c r="C125" s="2">
        <v>124</v>
      </c>
      <c r="D125" s="2">
        <v>161</v>
      </c>
      <c r="E125" s="2">
        <v>55</v>
      </c>
    </row>
    <row r="126" spans="3:5">
      <c r="C126" s="2">
        <v>125</v>
      </c>
      <c r="D126" s="2">
        <v>187</v>
      </c>
      <c r="E126" s="2">
        <v>84</v>
      </c>
    </row>
    <row r="127" spans="3:5">
      <c r="C127" s="2">
        <v>126</v>
      </c>
      <c r="D127" s="2">
        <v>163</v>
      </c>
      <c r="E127" s="2">
        <v>57</v>
      </c>
    </row>
    <row r="128" spans="3:5">
      <c r="C128" s="2">
        <v>127</v>
      </c>
      <c r="D128" s="2">
        <v>166</v>
      </c>
      <c r="E128" s="2">
        <v>60</v>
      </c>
    </row>
    <row r="129" spans="3:5">
      <c r="C129" s="2">
        <v>128</v>
      </c>
      <c r="D129" s="2">
        <v>164</v>
      </c>
      <c r="E129" s="2">
        <v>60</v>
      </c>
    </row>
    <row r="130" spans="3:5">
      <c r="C130" s="2">
        <v>129</v>
      </c>
      <c r="D130" s="2">
        <v>159</v>
      </c>
      <c r="E130" s="2">
        <v>68</v>
      </c>
    </row>
    <row r="131" spans="3:5">
      <c r="C131" s="2">
        <v>130</v>
      </c>
      <c r="D131" s="2">
        <v>176</v>
      </c>
      <c r="E131" s="2">
        <v>62</v>
      </c>
    </row>
    <row r="132" spans="3:5">
      <c r="C132" s="2">
        <v>131</v>
      </c>
      <c r="D132" s="2">
        <v>167</v>
      </c>
      <c r="E132" s="2">
        <v>68</v>
      </c>
    </row>
    <row r="133" spans="3:5">
      <c r="C133" s="2">
        <v>132</v>
      </c>
      <c r="D133" s="2">
        <v>167</v>
      </c>
      <c r="E133" s="2">
        <v>64</v>
      </c>
    </row>
    <row r="134" spans="3:5">
      <c r="C134" s="2">
        <v>133</v>
      </c>
      <c r="D134" s="2">
        <v>169</v>
      </c>
      <c r="E134" s="2">
        <v>62</v>
      </c>
    </row>
    <row r="135" spans="3:5">
      <c r="C135" s="2">
        <v>134</v>
      </c>
      <c r="D135" s="2">
        <v>190</v>
      </c>
      <c r="E135" s="2">
        <v>80</v>
      </c>
    </row>
    <row r="136" spans="3:5">
      <c r="C136" s="2">
        <v>135</v>
      </c>
      <c r="D136" s="2">
        <v>171</v>
      </c>
      <c r="E136" s="2">
        <v>70</v>
      </c>
    </row>
    <row r="137" spans="3:5">
      <c r="C137" s="2">
        <v>136</v>
      </c>
      <c r="D137" s="2">
        <v>164</v>
      </c>
      <c r="E137" s="2">
        <v>63</v>
      </c>
    </row>
    <row r="138" spans="3:5">
      <c r="C138" s="2">
        <v>137</v>
      </c>
      <c r="D138" s="2">
        <v>164</v>
      </c>
      <c r="E138" s="2">
        <v>65</v>
      </c>
    </row>
    <row r="139" spans="3:5">
      <c r="C139" s="2">
        <v>138</v>
      </c>
      <c r="D139" s="2">
        <v>177</v>
      </c>
      <c r="E139" s="2">
        <v>67</v>
      </c>
    </row>
    <row r="140" spans="3:5">
      <c r="C140" s="2">
        <v>139</v>
      </c>
      <c r="D140" s="2">
        <v>161</v>
      </c>
      <c r="E140" s="2">
        <v>51</v>
      </c>
    </row>
    <row r="141" spans="3:5">
      <c r="C141" s="2">
        <v>140</v>
      </c>
      <c r="D141" s="2">
        <v>166</v>
      </c>
      <c r="E141" s="2">
        <v>63</v>
      </c>
    </row>
    <row r="142" spans="3:5">
      <c r="C142" s="2">
        <v>141</v>
      </c>
      <c r="D142" s="2">
        <v>172</v>
      </c>
      <c r="E142" s="2">
        <v>67</v>
      </c>
    </row>
    <row r="143" spans="3:5">
      <c r="C143" s="2">
        <v>142</v>
      </c>
      <c r="D143" s="2">
        <v>171</v>
      </c>
      <c r="E143" s="2">
        <v>67</v>
      </c>
    </row>
    <row r="144" spans="3:5">
      <c r="C144" s="2">
        <v>143</v>
      </c>
      <c r="D144" s="2">
        <v>161</v>
      </c>
      <c r="E144" s="2">
        <v>56</v>
      </c>
    </row>
    <row r="145" spans="3:5">
      <c r="C145" s="2">
        <v>144</v>
      </c>
      <c r="D145" s="2">
        <v>173</v>
      </c>
      <c r="E145" s="2">
        <v>77</v>
      </c>
    </row>
    <row r="146" spans="3:5">
      <c r="C146" s="2">
        <v>145</v>
      </c>
      <c r="D146" s="2">
        <v>172</v>
      </c>
      <c r="E146" s="2">
        <v>64</v>
      </c>
    </row>
    <row r="147" spans="3:5">
      <c r="C147" s="2">
        <v>146</v>
      </c>
      <c r="D147" s="2">
        <v>162</v>
      </c>
      <c r="E147" s="2">
        <v>66</v>
      </c>
    </row>
    <row r="148" spans="3:5">
      <c r="C148" s="2">
        <v>147</v>
      </c>
      <c r="D148" s="2">
        <v>167</v>
      </c>
      <c r="E148" s="2">
        <v>61</v>
      </c>
    </row>
    <row r="149" spans="3:5">
      <c r="C149" s="2">
        <v>148</v>
      </c>
      <c r="D149" s="2">
        <v>164</v>
      </c>
      <c r="E149" s="2">
        <v>57</v>
      </c>
    </row>
    <row r="150" spans="3:5">
      <c r="C150" s="2">
        <v>149</v>
      </c>
      <c r="D150" s="2">
        <v>171</v>
      </c>
      <c r="E150" s="2">
        <v>69</v>
      </c>
    </row>
    <row r="151" spans="3:5">
      <c r="C151" s="2">
        <v>150</v>
      </c>
      <c r="D151" s="2">
        <v>174</v>
      </c>
      <c r="E151" s="2">
        <v>74</v>
      </c>
    </row>
    <row r="152" spans="3:5">
      <c r="C152" s="2">
        <v>151</v>
      </c>
      <c r="D152" s="2">
        <v>166</v>
      </c>
      <c r="E152" s="2">
        <v>60</v>
      </c>
    </row>
    <row r="153" spans="3:5">
      <c r="C153" s="2">
        <v>152</v>
      </c>
      <c r="D153" s="2">
        <v>170</v>
      </c>
      <c r="E153" s="2">
        <v>73</v>
      </c>
    </row>
    <row r="154" spans="3:5">
      <c r="C154" s="2">
        <v>153</v>
      </c>
      <c r="D154" s="2">
        <v>166</v>
      </c>
      <c r="E154" s="2">
        <v>57</v>
      </c>
    </row>
    <row r="155" spans="3:5">
      <c r="C155" s="2">
        <v>154</v>
      </c>
      <c r="D155" s="2">
        <v>177</v>
      </c>
      <c r="E155" s="2">
        <v>68</v>
      </c>
    </row>
    <row r="156" spans="3:5">
      <c r="C156" s="2">
        <v>155</v>
      </c>
      <c r="D156" s="2">
        <v>172</v>
      </c>
      <c r="E156" s="2">
        <v>63</v>
      </c>
    </row>
    <row r="157" spans="3:5">
      <c r="C157" s="2">
        <v>156</v>
      </c>
      <c r="D157" s="2">
        <v>161</v>
      </c>
      <c r="E157" s="2">
        <v>60</v>
      </c>
    </row>
    <row r="158" spans="3:5">
      <c r="C158" s="2">
        <v>157</v>
      </c>
      <c r="D158" s="2">
        <v>172</v>
      </c>
      <c r="E158" s="2">
        <v>67</v>
      </c>
    </row>
    <row r="159" spans="3:5">
      <c r="C159" s="2">
        <v>158</v>
      </c>
      <c r="D159" s="2">
        <v>163</v>
      </c>
      <c r="E159" s="2">
        <v>65</v>
      </c>
    </row>
    <row r="160" spans="3:5">
      <c r="C160" s="2">
        <v>159</v>
      </c>
      <c r="D160" s="2">
        <v>176</v>
      </c>
      <c r="E160" s="2">
        <v>67</v>
      </c>
    </row>
    <row r="161" spans="3:5">
      <c r="C161" s="2">
        <v>160</v>
      </c>
      <c r="D161" s="2">
        <v>161</v>
      </c>
      <c r="E161" s="2">
        <v>55</v>
      </c>
    </row>
    <row r="162" spans="3:5">
      <c r="C162" s="2">
        <v>161</v>
      </c>
      <c r="D162" s="2">
        <v>161</v>
      </c>
      <c r="E162" s="2">
        <v>60</v>
      </c>
    </row>
    <row r="163" spans="3:5">
      <c r="C163" s="2">
        <v>162</v>
      </c>
      <c r="D163" s="2">
        <v>172</v>
      </c>
      <c r="E163" s="2">
        <v>72</v>
      </c>
    </row>
    <row r="164" spans="3:5">
      <c r="C164" s="2">
        <v>163</v>
      </c>
      <c r="D164" s="2">
        <v>167</v>
      </c>
      <c r="E164" s="2">
        <v>61</v>
      </c>
    </row>
    <row r="165" spans="3:5">
      <c r="C165" s="2">
        <v>164</v>
      </c>
      <c r="D165" s="2">
        <v>168</v>
      </c>
      <c r="E165" s="2">
        <v>63</v>
      </c>
    </row>
    <row r="166" spans="3:5">
      <c r="C166" s="2">
        <v>165</v>
      </c>
      <c r="D166" s="2">
        <v>161</v>
      </c>
      <c r="E166" s="2">
        <v>61</v>
      </c>
    </row>
    <row r="167" spans="3:5">
      <c r="C167" s="2">
        <v>166</v>
      </c>
      <c r="D167" s="2">
        <v>169</v>
      </c>
      <c r="E167" s="2">
        <v>59</v>
      </c>
    </row>
    <row r="168" spans="3:5">
      <c r="C168" s="2">
        <v>167</v>
      </c>
      <c r="D168" s="2">
        <v>168</v>
      </c>
      <c r="E168" s="2">
        <v>70</v>
      </c>
    </row>
    <row r="169" spans="3:5">
      <c r="C169" s="2">
        <v>168</v>
      </c>
      <c r="D169" s="2">
        <v>170</v>
      </c>
      <c r="E169" s="2">
        <v>61</v>
      </c>
    </row>
    <row r="170" spans="3:5">
      <c r="C170" s="2">
        <v>169</v>
      </c>
      <c r="D170" s="2">
        <v>166</v>
      </c>
      <c r="E170" s="2">
        <v>55</v>
      </c>
    </row>
    <row r="171" spans="3:5">
      <c r="C171" s="2">
        <v>170</v>
      </c>
      <c r="D171" s="2">
        <v>175</v>
      </c>
      <c r="E171" s="2">
        <v>64</v>
      </c>
    </row>
    <row r="172" spans="3:5">
      <c r="C172" s="2">
        <v>171</v>
      </c>
      <c r="D172" s="2">
        <v>180</v>
      </c>
      <c r="E172" s="2">
        <v>73</v>
      </c>
    </row>
    <row r="173" spans="3:5">
      <c r="C173" s="2">
        <v>172</v>
      </c>
      <c r="D173" s="2">
        <v>164</v>
      </c>
      <c r="E173" s="2">
        <v>56</v>
      </c>
    </row>
    <row r="174" spans="3:5">
      <c r="C174" s="2">
        <v>173</v>
      </c>
      <c r="D174" s="2">
        <v>161</v>
      </c>
      <c r="E174" s="2">
        <v>51</v>
      </c>
    </row>
    <row r="175" spans="3:5">
      <c r="C175" s="2">
        <v>174</v>
      </c>
      <c r="D175" s="2">
        <v>162</v>
      </c>
      <c r="E175" s="2">
        <v>61</v>
      </c>
    </row>
    <row r="176" spans="3:5">
      <c r="C176" s="2">
        <v>175</v>
      </c>
      <c r="D176" s="2">
        <v>171</v>
      </c>
      <c r="E176" s="2">
        <v>67</v>
      </c>
    </row>
    <row r="177" spans="3:5">
      <c r="C177" s="2">
        <v>176</v>
      </c>
      <c r="D177" s="2">
        <v>166</v>
      </c>
      <c r="E177" s="2">
        <v>63</v>
      </c>
    </row>
    <row r="178" spans="3:5">
      <c r="C178" s="2">
        <v>177</v>
      </c>
      <c r="D178" s="2">
        <v>179</v>
      </c>
      <c r="E178" s="2">
        <v>71</v>
      </c>
    </row>
    <row r="179" spans="3:5">
      <c r="C179" s="2">
        <v>178</v>
      </c>
      <c r="D179" s="2">
        <v>162</v>
      </c>
      <c r="E179" s="2">
        <v>52</v>
      </c>
    </row>
    <row r="180" spans="3:5">
      <c r="C180" s="2">
        <v>179</v>
      </c>
      <c r="D180" s="2">
        <v>167</v>
      </c>
      <c r="E180" s="2">
        <v>55</v>
      </c>
    </row>
    <row r="181" spans="3:5">
      <c r="C181" s="2">
        <v>180</v>
      </c>
      <c r="D181" s="2">
        <v>176</v>
      </c>
      <c r="E181" s="2">
        <v>70</v>
      </c>
    </row>
    <row r="182" spans="3:5">
      <c r="C182" s="2">
        <v>181</v>
      </c>
      <c r="D182" s="2">
        <v>163</v>
      </c>
      <c r="E182" s="2">
        <v>63</v>
      </c>
    </row>
    <row r="183" spans="3:5">
      <c r="C183" s="2">
        <v>182</v>
      </c>
      <c r="D183" s="2">
        <v>169</v>
      </c>
      <c r="E183" s="2">
        <v>62</v>
      </c>
    </row>
    <row r="184" spans="3:5">
      <c r="C184" s="2">
        <v>183</v>
      </c>
      <c r="D184" s="2">
        <v>174</v>
      </c>
      <c r="E184" s="2">
        <v>73</v>
      </c>
    </row>
    <row r="185" spans="3:5">
      <c r="C185" s="2">
        <v>184</v>
      </c>
      <c r="D185" s="2">
        <v>167</v>
      </c>
      <c r="E185" s="2">
        <v>65</v>
      </c>
    </row>
    <row r="186" spans="3:5">
      <c r="C186" s="2">
        <v>185</v>
      </c>
      <c r="D186" s="2">
        <v>179</v>
      </c>
      <c r="E186" s="2">
        <v>63</v>
      </c>
    </row>
    <row r="187" spans="3:5">
      <c r="C187" s="2">
        <v>186</v>
      </c>
      <c r="D187" s="2">
        <v>173</v>
      </c>
      <c r="E187" s="2">
        <v>63</v>
      </c>
    </row>
    <row r="188" spans="3:5">
      <c r="C188" s="2">
        <v>187</v>
      </c>
      <c r="D188" s="2">
        <v>172</v>
      </c>
      <c r="E188" s="2">
        <v>67</v>
      </c>
    </row>
    <row r="189" spans="3:5">
      <c r="C189" s="2">
        <v>188</v>
      </c>
      <c r="D189" s="2">
        <v>171</v>
      </c>
      <c r="E189" s="2">
        <v>66</v>
      </c>
    </row>
    <row r="190" spans="3:5">
      <c r="C190" s="2">
        <v>189</v>
      </c>
      <c r="D190" s="2">
        <v>171</v>
      </c>
      <c r="E190" s="2">
        <v>64</v>
      </c>
    </row>
    <row r="191" spans="3:5">
      <c r="C191" s="2">
        <v>190</v>
      </c>
      <c r="D191" s="2">
        <v>171</v>
      </c>
      <c r="E191" s="2">
        <v>67</v>
      </c>
    </row>
    <row r="192" spans="3:5">
      <c r="C192" s="2">
        <v>191</v>
      </c>
      <c r="D192" s="2">
        <v>163</v>
      </c>
      <c r="E192" s="2">
        <v>72</v>
      </c>
    </row>
    <row r="193" spans="3:5">
      <c r="C193" s="2">
        <v>192</v>
      </c>
      <c r="D193" s="2">
        <v>168</v>
      </c>
      <c r="E193" s="2">
        <v>64</v>
      </c>
    </row>
    <row r="194" spans="3:5">
      <c r="C194" s="2">
        <v>193</v>
      </c>
      <c r="D194" s="2">
        <v>164</v>
      </c>
      <c r="E194" s="2">
        <v>70</v>
      </c>
    </row>
    <row r="195" spans="3:5">
      <c r="C195" s="2">
        <v>194</v>
      </c>
      <c r="D195" s="2">
        <v>167</v>
      </c>
      <c r="E195" s="2">
        <v>66</v>
      </c>
    </row>
    <row r="196" spans="3:5">
      <c r="C196" s="2">
        <v>195</v>
      </c>
      <c r="D196" s="2">
        <v>171</v>
      </c>
      <c r="E196" s="2">
        <v>65</v>
      </c>
    </row>
    <row r="197" spans="3:5">
      <c r="C197" s="2">
        <v>196</v>
      </c>
      <c r="D197" s="2">
        <v>165</v>
      </c>
      <c r="E197" s="2">
        <v>62</v>
      </c>
    </row>
    <row r="198" spans="3:5">
      <c r="C198" s="2">
        <v>197</v>
      </c>
      <c r="D198" s="2">
        <v>164</v>
      </c>
      <c r="E198" s="2">
        <v>61</v>
      </c>
    </row>
    <row r="199" spans="3:5">
      <c r="C199" s="2">
        <v>198</v>
      </c>
      <c r="D199" s="2">
        <v>180</v>
      </c>
      <c r="E199" s="2">
        <v>76</v>
      </c>
    </row>
    <row r="200" spans="3:5">
      <c r="C200" s="2">
        <v>199</v>
      </c>
      <c r="D200" s="2">
        <v>165</v>
      </c>
      <c r="E200" s="2">
        <v>76</v>
      </c>
    </row>
    <row r="201" spans="3:5">
      <c r="C201" s="2">
        <v>200</v>
      </c>
      <c r="D201" s="2">
        <v>165</v>
      </c>
      <c r="E201" s="2">
        <v>63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6E47-D326-434F-96D2-5F9D08F0F6A9}">
  <dimension ref="A1:AO211"/>
  <sheetViews>
    <sheetView zoomScaleNormal="100" workbookViewId="0">
      <selection activeCell="H1" sqref="H1"/>
    </sheetView>
  </sheetViews>
  <sheetFormatPr baseColWidth="10" defaultRowHeight="16"/>
  <cols>
    <col min="1" max="1" width="82.5" bestFit="1" customWidth="1"/>
    <col min="3" max="5" width="6.6640625" customWidth="1"/>
  </cols>
  <sheetData>
    <row r="1" spans="1:41" ht="17" thickBot="1">
      <c r="A1" s="62" t="s">
        <v>3</v>
      </c>
      <c r="C1" s="1" t="s">
        <v>0</v>
      </c>
      <c r="D1" s="1" t="s">
        <v>1</v>
      </c>
      <c r="E1" s="1" t="s">
        <v>2</v>
      </c>
    </row>
    <row r="2" spans="1:41" ht="21" thickBot="1">
      <c r="A2" s="61" t="s">
        <v>60</v>
      </c>
      <c r="C2" s="2">
        <v>1</v>
      </c>
      <c r="D2" s="2">
        <v>176</v>
      </c>
      <c r="E2" s="2">
        <v>65</v>
      </c>
      <c r="H2" s="64" t="s">
        <v>67</v>
      </c>
      <c r="I2" s="66">
        <v>51</v>
      </c>
      <c r="J2" s="66">
        <v>52</v>
      </c>
      <c r="K2" s="66">
        <v>53</v>
      </c>
      <c r="L2" s="66">
        <v>54</v>
      </c>
      <c r="M2" s="66">
        <v>55</v>
      </c>
      <c r="N2" s="66">
        <v>56</v>
      </c>
      <c r="O2" s="66">
        <v>57</v>
      </c>
      <c r="P2" s="66">
        <v>58</v>
      </c>
      <c r="Q2" s="66">
        <v>59</v>
      </c>
      <c r="R2" s="66">
        <v>60</v>
      </c>
      <c r="S2" s="66">
        <v>61</v>
      </c>
      <c r="T2" s="66">
        <v>62</v>
      </c>
      <c r="U2" s="66">
        <v>63</v>
      </c>
      <c r="V2" s="66">
        <v>64</v>
      </c>
      <c r="W2" s="66">
        <v>65</v>
      </c>
      <c r="X2" s="66">
        <v>66</v>
      </c>
      <c r="Y2" s="66">
        <v>67</v>
      </c>
      <c r="Z2" s="66">
        <v>68</v>
      </c>
      <c r="AA2" s="66">
        <v>69</v>
      </c>
      <c r="AB2" s="66">
        <v>70</v>
      </c>
      <c r="AC2" s="66">
        <v>71</v>
      </c>
      <c r="AD2" s="66">
        <v>72</v>
      </c>
      <c r="AE2" s="66">
        <v>73</v>
      </c>
      <c r="AF2" s="66">
        <v>74</v>
      </c>
      <c r="AG2" s="66">
        <v>75</v>
      </c>
      <c r="AH2" s="66">
        <v>76</v>
      </c>
      <c r="AI2" s="66">
        <v>77</v>
      </c>
      <c r="AJ2" s="66">
        <v>78</v>
      </c>
      <c r="AK2" s="66">
        <v>80</v>
      </c>
      <c r="AL2" s="66">
        <v>81</v>
      </c>
      <c r="AM2" s="66">
        <v>84</v>
      </c>
      <c r="AN2" s="69" t="s">
        <v>68</v>
      </c>
      <c r="AO2" s="71" t="s">
        <v>70</v>
      </c>
    </row>
    <row r="3" spans="1:41" ht="17" thickBot="1">
      <c r="A3" s="61" t="s">
        <v>64</v>
      </c>
      <c r="C3" s="2">
        <v>2</v>
      </c>
      <c r="D3" s="2">
        <v>171</v>
      </c>
      <c r="E3" s="2">
        <v>70</v>
      </c>
      <c r="H3" s="65">
        <v>156</v>
      </c>
      <c r="I3" s="63">
        <v>0</v>
      </c>
      <c r="J3" s="63">
        <v>0</v>
      </c>
      <c r="K3" s="63">
        <v>0</v>
      </c>
      <c r="L3" s="17">
        <v>1</v>
      </c>
      <c r="M3" s="63">
        <v>0</v>
      </c>
      <c r="N3" s="63">
        <v>0</v>
      </c>
      <c r="O3" s="63">
        <v>0</v>
      </c>
      <c r="P3" s="63">
        <v>0</v>
      </c>
      <c r="Q3" s="17">
        <v>1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27">
        <f>SUM(I3:AM3)</f>
        <v>2</v>
      </c>
      <c r="AO3" s="54">
        <v>56.5</v>
      </c>
    </row>
    <row r="4" spans="1:41" ht="17" thickBot="1">
      <c r="A4" s="61" t="s">
        <v>65</v>
      </c>
      <c r="C4" s="2">
        <v>3</v>
      </c>
      <c r="D4" s="2">
        <v>166</v>
      </c>
      <c r="E4" s="2">
        <v>57</v>
      </c>
      <c r="H4" s="65">
        <v>157</v>
      </c>
      <c r="I4" s="63">
        <v>0</v>
      </c>
      <c r="J4" s="63">
        <v>0</v>
      </c>
      <c r="K4" s="63">
        <v>1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17">
        <v>1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  <c r="AG4" s="63">
        <v>0</v>
      </c>
      <c r="AH4" s="63">
        <v>0</v>
      </c>
      <c r="AI4" s="63">
        <v>0</v>
      </c>
      <c r="AJ4" s="63">
        <v>0</v>
      </c>
      <c r="AK4" s="63">
        <v>0</v>
      </c>
      <c r="AL4" s="63">
        <v>0</v>
      </c>
      <c r="AM4" s="63">
        <v>0</v>
      </c>
      <c r="AN4" s="29">
        <f t="shared" ref="AN4:AN33" si="0">SUM(I4:AM4)</f>
        <v>2</v>
      </c>
      <c r="AO4" s="70">
        <v>56.5</v>
      </c>
    </row>
    <row r="5" spans="1:41" ht="19" thickBot="1">
      <c r="A5" s="61" t="s">
        <v>66</v>
      </c>
      <c r="C5" s="2">
        <v>4</v>
      </c>
      <c r="D5" s="2">
        <v>182</v>
      </c>
      <c r="E5" s="2">
        <v>76</v>
      </c>
      <c r="H5" s="65">
        <v>159</v>
      </c>
      <c r="I5" s="63">
        <v>0</v>
      </c>
      <c r="J5" s="63">
        <v>0</v>
      </c>
      <c r="K5" s="63">
        <v>0</v>
      </c>
      <c r="L5" s="17">
        <v>1</v>
      </c>
      <c r="M5" s="17">
        <v>1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17">
        <v>2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0</v>
      </c>
      <c r="AL5" s="63">
        <v>0</v>
      </c>
      <c r="AM5" s="63">
        <v>0</v>
      </c>
      <c r="AN5" s="29">
        <f t="shared" si="0"/>
        <v>4</v>
      </c>
      <c r="AO5" s="5">
        <v>61.25</v>
      </c>
    </row>
    <row r="6" spans="1:41" ht="17" thickBot="1">
      <c r="C6" s="2">
        <v>5</v>
      </c>
      <c r="D6" s="2">
        <v>165</v>
      </c>
      <c r="E6" s="2">
        <v>59</v>
      </c>
      <c r="H6" s="65">
        <v>160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17">
        <v>1</v>
      </c>
      <c r="R6" s="63">
        <v>0</v>
      </c>
      <c r="S6" s="17">
        <v>1</v>
      </c>
      <c r="T6" s="17">
        <v>1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29">
        <f t="shared" si="0"/>
        <v>3</v>
      </c>
      <c r="AO6" s="37">
        <v>60.7</v>
      </c>
    </row>
    <row r="7" spans="1:41" ht="17" thickBot="1">
      <c r="C7" s="2">
        <v>6</v>
      </c>
      <c r="D7" s="2">
        <v>168</v>
      </c>
      <c r="E7" s="2">
        <v>62</v>
      </c>
      <c r="H7" s="65">
        <v>161</v>
      </c>
      <c r="I7" s="63">
        <v>3</v>
      </c>
      <c r="J7" s="3">
        <v>1</v>
      </c>
      <c r="K7" s="63">
        <v>0</v>
      </c>
      <c r="L7" s="63">
        <v>0</v>
      </c>
      <c r="M7" s="17">
        <v>4</v>
      </c>
      <c r="N7" s="17">
        <v>1</v>
      </c>
      <c r="O7" s="63">
        <v>0</v>
      </c>
      <c r="P7" s="63">
        <v>0</v>
      </c>
      <c r="Q7" s="17">
        <v>2</v>
      </c>
      <c r="R7" s="17">
        <v>2</v>
      </c>
      <c r="S7" s="17">
        <v>1</v>
      </c>
      <c r="T7" s="17">
        <v>1</v>
      </c>
      <c r="U7" s="17">
        <v>0</v>
      </c>
      <c r="V7" s="17">
        <v>0</v>
      </c>
      <c r="W7" s="17">
        <v>0</v>
      </c>
      <c r="X7" s="17">
        <v>2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29">
        <f t="shared" si="0"/>
        <v>17</v>
      </c>
      <c r="AO7" s="37">
        <v>57.22</v>
      </c>
    </row>
    <row r="8" spans="1:41" ht="17" thickBot="1">
      <c r="C8" s="2">
        <v>7</v>
      </c>
      <c r="D8" s="2">
        <v>170</v>
      </c>
      <c r="E8" s="2">
        <v>76</v>
      </c>
      <c r="H8" s="65">
        <v>162</v>
      </c>
      <c r="I8" s="63">
        <v>0</v>
      </c>
      <c r="J8" s="67">
        <v>1</v>
      </c>
      <c r="K8" s="63">
        <v>1</v>
      </c>
      <c r="L8" s="63">
        <v>0</v>
      </c>
      <c r="M8" s="63">
        <v>0</v>
      </c>
      <c r="N8" s="63">
        <v>0</v>
      </c>
      <c r="O8" s="63">
        <v>0</v>
      </c>
      <c r="P8" s="63">
        <v>1</v>
      </c>
      <c r="Q8" s="63">
        <v>0</v>
      </c>
      <c r="R8" s="17">
        <v>1</v>
      </c>
      <c r="S8" s="17">
        <v>1</v>
      </c>
      <c r="T8" s="63">
        <v>0</v>
      </c>
      <c r="U8" s="63">
        <v>0</v>
      </c>
      <c r="V8" s="63">
        <v>0</v>
      </c>
      <c r="W8" s="17">
        <v>2</v>
      </c>
      <c r="X8" s="17">
        <v>2</v>
      </c>
      <c r="Y8" s="63">
        <v>0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63">
        <v>0</v>
      </c>
      <c r="AH8" s="63">
        <v>0</v>
      </c>
      <c r="AI8" s="63">
        <v>0</v>
      </c>
      <c r="AJ8" s="63">
        <v>0</v>
      </c>
      <c r="AK8" s="63">
        <v>0</v>
      </c>
      <c r="AL8" s="63">
        <v>0</v>
      </c>
      <c r="AM8" s="63">
        <v>0</v>
      </c>
      <c r="AN8" s="29">
        <f t="shared" si="0"/>
        <v>9</v>
      </c>
      <c r="AO8" s="37">
        <v>54.22</v>
      </c>
    </row>
    <row r="9" spans="1:41" ht="17" thickBot="1">
      <c r="C9" s="2">
        <v>8</v>
      </c>
      <c r="D9" s="2">
        <v>181</v>
      </c>
      <c r="E9" s="2">
        <v>68</v>
      </c>
      <c r="H9" s="65">
        <v>163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2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1</v>
      </c>
      <c r="V9" s="63">
        <v>1</v>
      </c>
      <c r="W9" s="17">
        <v>2</v>
      </c>
      <c r="X9" s="63">
        <v>0</v>
      </c>
      <c r="Y9" s="63">
        <v>1</v>
      </c>
      <c r="Z9" s="63">
        <v>0</v>
      </c>
      <c r="AA9" s="63">
        <v>0</v>
      </c>
      <c r="AB9" s="63">
        <v>0</v>
      </c>
      <c r="AC9" s="63">
        <v>0</v>
      </c>
      <c r="AD9" s="63">
        <v>1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  <c r="AJ9" s="63">
        <v>0</v>
      </c>
      <c r="AK9" s="63">
        <v>0</v>
      </c>
      <c r="AL9" s="63">
        <v>0</v>
      </c>
      <c r="AM9" s="63">
        <v>0</v>
      </c>
      <c r="AN9" s="29">
        <f t="shared" si="0"/>
        <v>8</v>
      </c>
      <c r="AO9" s="37">
        <v>63.75</v>
      </c>
    </row>
    <row r="10" spans="1:41" ht="17" thickBot="1">
      <c r="C10" s="2">
        <v>9</v>
      </c>
      <c r="D10" s="2">
        <v>161</v>
      </c>
      <c r="E10" s="2">
        <v>66</v>
      </c>
      <c r="H10" s="65">
        <v>164</v>
      </c>
      <c r="I10" s="63">
        <v>0</v>
      </c>
      <c r="J10" s="67">
        <v>0</v>
      </c>
      <c r="K10" s="63">
        <v>1</v>
      </c>
      <c r="L10" s="63">
        <v>0</v>
      </c>
      <c r="M10" s="63">
        <v>0</v>
      </c>
      <c r="N10" s="63">
        <v>1</v>
      </c>
      <c r="O10" s="63">
        <v>2</v>
      </c>
      <c r="P10" s="63">
        <v>0</v>
      </c>
      <c r="Q10" s="63">
        <v>2</v>
      </c>
      <c r="R10" s="63">
        <v>1</v>
      </c>
      <c r="S10" s="63">
        <v>1</v>
      </c>
      <c r="T10" s="63">
        <v>0</v>
      </c>
      <c r="U10" s="63">
        <v>1</v>
      </c>
      <c r="V10" s="63">
        <v>0</v>
      </c>
      <c r="W10" s="17">
        <v>1</v>
      </c>
      <c r="X10" s="63">
        <v>0</v>
      </c>
      <c r="Y10" s="63">
        <v>0</v>
      </c>
      <c r="Z10" s="63">
        <v>0</v>
      </c>
      <c r="AA10" s="63">
        <v>0</v>
      </c>
      <c r="AB10" s="63">
        <v>1</v>
      </c>
      <c r="AC10" s="63">
        <v>0</v>
      </c>
      <c r="AD10" s="63">
        <v>0</v>
      </c>
      <c r="AE10" s="63">
        <v>0</v>
      </c>
      <c r="AF10" s="63">
        <v>0</v>
      </c>
      <c r="AG10" s="63">
        <v>0</v>
      </c>
      <c r="AH10" s="63">
        <v>0</v>
      </c>
      <c r="AI10" s="63">
        <v>0</v>
      </c>
      <c r="AJ10" s="63">
        <v>0</v>
      </c>
      <c r="AK10" s="63">
        <v>0</v>
      </c>
      <c r="AL10" s="63">
        <v>0</v>
      </c>
      <c r="AM10" s="63">
        <v>0</v>
      </c>
      <c r="AN10" s="29">
        <f t="shared" si="0"/>
        <v>11</v>
      </c>
      <c r="AO10" s="37">
        <v>60</v>
      </c>
    </row>
    <row r="11" spans="1:41" ht="17" thickBot="1">
      <c r="C11" s="2">
        <v>10</v>
      </c>
      <c r="D11" s="2">
        <v>168</v>
      </c>
      <c r="E11" s="2">
        <v>67</v>
      </c>
      <c r="H11" s="65">
        <v>165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1</v>
      </c>
      <c r="O11" s="63">
        <v>1</v>
      </c>
      <c r="P11" s="63">
        <v>0</v>
      </c>
      <c r="Q11" s="63">
        <v>1</v>
      </c>
      <c r="R11" s="63">
        <v>2</v>
      </c>
      <c r="S11" s="63">
        <v>1</v>
      </c>
      <c r="T11" s="63">
        <v>1</v>
      </c>
      <c r="U11" s="63">
        <v>8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0</v>
      </c>
      <c r="AH11" s="63">
        <v>1</v>
      </c>
      <c r="AI11" s="63">
        <v>0</v>
      </c>
      <c r="AJ11" s="63">
        <v>0</v>
      </c>
      <c r="AK11" s="63">
        <v>0</v>
      </c>
      <c r="AL11" s="63">
        <v>0</v>
      </c>
      <c r="AM11" s="63">
        <v>0</v>
      </c>
      <c r="AN11" s="29">
        <f t="shared" si="0"/>
        <v>16</v>
      </c>
      <c r="AO11" s="37">
        <v>62.18</v>
      </c>
    </row>
    <row r="12" spans="1:41" ht="17" thickBot="1">
      <c r="C12" s="2">
        <v>11</v>
      </c>
      <c r="D12" s="2">
        <v>161</v>
      </c>
      <c r="E12" s="2">
        <v>55</v>
      </c>
      <c r="H12" s="65">
        <v>166</v>
      </c>
      <c r="I12" s="63">
        <v>0</v>
      </c>
      <c r="J12" s="63">
        <v>0</v>
      </c>
      <c r="K12" s="63">
        <v>0</v>
      </c>
      <c r="L12" s="63">
        <v>0</v>
      </c>
      <c r="M12" s="63">
        <v>2</v>
      </c>
      <c r="N12" s="63">
        <v>0</v>
      </c>
      <c r="O12" s="63">
        <v>2</v>
      </c>
      <c r="P12" s="63">
        <v>0</v>
      </c>
      <c r="Q12" s="63">
        <v>0</v>
      </c>
      <c r="R12" s="63">
        <v>2</v>
      </c>
      <c r="S12" s="63">
        <v>0</v>
      </c>
      <c r="T12" s="63">
        <v>1</v>
      </c>
      <c r="U12" s="63">
        <v>2</v>
      </c>
      <c r="V12" s="63">
        <v>0</v>
      </c>
      <c r="W12" s="63">
        <v>0</v>
      </c>
      <c r="X12" s="63">
        <v>0</v>
      </c>
      <c r="Y12" s="63">
        <v>1</v>
      </c>
      <c r="Z12" s="63">
        <v>0</v>
      </c>
      <c r="AA12" s="63">
        <v>0</v>
      </c>
      <c r="AB12" s="63">
        <v>0</v>
      </c>
      <c r="AC12" s="63">
        <v>0</v>
      </c>
      <c r="AD12" s="63">
        <v>0</v>
      </c>
      <c r="AE12" s="63">
        <v>0</v>
      </c>
      <c r="AF12" s="63">
        <v>0</v>
      </c>
      <c r="AG12" s="63">
        <v>0</v>
      </c>
      <c r="AH12" s="63">
        <v>0</v>
      </c>
      <c r="AI12" s="63">
        <v>0</v>
      </c>
      <c r="AJ12" s="63">
        <v>0</v>
      </c>
      <c r="AK12" s="63">
        <v>0</v>
      </c>
      <c r="AL12" s="63">
        <v>0</v>
      </c>
      <c r="AM12" s="63">
        <v>0</v>
      </c>
      <c r="AN12" s="29">
        <f t="shared" si="0"/>
        <v>10</v>
      </c>
      <c r="AO12" s="37">
        <v>59.9</v>
      </c>
    </row>
    <row r="13" spans="1:41" ht="17" thickBot="1">
      <c r="C13" s="2">
        <v>12</v>
      </c>
      <c r="D13" s="2">
        <v>161</v>
      </c>
      <c r="E13" s="2">
        <v>66</v>
      </c>
      <c r="H13" s="65">
        <v>167</v>
      </c>
      <c r="I13" s="63">
        <v>0</v>
      </c>
      <c r="J13" s="63">
        <v>0</v>
      </c>
      <c r="K13" s="63">
        <v>0</v>
      </c>
      <c r="L13" s="63">
        <v>0</v>
      </c>
      <c r="M13" s="63">
        <v>2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3</v>
      </c>
      <c r="T13" s="63">
        <v>0</v>
      </c>
      <c r="U13" s="63">
        <v>2</v>
      </c>
      <c r="V13" s="63">
        <v>2</v>
      </c>
      <c r="W13" s="17">
        <v>2</v>
      </c>
      <c r="X13" s="63">
        <v>1</v>
      </c>
      <c r="Y13" s="63">
        <v>0</v>
      </c>
      <c r="Z13" s="63">
        <v>1</v>
      </c>
      <c r="AA13" s="63">
        <v>0</v>
      </c>
      <c r="AB13" s="63">
        <v>0</v>
      </c>
      <c r="AC13" s="63">
        <v>0</v>
      </c>
      <c r="AD13" s="63">
        <v>0</v>
      </c>
      <c r="AE13" s="63">
        <v>0</v>
      </c>
      <c r="AF13" s="63">
        <v>0</v>
      </c>
      <c r="AG13" s="63">
        <v>0</v>
      </c>
      <c r="AH13" s="63">
        <v>0</v>
      </c>
      <c r="AI13" s="63">
        <v>0</v>
      </c>
      <c r="AJ13" s="63">
        <v>0</v>
      </c>
      <c r="AK13" s="63">
        <v>0</v>
      </c>
      <c r="AL13" s="63">
        <v>0</v>
      </c>
      <c r="AM13" s="63">
        <v>0</v>
      </c>
      <c r="AN13" s="29">
        <f t="shared" si="0"/>
        <v>13</v>
      </c>
      <c r="AO13" s="37">
        <v>62.33</v>
      </c>
    </row>
    <row r="14" spans="1:41" ht="17" thickBot="1">
      <c r="C14" s="2">
        <v>13</v>
      </c>
      <c r="D14" s="2">
        <v>165</v>
      </c>
      <c r="E14" s="2">
        <v>63</v>
      </c>
      <c r="H14" s="65">
        <v>168</v>
      </c>
      <c r="I14" s="63">
        <v>0</v>
      </c>
      <c r="J14" s="63">
        <v>0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0</v>
      </c>
      <c r="Q14" s="63">
        <v>1</v>
      </c>
      <c r="R14" s="63">
        <v>1</v>
      </c>
      <c r="S14" s="63">
        <v>0</v>
      </c>
      <c r="T14" s="63">
        <v>1</v>
      </c>
      <c r="U14" s="63">
        <v>1</v>
      </c>
      <c r="V14" s="63">
        <v>1</v>
      </c>
      <c r="W14" s="63">
        <v>0</v>
      </c>
      <c r="X14" s="63">
        <v>1</v>
      </c>
      <c r="Y14" s="63">
        <v>2</v>
      </c>
      <c r="Z14" s="63">
        <v>0</v>
      </c>
      <c r="AA14" s="63">
        <v>0</v>
      </c>
      <c r="AB14" s="63">
        <v>1</v>
      </c>
      <c r="AC14" s="63">
        <v>0</v>
      </c>
      <c r="AD14" s="63">
        <v>0</v>
      </c>
      <c r="AE14" s="63">
        <v>1</v>
      </c>
      <c r="AF14" s="63">
        <v>0</v>
      </c>
      <c r="AG14" s="63">
        <v>0</v>
      </c>
      <c r="AH14" s="63">
        <v>0</v>
      </c>
      <c r="AI14" s="63">
        <v>0</v>
      </c>
      <c r="AJ14" s="63">
        <v>0</v>
      </c>
      <c r="AK14" s="63">
        <v>0</v>
      </c>
      <c r="AL14" s="63">
        <v>0</v>
      </c>
      <c r="AM14" s="63">
        <v>0</v>
      </c>
      <c r="AN14" s="29">
        <f t="shared" si="0"/>
        <v>10</v>
      </c>
      <c r="AO14" s="37">
        <v>65.099999999999994</v>
      </c>
    </row>
    <row r="15" spans="1:41" ht="17" thickBot="1">
      <c r="C15" s="2">
        <v>14</v>
      </c>
      <c r="D15" s="2">
        <v>176</v>
      </c>
      <c r="E15" s="2">
        <v>78</v>
      </c>
      <c r="H15" s="65">
        <v>169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1</v>
      </c>
      <c r="O15" s="63">
        <v>1</v>
      </c>
      <c r="P15" s="63">
        <v>0</v>
      </c>
      <c r="Q15" s="63">
        <v>1</v>
      </c>
      <c r="R15" s="63">
        <v>0</v>
      </c>
      <c r="S15" s="63">
        <v>0</v>
      </c>
      <c r="T15" s="63">
        <v>2</v>
      </c>
      <c r="U15" s="63">
        <v>0</v>
      </c>
      <c r="V15" s="63">
        <v>0</v>
      </c>
      <c r="W15" s="63">
        <v>0</v>
      </c>
      <c r="X15" s="63">
        <v>0</v>
      </c>
      <c r="Y15" s="63">
        <v>1</v>
      </c>
      <c r="Z15" s="63">
        <v>1</v>
      </c>
      <c r="AA15" s="63">
        <v>0</v>
      </c>
      <c r="AB15" s="63">
        <v>0</v>
      </c>
      <c r="AC15" s="63">
        <v>0</v>
      </c>
      <c r="AD15" s="63">
        <v>0</v>
      </c>
      <c r="AE15" s="63">
        <v>0</v>
      </c>
      <c r="AF15" s="63">
        <v>2</v>
      </c>
      <c r="AG15" s="63">
        <v>0</v>
      </c>
      <c r="AH15" s="63">
        <v>0</v>
      </c>
      <c r="AI15" s="63">
        <v>0</v>
      </c>
      <c r="AJ15" s="63">
        <v>0</v>
      </c>
      <c r="AK15" s="63">
        <v>0</v>
      </c>
      <c r="AL15" s="63">
        <v>0</v>
      </c>
      <c r="AM15" s="63">
        <v>0</v>
      </c>
      <c r="AN15" s="29">
        <f t="shared" si="0"/>
        <v>9</v>
      </c>
      <c r="AO15" s="37">
        <v>64.33</v>
      </c>
    </row>
    <row r="16" spans="1:41" ht="17" thickBot="1">
      <c r="C16" s="2">
        <v>15</v>
      </c>
      <c r="D16" s="2">
        <v>165</v>
      </c>
      <c r="E16" s="2">
        <v>56</v>
      </c>
      <c r="H16" s="65">
        <v>170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1</v>
      </c>
      <c r="Q16" s="63">
        <v>0</v>
      </c>
      <c r="R16" s="63">
        <v>0</v>
      </c>
      <c r="S16" s="63">
        <v>3</v>
      </c>
      <c r="T16" s="63">
        <v>0</v>
      </c>
      <c r="U16" s="63">
        <v>1</v>
      </c>
      <c r="V16" s="63">
        <v>0</v>
      </c>
      <c r="W16" s="63">
        <v>1</v>
      </c>
      <c r="X16" s="63">
        <v>1</v>
      </c>
      <c r="Y16" s="63">
        <v>0</v>
      </c>
      <c r="Z16" s="63">
        <v>0</v>
      </c>
      <c r="AA16" s="63">
        <v>1</v>
      </c>
      <c r="AB16" s="63">
        <v>1</v>
      </c>
      <c r="AC16" s="63">
        <v>0</v>
      </c>
      <c r="AD16" s="63">
        <v>0</v>
      </c>
      <c r="AE16" s="63">
        <v>1</v>
      </c>
      <c r="AF16" s="63">
        <v>0</v>
      </c>
      <c r="AG16" s="63">
        <v>0</v>
      </c>
      <c r="AH16" s="63">
        <v>1</v>
      </c>
      <c r="AI16" s="63">
        <v>0</v>
      </c>
      <c r="AJ16" s="63">
        <v>0</v>
      </c>
      <c r="AK16" s="63">
        <v>0</v>
      </c>
      <c r="AL16" s="63">
        <v>0</v>
      </c>
      <c r="AM16" s="63">
        <v>0</v>
      </c>
      <c r="AN16" s="29">
        <f t="shared" si="0"/>
        <v>11</v>
      </c>
      <c r="AO16" s="5">
        <v>65.77</v>
      </c>
    </row>
    <row r="17" spans="3:41" ht="17" thickBot="1">
      <c r="C17" s="2">
        <v>16</v>
      </c>
      <c r="D17" s="2">
        <v>161</v>
      </c>
      <c r="E17" s="2">
        <v>51</v>
      </c>
      <c r="H17" s="65">
        <v>171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1</v>
      </c>
      <c r="S17" s="63">
        <v>0</v>
      </c>
      <c r="T17" s="63">
        <v>1</v>
      </c>
      <c r="U17" s="63">
        <v>1</v>
      </c>
      <c r="V17" s="63">
        <v>2</v>
      </c>
      <c r="W17" s="63">
        <v>1</v>
      </c>
      <c r="X17" s="63">
        <v>2</v>
      </c>
      <c r="Y17" s="63">
        <v>3</v>
      </c>
      <c r="Z17" s="63">
        <v>0</v>
      </c>
      <c r="AA17" s="63">
        <v>2</v>
      </c>
      <c r="AB17" s="63">
        <v>3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  <c r="AL17" s="63">
        <v>0</v>
      </c>
      <c r="AM17" s="63">
        <v>0</v>
      </c>
      <c r="AN17" s="29">
        <f t="shared" si="0"/>
        <v>16</v>
      </c>
      <c r="AO17" s="37">
        <v>66.180000000000007</v>
      </c>
    </row>
    <row r="18" spans="3:41" ht="17" thickBot="1">
      <c r="C18" s="2">
        <v>17</v>
      </c>
      <c r="D18" s="2">
        <v>166</v>
      </c>
      <c r="E18" s="2">
        <v>62</v>
      </c>
      <c r="H18" s="65">
        <v>172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2</v>
      </c>
      <c r="V18" s="63">
        <v>2</v>
      </c>
      <c r="W18" s="63">
        <v>0</v>
      </c>
      <c r="X18" s="63">
        <v>1</v>
      </c>
      <c r="Y18" s="63">
        <v>4</v>
      </c>
      <c r="Z18" s="63">
        <v>0</v>
      </c>
      <c r="AA18" s="63">
        <v>0</v>
      </c>
      <c r="AB18" s="63">
        <v>0</v>
      </c>
      <c r="AC18" s="63">
        <v>0</v>
      </c>
      <c r="AD18" s="63">
        <v>1</v>
      </c>
      <c r="AE18" s="63">
        <v>1</v>
      </c>
      <c r="AF18" s="63">
        <v>2</v>
      </c>
      <c r="AG18" s="63">
        <v>0</v>
      </c>
      <c r="AH18" s="63">
        <v>0</v>
      </c>
      <c r="AI18" s="63">
        <v>0</v>
      </c>
      <c r="AJ18" s="63">
        <v>1</v>
      </c>
      <c r="AK18" s="63">
        <v>0</v>
      </c>
      <c r="AL18" s="63">
        <v>0</v>
      </c>
      <c r="AM18" s="63">
        <v>0</v>
      </c>
      <c r="AN18" s="29">
        <f t="shared" si="0"/>
        <v>14</v>
      </c>
      <c r="AO18" s="5">
        <f>68.5</f>
        <v>68.5</v>
      </c>
    </row>
    <row r="19" spans="3:41" ht="17" thickBot="1">
      <c r="C19" s="2">
        <v>18</v>
      </c>
      <c r="D19" s="2">
        <v>167</v>
      </c>
      <c r="E19" s="2">
        <v>65</v>
      </c>
      <c r="H19" s="65">
        <v>173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2</v>
      </c>
      <c r="V19" s="63">
        <v>0</v>
      </c>
      <c r="W19" s="63">
        <v>0</v>
      </c>
      <c r="X19" s="63">
        <v>0</v>
      </c>
      <c r="Y19" s="63">
        <v>0</v>
      </c>
      <c r="Z19" s="63">
        <v>1</v>
      </c>
      <c r="AA19" s="63">
        <v>1</v>
      </c>
      <c r="AB19" s="63">
        <v>0</v>
      </c>
      <c r="AC19" s="63">
        <v>1</v>
      </c>
      <c r="AD19" s="63">
        <v>0</v>
      </c>
      <c r="AE19" s="63">
        <v>0</v>
      </c>
      <c r="AF19" s="63">
        <v>0</v>
      </c>
      <c r="AG19" s="63">
        <v>0</v>
      </c>
      <c r="AH19" s="63">
        <v>0</v>
      </c>
      <c r="AI19" s="63">
        <v>1</v>
      </c>
      <c r="AJ19" s="63">
        <v>0</v>
      </c>
      <c r="AK19" s="63">
        <v>0</v>
      </c>
      <c r="AL19" s="63">
        <v>0</v>
      </c>
      <c r="AM19" s="63">
        <v>0</v>
      </c>
      <c r="AN19" s="29">
        <f t="shared" si="0"/>
        <v>6</v>
      </c>
      <c r="AO19" s="37">
        <v>68.5</v>
      </c>
    </row>
    <row r="20" spans="3:41" ht="17" thickBot="1">
      <c r="C20" s="2">
        <v>19</v>
      </c>
      <c r="D20" s="2">
        <v>167</v>
      </c>
      <c r="E20" s="2">
        <v>63</v>
      </c>
      <c r="H20" s="65">
        <v>174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v>1</v>
      </c>
      <c r="Y20" s="63">
        <v>0</v>
      </c>
      <c r="Z20" s="63">
        <v>0</v>
      </c>
      <c r="AA20" s="63">
        <v>1</v>
      </c>
      <c r="AB20" s="63">
        <v>0</v>
      </c>
      <c r="AC20" s="63">
        <v>0</v>
      </c>
      <c r="AD20" s="63">
        <v>0</v>
      </c>
      <c r="AE20" s="63">
        <v>1</v>
      </c>
      <c r="AF20" s="63">
        <v>1</v>
      </c>
      <c r="AG20" s="63">
        <v>1</v>
      </c>
      <c r="AH20" s="63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29">
        <f t="shared" si="0"/>
        <v>5</v>
      </c>
      <c r="AO20" s="70">
        <v>71.400000000000006</v>
      </c>
    </row>
    <row r="21" spans="3:41" ht="17" thickBot="1">
      <c r="C21" s="2">
        <v>20</v>
      </c>
      <c r="D21" s="2">
        <v>165</v>
      </c>
      <c r="E21" s="2">
        <v>63</v>
      </c>
      <c r="H21" s="65">
        <v>175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1</v>
      </c>
      <c r="W21" s="63">
        <v>0</v>
      </c>
      <c r="X21" s="63">
        <v>1</v>
      </c>
      <c r="Y21" s="63">
        <v>0</v>
      </c>
      <c r="Z21" s="63">
        <v>0</v>
      </c>
      <c r="AA21" s="63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2</v>
      </c>
      <c r="AH21" s="63">
        <v>0</v>
      </c>
      <c r="AI21" s="63">
        <v>0</v>
      </c>
      <c r="AJ21" s="63">
        <v>0</v>
      </c>
      <c r="AK21" s="63">
        <v>0</v>
      </c>
      <c r="AL21" s="63">
        <v>0</v>
      </c>
      <c r="AM21" s="63">
        <v>0</v>
      </c>
      <c r="AN21" s="29">
        <f t="shared" si="0"/>
        <v>4</v>
      </c>
      <c r="AO21" s="70">
        <v>70</v>
      </c>
    </row>
    <row r="22" spans="3:41" ht="17" thickBot="1">
      <c r="C22" s="2">
        <v>21</v>
      </c>
      <c r="D22" s="2">
        <v>168</v>
      </c>
      <c r="E22" s="2">
        <v>73</v>
      </c>
      <c r="H22" s="65">
        <v>176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2</v>
      </c>
      <c r="U22" s="63">
        <v>0</v>
      </c>
      <c r="V22" s="63">
        <v>0</v>
      </c>
      <c r="W22" s="63">
        <v>1</v>
      </c>
      <c r="X22" s="63">
        <v>0</v>
      </c>
      <c r="Y22" s="63">
        <v>1</v>
      </c>
      <c r="Z22" s="63">
        <v>0</v>
      </c>
      <c r="AA22" s="63">
        <v>0</v>
      </c>
      <c r="AB22" s="63">
        <v>3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3">
        <v>0</v>
      </c>
      <c r="AI22" s="63">
        <v>0</v>
      </c>
      <c r="AJ22" s="63">
        <v>1</v>
      </c>
      <c r="AK22" s="63">
        <v>0</v>
      </c>
      <c r="AL22" s="63">
        <v>1</v>
      </c>
      <c r="AM22" s="63">
        <v>0</v>
      </c>
      <c r="AN22" s="29">
        <f t="shared" si="0"/>
        <v>9</v>
      </c>
      <c r="AO22" s="5">
        <f>69.44</f>
        <v>69.44</v>
      </c>
    </row>
    <row r="23" spans="3:41" ht="17" thickBot="1">
      <c r="C23" s="2">
        <v>22</v>
      </c>
      <c r="D23" s="2">
        <v>161</v>
      </c>
      <c r="E23" s="2">
        <v>59</v>
      </c>
      <c r="H23" s="65">
        <v>177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1</v>
      </c>
      <c r="Z23" s="63">
        <v>1</v>
      </c>
      <c r="AA23" s="63">
        <v>0</v>
      </c>
      <c r="AB23" s="63">
        <v>0</v>
      </c>
      <c r="AC23" s="63">
        <v>0</v>
      </c>
      <c r="AD23" s="63">
        <v>0</v>
      </c>
      <c r="AE23" s="63">
        <v>0</v>
      </c>
      <c r="AF23" s="63">
        <v>0</v>
      </c>
      <c r="AG23" s="63">
        <v>0</v>
      </c>
      <c r="AH23" s="63">
        <v>0</v>
      </c>
      <c r="AI23" s="63">
        <v>0</v>
      </c>
      <c r="AJ23" s="63">
        <v>0</v>
      </c>
      <c r="AK23" s="63">
        <v>0</v>
      </c>
      <c r="AL23" s="63">
        <v>0</v>
      </c>
      <c r="AM23" s="63">
        <v>0</v>
      </c>
      <c r="AN23" s="29">
        <f t="shared" si="0"/>
        <v>2</v>
      </c>
      <c r="AO23" s="70">
        <v>67.5</v>
      </c>
    </row>
    <row r="24" spans="3:41" ht="17" thickBot="1">
      <c r="C24" s="2">
        <v>23</v>
      </c>
      <c r="D24" s="2">
        <v>163</v>
      </c>
      <c r="E24" s="2">
        <v>65</v>
      </c>
      <c r="H24" s="65">
        <v>178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3">
        <v>2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2</v>
      </c>
      <c r="AH24" s="63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29">
        <f t="shared" si="0"/>
        <v>4</v>
      </c>
      <c r="AO24" s="70">
        <v>72</v>
      </c>
    </row>
    <row r="25" spans="3:41" ht="17" thickBot="1">
      <c r="C25" s="2">
        <v>24</v>
      </c>
      <c r="D25" s="2">
        <v>168</v>
      </c>
      <c r="E25" s="2">
        <v>66</v>
      </c>
      <c r="H25" s="65">
        <v>179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1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1</v>
      </c>
      <c r="AD25" s="63">
        <v>0</v>
      </c>
      <c r="AE25" s="63">
        <v>0</v>
      </c>
      <c r="AF25" s="63">
        <v>0</v>
      </c>
      <c r="AG25" s="63">
        <v>0</v>
      </c>
      <c r="AH25" s="63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29">
        <f t="shared" si="0"/>
        <v>2</v>
      </c>
      <c r="AO25" s="70">
        <v>67</v>
      </c>
    </row>
    <row r="26" spans="3:41" ht="17" thickBot="1">
      <c r="C26" s="2">
        <v>25</v>
      </c>
      <c r="D26" s="2">
        <v>175</v>
      </c>
      <c r="E26" s="2">
        <v>66</v>
      </c>
      <c r="H26" s="65">
        <v>180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1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1</v>
      </c>
      <c r="AF26" s="63">
        <v>0</v>
      </c>
      <c r="AG26" s="63">
        <v>0</v>
      </c>
      <c r="AH26" s="63">
        <v>1</v>
      </c>
      <c r="AI26" s="63">
        <v>0</v>
      </c>
      <c r="AJ26" s="63">
        <v>0</v>
      </c>
      <c r="AK26" s="63">
        <v>0</v>
      </c>
      <c r="AL26" s="63">
        <v>0</v>
      </c>
      <c r="AM26" s="63">
        <v>1</v>
      </c>
      <c r="AN26" s="29">
        <f t="shared" si="0"/>
        <v>4</v>
      </c>
      <c r="AO26" s="70">
        <v>74.5</v>
      </c>
    </row>
    <row r="27" spans="3:41" ht="17" thickBot="1">
      <c r="C27" s="2">
        <v>26</v>
      </c>
      <c r="D27" s="2">
        <v>161</v>
      </c>
      <c r="E27" s="2">
        <v>52</v>
      </c>
      <c r="H27" s="65">
        <v>181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1</v>
      </c>
      <c r="AA27" s="63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3">
        <v>0</v>
      </c>
      <c r="AI27" s="63">
        <v>2</v>
      </c>
      <c r="AJ27" s="63">
        <v>0</v>
      </c>
      <c r="AK27" s="63">
        <v>0</v>
      </c>
      <c r="AL27" s="63">
        <v>0</v>
      </c>
      <c r="AM27" s="63">
        <v>0</v>
      </c>
      <c r="AN27" s="29">
        <f t="shared" si="0"/>
        <v>3</v>
      </c>
      <c r="AO27" s="70">
        <v>74</v>
      </c>
    </row>
    <row r="28" spans="3:41" ht="17" thickBot="1">
      <c r="C28" s="2">
        <v>27</v>
      </c>
      <c r="D28" s="2">
        <v>171</v>
      </c>
      <c r="E28" s="2">
        <v>63</v>
      </c>
      <c r="H28" s="65">
        <v>182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3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3">
        <v>1</v>
      </c>
      <c r="AI28" s="63">
        <v>0</v>
      </c>
      <c r="AJ28" s="63">
        <v>0</v>
      </c>
      <c r="AK28" s="63">
        <v>0</v>
      </c>
      <c r="AL28" s="63">
        <v>0</v>
      </c>
      <c r="AM28" s="63">
        <v>0</v>
      </c>
      <c r="AN28" s="29">
        <f t="shared" si="0"/>
        <v>1</v>
      </c>
      <c r="AO28" s="70">
        <v>76</v>
      </c>
    </row>
    <row r="29" spans="3:41" ht="17" thickBot="1">
      <c r="C29" s="2">
        <v>28</v>
      </c>
      <c r="D29" s="2">
        <v>184</v>
      </c>
      <c r="E29" s="2">
        <v>72</v>
      </c>
      <c r="H29" s="65">
        <v>183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  <c r="AE29" s="63">
        <v>1</v>
      </c>
      <c r="AF29" s="63">
        <v>0</v>
      </c>
      <c r="AG29" s="63">
        <v>0</v>
      </c>
      <c r="AH29" s="63">
        <v>0</v>
      </c>
      <c r="AI29" s="63">
        <v>0</v>
      </c>
      <c r="AJ29" s="63">
        <v>0</v>
      </c>
      <c r="AK29" s="63">
        <v>0</v>
      </c>
      <c r="AL29" s="63">
        <v>0</v>
      </c>
      <c r="AM29" s="63">
        <v>0</v>
      </c>
      <c r="AN29" s="29">
        <f t="shared" si="0"/>
        <v>1</v>
      </c>
      <c r="AO29" s="70">
        <v>73</v>
      </c>
    </row>
    <row r="30" spans="3:41" ht="17" thickBot="1">
      <c r="C30" s="2">
        <v>29</v>
      </c>
      <c r="D30" s="2">
        <v>173</v>
      </c>
      <c r="E30" s="2">
        <v>63</v>
      </c>
      <c r="H30" s="65">
        <v>184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3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3">
        <v>0</v>
      </c>
      <c r="AB30" s="63">
        <v>0</v>
      </c>
      <c r="AC30" s="63">
        <v>0</v>
      </c>
      <c r="AD30" s="63">
        <v>1</v>
      </c>
      <c r="AE30" s="63">
        <v>0</v>
      </c>
      <c r="AF30" s="63">
        <v>0</v>
      </c>
      <c r="AG30" s="63">
        <v>0</v>
      </c>
      <c r="AH30" s="63">
        <v>0</v>
      </c>
      <c r="AI30" s="63">
        <v>0</v>
      </c>
      <c r="AJ30" s="63">
        <v>0</v>
      </c>
      <c r="AK30" s="63">
        <v>0</v>
      </c>
      <c r="AL30" s="63">
        <v>0</v>
      </c>
      <c r="AM30" s="63">
        <v>0</v>
      </c>
      <c r="AN30" s="29">
        <f t="shared" si="0"/>
        <v>1</v>
      </c>
      <c r="AO30" s="70">
        <v>72</v>
      </c>
    </row>
    <row r="31" spans="3:41" ht="17" thickBot="1">
      <c r="C31" s="2">
        <v>30</v>
      </c>
      <c r="D31" s="2">
        <v>166</v>
      </c>
      <c r="E31" s="2">
        <v>67</v>
      </c>
      <c r="H31" s="65">
        <v>187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3">
        <v>0</v>
      </c>
      <c r="W31" s="63">
        <v>0</v>
      </c>
      <c r="X31" s="63">
        <v>0</v>
      </c>
      <c r="Y31" s="63">
        <v>0</v>
      </c>
      <c r="Z31" s="63">
        <v>0</v>
      </c>
      <c r="AA31" s="63">
        <v>0</v>
      </c>
      <c r="AB31" s="63">
        <v>0</v>
      </c>
      <c r="AC31" s="63">
        <v>0</v>
      </c>
      <c r="AD31" s="63">
        <v>0</v>
      </c>
      <c r="AE31" s="63">
        <v>0</v>
      </c>
      <c r="AF31" s="63">
        <v>0</v>
      </c>
      <c r="AG31" s="63">
        <v>0</v>
      </c>
      <c r="AH31" s="63">
        <v>0</v>
      </c>
      <c r="AI31" s="63">
        <v>0</v>
      </c>
      <c r="AJ31" s="63">
        <v>0</v>
      </c>
      <c r="AK31" s="63">
        <v>0</v>
      </c>
      <c r="AL31" s="63">
        <v>0</v>
      </c>
      <c r="AM31" s="63">
        <v>1</v>
      </c>
      <c r="AN31" s="29">
        <f t="shared" si="0"/>
        <v>1</v>
      </c>
      <c r="AO31" s="70">
        <v>84</v>
      </c>
    </row>
    <row r="32" spans="3:41" ht="17" thickBot="1">
      <c r="C32" s="2">
        <v>31</v>
      </c>
      <c r="D32" s="2">
        <v>170</v>
      </c>
      <c r="E32" s="2">
        <v>61</v>
      </c>
      <c r="H32" s="65">
        <v>188</v>
      </c>
      <c r="I32" s="63">
        <v>0</v>
      </c>
      <c r="J32" s="63">
        <v>0</v>
      </c>
      <c r="K32" s="63">
        <v>0</v>
      </c>
      <c r="L32" s="63">
        <v>0</v>
      </c>
      <c r="M32" s="63">
        <v>0</v>
      </c>
      <c r="N32" s="63">
        <v>0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3">
        <v>0</v>
      </c>
      <c r="U32" s="63">
        <v>0</v>
      </c>
      <c r="V32" s="63">
        <v>0</v>
      </c>
      <c r="W32" s="63">
        <v>0</v>
      </c>
      <c r="X32" s="63">
        <v>0</v>
      </c>
      <c r="Y32" s="63">
        <v>0</v>
      </c>
      <c r="Z32" s="63">
        <v>0</v>
      </c>
      <c r="AA32" s="63">
        <v>0</v>
      </c>
      <c r="AB32" s="63">
        <v>0</v>
      </c>
      <c r="AC32" s="63">
        <v>0</v>
      </c>
      <c r="AD32" s="63">
        <v>0</v>
      </c>
      <c r="AE32" s="63">
        <v>0</v>
      </c>
      <c r="AF32" s="63">
        <v>0</v>
      </c>
      <c r="AG32" s="63">
        <v>1</v>
      </c>
      <c r="AH32" s="63">
        <v>0</v>
      </c>
      <c r="AI32" s="63">
        <v>0</v>
      </c>
      <c r="AJ32" s="63">
        <v>0</v>
      </c>
      <c r="AK32" s="63">
        <v>0</v>
      </c>
      <c r="AL32" s="63">
        <v>0</v>
      </c>
      <c r="AM32" s="63">
        <v>0</v>
      </c>
      <c r="AN32" s="29">
        <f t="shared" si="0"/>
        <v>1</v>
      </c>
      <c r="AO32" s="70">
        <v>75</v>
      </c>
    </row>
    <row r="33" spans="3:41" ht="17" thickBot="1">
      <c r="C33" s="2">
        <v>32</v>
      </c>
      <c r="D33" s="2">
        <v>172</v>
      </c>
      <c r="E33" s="2">
        <v>74</v>
      </c>
      <c r="H33" s="65">
        <v>190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3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3">
        <v>0</v>
      </c>
      <c r="AB33" s="63">
        <v>0</v>
      </c>
      <c r="AC33" s="63">
        <v>0</v>
      </c>
      <c r="AD33" s="63">
        <v>0</v>
      </c>
      <c r="AE33" s="63">
        <v>0</v>
      </c>
      <c r="AF33" s="63">
        <v>0</v>
      </c>
      <c r="AG33" s="63">
        <v>0</v>
      </c>
      <c r="AH33" s="63">
        <v>0</v>
      </c>
      <c r="AI33" s="63">
        <v>0</v>
      </c>
      <c r="AJ33" s="63">
        <v>0</v>
      </c>
      <c r="AK33" s="63">
        <v>1</v>
      </c>
      <c r="AL33" s="63">
        <v>0</v>
      </c>
      <c r="AM33" s="63">
        <v>0</v>
      </c>
      <c r="AN33" s="29">
        <f t="shared" si="0"/>
        <v>1</v>
      </c>
      <c r="AO33" s="70">
        <v>80</v>
      </c>
    </row>
    <row r="34" spans="3:41" ht="19" thickBot="1">
      <c r="C34" s="2">
        <v>33</v>
      </c>
      <c r="D34" s="2">
        <v>176</v>
      </c>
      <c r="E34" s="2">
        <v>81</v>
      </c>
      <c r="H34" s="69" t="s">
        <v>69</v>
      </c>
      <c r="I34" s="72">
        <f>SUM(I3:I33)</f>
        <v>3</v>
      </c>
      <c r="J34" s="29">
        <f>SUM(J3:J33)</f>
        <v>2</v>
      </c>
      <c r="K34" s="29">
        <f t="shared" ref="K34:W34" si="1">SUM(K3:K33)</f>
        <v>3</v>
      </c>
      <c r="L34" s="29">
        <f t="shared" si="1"/>
        <v>2</v>
      </c>
      <c r="M34" s="29">
        <f t="shared" si="1"/>
        <v>9</v>
      </c>
      <c r="N34" s="29">
        <f t="shared" si="1"/>
        <v>4</v>
      </c>
      <c r="O34" s="29">
        <f t="shared" si="1"/>
        <v>8</v>
      </c>
      <c r="P34" s="29">
        <f t="shared" si="1"/>
        <v>2</v>
      </c>
      <c r="Q34" s="29">
        <f t="shared" si="1"/>
        <v>9</v>
      </c>
      <c r="R34" s="29">
        <f t="shared" si="1"/>
        <v>11</v>
      </c>
      <c r="S34" s="29">
        <f t="shared" si="1"/>
        <v>11</v>
      </c>
      <c r="T34" s="29">
        <f t="shared" si="1"/>
        <v>10</v>
      </c>
      <c r="U34" s="28">
        <f t="shared" si="1"/>
        <v>22</v>
      </c>
      <c r="V34" s="29">
        <f t="shared" si="1"/>
        <v>9</v>
      </c>
      <c r="W34" s="29">
        <f t="shared" si="1"/>
        <v>11</v>
      </c>
      <c r="X34" s="29">
        <f t="shared" ref="X34" si="2">SUM(X3:X33)</f>
        <v>12</v>
      </c>
      <c r="Y34" s="29">
        <f t="shared" ref="Y34" si="3">SUM(Y3:Y33)</f>
        <v>14</v>
      </c>
      <c r="Z34" s="29">
        <f t="shared" ref="Z34" si="4">SUM(Z3:Z33)</f>
        <v>7</v>
      </c>
      <c r="AA34" s="29">
        <f t="shared" ref="AA34" si="5">SUM(AA3:AA33)</f>
        <v>7</v>
      </c>
      <c r="AB34" s="29">
        <f t="shared" ref="AB34" si="6">SUM(AB3:AB33)</f>
        <v>9</v>
      </c>
      <c r="AC34" s="29">
        <f t="shared" ref="AC34" si="7">SUM(AC3:AC33)</f>
        <v>2</v>
      </c>
      <c r="AD34" s="29">
        <f t="shared" ref="AD34" si="8">SUM(AD3:AD33)</f>
        <v>3</v>
      </c>
      <c r="AE34" s="29">
        <f t="shared" ref="AE34" si="9">SUM(AE3:AE33)</f>
        <v>6</v>
      </c>
      <c r="AF34" s="29">
        <f t="shared" ref="AF34" si="10">SUM(AF3:AF33)</f>
        <v>5</v>
      </c>
      <c r="AG34" s="29">
        <f t="shared" ref="AG34" si="11">SUM(AG3:AG33)</f>
        <v>6</v>
      </c>
      <c r="AH34" s="29">
        <f t="shared" ref="AH34" si="12">SUM(AH3:AH33)</f>
        <v>4</v>
      </c>
      <c r="AI34" s="29">
        <f t="shared" ref="AI34" si="13">SUM(AI3:AI33)</f>
        <v>3</v>
      </c>
      <c r="AJ34" s="29">
        <f t="shared" ref="AJ34" si="14">SUM(AJ3:AJ33)</f>
        <v>2</v>
      </c>
      <c r="AK34" s="29">
        <f t="shared" ref="AK34" si="15">SUM(AK3:AK33)</f>
        <v>1</v>
      </c>
      <c r="AL34" s="29">
        <f t="shared" ref="AL34" si="16">SUM(AL3:AL33)</f>
        <v>1</v>
      </c>
      <c r="AM34" s="29">
        <f t="shared" ref="AM34" si="17">SUM(AM3:AM33)</f>
        <v>2</v>
      </c>
      <c r="AN34" s="2">
        <f>IF(SUM(AN3:AN33)=SUM(I34:AM34), SUM(I34:AM34),-SUM(I34:AM34))</f>
        <v>200</v>
      </c>
    </row>
    <row r="35" spans="3:41">
      <c r="C35" s="2">
        <v>34</v>
      </c>
      <c r="D35" s="2">
        <v>162</v>
      </c>
      <c r="E35" s="2">
        <v>60</v>
      </c>
      <c r="J35" s="67"/>
    </row>
    <row r="36" spans="3:41">
      <c r="C36" s="2">
        <v>35</v>
      </c>
      <c r="D36" s="2">
        <v>157</v>
      </c>
      <c r="E36" s="2">
        <v>60</v>
      </c>
      <c r="J36" s="67"/>
    </row>
    <row r="37" spans="3:41">
      <c r="C37" s="2">
        <v>36</v>
      </c>
      <c r="D37" s="2">
        <v>188</v>
      </c>
      <c r="E37" s="2">
        <v>75</v>
      </c>
      <c r="J37" s="67"/>
    </row>
    <row r="38" spans="3:41">
      <c r="C38" s="2">
        <v>37</v>
      </c>
      <c r="D38" s="2">
        <v>164</v>
      </c>
      <c r="E38" s="2">
        <v>53</v>
      </c>
      <c r="J38" s="67"/>
    </row>
    <row r="39" spans="3:41">
      <c r="C39" s="2">
        <v>38</v>
      </c>
      <c r="D39" s="2">
        <v>167</v>
      </c>
      <c r="E39" s="2">
        <v>64</v>
      </c>
      <c r="J39" s="67"/>
    </row>
    <row r="40" spans="3:41">
      <c r="C40" s="2">
        <v>39</v>
      </c>
      <c r="D40" s="2">
        <v>174</v>
      </c>
      <c r="E40" s="2">
        <v>69</v>
      </c>
      <c r="J40" s="67"/>
    </row>
    <row r="41" spans="3:41">
      <c r="C41" s="2">
        <v>40</v>
      </c>
      <c r="D41" s="2">
        <v>161</v>
      </c>
      <c r="E41" s="2">
        <v>62</v>
      </c>
      <c r="G41" s="134" t="s">
        <v>71</v>
      </c>
      <c r="H41" s="135"/>
      <c r="I41" s="135"/>
      <c r="J41" s="136"/>
    </row>
    <row r="42" spans="3:41">
      <c r="C42" s="2">
        <v>41</v>
      </c>
      <c r="D42" s="2">
        <v>172</v>
      </c>
      <c r="E42" s="2">
        <v>63</v>
      </c>
      <c r="J42" s="67"/>
    </row>
    <row r="43" spans="3:41">
      <c r="C43" s="2">
        <v>42</v>
      </c>
      <c r="D43" s="2">
        <v>171</v>
      </c>
      <c r="E43" s="2">
        <v>69</v>
      </c>
      <c r="J43" s="67"/>
    </row>
    <row r="44" spans="3:41">
      <c r="C44" s="2">
        <v>43</v>
      </c>
      <c r="D44" s="2">
        <v>173</v>
      </c>
      <c r="E44" s="2">
        <v>68</v>
      </c>
      <c r="J44" s="67"/>
    </row>
    <row r="45" spans="3:41">
      <c r="C45" s="2">
        <v>44</v>
      </c>
      <c r="D45" s="2">
        <v>176</v>
      </c>
      <c r="E45" s="2">
        <v>70</v>
      </c>
      <c r="J45" s="67"/>
    </row>
    <row r="46" spans="3:41">
      <c r="C46" s="2">
        <v>45</v>
      </c>
      <c r="D46" s="2">
        <v>156</v>
      </c>
      <c r="E46" s="2">
        <v>54</v>
      </c>
      <c r="J46" s="67"/>
    </row>
    <row r="47" spans="3:41">
      <c r="C47" s="2">
        <v>46</v>
      </c>
      <c r="D47" s="2">
        <v>161</v>
      </c>
      <c r="E47" s="2">
        <v>59</v>
      </c>
      <c r="J47" s="67"/>
    </row>
    <row r="48" spans="3:41">
      <c r="C48" s="2">
        <v>47</v>
      </c>
      <c r="D48" s="2">
        <v>165</v>
      </c>
      <c r="E48" s="2">
        <v>63</v>
      </c>
      <c r="J48" s="67"/>
    </row>
    <row r="49" spans="3:10">
      <c r="C49" s="2">
        <v>48</v>
      </c>
      <c r="D49" s="2">
        <v>174</v>
      </c>
      <c r="E49" s="2">
        <v>66</v>
      </c>
      <c r="J49" s="67"/>
    </row>
    <row r="50" spans="3:10">
      <c r="C50" s="2">
        <v>49</v>
      </c>
      <c r="D50" s="2">
        <v>183</v>
      </c>
      <c r="E50" s="2">
        <v>73</v>
      </c>
      <c r="J50" s="67"/>
    </row>
    <row r="51" spans="3:10">
      <c r="C51" s="2">
        <v>50</v>
      </c>
      <c r="D51" s="2">
        <v>173</v>
      </c>
      <c r="E51" s="2">
        <v>71</v>
      </c>
      <c r="J51" s="67"/>
    </row>
    <row r="52" spans="3:10">
      <c r="C52" s="2">
        <v>51</v>
      </c>
      <c r="D52" s="2">
        <v>160</v>
      </c>
      <c r="E52" s="2">
        <v>61</v>
      </c>
      <c r="J52" s="67"/>
    </row>
    <row r="53" spans="3:10">
      <c r="C53" s="2">
        <v>52</v>
      </c>
      <c r="D53" s="2">
        <v>178</v>
      </c>
      <c r="E53" s="2">
        <v>69</v>
      </c>
      <c r="J53" s="67"/>
    </row>
    <row r="54" spans="3:10">
      <c r="C54" s="2">
        <v>53</v>
      </c>
      <c r="D54" s="2">
        <v>170</v>
      </c>
      <c r="E54" s="2">
        <v>70</v>
      </c>
      <c r="J54" s="67"/>
    </row>
    <row r="55" spans="3:10">
      <c r="C55" s="2">
        <v>54</v>
      </c>
      <c r="D55" s="2">
        <v>168</v>
      </c>
      <c r="E55" s="2">
        <v>60</v>
      </c>
      <c r="J55" s="67"/>
    </row>
    <row r="56" spans="3:10">
      <c r="C56" s="2">
        <v>55</v>
      </c>
      <c r="D56" s="2">
        <v>173</v>
      </c>
      <c r="E56" s="2">
        <v>69</v>
      </c>
      <c r="J56" s="67"/>
    </row>
    <row r="57" spans="3:10">
      <c r="C57" s="2">
        <v>56</v>
      </c>
      <c r="D57" s="2">
        <v>176</v>
      </c>
      <c r="E57" s="2">
        <v>70</v>
      </c>
      <c r="J57" s="67"/>
    </row>
    <row r="58" spans="3:10">
      <c r="C58" s="2">
        <v>57</v>
      </c>
      <c r="D58" s="2">
        <v>170</v>
      </c>
      <c r="E58" s="2">
        <v>58</v>
      </c>
      <c r="J58" s="67"/>
    </row>
    <row r="59" spans="3:10">
      <c r="C59" s="2">
        <v>58</v>
      </c>
      <c r="D59" s="2">
        <v>163</v>
      </c>
      <c r="E59" s="2">
        <v>64</v>
      </c>
      <c r="J59" s="67"/>
    </row>
    <row r="60" spans="3:10">
      <c r="C60" s="2">
        <v>59</v>
      </c>
      <c r="D60" s="2">
        <v>165</v>
      </c>
      <c r="E60" s="2">
        <v>57</v>
      </c>
      <c r="J60" s="67"/>
    </row>
    <row r="61" spans="3:10">
      <c r="C61" s="2">
        <v>60</v>
      </c>
      <c r="D61" s="2">
        <v>165</v>
      </c>
      <c r="E61" s="2">
        <v>60</v>
      </c>
      <c r="J61" s="67"/>
    </row>
    <row r="62" spans="3:10">
      <c r="C62" s="2">
        <v>61</v>
      </c>
      <c r="D62" s="2">
        <v>170</v>
      </c>
      <c r="E62" s="2">
        <v>61</v>
      </c>
      <c r="J62" s="67"/>
    </row>
    <row r="63" spans="3:10">
      <c r="C63" s="2">
        <v>62</v>
      </c>
      <c r="D63" s="2">
        <v>166</v>
      </c>
      <c r="E63" s="2">
        <v>55</v>
      </c>
      <c r="J63" s="67"/>
    </row>
    <row r="64" spans="3:10">
      <c r="C64" s="2">
        <v>63</v>
      </c>
      <c r="D64" s="2">
        <v>165</v>
      </c>
      <c r="E64" s="2">
        <v>63</v>
      </c>
      <c r="J64" s="67"/>
    </row>
    <row r="65" spans="3:10">
      <c r="C65" s="2">
        <v>64</v>
      </c>
      <c r="D65" s="2">
        <v>181</v>
      </c>
      <c r="E65" s="2">
        <v>77</v>
      </c>
      <c r="J65" s="67"/>
    </row>
    <row r="66" spans="3:10">
      <c r="C66" s="2">
        <v>65</v>
      </c>
      <c r="D66" s="2">
        <v>172</v>
      </c>
      <c r="E66" s="2">
        <v>64</v>
      </c>
      <c r="J66" s="67"/>
    </row>
    <row r="67" spans="3:10">
      <c r="C67" s="2">
        <v>66</v>
      </c>
      <c r="D67" s="2">
        <v>165</v>
      </c>
      <c r="E67" s="2">
        <v>63</v>
      </c>
      <c r="J67" s="67"/>
    </row>
    <row r="68" spans="3:10">
      <c r="C68" s="2">
        <v>67</v>
      </c>
      <c r="D68" s="2">
        <v>172</v>
      </c>
      <c r="E68" s="2">
        <v>78</v>
      </c>
      <c r="J68" s="67"/>
    </row>
    <row r="69" spans="3:10">
      <c r="C69" s="2">
        <v>68</v>
      </c>
      <c r="D69" s="2">
        <v>178</v>
      </c>
      <c r="E69" s="2">
        <v>75</v>
      </c>
      <c r="J69" s="67"/>
    </row>
    <row r="70" spans="3:10">
      <c r="C70" s="2">
        <v>69</v>
      </c>
      <c r="D70" s="2">
        <v>169</v>
      </c>
      <c r="E70" s="2">
        <v>74</v>
      </c>
      <c r="J70" s="67"/>
    </row>
    <row r="71" spans="3:10">
      <c r="C71" s="2">
        <v>70</v>
      </c>
      <c r="D71" s="2">
        <v>165</v>
      </c>
      <c r="E71" s="2">
        <v>63</v>
      </c>
      <c r="J71" s="67"/>
    </row>
    <row r="72" spans="3:10">
      <c r="C72" s="2">
        <v>71</v>
      </c>
      <c r="D72" s="2">
        <v>174</v>
      </c>
      <c r="E72" s="2">
        <v>75</v>
      </c>
      <c r="J72" s="67"/>
    </row>
    <row r="73" spans="3:10">
      <c r="C73" s="2">
        <v>72</v>
      </c>
      <c r="D73" s="2">
        <v>159</v>
      </c>
      <c r="E73" s="2">
        <v>54</v>
      </c>
      <c r="J73" s="67"/>
    </row>
    <row r="74" spans="3:10">
      <c r="C74" s="2">
        <v>73</v>
      </c>
      <c r="D74" s="2">
        <v>171</v>
      </c>
      <c r="E74" s="2">
        <v>66</v>
      </c>
      <c r="J74" s="67"/>
    </row>
    <row r="75" spans="3:10">
      <c r="C75" s="2">
        <v>74</v>
      </c>
      <c r="D75" s="2">
        <v>169</v>
      </c>
      <c r="E75" s="2">
        <v>67</v>
      </c>
      <c r="J75" s="67"/>
    </row>
    <row r="76" spans="3:10">
      <c r="C76" s="2">
        <v>75</v>
      </c>
      <c r="D76" s="2">
        <v>176</v>
      </c>
      <c r="E76" s="2">
        <v>62</v>
      </c>
      <c r="J76" s="67"/>
    </row>
    <row r="77" spans="3:10">
      <c r="C77" s="2">
        <v>76</v>
      </c>
      <c r="D77" s="2">
        <v>170</v>
      </c>
      <c r="E77" s="2">
        <v>65</v>
      </c>
      <c r="J77" s="67"/>
    </row>
    <row r="78" spans="3:10">
      <c r="C78" s="2">
        <v>77</v>
      </c>
      <c r="D78" s="2">
        <v>170</v>
      </c>
      <c r="E78" s="2">
        <v>66</v>
      </c>
      <c r="J78" s="67"/>
    </row>
    <row r="79" spans="3:10">
      <c r="C79" s="2">
        <v>78</v>
      </c>
      <c r="D79" s="2">
        <v>165</v>
      </c>
      <c r="E79" s="2">
        <v>61</v>
      </c>
      <c r="J79" s="67"/>
    </row>
    <row r="80" spans="3:10">
      <c r="C80" s="2">
        <v>79</v>
      </c>
      <c r="D80" s="2">
        <v>162</v>
      </c>
      <c r="E80" s="2">
        <v>66</v>
      </c>
      <c r="J80" s="67"/>
    </row>
    <row r="81" spans="3:10">
      <c r="C81" s="2">
        <v>80</v>
      </c>
      <c r="D81" s="2">
        <v>175</v>
      </c>
      <c r="E81" s="2">
        <v>75</v>
      </c>
      <c r="J81" s="67"/>
    </row>
    <row r="82" spans="3:10">
      <c r="C82" s="2">
        <v>81</v>
      </c>
      <c r="D82" s="2">
        <v>157</v>
      </c>
      <c r="E82" s="2">
        <v>53</v>
      </c>
      <c r="J82" s="67"/>
    </row>
    <row r="83" spans="3:10">
      <c r="C83" s="2">
        <v>82</v>
      </c>
      <c r="D83" s="2">
        <v>161</v>
      </c>
      <c r="E83" s="2">
        <v>55</v>
      </c>
      <c r="J83" s="67"/>
    </row>
    <row r="84" spans="3:10">
      <c r="C84" s="2">
        <v>83</v>
      </c>
      <c r="D84" s="2">
        <v>172</v>
      </c>
      <c r="E84" s="2">
        <v>66</v>
      </c>
      <c r="J84" s="67"/>
    </row>
    <row r="85" spans="3:10">
      <c r="C85" s="2">
        <v>84</v>
      </c>
      <c r="D85" s="2">
        <v>159</v>
      </c>
      <c r="E85" s="2">
        <v>55</v>
      </c>
      <c r="J85" s="67"/>
    </row>
    <row r="86" spans="3:10">
      <c r="C86" s="2">
        <v>85</v>
      </c>
      <c r="D86" s="2">
        <v>162</v>
      </c>
      <c r="E86" s="2">
        <v>65</v>
      </c>
      <c r="J86" s="67"/>
    </row>
    <row r="87" spans="3:10">
      <c r="C87" s="2">
        <v>86</v>
      </c>
      <c r="D87" s="2">
        <v>167</v>
      </c>
      <c r="E87" s="2">
        <v>63</v>
      </c>
      <c r="J87" s="67"/>
    </row>
    <row r="88" spans="3:10">
      <c r="C88" s="2">
        <v>87</v>
      </c>
      <c r="D88" s="2">
        <v>159</v>
      </c>
      <c r="E88" s="2">
        <v>68</v>
      </c>
      <c r="J88" s="67"/>
    </row>
    <row r="89" spans="3:10">
      <c r="C89" s="2">
        <v>88</v>
      </c>
      <c r="D89" s="2">
        <v>160</v>
      </c>
      <c r="E89" s="2">
        <v>62</v>
      </c>
      <c r="J89" s="67"/>
    </row>
    <row r="90" spans="3:10">
      <c r="C90" s="2">
        <v>89</v>
      </c>
      <c r="D90" s="2">
        <v>175</v>
      </c>
      <c r="E90" s="2">
        <v>75</v>
      </c>
      <c r="J90" s="67"/>
    </row>
    <row r="91" spans="3:10">
      <c r="C91" s="2">
        <v>90</v>
      </c>
      <c r="D91" s="2">
        <v>163</v>
      </c>
      <c r="E91" s="2">
        <v>67</v>
      </c>
      <c r="J91" s="67"/>
    </row>
    <row r="92" spans="3:10">
      <c r="C92" s="2">
        <v>91</v>
      </c>
      <c r="D92" s="2">
        <v>169</v>
      </c>
      <c r="E92" s="2">
        <v>56</v>
      </c>
      <c r="J92" s="67"/>
    </row>
    <row r="93" spans="3:10">
      <c r="C93" s="2">
        <v>92</v>
      </c>
      <c r="D93" s="2">
        <v>180</v>
      </c>
      <c r="E93" s="2">
        <v>65</v>
      </c>
      <c r="J93" s="67"/>
    </row>
    <row r="94" spans="3:10">
      <c r="C94" s="2">
        <v>93</v>
      </c>
      <c r="D94" s="2">
        <v>165</v>
      </c>
      <c r="E94" s="2">
        <v>63</v>
      </c>
      <c r="J94" s="67"/>
    </row>
    <row r="95" spans="3:10">
      <c r="C95" s="2">
        <v>94</v>
      </c>
      <c r="D95" s="2">
        <v>168</v>
      </c>
      <c r="E95" s="2">
        <v>67</v>
      </c>
      <c r="J95" s="67"/>
    </row>
    <row r="96" spans="3:10">
      <c r="C96" s="2">
        <v>95</v>
      </c>
      <c r="D96" s="2">
        <v>169</v>
      </c>
      <c r="E96" s="2">
        <v>68</v>
      </c>
      <c r="J96" s="67"/>
    </row>
    <row r="97" spans="3:10">
      <c r="C97" s="2">
        <v>96</v>
      </c>
      <c r="D97" s="2">
        <v>170</v>
      </c>
      <c r="E97" s="2">
        <v>69</v>
      </c>
      <c r="J97" s="67"/>
    </row>
    <row r="98" spans="3:10">
      <c r="C98" s="2">
        <v>97</v>
      </c>
      <c r="D98" s="2">
        <v>163</v>
      </c>
      <c r="E98" s="2">
        <v>57</v>
      </c>
      <c r="J98" s="67"/>
    </row>
    <row r="99" spans="3:10">
      <c r="C99" s="2">
        <v>98</v>
      </c>
      <c r="D99" s="2">
        <v>178</v>
      </c>
      <c r="E99" s="2">
        <v>75</v>
      </c>
      <c r="J99" s="67"/>
    </row>
    <row r="100" spans="3:10">
      <c r="C100" s="2">
        <v>99</v>
      </c>
      <c r="D100" s="2">
        <v>162</v>
      </c>
      <c r="E100" s="2">
        <v>53</v>
      </c>
      <c r="J100" s="67"/>
    </row>
    <row r="101" spans="3:10">
      <c r="C101" s="2">
        <v>100</v>
      </c>
      <c r="D101" s="2">
        <v>178</v>
      </c>
      <c r="E101" s="2">
        <v>69</v>
      </c>
      <c r="J101" s="67"/>
    </row>
    <row r="102" spans="3:10">
      <c r="C102" s="2">
        <v>101</v>
      </c>
      <c r="D102" s="2">
        <v>172</v>
      </c>
      <c r="E102" s="2">
        <v>73</v>
      </c>
      <c r="J102" s="67"/>
    </row>
    <row r="103" spans="3:10">
      <c r="C103" s="2">
        <v>102</v>
      </c>
      <c r="D103" s="2">
        <v>162</v>
      </c>
      <c r="E103" s="2">
        <v>65</v>
      </c>
      <c r="J103" s="67"/>
    </row>
    <row r="104" spans="3:10">
      <c r="C104" s="2">
        <v>103</v>
      </c>
      <c r="D104" s="2">
        <v>164</v>
      </c>
      <c r="E104" s="2">
        <v>59</v>
      </c>
      <c r="J104" s="67"/>
    </row>
    <row r="105" spans="3:10">
      <c r="C105" s="2">
        <v>104</v>
      </c>
      <c r="D105" s="2">
        <v>162</v>
      </c>
      <c r="E105" s="2">
        <v>58</v>
      </c>
      <c r="J105" s="67"/>
    </row>
    <row r="106" spans="3:10">
      <c r="C106" s="2">
        <v>105</v>
      </c>
      <c r="D106" s="2">
        <v>171</v>
      </c>
      <c r="E106" s="2">
        <v>70</v>
      </c>
      <c r="J106" s="67"/>
    </row>
    <row r="107" spans="3:10">
      <c r="C107" s="2">
        <v>106</v>
      </c>
      <c r="D107" s="2">
        <v>167</v>
      </c>
      <c r="E107" s="2">
        <v>55</v>
      </c>
      <c r="J107" s="67"/>
    </row>
    <row r="108" spans="3:10">
      <c r="C108" s="2">
        <v>107</v>
      </c>
      <c r="D108" s="2">
        <v>156</v>
      </c>
      <c r="E108" s="2">
        <v>59</v>
      </c>
      <c r="J108" s="67"/>
    </row>
    <row r="109" spans="3:10">
      <c r="C109" s="2">
        <v>108</v>
      </c>
      <c r="D109" s="2">
        <v>172</v>
      </c>
      <c r="E109" s="2">
        <v>67</v>
      </c>
      <c r="J109" s="67"/>
    </row>
    <row r="110" spans="3:10">
      <c r="C110" s="2">
        <v>109</v>
      </c>
      <c r="D110" s="2">
        <v>167</v>
      </c>
      <c r="E110" s="2">
        <v>61</v>
      </c>
      <c r="J110" s="67"/>
    </row>
    <row r="111" spans="3:10">
      <c r="C111" s="2">
        <v>110</v>
      </c>
      <c r="D111" s="2">
        <v>170</v>
      </c>
      <c r="E111" s="2">
        <v>63</v>
      </c>
      <c r="J111" s="67"/>
    </row>
    <row r="112" spans="3:10">
      <c r="C112" s="2">
        <v>111</v>
      </c>
      <c r="D112" s="2">
        <v>169</v>
      </c>
      <c r="E112" s="2">
        <v>74</v>
      </c>
      <c r="J112" s="67"/>
    </row>
    <row r="113" spans="3:10">
      <c r="C113" s="2">
        <v>112</v>
      </c>
      <c r="D113" s="2">
        <v>171</v>
      </c>
      <c r="E113" s="2">
        <v>60</v>
      </c>
      <c r="J113" s="67"/>
    </row>
    <row r="114" spans="3:10">
      <c r="C114" s="2">
        <v>113</v>
      </c>
      <c r="D114" s="2">
        <v>160</v>
      </c>
      <c r="E114" s="2">
        <v>59</v>
      </c>
      <c r="J114" s="67"/>
    </row>
    <row r="115" spans="3:10">
      <c r="C115" s="2">
        <v>114</v>
      </c>
      <c r="D115" s="2">
        <v>169</v>
      </c>
      <c r="E115" s="2">
        <v>57</v>
      </c>
      <c r="J115" s="67"/>
    </row>
    <row r="116" spans="3:10">
      <c r="C116" s="2">
        <v>115</v>
      </c>
      <c r="D116" s="2">
        <v>168</v>
      </c>
      <c r="E116" s="2">
        <v>59</v>
      </c>
      <c r="J116" s="67"/>
    </row>
    <row r="117" spans="3:10">
      <c r="C117" s="2">
        <v>116</v>
      </c>
      <c r="D117" s="2">
        <v>165</v>
      </c>
      <c r="E117" s="2">
        <v>60</v>
      </c>
      <c r="J117" s="67"/>
    </row>
    <row r="118" spans="3:10">
      <c r="C118" s="2">
        <v>117</v>
      </c>
      <c r="D118" s="2">
        <v>164</v>
      </c>
      <c r="E118" s="2">
        <v>59</v>
      </c>
      <c r="J118" s="67"/>
    </row>
    <row r="119" spans="3:10">
      <c r="C119" s="2">
        <v>118</v>
      </c>
      <c r="D119" s="2">
        <v>180</v>
      </c>
      <c r="E119" s="2">
        <v>84</v>
      </c>
      <c r="J119" s="67"/>
    </row>
    <row r="120" spans="3:10">
      <c r="C120" s="2">
        <v>119</v>
      </c>
      <c r="D120" s="2">
        <v>164</v>
      </c>
      <c r="E120" s="2">
        <v>57</v>
      </c>
      <c r="J120" s="67"/>
    </row>
    <row r="121" spans="3:10">
      <c r="C121" s="2">
        <v>120</v>
      </c>
      <c r="D121" s="2">
        <v>171</v>
      </c>
      <c r="E121" s="2">
        <v>64</v>
      </c>
      <c r="J121" s="67"/>
    </row>
    <row r="122" spans="3:10">
      <c r="C122" s="2">
        <v>121</v>
      </c>
      <c r="D122" s="2">
        <v>181</v>
      </c>
      <c r="E122" s="2">
        <v>77</v>
      </c>
      <c r="J122" s="67"/>
    </row>
    <row r="123" spans="3:10">
      <c r="C123" s="2">
        <v>122</v>
      </c>
      <c r="D123" s="2">
        <v>171</v>
      </c>
      <c r="E123" s="2">
        <v>62</v>
      </c>
      <c r="J123" s="67"/>
    </row>
    <row r="124" spans="3:10">
      <c r="C124" s="2">
        <v>123</v>
      </c>
      <c r="D124" s="2">
        <v>172</v>
      </c>
      <c r="E124" s="2">
        <v>74</v>
      </c>
      <c r="J124" s="67"/>
    </row>
    <row r="125" spans="3:10">
      <c r="C125" s="2">
        <v>124</v>
      </c>
      <c r="D125" s="2">
        <v>161</v>
      </c>
      <c r="E125" s="2">
        <v>55</v>
      </c>
      <c r="J125" s="67"/>
    </row>
    <row r="126" spans="3:10">
      <c r="C126" s="2">
        <v>125</v>
      </c>
      <c r="D126" s="2">
        <v>187</v>
      </c>
      <c r="E126" s="2">
        <v>84</v>
      </c>
      <c r="J126" s="67"/>
    </row>
    <row r="127" spans="3:10">
      <c r="C127" s="2">
        <v>126</v>
      </c>
      <c r="D127" s="2">
        <v>163</v>
      </c>
      <c r="E127" s="2">
        <v>57</v>
      </c>
      <c r="J127" s="67"/>
    </row>
    <row r="128" spans="3:10">
      <c r="C128" s="2">
        <v>127</v>
      </c>
      <c r="D128" s="2">
        <v>166</v>
      </c>
      <c r="E128" s="2">
        <v>60</v>
      </c>
      <c r="J128" s="67"/>
    </row>
    <row r="129" spans="3:10">
      <c r="C129" s="2">
        <v>128</v>
      </c>
      <c r="D129" s="2">
        <v>164</v>
      </c>
      <c r="E129" s="2">
        <v>60</v>
      </c>
      <c r="J129" s="67"/>
    </row>
    <row r="130" spans="3:10">
      <c r="C130" s="2">
        <v>129</v>
      </c>
      <c r="D130" s="2">
        <v>159</v>
      </c>
      <c r="E130" s="2">
        <v>68</v>
      </c>
      <c r="J130" s="67"/>
    </row>
    <row r="131" spans="3:10">
      <c r="C131" s="2">
        <v>130</v>
      </c>
      <c r="D131" s="2">
        <v>176</v>
      </c>
      <c r="E131" s="2">
        <v>62</v>
      </c>
      <c r="J131" s="67"/>
    </row>
    <row r="132" spans="3:10">
      <c r="C132" s="2">
        <v>131</v>
      </c>
      <c r="D132" s="2">
        <v>167</v>
      </c>
      <c r="E132" s="2">
        <v>68</v>
      </c>
      <c r="J132" s="67"/>
    </row>
    <row r="133" spans="3:10">
      <c r="C133" s="2">
        <v>132</v>
      </c>
      <c r="D133" s="2">
        <v>167</v>
      </c>
      <c r="E133" s="2">
        <v>64</v>
      </c>
      <c r="J133" s="67"/>
    </row>
    <row r="134" spans="3:10">
      <c r="C134" s="2">
        <v>133</v>
      </c>
      <c r="D134" s="2">
        <v>169</v>
      </c>
      <c r="E134" s="2">
        <v>62</v>
      </c>
      <c r="J134" s="67"/>
    </row>
    <row r="135" spans="3:10">
      <c r="C135" s="2">
        <v>134</v>
      </c>
      <c r="D135" s="2">
        <v>190</v>
      </c>
      <c r="E135" s="2">
        <v>80</v>
      </c>
      <c r="J135" s="67"/>
    </row>
    <row r="136" spans="3:10">
      <c r="C136" s="2">
        <v>135</v>
      </c>
      <c r="D136" s="2">
        <v>171</v>
      </c>
      <c r="E136" s="2">
        <v>70</v>
      </c>
      <c r="J136" s="67"/>
    </row>
    <row r="137" spans="3:10">
      <c r="C137" s="2">
        <v>136</v>
      </c>
      <c r="D137" s="2">
        <v>164</v>
      </c>
      <c r="E137" s="2">
        <v>63</v>
      </c>
      <c r="J137" s="67"/>
    </row>
    <row r="138" spans="3:10">
      <c r="C138" s="2">
        <v>137</v>
      </c>
      <c r="D138" s="2">
        <v>164</v>
      </c>
      <c r="E138" s="2">
        <v>65</v>
      </c>
      <c r="J138" s="67"/>
    </row>
    <row r="139" spans="3:10">
      <c r="C139" s="2">
        <v>138</v>
      </c>
      <c r="D139" s="2">
        <v>177</v>
      </c>
      <c r="E139" s="2">
        <v>67</v>
      </c>
      <c r="J139" s="67"/>
    </row>
    <row r="140" spans="3:10">
      <c r="C140" s="2">
        <v>139</v>
      </c>
      <c r="D140" s="2">
        <v>161</v>
      </c>
      <c r="E140" s="2">
        <v>51</v>
      </c>
      <c r="J140" s="67"/>
    </row>
    <row r="141" spans="3:10">
      <c r="C141" s="2">
        <v>140</v>
      </c>
      <c r="D141" s="2">
        <v>166</v>
      </c>
      <c r="E141" s="2">
        <v>63</v>
      </c>
      <c r="J141" s="67"/>
    </row>
    <row r="142" spans="3:10">
      <c r="C142" s="2">
        <v>141</v>
      </c>
      <c r="D142" s="2">
        <v>172</v>
      </c>
      <c r="E142" s="2">
        <v>67</v>
      </c>
      <c r="J142" s="67"/>
    </row>
    <row r="143" spans="3:10">
      <c r="C143" s="2">
        <v>142</v>
      </c>
      <c r="D143" s="2">
        <v>171</v>
      </c>
      <c r="E143" s="2">
        <v>67</v>
      </c>
      <c r="J143" s="67"/>
    </row>
    <row r="144" spans="3:10">
      <c r="C144" s="2">
        <v>143</v>
      </c>
      <c r="D144" s="2">
        <v>161</v>
      </c>
      <c r="E144" s="2">
        <v>56</v>
      </c>
      <c r="J144" s="67"/>
    </row>
    <row r="145" spans="3:10">
      <c r="C145" s="2">
        <v>144</v>
      </c>
      <c r="D145" s="2">
        <v>173</v>
      </c>
      <c r="E145" s="2">
        <v>77</v>
      </c>
      <c r="J145" s="67"/>
    </row>
    <row r="146" spans="3:10">
      <c r="C146" s="2">
        <v>145</v>
      </c>
      <c r="D146" s="2">
        <v>172</v>
      </c>
      <c r="E146" s="2">
        <v>64</v>
      </c>
      <c r="J146" s="67"/>
    </row>
    <row r="147" spans="3:10">
      <c r="C147" s="2">
        <v>146</v>
      </c>
      <c r="D147" s="2">
        <v>162</v>
      </c>
      <c r="E147" s="2">
        <v>66</v>
      </c>
      <c r="J147" s="67"/>
    </row>
    <row r="148" spans="3:10">
      <c r="C148" s="2">
        <v>147</v>
      </c>
      <c r="D148" s="2">
        <v>167</v>
      </c>
      <c r="E148" s="2">
        <v>61</v>
      </c>
      <c r="J148" s="67"/>
    </row>
    <row r="149" spans="3:10">
      <c r="C149" s="2">
        <v>148</v>
      </c>
      <c r="D149" s="2">
        <v>164</v>
      </c>
      <c r="E149" s="2">
        <v>57</v>
      </c>
      <c r="J149" s="67"/>
    </row>
    <row r="150" spans="3:10">
      <c r="C150" s="2">
        <v>149</v>
      </c>
      <c r="D150" s="2">
        <v>171</v>
      </c>
      <c r="E150" s="2">
        <v>69</v>
      </c>
      <c r="J150" s="67"/>
    </row>
    <row r="151" spans="3:10">
      <c r="C151" s="2">
        <v>150</v>
      </c>
      <c r="D151" s="2">
        <v>174</v>
      </c>
      <c r="E151" s="2">
        <v>74</v>
      </c>
      <c r="J151" s="67"/>
    </row>
    <row r="152" spans="3:10">
      <c r="C152" s="2">
        <v>151</v>
      </c>
      <c r="D152" s="2">
        <v>166</v>
      </c>
      <c r="E152" s="2">
        <v>60</v>
      </c>
      <c r="J152" s="67"/>
    </row>
    <row r="153" spans="3:10">
      <c r="C153" s="2">
        <v>152</v>
      </c>
      <c r="D153" s="2">
        <v>170</v>
      </c>
      <c r="E153" s="2">
        <v>73</v>
      </c>
      <c r="J153" s="67"/>
    </row>
    <row r="154" spans="3:10">
      <c r="C154" s="2">
        <v>153</v>
      </c>
      <c r="D154" s="2">
        <v>166</v>
      </c>
      <c r="E154" s="2">
        <v>57</v>
      </c>
      <c r="J154" s="67"/>
    </row>
    <row r="155" spans="3:10">
      <c r="C155" s="2">
        <v>154</v>
      </c>
      <c r="D155" s="2">
        <v>177</v>
      </c>
      <c r="E155" s="2">
        <v>68</v>
      </c>
      <c r="J155" s="67"/>
    </row>
    <row r="156" spans="3:10">
      <c r="C156" s="2">
        <v>155</v>
      </c>
      <c r="D156" s="2">
        <v>172</v>
      </c>
      <c r="E156" s="2">
        <v>63</v>
      </c>
      <c r="J156" s="67"/>
    </row>
    <row r="157" spans="3:10">
      <c r="C157" s="2">
        <v>156</v>
      </c>
      <c r="D157" s="2">
        <v>161</v>
      </c>
      <c r="E157" s="2">
        <v>60</v>
      </c>
      <c r="J157" s="67"/>
    </row>
    <row r="158" spans="3:10">
      <c r="C158" s="2">
        <v>157</v>
      </c>
      <c r="D158" s="2">
        <v>172</v>
      </c>
      <c r="E158" s="2">
        <v>67</v>
      </c>
      <c r="J158" s="67"/>
    </row>
    <row r="159" spans="3:10">
      <c r="C159" s="2">
        <v>158</v>
      </c>
      <c r="D159" s="2">
        <v>163</v>
      </c>
      <c r="E159" s="2">
        <v>65</v>
      </c>
      <c r="J159" s="67"/>
    </row>
    <row r="160" spans="3:10">
      <c r="C160" s="2">
        <v>159</v>
      </c>
      <c r="D160" s="2">
        <v>176</v>
      </c>
      <c r="E160" s="2">
        <v>67</v>
      </c>
      <c r="J160" s="67"/>
    </row>
    <row r="161" spans="3:10">
      <c r="C161" s="2">
        <v>160</v>
      </c>
      <c r="D161" s="2">
        <v>161</v>
      </c>
      <c r="E161" s="2">
        <v>55</v>
      </c>
      <c r="J161" s="67"/>
    </row>
    <row r="162" spans="3:10">
      <c r="C162" s="2">
        <v>161</v>
      </c>
      <c r="D162" s="2">
        <v>161</v>
      </c>
      <c r="E162" s="2">
        <v>60</v>
      </c>
      <c r="J162" s="67"/>
    </row>
    <row r="163" spans="3:10">
      <c r="C163" s="2">
        <v>162</v>
      </c>
      <c r="D163" s="2">
        <v>172</v>
      </c>
      <c r="E163" s="2">
        <v>72</v>
      </c>
      <c r="J163" s="67"/>
    </row>
    <row r="164" spans="3:10">
      <c r="C164" s="2">
        <v>163</v>
      </c>
      <c r="D164" s="2">
        <v>167</v>
      </c>
      <c r="E164" s="2">
        <v>61</v>
      </c>
      <c r="J164" s="67"/>
    </row>
    <row r="165" spans="3:10">
      <c r="C165" s="2">
        <v>164</v>
      </c>
      <c r="D165" s="2">
        <v>168</v>
      </c>
      <c r="E165" s="2">
        <v>63</v>
      </c>
      <c r="J165" s="67"/>
    </row>
    <row r="166" spans="3:10">
      <c r="C166" s="2">
        <v>165</v>
      </c>
      <c r="D166" s="2">
        <v>161</v>
      </c>
      <c r="E166" s="2">
        <v>61</v>
      </c>
      <c r="J166" s="67"/>
    </row>
    <row r="167" spans="3:10">
      <c r="C167" s="2">
        <v>166</v>
      </c>
      <c r="D167" s="2">
        <v>169</v>
      </c>
      <c r="E167" s="2">
        <v>59</v>
      </c>
      <c r="J167" s="67"/>
    </row>
    <row r="168" spans="3:10">
      <c r="C168" s="2">
        <v>167</v>
      </c>
      <c r="D168" s="2">
        <v>168</v>
      </c>
      <c r="E168" s="2">
        <v>70</v>
      </c>
      <c r="J168" s="67"/>
    </row>
    <row r="169" spans="3:10">
      <c r="C169" s="2">
        <v>168</v>
      </c>
      <c r="D169" s="2">
        <v>170</v>
      </c>
      <c r="E169" s="2">
        <v>61</v>
      </c>
      <c r="J169" s="67"/>
    </row>
    <row r="170" spans="3:10">
      <c r="C170" s="2">
        <v>169</v>
      </c>
      <c r="D170" s="2">
        <v>166</v>
      </c>
      <c r="E170" s="2">
        <v>55</v>
      </c>
      <c r="J170" s="67"/>
    </row>
    <row r="171" spans="3:10">
      <c r="C171" s="2">
        <v>170</v>
      </c>
      <c r="D171" s="2">
        <v>175</v>
      </c>
      <c r="E171" s="2">
        <v>64</v>
      </c>
      <c r="J171" s="67"/>
    </row>
    <row r="172" spans="3:10">
      <c r="C172" s="2">
        <v>171</v>
      </c>
      <c r="D172" s="2">
        <v>180</v>
      </c>
      <c r="E172" s="2">
        <v>73</v>
      </c>
      <c r="J172" s="67"/>
    </row>
    <row r="173" spans="3:10">
      <c r="C173" s="2">
        <v>172</v>
      </c>
      <c r="D173" s="2">
        <v>164</v>
      </c>
      <c r="E173" s="2">
        <v>56</v>
      </c>
      <c r="J173" s="67"/>
    </row>
    <row r="174" spans="3:10">
      <c r="C174" s="2">
        <v>173</v>
      </c>
      <c r="D174" s="2">
        <v>161</v>
      </c>
      <c r="E174" s="2">
        <v>51</v>
      </c>
      <c r="J174" s="67"/>
    </row>
    <row r="175" spans="3:10">
      <c r="C175" s="2">
        <v>174</v>
      </c>
      <c r="D175" s="2">
        <v>162</v>
      </c>
      <c r="E175" s="2">
        <v>61</v>
      </c>
      <c r="J175" s="67"/>
    </row>
    <row r="176" spans="3:10">
      <c r="C176" s="2">
        <v>175</v>
      </c>
      <c r="D176" s="2">
        <v>171</v>
      </c>
      <c r="E176" s="2">
        <v>67</v>
      </c>
      <c r="J176" s="67"/>
    </row>
    <row r="177" spans="3:10">
      <c r="C177" s="2">
        <v>176</v>
      </c>
      <c r="D177" s="2">
        <v>166</v>
      </c>
      <c r="E177" s="2">
        <v>63</v>
      </c>
      <c r="J177" s="67"/>
    </row>
    <row r="178" spans="3:10">
      <c r="C178" s="2">
        <v>177</v>
      </c>
      <c r="D178" s="2">
        <v>179</v>
      </c>
      <c r="E178" s="2">
        <v>71</v>
      </c>
      <c r="J178" s="67"/>
    </row>
    <row r="179" spans="3:10">
      <c r="C179" s="2">
        <v>178</v>
      </c>
      <c r="D179" s="2">
        <v>162</v>
      </c>
      <c r="E179" s="2">
        <v>52</v>
      </c>
      <c r="J179" s="67"/>
    </row>
    <row r="180" spans="3:10">
      <c r="C180" s="2">
        <v>179</v>
      </c>
      <c r="D180" s="2">
        <v>167</v>
      </c>
      <c r="E180" s="2">
        <v>55</v>
      </c>
      <c r="J180" s="67"/>
    </row>
    <row r="181" spans="3:10">
      <c r="C181" s="2">
        <v>180</v>
      </c>
      <c r="D181" s="2">
        <v>176</v>
      </c>
      <c r="E181" s="2">
        <v>70</v>
      </c>
      <c r="J181" s="67"/>
    </row>
    <row r="182" spans="3:10">
      <c r="C182" s="2">
        <v>181</v>
      </c>
      <c r="D182" s="2">
        <v>163</v>
      </c>
      <c r="E182" s="2">
        <v>63</v>
      </c>
      <c r="J182" s="67"/>
    </row>
    <row r="183" spans="3:10">
      <c r="C183" s="2">
        <v>182</v>
      </c>
      <c r="D183" s="2">
        <v>169</v>
      </c>
      <c r="E183" s="2">
        <v>62</v>
      </c>
      <c r="J183" s="67"/>
    </row>
    <row r="184" spans="3:10">
      <c r="C184" s="2">
        <v>183</v>
      </c>
      <c r="D184" s="2">
        <v>174</v>
      </c>
      <c r="E184" s="2">
        <v>73</v>
      </c>
      <c r="J184" s="67"/>
    </row>
    <row r="185" spans="3:10">
      <c r="C185" s="2">
        <v>184</v>
      </c>
      <c r="D185" s="2">
        <v>167</v>
      </c>
      <c r="E185" s="2">
        <v>65</v>
      </c>
      <c r="J185" s="67"/>
    </row>
    <row r="186" spans="3:10">
      <c r="C186" s="2">
        <v>185</v>
      </c>
      <c r="D186" s="2">
        <v>179</v>
      </c>
      <c r="E186" s="2">
        <v>63</v>
      </c>
      <c r="J186" s="67"/>
    </row>
    <row r="187" spans="3:10">
      <c r="C187" s="2">
        <v>186</v>
      </c>
      <c r="D187" s="2">
        <v>173</v>
      </c>
      <c r="E187" s="2">
        <v>63</v>
      </c>
      <c r="J187" s="67"/>
    </row>
    <row r="188" spans="3:10">
      <c r="C188" s="2">
        <v>187</v>
      </c>
      <c r="D188" s="2">
        <v>172</v>
      </c>
      <c r="E188" s="2">
        <v>67</v>
      </c>
      <c r="J188" s="67"/>
    </row>
    <row r="189" spans="3:10">
      <c r="C189" s="2">
        <v>188</v>
      </c>
      <c r="D189" s="2">
        <v>171</v>
      </c>
      <c r="E189" s="2">
        <v>66</v>
      </c>
      <c r="J189" s="67"/>
    </row>
    <row r="190" spans="3:10">
      <c r="C190" s="2">
        <v>189</v>
      </c>
      <c r="D190" s="2">
        <v>171</v>
      </c>
      <c r="E190" s="2">
        <v>64</v>
      </c>
      <c r="J190" s="67"/>
    </row>
    <row r="191" spans="3:10">
      <c r="C191" s="2">
        <v>190</v>
      </c>
      <c r="D191" s="2">
        <v>171</v>
      </c>
      <c r="E191" s="2">
        <v>67</v>
      </c>
      <c r="J191" s="67"/>
    </row>
    <row r="192" spans="3:10">
      <c r="C192" s="2">
        <v>191</v>
      </c>
      <c r="D192" s="2">
        <v>163</v>
      </c>
      <c r="E192" s="2">
        <v>72</v>
      </c>
      <c r="J192" s="67"/>
    </row>
    <row r="193" spans="3:10">
      <c r="C193" s="2">
        <v>192</v>
      </c>
      <c r="D193" s="2">
        <v>168</v>
      </c>
      <c r="E193" s="2">
        <v>64</v>
      </c>
      <c r="J193" s="67"/>
    </row>
    <row r="194" spans="3:10">
      <c r="C194" s="2">
        <v>193</v>
      </c>
      <c r="D194" s="2">
        <v>164</v>
      </c>
      <c r="E194" s="2">
        <v>70</v>
      </c>
      <c r="J194" s="67"/>
    </row>
    <row r="195" spans="3:10">
      <c r="C195" s="2">
        <v>194</v>
      </c>
      <c r="D195" s="2">
        <v>167</v>
      </c>
      <c r="E195" s="2">
        <v>66</v>
      </c>
      <c r="J195" s="67"/>
    </row>
    <row r="196" spans="3:10">
      <c r="C196" s="2">
        <v>195</v>
      </c>
      <c r="D196" s="2">
        <v>171</v>
      </c>
      <c r="E196" s="2">
        <v>65</v>
      </c>
      <c r="J196" s="67"/>
    </row>
    <row r="197" spans="3:10">
      <c r="C197" s="2">
        <v>196</v>
      </c>
      <c r="D197" s="2">
        <v>165</v>
      </c>
      <c r="E197" s="2">
        <v>62</v>
      </c>
      <c r="J197" s="67"/>
    </row>
    <row r="198" spans="3:10">
      <c r="C198" s="2">
        <v>197</v>
      </c>
      <c r="D198" s="2">
        <v>164</v>
      </c>
      <c r="E198" s="2">
        <v>61</v>
      </c>
      <c r="J198" s="67"/>
    </row>
    <row r="199" spans="3:10">
      <c r="C199" s="2">
        <v>198</v>
      </c>
      <c r="D199" s="2">
        <v>180</v>
      </c>
      <c r="E199" s="2">
        <v>76</v>
      </c>
      <c r="J199" s="67"/>
    </row>
    <row r="200" spans="3:10">
      <c r="C200" s="2">
        <v>199</v>
      </c>
      <c r="D200" s="2">
        <v>165</v>
      </c>
      <c r="E200" s="2">
        <v>76</v>
      </c>
      <c r="J200" s="67"/>
    </row>
    <row r="201" spans="3:10">
      <c r="C201" s="2">
        <v>200</v>
      </c>
      <c r="D201" s="2">
        <v>165</v>
      </c>
      <c r="E201" s="2">
        <v>63</v>
      </c>
      <c r="J201" s="67"/>
    </row>
    <row r="202" spans="3:10">
      <c r="J202" s="67"/>
    </row>
    <row r="203" spans="3:10">
      <c r="J203" s="67"/>
    </row>
    <row r="204" spans="3:10">
      <c r="J204" s="67"/>
    </row>
    <row r="205" spans="3:10">
      <c r="J205" s="67"/>
    </row>
    <row r="206" spans="3:10">
      <c r="J206" s="67"/>
    </row>
    <row r="207" spans="3:10">
      <c r="J207" s="67"/>
    </row>
    <row r="208" spans="3:10">
      <c r="J208" s="68"/>
    </row>
    <row r="209" spans="10:10">
      <c r="J209" s="68"/>
    </row>
    <row r="210" spans="10:10">
      <c r="J210" s="68"/>
    </row>
    <row r="211" spans="10:10">
      <c r="J211" s="68"/>
    </row>
  </sheetData>
  <mergeCells count="1">
    <mergeCell ref="G41:J4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62D5-7D16-044E-AB7A-CC0A05CAEF81}">
  <dimension ref="A1:AB201"/>
  <sheetViews>
    <sheetView topLeftCell="G1" zoomScaleNormal="100" workbookViewId="0">
      <selection activeCell="L66" sqref="L66:N66"/>
    </sheetView>
  </sheetViews>
  <sheetFormatPr baseColWidth="10" defaultRowHeight="16"/>
  <cols>
    <col min="1" max="1" width="96.33203125" customWidth="1"/>
    <col min="6" max="6" width="21.1640625" bestFit="1" customWidth="1"/>
    <col min="7" max="7" width="20.1640625" bestFit="1" customWidth="1"/>
    <col min="8" max="8" width="53.6640625" style="26" bestFit="1" customWidth="1"/>
    <col min="11" max="11" width="12.83203125" bestFit="1" customWidth="1"/>
    <col min="15" max="15" width="12.1640625" bestFit="1" customWidth="1"/>
  </cols>
  <sheetData>
    <row r="1" spans="1:22">
      <c r="A1" s="104" t="s">
        <v>3</v>
      </c>
      <c r="C1" s="1" t="s">
        <v>0</v>
      </c>
      <c r="D1" s="91" t="s">
        <v>1</v>
      </c>
      <c r="E1" s="91" t="s">
        <v>2</v>
      </c>
      <c r="F1" s="93" t="s">
        <v>129</v>
      </c>
      <c r="G1" s="93" t="s">
        <v>128</v>
      </c>
      <c r="H1" s="93" t="s">
        <v>130</v>
      </c>
      <c r="K1" s="194" t="s">
        <v>21</v>
      </c>
      <c r="L1" s="195"/>
      <c r="M1" s="195"/>
      <c r="N1" s="195"/>
      <c r="O1" s="196"/>
      <c r="P1" s="197" t="s">
        <v>25</v>
      </c>
      <c r="Q1" s="198"/>
      <c r="R1" s="197" t="s">
        <v>48</v>
      </c>
      <c r="S1" s="198"/>
    </row>
    <row r="2" spans="1:22">
      <c r="A2" s="7" t="s">
        <v>136</v>
      </c>
      <c r="C2" s="74">
        <v>1</v>
      </c>
      <c r="D2" s="92">
        <v>176</v>
      </c>
      <c r="E2" s="92">
        <v>65</v>
      </c>
      <c r="F2" s="17">
        <f>IF(AND(D2&gt;=$L$4,D2&lt;$M$4),1,IF(AND(D2&gt;=$L$5,D2&lt;$M$5),2,IF(AND(D2&gt;=$L$6,D2&lt;$M$6),3,IF(AND(D2&gt;=$L$7,D2&lt;$M$7),4,IF(AND(D2&gt;=$L$8,D2&lt;$M$8),5,IF(AND(D2&gt;=$L$9,D2&lt;$M$9),6,IF(AND(D2&gt;=$L$10,D2&lt;$M$10),7,IF(AND(D2&gt;=$L$11,D2&lt;$M$11),8,IF(AND(D2&gt;=$L$12,D2&lt;$M$12),9,IF(AND(D2&gt;=$L$13,D2&lt;=$M$13),10,0))))))))))</f>
        <v>6</v>
      </c>
      <c r="G2" s="17">
        <f>IF(AND(E2&gt;=$N$4,E2&lt;$O$4),1,IF(AND(E2&gt;=$N$5,E2&lt;$O$5),2,IF(AND(E2&gt;=$N$6,E2&lt;$O$6),3,IF(AND(E2&gt;=$N$7,E2&lt;$O$7),4,IF(AND(E2&gt;=$N$8,E2&lt;$O$8),5,IF(AND(E2&gt;=$N$9,E2&lt;$O$9),6,IF(AND(E2&gt;=$N$10,E2&lt;$O$10),7,IF(AND(E2&gt;=$N$11,E2&lt;$O$11),8,IF(AND(E2&gt;=$N$12,E2&lt;$O$12),9,IF(AND(E2&gt;=$N$13,E2&lt;=$O$13),10,0))))))))))</f>
        <v>5</v>
      </c>
      <c r="H2" s="26">
        <f t="shared" ref="H2:H33" si="0">F2*10+G2</f>
        <v>65</v>
      </c>
      <c r="K2" s="203" t="s">
        <v>0</v>
      </c>
      <c r="L2" s="194" t="s">
        <v>6</v>
      </c>
      <c r="M2" s="196"/>
      <c r="N2" s="194" t="s">
        <v>7</v>
      </c>
      <c r="O2" s="196"/>
      <c r="P2" s="199"/>
      <c r="Q2" s="200"/>
      <c r="R2" s="201"/>
      <c r="S2" s="202"/>
    </row>
    <row r="3" spans="1:22">
      <c r="A3" s="7" t="s">
        <v>137</v>
      </c>
      <c r="C3" s="74">
        <v>2</v>
      </c>
      <c r="D3" s="92">
        <v>171</v>
      </c>
      <c r="E3" s="92">
        <v>70</v>
      </c>
      <c r="F3" s="17">
        <f t="shared" ref="F3:F66" si="1">IF(AND(D3&gt;=$L$4,D3&lt;$M$4),1,IF(AND(D3&gt;=$L$5,D3&lt;$M$5),2,IF(AND(D3&gt;=$L$6,D3&lt;$M$6),3,IF(AND(D3&gt;=$L$7,D3&lt;$M$7),4,IF(AND(D3&gt;=$L$8,D3&lt;$M$8),5,IF(AND(D3&gt;=$L$9,D3&lt;$M$9),6,IF(AND(D3&gt;=$L$10,D3&lt;$M$10),7,IF(AND(D3&gt;=$L$11,D3&lt;$M$11),8,IF(AND(D3&gt;=$L$12,D3&lt;$M$12),9,IF(AND(D3&gt;=$L$13,D3&lt;=$M$13),10,0))))))))))</f>
        <v>5</v>
      </c>
      <c r="G3" s="17">
        <f t="shared" ref="G3:G66" si="2">IF(AND(E3&gt;=$N$4,E3&lt;$O$4),1,IF(AND(E3&gt;=$N$5,E3&lt;$O$5),2,IF(AND(E3&gt;=$N$6,E3&lt;$O$6),3,IF(AND(E3&gt;=$N$7,E3&lt;$O$7),4,IF(AND(E3&gt;=$N$8,E3&lt;$O$8),5,IF(AND(E3&gt;=$N$9,E3&lt;$O$9),6,IF(AND(E3&gt;=$N$10,E3&lt;$O$10),7,IF(AND(E3&gt;=$N$11,E3&lt;$O$11),8,IF(AND(E3&gt;=$N$12,E3&lt;$O$12),9,IF(AND(E3&gt;=$N$13,E3&lt;=$O$13),10,0))))))))))</f>
        <v>6</v>
      </c>
      <c r="H3" s="26">
        <f t="shared" si="0"/>
        <v>56</v>
      </c>
      <c r="K3" s="204"/>
      <c r="L3" s="94" t="s">
        <v>22</v>
      </c>
      <c r="M3" s="94" t="s">
        <v>23</v>
      </c>
      <c r="N3" s="94" t="s">
        <v>22</v>
      </c>
      <c r="O3" s="94" t="s">
        <v>23</v>
      </c>
      <c r="P3" s="94" t="s">
        <v>6</v>
      </c>
      <c r="Q3" s="94" t="s">
        <v>7</v>
      </c>
      <c r="R3" s="94" t="s">
        <v>6</v>
      </c>
      <c r="S3" s="94" t="s">
        <v>7</v>
      </c>
    </row>
    <row r="4" spans="1:22">
      <c r="A4" s="7" t="s">
        <v>138</v>
      </c>
      <c r="C4" s="74">
        <v>3</v>
      </c>
      <c r="D4" s="92">
        <v>166</v>
      </c>
      <c r="E4" s="92">
        <v>57</v>
      </c>
      <c r="F4" s="17">
        <f t="shared" si="1"/>
        <v>4</v>
      </c>
      <c r="G4" s="17">
        <f t="shared" si="2"/>
        <v>2</v>
      </c>
      <c r="H4" s="26">
        <f t="shared" si="0"/>
        <v>42</v>
      </c>
      <c r="K4" s="95">
        <v>1</v>
      </c>
      <c r="L4" s="96">
        <v>156</v>
      </c>
      <c r="M4" s="96">
        <v>159</v>
      </c>
      <c r="N4" s="96">
        <v>51</v>
      </c>
      <c r="O4" s="96">
        <v>54</v>
      </c>
      <c r="P4" s="96">
        <v>4</v>
      </c>
      <c r="Q4" s="96">
        <v>8</v>
      </c>
      <c r="R4" s="97">
        <v>0.02</v>
      </c>
      <c r="S4" s="97">
        <v>0.04</v>
      </c>
    </row>
    <row r="5" spans="1:22">
      <c r="A5" s="192" t="s">
        <v>139</v>
      </c>
      <c r="C5" s="74">
        <v>4</v>
      </c>
      <c r="D5" s="92">
        <v>182</v>
      </c>
      <c r="E5" s="92">
        <v>76</v>
      </c>
      <c r="F5" s="17">
        <f t="shared" si="1"/>
        <v>8</v>
      </c>
      <c r="G5" s="17">
        <f t="shared" si="2"/>
        <v>8</v>
      </c>
      <c r="H5" s="26">
        <f t="shared" si="0"/>
        <v>88</v>
      </c>
      <c r="K5" s="95">
        <v>2</v>
      </c>
      <c r="L5" s="96">
        <v>159</v>
      </c>
      <c r="M5" s="96">
        <v>163</v>
      </c>
      <c r="N5" s="96">
        <v>54</v>
      </c>
      <c r="O5" s="96">
        <v>58</v>
      </c>
      <c r="P5" s="96">
        <v>33</v>
      </c>
      <c r="Q5" s="96">
        <v>23</v>
      </c>
      <c r="R5" s="97">
        <v>0.16500000000000001</v>
      </c>
      <c r="S5" s="97">
        <v>0.115</v>
      </c>
    </row>
    <row r="6" spans="1:22">
      <c r="A6" s="192"/>
      <c r="C6" s="74">
        <v>5</v>
      </c>
      <c r="D6" s="92">
        <v>165</v>
      </c>
      <c r="E6" s="92">
        <v>59</v>
      </c>
      <c r="F6" s="17">
        <f t="shared" si="1"/>
        <v>3</v>
      </c>
      <c r="G6" s="17">
        <f t="shared" si="2"/>
        <v>3</v>
      </c>
      <c r="H6" s="26">
        <f t="shared" si="0"/>
        <v>33</v>
      </c>
      <c r="K6" s="95">
        <v>3</v>
      </c>
      <c r="L6" s="96">
        <v>163</v>
      </c>
      <c r="M6" s="96">
        <v>166</v>
      </c>
      <c r="N6" s="96">
        <v>58</v>
      </c>
      <c r="O6" s="96">
        <v>61</v>
      </c>
      <c r="P6" s="96">
        <v>35</v>
      </c>
      <c r="Q6" s="96">
        <v>22</v>
      </c>
      <c r="R6" s="97">
        <v>0.17499999999999999</v>
      </c>
      <c r="S6" s="97">
        <v>0.11</v>
      </c>
    </row>
    <row r="7" spans="1:22">
      <c r="A7" s="192"/>
      <c r="C7" s="74">
        <v>6</v>
      </c>
      <c r="D7" s="92">
        <v>168</v>
      </c>
      <c r="E7" s="92">
        <v>62</v>
      </c>
      <c r="F7" s="17">
        <f t="shared" si="1"/>
        <v>4</v>
      </c>
      <c r="G7" s="17">
        <f t="shared" si="2"/>
        <v>4</v>
      </c>
      <c r="H7" s="26">
        <f t="shared" si="0"/>
        <v>44</v>
      </c>
      <c r="K7" s="95">
        <v>4</v>
      </c>
      <c r="L7" s="96">
        <v>166</v>
      </c>
      <c r="M7" s="96">
        <v>170</v>
      </c>
      <c r="N7" s="96">
        <v>61</v>
      </c>
      <c r="O7" s="96">
        <v>65</v>
      </c>
      <c r="P7" s="96">
        <v>42</v>
      </c>
      <c r="Q7" s="96">
        <v>52</v>
      </c>
      <c r="R7" s="97">
        <v>0.21</v>
      </c>
      <c r="S7" s="97">
        <v>0.26</v>
      </c>
    </row>
    <row r="8" spans="1:22">
      <c r="A8" s="192"/>
      <c r="C8" s="74">
        <v>7</v>
      </c>
      <c r="D8" s="92">
        <v>170</v>
      </c>
      <c r="E8" s="92">
        <v>76</v>
      </c>
      <c r="F8" s="17">
        <f t="shared" si="1"/>
        <v>5</v>
      </c>
      <c r="G8" s="17">
        <f t="shared" si="2"/>
        <v>8</v>
      </c>
      <c r="H8" s="26">
        <f t="shared" si="0"/>
        <v>58</v>
      </c>
      <c r="K8" s="95">
        <v>5</v>
      </c>
      <c r="L8" s="96">
        <v>170</v>
      </c>
      <c r="M8" s="96">
        <v>173</v>
      </c>
      <c r="N8" s="96">
        <v>65</v>
      </c>
      <c r="O8" s="96">
        <v>68</v>
      </c>
      <c r="P8" s="96">
        <v>41</v>
      </c>
      <c r="Q8" s="96">
        <v>37</v>
      </c>
      <c r="R8" s="97">
        <v>0.20499999999999999</v>
      </c>
      <c r="S8" s="97">
        <v>0.185</v>
      </c>
    </row>
    <row r="9" spans="1:22" ht="18">
      <c r="A9" s="7" t="s">
        <v>169</v>
      </c>
      <c r="C9" s="74">
        <v>8</v>
      </c>
      <c r="D9" s="92">
        <v>181</v>
      </c>
      <c r="E9" s="92">
        <v>68</v>
      </c>
      <c r="F9" s="17">
        <f t="shared" si="1"/>
        <v>8</v>
      </c>
      <c r="G9" s="17">
        <f t="shared" si="2"/>
        <v>6</v>
      </c>
      <c r="H9" s="26">
        <f t="shared" si="0"/>
        <v>86</v>
      </c>
      <c r="K9" s="95">
        <v>6</v>
      </c>
      <c r="L9" s="96">
        <v>173</v>
      </c>
      <c r="M9" s="96">
        <v>177</v>
      </c>
      <c r="N9" s="96">
        <v>68</v>
      </c>
      <c r="O9" s="96">
        <v>72</v>
      </c>
      <c r="P9" s="96">
        <v>24</v>
      </c>
      <c r="Q9" s="96">
        <v>25</v>
      </c>
      <c r="R9" s="97">
        <v>0.12</v>
      </c>
      <c r="S9" s="97">
        <v>0.125</v>
      </c>
    </row>
    <row r="10" spans="1:22" ht="17">
      <c r="A10" s="120" t="s">
        <v>141</v>
      </c>
      <c r="C10" s="74">
        <v>9</v>
      </c>
      <c r="D10" s="92">
        <v>161</v>
      </c>
      <c r="E10" s="92">
        <v>66</v>
      </c>
      <c r="F10" s="17">
        <f t="shared" si="1"/>
        <v>2</v>
      </c>
      <c r="G10" s="17">
        <f t="shared" si="2"/>
        <v>5</v>
      </c>
      <c r="H10" s="26">
        <f t="shared" si="0"/>
        <v>25</v>
      </c>
      <c r="K10" s="95">
        <v>7</v>
      </c>
      <c r="L10" s="96">
        <v>177</v>
      </c>
      <c r="M10" s="96">
        <v>180</v>
      </c>
      <c r="N10" s="96">
        <v>72</v>
      </c>
      <c r="O10" s="96">
        <v>75</v>
      </c>
      <c r="P10" s="96">
        <v>8</v>
      </c>
      <c r="Q10" s="96">
        <v>14</v>
      </c>
      <c r="R10" s="97">
        <v>0.04</v>
      </c>
      <c r="S10" s="97">
        <v>7.0000000000000007E-2</v>
      </c>
    </row>
    <row r="11" spans="1:22">
      <c r="A11" s="29" t="s">
        <v>142</v>
      </c>
      <c r="C11" s="74">
        <v>10</v>
      </c>
      <c r="D11" s="92">
        <v>168</v>
      </c>
      <c r="E11" s="92">
        <v>67</v>
      </c>
      <c r="F11" s="17">
        <f t="shared" si="1"/>
        <v>4</v>
      </c>
      <c r="G11" s="17">
        <f t="shared" si="2"/>
        <v>5</v>
      </c>
      <c r="H11" s="26">
        <f t="shared" si="0"/>
        <v>45</v>
      </c>
      <c r="K11" s="95">
        <v>8</v>
      </c>
      <c r="L11" s="96">
        <v>180</v>
      </c>
      <c r="M11" s="96">
        <v>184</v>
      </c>
      <c r="N11" s="96">
        <v>75</v>
      </c>
      <c r="O11" s="96">
        <v>79</v>
      </c>
      <c r="P11" s="96">
        <v>9</v>
      </c>
      <c r="Q11" s="96">
        <v>15</v>
      </c>
      <c r="R11" s="97">
        <v>4.4999999999999998E-2</v>
      </c>
      <c r="S11" s="97">
        <v>7.4999999999999997E-2</v>
      </c>
    </row>
    <row r="12" spans="1:22" ht="18">
      <c r="A12" s="29" t="s">
        <v>153</v>
      </c>
      <c r="C12" s="74">
        <v>11</v>
      </c>
      <c r="D12" s="92">
        <v>161</v>
      </c>
      <c r="E12" s="92">
        <v>55</v>
      </c>
      <c r="F12" s="17">
        <f t="shared" si="1"/>
        <v>2</v>
      </c>
      <c r="G12" s="17">
        <f t="shared" si="2"/>
        <v>2</v>
      </c>
      <c r="H12" s="26">
        <f t="shared" si="0"/>
        <v>22</v>
      </c>
      <c r="K12" s="95">
        <v>9</v>
      </c>
      <c r="L12" s="96">
        <v>184</v>
      </c>
      <c r="M12" s="96">
        <v>187</v>
      </c>
      <c r="N12" s="96">
        <v>79</v>
      </c>
      <c r="O12" s="96">
        <v>82</v>
      </c>
      <c r="P12" s="96">
        <v>1</v>
      </c>
      <c r="Q12" s="96">
        <v>2</v>
      </c>
      <c r="R12" s="97">
        <v>5.0000000000000001E-3</v>
      </c>
      <c r="S12" s="97">
        <v>0.01</v>
      </c>
    </row>
    <row r="13" spans="1:22" ht="18">
      <c r="A13" s="29" t="s">
        <v>146</v>
      </c>
      <c r="C13" s="74">
        <v>12</v>
      </c>
      <c r="D13" s="92">
        <v>161</v>
      </c>
      <c r="E13" s="92">
        <v>66</v>
      </c>
      <c r="F13" s="17">
        <f t="shared" si="1"/>
        <v>2</v>
      </c>
      <c r="G13" s="17">
        <f t="shared" si="2"/>
        <v>5</v>
      </c>
      <c r="H13" s="26">
        <f t="shared" si="0"/>
        <v>25</v>
      </c>
      <c r="K13" s="95">
        <v>10</v>
      </c>
      <c r="L13" s="96">
        <v>187</v>
      </c>
      <c r="M13" s="96">
        <v>190</v>
      </c>
      <c r="N13" s="96">
        <v>82</v>
      </c>
      <c r="O13" s="96">
        <v>84</v>
      </c>
      <c r="P13" s="96">
        <v>3</v>
      </c>
      <c r="Q13" s="96">
        <v>2</v>
      </c>
      <c r="R13" s="97">
        <v>1.4999999999999999E-2</v>
      </c>
      <c r="S13" s="97">
        <v>0.01</v>
      </c>
    </row>
    <row r="14" spans="1:22" ht="18">
      <c r="A14" s="29" t="s">
        <v>152</v>
      </c>
      <c r="C14" s="74">
        <v>13</v>
      </c>
      <c r="D14" s="92">
        <v>165</v>
      </c>
      <c r="E14" s="92">
        <v>63</v>
      </c>
      <c r="F14" s="17">
        <f t="shared" si="1"/>
        <v>3</v>
      </c>
      <c r="G14" s="17">
        <f t="shared" si="2"/>
        <v>4</v>
      </c>
      <c r="H14" s="26">
        <f t="shared" si="0"/>
        <v>34</v>
      </c>
    </row>
    <row r="15" spans="1:22">
      <c r="A15" s="29" t="s">
        <v>155</v>
      </c>
      <c r="C15" s="74">
        <v>14</v>
      </c>
      <c r="D15" s="92">
        <v>176</v>
      </c>
      <c r="E15" s="92">
        <v>78</v>
      </c>
      <c r="F15" s="17">
        <f t="shared" si="1"/>
        <v>6</v>
      </c>
      <c r="G15" s="17">
        <f t="shared" si="2"/>
        <v>8</v>
      </c>
      <c r="H15" s="26">
        <f t="shared" si="0"/>
        <v>68</v>
      </c>
    </row>
    <row r="16" spans="1:22">
      <c r="A16" s="29" t="s">
        <v>160</v>
      </c>
      <c r="C16" s="74">
        <v>15</v>
      </c>
      <c r="D16" s="92">
        <v>165</v>
      </c>
      <c r="E16" s="92">
        <v>56</v>
      </c>
      <c r="F16" s="17">
        <f t="shared" si="1"/>
        <v>3</v>
      </c>
      <c r="G16" s="17">
        <f t="shared" si="2"/>
        <v>2</v>
      </c>
      <c r="H16" s="26">
        <f t="shared" si="0"/>
        <v>32</v>
      </c>
      <c r="K16" s="138" t="s">
        <v>127</v>
      </c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</row>
    <row r="17" spans="1:28">
      <c r="A17" s="29" t="s">
        <v>168</v>
      </c>
      <c r="C17" s="74">
        <v>16</v>
      </c>
      <c r="D17" s="92">
        <v>161</v>
      </c>
      <c r="E17" s="92">
        <v>51</v>
      </c>
      <c r="F17" s="17">
        <f t="shared" si="1"/>
        <v>2</v>
      </c>
      <c r="G17" s="17">
        <f t="shared" si="2"/>
        <v>1</v>
      </c>
      <c r="H17" s="26">
        <f t="shared" si="0"/>
        <v>21</v>
      </c>
      <c r="K17" s="138" t="s">
        <v>27</v>
      </c>
      <c r="L17" s="138"/>
      <c r="M17" s="138" t="s">
        <v>2</v>
      </c>
      <c r="N17" s="138"/>
      <c r="O17" s="138"/>
      <c r="P17" s="138"/>
      <c r="Q17" s="138"/>
      <c r="R17" s="138"/>
      <c r="S17" s="138"/>
      <c r="T17" s="138"/>
      <c r="U17" s="138"/>
      <c r="V17" s="138"/>
    </row>
    <row r="18" spans="1:28">
      <c r="C18" s="74">
        <v>17</v>
      </c>
      <c r="D18" s="92">
        <v>166</v>
      </c>
      <c r="E18" s="92">
        <v>62</v>
      </c>
      <c r="F18" s="17">
        <f t="shared" si="1"/>
        <v>4</v>
      </c>
      <c r="G18" s="17">
        <f t="shared" si="2"/>
        <v>4</v>
      </c>
      <c r="H18" s="26">
        <f t="shared" si="0"/>
        <v>44</v>
      </c>
      <c r="K18" s="138"/>
      <c r="L18" s="138"/>
      <c r="M18" s="23">
        <v>1</v>
      </c>
      <c r="N18" s="23">
        <v>2</v>
      </c>
      <c r="O18" s="23">
        <v>3</v>
      </c>
      <c r="P18" s="23">
        <v>4</v>
      </c>
      <c r="Q18" s="23">
        <v>5</v>
      </c>
      <c r="R18" s="23">
        <v>6</v>
      </c>
      <c r="S18" s="23">
        <v>7</v>
      </c>
      <c r="T18" s="23">
        <v>8</v>
      </c>
      <c r="U18" s="23">
        <v>9</v>
      </c>
      <c r="V18" s="23">
        <v>10</v>
      </c>
      <c r="X18" s="148" t="s">
        <v>171</v>
      </c>
      <c r="Y18" s="149"/>
      <c r="Z18" s="150"/>
    </row>
    <row r="19" spans="1:28">
      <c r="C19" s="74">
        <v>18</v>
      </c>
      <c r="D19" s="92">
        <v>167</v>
      </c>
      <c r="E19" s="92">
        <v>65</v>
      </c>
      <c r="F19" s="17">
        <f t="shared" si="1"/>
        <v>4</v>
      </c>
      <c r="G19" s="17">
        <f t="shared" si="2"/>
        <v>5</v>
      </c>
      <c r="H19" s="26">
        <f t="shared" si="0"/>
        <v>45</v>
      </c>
      <c r="K19" s="138" t="s">
        <v>1</v>
      </c>
      <c r="L19" s="98">
        <v>1</v>
      </c>
      <c r="M19" s="8">
        <f>COUNTIF($H$2:$H$201,$L19*10+M$18)</f>
        <v>1</v>
      </c>
      <c r="N19" s="8">
        <f t="shared" ref="N19:V28" si="3">COUNTIF($H$2:$H$201,$L19*10+N$18)</f>
        <v>1</v>
      </c>
      <c r="O19" s="8">
        <f t="shared" si="3"/>
        <v>2</v>
      </c>
      <c r="P19" s="8">
        <f t="shared" si="3"/>
        <v>0</v>
      </c>
      <c r="Q19" s="8">
        <f t="shared" si="3"/>
        <v>0</v>
      </c>
      <c r="R19" s="8">
        <f t="shared" si="3"/>
        <v>0</v>
      </c>
      <c r="S19" s="8">
        <f t="shared" si="3"/>
        <v>0</v>
      </c>
      <c r="T19" s="8">
        <f t="shared" si="3"/>
        <v>0</v>
      </c>
      <c r="U19" s="8">
        <f t="shared" si="3"/>
        <v>0</v>
      </c>
      <c r="V19" s="8">
        <f t="shared" si="3"/>
        <v>0</v>
      </c>
      <c r="Y19" s="101">
        <f t="shared" ref="Y19:Y27" si="4">SUMPRODUCT(M19:V19,S$33:AB$33)/P4</f>
        <v>56.875</v>
      </c>
    </row>
    <row r="20" spans="1:28">
      <c r="C20" s="74">
        <v>19</v>
      </c>
      <c r="D20" s="92">
        <v>167</v>
      </c>
      <c r="E20" s="92">
        <v>63</v>
      </c>
      <c r="F20" s="17">
        <f t="shared" si="1"/>
        <v>4</v>
      </c>
      <c r="G20" s="17">
        <f t="shared" si="2"/>
        <v>4</v>
      </c>
      <c r="H20" s="26">
        <f t="shared" si="0"/>
        <v>44</v>
      </c>
      <c r="K20" s="138"/>
      <c r="L20" s="98">
        <v>2</v>
      </c>
      <c r="M20" s="8">
        <f t="shared" ref="M20:M28" si="5">COUNTIF($H$2:$H$201,$L20*10+M$18)</f>
        <v>6</v>
      </c>
      <c r="N20" s="8">
        <f t="shared" si="3"/>
        <v>7</v>
      </c>
      <c r="O20" s="8">
        <f t="shared" si="3"/>
        <v>7</v>
      </c>
      <c r="P20" s="8">
        <f t="shared" si="3"/>
        <v>5</v>
      </c>
      <c r="Q20" s="8">
        <f t="shared" si="3"/>
        <v>6</v>
      </c>
      <c r="R20" s="8">
        <f t="shared" si="3"/>
        <v>2</v>
      </c>
      <c r="S20" s="8">
        <f t="shared" si="3"/>
        <v>0</v>
      </c>
      <c r="T20" s="8">
        <f t="shared" si="3"/>
        <v>0</v>
      </c>
      <c r="U20" s="8">
        <f t="shared" si="3"/>
        <v>0</v>
      </c>
      <c r="V20" s="8">
        <f t="shared" si="3"/>
        <v>0</v>
      </c>
      <c r="Y20" s="101">
        <f t="shared" si="4"/>
        <v>59.924242424242422</v>
      </c>
    </row>
    <row r="21" spans="1:28">
      <c r="C21" s="74">
        <v>20</v>
      </c>
      <c r="D21" s="92">
        <v>165</v>
      </c>
      <c r="E21" s="92">
        <v>63</v>
      </c>
      <c r="F21" s="17">
        <f t="shared" si="1"/>
        <v>3</v>
      </c>
      <c r="G21" s="17">
        <f t="shared" si="2"/>
        <v>4</v>
      </c>
      <c r="H21" s="26">
        <f t="shared" si="0"/>
        <v>34</v>
      </c>
      <c r="K21" s="138"/>
      <c r="L21" s="98">
        <v>3</v>
      </c>
      <c r="M21" s="8">
        <f t="shared" si="5"/>
        <v>1</v>
      </c>
      <c r="N21" s="8">
        <f t="shared" si="3"/>
        <v>7</v>
      </c>
      <c r="O21" s="8">
        <f t="shared" si="3"/>
        <v>6</v>
      </c>
      <c r="P21" s="8">
        <f t="shared" si="3"/>
        <v>14</v>
      </c>
      <c r="Q21" s="8">
        <f t="shared" si="3"/>
        <v>4</v>
      </c>
      <c r="R21" s="8">
        <f t="shared" si="3"/>
        <v>1</v>
      </c>
      <c r="S21" s="8">
        <f t="shared" si="3"/>
        <v>1</v>
      </c>
      <c r="T21" s="8">
        <f t="shared" si="3"/>
        <v>1</v>
      </c>
      <c r="U21" s="8">
        <f t="shared" si="3"/>
        <v>0</v>
      </c>
      <c r="V21" s="8">
        <f t="shared" si="3"/>
        <v>0</v>
      </c>
      <c r="Y21" s="101">
        <f t="shared" si="4"/>
        <v>62</v>
      </c>
    </row>
    <row r="22" spans="1:28">
      <c r="C22" s="74">
        <v>21</v>
      </c>
      <c r="D22" s="92">
        <v>168</v>
      </c>
      <c r="E22" s="92">
        <v>73</v>
      </c>
      <c r="F22" s="17">
        <f t="shared" si="1"/>
        <v>4</v>
      </c>
      <c r="G22" s="17">
        <f t="shared" si="2"/>
        <v>7</v>
      </c>
      <c r="H22" s="26">
        <f t="shared" si="0"/>
        <v>47</v>
      </c>
      <c r="K22" s="138"/>
      <c r="L22" s="98">
        <v>4</v>
      </c>
      <c r="M22" s="8">
        <f t="shared" si="5"/>
        <v>0</v>
      </c>
      <c r="N22" s="8">
        <f t="shared" si="3"/>
        <v>8</v>
      </c>
      <c r="O22" s="8">
        <f t="shared" si="3"/>
        <v>5</v>
      </c>
      <c r="P22" s="8">
        <f t="shared" si="3"/>
        <v>15</v>
      </c>
      <c r="Q22" s="8">
        <f t="shared" si="3"/>
        <v>8</v>
      </c>
      <c r="R22" s="8">
        <f t="shared" si="3"/>
        <v>3</v>
      </c>
      <c r="S22" s="8">
        <f t="shared" si="3"/>
        <v>3</v>
      </c>
      <c r="T22" s="8">
        <f t="shared" si="3"/>
        <v>0</v>
      </c>
      <c r="U22" s="8">
        <f t="shared" si="3"/>
        <v>0</v>
      </c>
      <c r="V22" s="8">
        <f t="shared" si="3"/>
        <v>0</v>
      </c>
      <c r="Y22" s="101">
        <f t="shared" si="4"/>
        <v>63.166666666666664</v>
      </c>
    </row>
    <row r="23" spans="1:28">
      <c r="C23" s="74">
        <v>22</v>
      </c>
      <c r="D23" s="92">
        <v>161</v>
      </c>
      <c r="E23" s="92">
        <v>59</v>
      </c>
      <c r="F23" s="17">
        <f t="shared" si="1"/>
        <v>2</v>
      </c>
      <c r="G23" s="17">
        <f t="shared" si="2"/>
        <v>3</v>
      </c>
      <c r="H23" s="26">
        <f t="shared" si="0"/>
        <v>23</v>
      </c>
      <c r="K23" s="138"/>
      <c r="L23" s="98">
        <v>5</v>
      </c>
      <c r="M23" s="8">
        <f t="shared" si="5"/>
        <v>0</v>
      </c>
      <c r="N23" s="8">
        <f t="shared" si="3"/>
        <v>0</v>
      </c>
      <c r="O23" s="8">
        <f t="shared" si="3"/>
        <v>2</v>
      </c>
      <c r="P23" s="8">
        <f t="shared" si="3"/>
        <v>12</v>
      </c>
      <c r="Q23" s="8">
        <f t="shared" si="3"/>
        <v>13</v>
      </c>
      <c r="R23" s="8">
        <f t="shared" si="3"/>
        <v>7</v>
      </c>
      <c r="S23" s="8">
        <f t="shared" si="3"/>
        <v>5</v>
      </c>
      <c r="T23" s="8">
        <f t="shared" si="3"/>
        <v>2</v>
      </c>
      <c r="U23" s="8">
        <f t="shared" si="3"/>
        <v>0</v>
      </c>
      <c r="V23" s="8">
        <f t="shared" si="3"/>
        <v>0</v>
      </c>
      <c r="Y23" s="101">
        <f t="shared" si="4"/>
        <v>67.097560975609753</v>
      </c>
    </row>
    <row r="24" spans="1:28">
      <c r="C24" s="74">
        <v>23</v>
      </c>
      <c r="D24" s="92">
        <v>163</v>
      </c>
      <c r="E24" s="92">
        <v>65</v>
      </c>
      <c r="F24" s="17">
        <f t="shared" si="1"/>
        <v>3</v>
      </c>
      <c r="G24" s="17">
        <f t="shared" si="2"/>
        <v>5</v>
      </c>
      <c r="H24" s="26">
        <f t="shared" si="0"/>
        <v>35</v>
      </c>
      <c r="K24" s="138"/>
      <c r="L24" s="98">
        <v>6</v>
      </c>
      <c r="M24" s="8">
        <f t="shared" si="5"/>
        <v>0</v>
      </c>
      <c r="N24" s="8">
        <f t="shared" si="3"/>
        <v>0</v>
      </c>
      <c r="O24" s="8">
        <f t="shared" si="3"/>
        <v>0</v>
      </c>
      <c r="P24" s="8">
        <f t="shared" si="3"/>
        <v>5</v>
      </c>
      <c r="Q24" s="8">
        <f>COUNTIF($H$2:$H$201,$L24*10+Q$18)</f>
        <v>4</v>
      </c>
      <c r="R24" s="8">
        <f t="shared" si="3"/>
        <v>7</v>
      </c>
      <c r="S24" s="8">
        <f t="shared" si="3"/>
        <v>2</v>
      </c>
      <c r="T24" s="8">
        <f t="shared" si="3"/>
        <v>5</v>
      </c>
      <c r="U24" s="8">
        <f t="shared" si="3"/>
        <v>1</v>
      </c>
      <c r="V24" s="8">
        <f t="shared" si="3"/>
        <v>0</v>
      </c>
      <c r="Y24" s="101">
        <f t="shared" si="4"/>
        <v>70.145833333333329</v>
      </c>
    </row>
    <row r="25" spans="1:28">
      <c r="C25" s="74">
        <v>24</v>
      </c>
      <c r="D25" s="92">
        <v>168</v>
      </c>
      <c r="E25" s="92">
        <v>66</v>
      </c>
      <c r="F25" s="17">
        <f t="shared" si="1"/>
        <v>4</v>
      </c>
      <c r="G25" s="17">
        <f t="shared" si="2"/>
        <v>5</v>
      </c>
      <c r="H25" s="26">
        <f t="shared" si="0"/>
        <v>45</v>
      </c>
      <c r="K25" s="138"/>
      <c r="L25" s="98">
        <v>7</v>
      </c>
      <c r="M25" s="8">
        <f t="shared" si="5"/>
        <v>0</v>
      </c>
      <c r="N25" s="8">
        <f t="shared" si="3"/>
        <v>0</v>
      </c>
      <c r="O25" s="8">
        <f t="shared" si="3"/>
        <v>0</v>
      </c>
      <c r="P25" s="8">
        <f t="shared" si="3"/>
        <v>1</v>
      </c>
      <c r="Q25" s="8">
        <f t="shared" si="3"/>
        <v>1</v>
      </c>
      <c r="R25" s="8">
        <f t="shared" si="3"/>
        <v>4</v>
      </c>
      <c r="S25" s="8">
        <f t="shared" si="3"/>
        <v>0</v>
      </c>
      <c r="T25" s="8">
        <f t="shared" si="3"/>
        <v>2</v>
      </c>
      <c r="U25" s="8">
        <f t="shared" si="3"/>
        <v>0</v>
      </c>
      <c r="V25" s="8">
        <f t="shared" si="3"/>
        <v>0</v>
      </c>
      <c r="Y25" s="101">
        <f t="shared" si="4"/>
        <v>70.4375</v>
      </c>
    </row>
    <row r="26" spans="1:28">
      <c r="C26" s="74">
        <v>25</v>
      </c>
      <c r="D26" s="92">
        <v>175</v>
      </c>
      <c r="E26" s="92">
        <v>66</v>
      </c>
      <c r="F26" s="17">
        <f t="shared" si="1"/>
        <v>6</v>
      </c>
      <c r="G26" s="17">
        <f t="shared" si="2"/>
        <v>5</v>
      </c>
      <c r="H26" s="26">
        <f t="shared" si="0"/>
        <v>65</v>
      </c>
      <c r="K26" s="138"/>
      <c r="L26" s="98">
        <v>8</v>
      </c>
      <c r="M26" s="8">
        <f t="shared" si="5"/>
        <v>0</v>
      </c>
      <c r="N26" s="8">
        <f t="shared" si="3"/>
        <v>0</v>
      </c>
      <c r="O26" s="8">
        <f t="shared" si="3"/>
        <v>0</v>
      </c>
      <c r="P26" s="8">
        <f t="shared" si="3"/>
        <v>0</v>
      </c>
      <c r="Q26" s="8">
        <f t="shared" si="3"/>
        <v>1</v>
      </c>
      <c r="R26" s="8">
        <f t="shared" si="3"/>
        <v>1</v>
      </c>
      <c r="S26" s="8">
        <f t="shared" si="3"/>
        <v>2</v>
      </c>
      <c r="T26" s="8">
        <f t="shared" si="3"/>
        <v>4</v>
      </c>
      <c r="U26" s="8">
        <f t="shared" si="3"/>
        <v>0</v>
      </c>
      <c r="V26" s="8">
        <f t="shared" si="3"/>
        <v>1</v>
      </c>
      <c r="Y26" s="101">
        <f>SUMPRODUCT(M26:V26,S$33:AB$33)/P11</f>
        <v>74.944444444444443</v>
      </c>
    </row>
    <row r="27" spans="1:28">
      <c r="C27" s="74">
        <v>26</v>
      </c>
      <c r="D27" s="92">
        <v>161</v>
      </c>
      <c r="E27" s="92">
        <v>52</v>
      </c>
      <c r="F27" s="17">
        <f t="shared" si="1"/>
        <v>2</v>
      </c>
      <c r="G27" s="17">
        <f t="shared" si="2"/>
        <v>1</v>
      </c>
      <c r="H27" s="26">
        <f t="shared" si="0"/>
        <v>21</v>
      </c>
      <c r="K27" s="138"/>
      <c r="L27" s="98">
        <v>9</v>
      </c>
      <c r="M27" s="8">
        <f t="shared" si="5"/>
        <v>0</v>
      </c>
      <c r="N27" s="8">
        <f t="shared" si="3"/>
        <v>0</v>
      </c>
      <c r="O27" s="8">
        <f t="shared" si="3"/>
        <v>0</v>
      </c>
      <c r="P27" s="8">
        <f t="shared" si="3"/>
        <v>0</v>
      </c>
      <c r="Q27" s="8">
        <f t="shared" si="3"/>
        <v>0</v>
      </c>
      <c r="R27" s="8">
        <f t="shared" si="3"/>
        <v>0</v>
      </c>
      <c r="S27" s="8">
        <f t="shared" si="3"/>
        <v>1</v>
      </c>
      <c r="T27" s="8">
        <f t="shared" si="3"/>
        <v>0</v>
      </c>
      <c r="U27" s="8">
        <f t="shared" si="3"/>
        <v>0</v>
      </c>
      <c r="V27" s="8">
        <f t="shared" si="3"/>
        <v>0</v>
      </c>
      <c r="Y27" s="101">
        <f t="shared" si="4"/>
        <v>73.5</v>
      </c>
    </row>
    <row r="28" spans="1:28">
      <c r="C28" s="74">
        <v>27</v>
      </c>
      <c r="D28" s="92">
        <v>171</v>
      </c>
      <c r="E28" s="92">
        <v>63</v>
      </c>
      <c r="F28" s="17">
        <f t="shared" si="1"/>
        <v>5</v>
      </c>
      <c r="G28" s="17">
        <f t="shared" si="2"/>
        <v>4</v>
      </c>
      <c r="H28" s="26">
        <f t="shared" si="0"/>
        <v>54</v>
      </c>
      <c r="K28" s="138"/>
      <c r="L28" s="98">
        <v>10</v>
      </c>
      <c r="M28" s="8">
        <f t="shared" si="5"/>
        <v>0</v>
      </c>
      <c r="N28" s="8">
        <f t="shared" si="3"/>
        <v>0</v>
      </c>
      <c r="O28" s="8">
        <f t="shared" si="3"/>
        <v>0</v>
      </c>
      <c r="P28" s="8">
        <f t="shared" si="3"/>
        <v>0</v>
      </c>
      <c r="Q28" s="8">
        <f t="shared" si="3"/>
        <v>0</v>
      </c>
      <c r="R28" s="8">
        <f t="shared" si="3"/>
        <v>0</v>
      </c>
      <c r="S28" s="8">
        <f t="shared" si="3"/>
        <v>0</v>
      </c>
      <c r="T28" s="8">
        <f t="shared" si="3"/>
        <v>1</v>
      </c>
      <c r="U28" s="8">
        <f t="shared" si="3"/>
        <v>1</v>
      </c>
      <c r="V28" s="8">
        <f t="shared" si="3"/>
        <v>1</v>
      </c>
      <c r="Y28" s="121">
        <f>SUMPRODUCT(M28:V28,S$33:AB$33)/P13</f>
        <v>80.166666666666671</v>
      </c>
    </row>
    <row r="29" spans="1:28">
      <c r="C29" s="74">
        <v>28</v>
      </c>
      <c r="D29" s="92">
        <v>184</v>
      </c>
      <c r="E29" s="92">
        <v>72</v>
      </c>
      <c r="F29" s="17">
        <f t="shared" si="1"/>
        <v>9</v>
      </c>
      <c r="G29" s="17">
        <f t="shared" si="2"/>
        <v>7</v>
      </c>
      <c r="H29" s="26">
        <f t="shared" si="0"/>
        <v>97</v>
      </c>
    </row>
    <row r="30" spans="1:28">
      <c r="C30" s="74">
        <v>29</v>
      </c>
      <c r="D30" s="92">
        <v>173</v>
      </c>
      <c r="E30" s="92">
        <v>63</v>
      </c>
      <c r="F30" s="17">
        <f t="shared" si="1"/>
        <v>6</v>
      </c>
      <c r="G30" s="17">
        <f t="shared" si="2"/>
        <v>4</v>
      </c>
      <c r="H30" s="26">
        <f t="shared" si="0"/>
        <v>64</v>
      </c>
    </row>
    <row r="31" spans="1:28" ht="18">
      <c r="C31" s="74">
        <v>30</v>
      </c>
      <c r="D31" s="92">
        <v>166</v>
      </c>
      <c r="E31" s="92">
        <v>67</v>
      </c>
      <c r="F31" s="17">
        <f t="shared" si="1"/>
        <v>4</v>
      </c>
      <c r="G31" s="17">
        <f t="shared" si="2"/>
        <v>5</v>
      </c>
      <c r="H31" s="26">
        <f t="shared" si="0"/>
        <v>45</v>
      </c>
      <c r="K31" s="193" t="s">
        <v>143</v>
      </c>
      <c r="L31" s="193"/>
      <c r="M31" s="193"/>
      <c r="N31" s="193"/>
      <c r="O31" s="193"/>
      <c r="P31" s="102"/>
      <c r="Q31" s="138" t="s">
        <v>144</v>
      </c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</row>
    <row r="32" spans="1:28">
      <c r="C32" s="74">
        <v>31</v>
      </c>
      <c r="D32" s="92">
        <v>170</v>
      </c>
      <c r="E32" s="92">
        <v>61</v>
      </c>
      <c r="F32" s="17">
        <f t="shared" si="1"/>
        <v>5</v>
      </c>
      <c r="G32" s="17">
        <f t="shared" si="2"/>
        <v>4</v>
      </c>
      <c r="H32" s="26">
        <f t="shared" si="0"/>
        <v>54</v>
      </c>
      <c r="K32" s="23" t="s">
        <v>27</v>
      </c>
      <c r="L32" s="23"/>
      <c r="M32" s="8"/>
      <c r="N32" s="8"/>
      <c r="O32" s="8"/>
      <c r="Q32" s="138" t="s">
        <v>27</v>
      </c>
      <c r="R32" s="138"/>
      <c r="S32" s="138" t="s">
        <v>2</v>
      </c>
      <c r="T32" s="138"/>
      <c r="U32" s="138"/>
      <c r="V32" s="138"/>
      <c r="W32" s="138"/>
      <c r="X32" s="138"/>
      <c r="Y32" s="138"/>
      <c r="Z32" s="138"/>
      <c r="AA32" s="138"/>
      <c r="AB32" s="138"/>
    </row>
    <row r="33" spans="3:28">
      <c r="C33" s="74">
        <v>32</v>
      </c>
      <c r="D33" s="92">
        <v>172</v>
      </c>
      <c r="E33" s="92">
        <v>74</v>
      </c>
      <c r="F33" s="17">
        <f t="shared" si="1"/>
        <v>5</v>
      </c>
      <c r="G33" s="17">
        <f t="shared" si="2"/>
        <v>7</v>
      </c>
      <c r="H33" s="26">
        <f t="shared" si="0"/>
        <v>57</v>
      </c>
      <c r="K33" s="98">
        <v>1</v>
      </c>
      <c r="L33" s="8">
        <f>(M4+L4)/2*P4</f>
        <v>630</v>
      </c>
      <c r="M33" s="103">
        <f t="shared" ref="M33:M42" si="6">(O4+N4)/2*Q4</f>
        <v>420</v>
      </c>
      <c r="N33" s="103">
        <f t="shared" ref="N33:N42" si="7">POWER((M4+L4)/2,2)*P4</f>
        <v>99225</v>
      </c>
      <c r="O33" s="103">
        <f t="shared" ref="O33:O42" si="8">POWER((N4+O4)/2,2)*Q4</f>
        <v>22050</v>
      </c>
      <c r="Q33" s="138"/>
      <c r="R33" s="138"/>
      <c r="S33" s="23">
        <f>(N4+O4)/2</f>
        <v>52.5</v>
      </c>
      <c r="T33" s="23">
        <f>(N5+O5)/2</f>
        <v>56</v>
      </c>
      <c r="U33" s="23">
        <f>(N6+O6)/2</f>
        <v>59.5</v>
      </c>
      <c r="V33" s="23">
        <f>(N7+O7)/2</f>
        <v>63</v>
      </c>
      <c r="W33" s="23">
        <f>(N8+O8)/2</f>
        <v>66.5</v>
      </c>
      <c r="X33" s="23">
        <f>(N9+O9)/2</f>
        <v>70</v>
      </c>
      <c r="Y33" s="23">
        <f>(N10+O10)/2</f>
        <v>73.5</v>
      </c>
      <c r="Z33" s="23">
        <f>(N11+O11)/2</f>
        <v>77</v>
      </c>
      <c r="AA33" s="23">
        <f>(N12+O12)/2</f>
        <v>80.5</v>
      </c>
      <c r="AB33" s="23">
        <f>(N13+O13)/2</f>
        <v>83</v>
      </c>
    </row>
    <row r="34" spans="3:28">
      <c r="C34" s="74">
        <v>33</v>
      </c>
      <c r="D34" s="92">
        <v>176</v>
      </c>
      <c r="E34" s="92">
        <v>81</v>
      </c>
      <c r="F34" s="17">
        <f t="shared" si="1"/>
        <v>6</v>
      </c>
      <c r="G34" s="17">
        <f t="shared" si="2"/>
        <v>9</v>
      </c>
      <c r="H34" s="26">
        <f t="shared" ref="H34:H65" si="9">F34*10+G34</f>
        <v>69</v>
      </c>
      <c r="K34" s="98">
        <v>2</v>
      </c>
      <c r="L34" s="8">
        <f t="shared" ref="L34:L42" si="10">(M5+L5)/2*P5</f>
        <v>5313</v>
      </c>
      <c r="M34" s="103">
        <f t="shared" si="6"/>
        <v>1288</v>
      </c>
      <c r="N34" s="103">
        <f>POWER((M5+L5)/2,2)*P5</f>
        <v>855393</v>
      </c>
      <c r="O34" s="103">
        <f t="shared" si="8"/>
        <v>72128</v>
      </c>
      <c r="Q34" s="138" t="s">
        <v>1</v>
      </c>
      <c r="R34" s="98">
        <f t="shared" ref="R34:R43" si="11">(L4 + M4)/2</f>
        <v>157.5</v>
      </c>
      <c r="S34" s="8">
        <f t="shared" ref="S34:S43" si="12">$R34*S$33*M19</f>
        <v>8268.75</v>
      </c>
      <c r="T34" s="8">
        <f t="shared" ref="T34:T43" si="13">$R34*T$33*N19</f>
        <v>8820</v>
      </c>
      <c r="U34" s="8">
        <f t="shared" ref="U34:U43" si="14">$R34*U$33*O19</f>
        <v>18742.5</v>
      </c>
      <c r="V34" s="8">
        <f t="shared" ref="V34:V43" si="15">$R34*V$33*P19</f>
        <v>0</v>
      </c>
      <c r="W34" s="8">
        <f t="shared" ref="W34:W43" si="16">$R34*W$33*Q19</f>
        <v>0</v>
      </c>
      <c r="X34" s="8">
        <f t="shared" ref="X34:X43" si="17">$R34*X$33*R19</f>
        <v>0</v>
      </c>
      <c r="Y34" s="8">
        <f t="shared" ref="Y34:Y43" si="18">$R34*Y$33*S19</f>
        <v>0</v>
      </c>
      <c r="Z34" s="8">
        <f t="shared" ref="Z34:Z43" si="19">$R34*Z$33*T19</f>
        <v>0</v>
      </c>
      <c r="AA34" s="8">
        <f t="shared" ref="AA34:AA43" si="20">$R34*AA$33*U19</f>
        <v>0</v>
      </c>
      <c r="AB34" s="8">
        <f t="shared" ref="AB34:AB43" si="21">$R34*AB$33*V19</f>
        <v>0</v>
      </c>
    </row>
    <row r="35" spans="3:28">
      <c r="C35" s="74">
        <v>34</v>
      </c>
      <c r="D35" s="92">
        <v>162</v>
      </c>
      <c r="E35" s="92">
        <v>60</v>
      </c>
      <c r="F35" s="17">
        <f t="shared" si="1"/>
        <v>2</v>
      </c>
      <c r="G35" s="17">
        <f t="shared" si="2"/>
        <v>3</v>
      </c>
      <c r="H35" s="26">
        <f t="shared" si="9"/>
        <v>23</v>
      </c>
      <c r="K35" s="98">
        <v>3</v>
      </c>
      <c r="L35" s="8">
        <f t="shared" si="10"/>
        <v>5757.5</v>
      </c>
      <c r="M35" s="103">
        <f t="shared" si="6"/>
        <v>1309</v>
      </c>
      <c r="N35" s="103">
        <f t="shared" si="7"/>
        <v>947108.75</v>
      </c>
      <c r="O35" s="103">
        <f>POWER((N6+O6)/2,2)*Q6</f>
        <v>77885.5</v>
      </c>
      <c r="Q35" s="138"/>
      <c r="R35" s="98">
        <f t="shared" si="11"/>
        <v>161</v>
      </c>
      <c r="S35" s="8">
        <f t="shared" si="12"/>
        <v>50715</v>
      </c>
      <c r="T35" s="8">
        <f t="shared" si="13"/>
        <v>63112</v>
      </c>
      <c r="U35" s="8">
        <f t="shared" si="14"/>
        <v>67056.5</v>
      </c>
      <c r="V35" s="8">
        <f t="shared" si="15"/>
        <v>50715</v>
      </c>
      <c r="W35" s="8">
        <f t="shared" si="16"/>
        <v>64239</v>
      </c>
      <c r="X35" s="8">
        <f t="shared" si="17"/>
        <v>22540</v>
      </c>
      <c r="Y35" s="8">
        <f t="shared" si="18"/>
        <v>0</v>
      </c>
      <c r="Z35" s="8">
        <f t="shared" si="19"/>
        <v>0</v>
      </c>
      <c r="AA35" s="8">
        <f t="shared" si="20"/>
        <v>0</v>
      </c>
      <c r="AB35" s="8">
        <f t="shared" si="21"/>
        <v>0</v>
      </c>
    </row>
    <row r="36" spans="3:28">
      <c r="C36" s="74">
        <v>35</v>
      </c>
      <c r="D36" s="92">
        <v>157</v>
      </c>
      <c r="E36" s="92">
        <v>60</v>
      </c>
      <c r="F36" s="17">
        <f t="shared" si="1"/>
        <v>1</v>
      </c>
      <c r="G36" s="17">
        <f t="shared" si="2"/>
        <v>3</v>
      </c>
      <c r="H36" s="26">
        <f t="shared" si="9"/>
        <v>13</v>
      </c>
      <c r="K36" s="98">
        <v>4</v>
      </c>
      <c r="L36" s="8">
        <f t="shared" si="10"/>
        <v>7056</v>
      </c>
      <c r="M36" s="103">
        <f t="shared" si="6"/>
        <v>3276</v>
      </c>
      <c r="N36" s="103">
        <f t="shared" si="7"/>
        <v>1185408</v>
      </c>
      <c r="O36" s="103">
        <f t="shared" si="8"/>
        <v>206388</v>
      </c>
      <c r="Q36" s="138"/>
      <c r="R36" s="98">
        <f t="shared" si="11"/>
        <v>164.5</v>
      </c>
      <c r="S36" s="8">
        <f t="shared" si="12"/>
        <v>8636.25</v>
      </c>
      <c r="T36" s="8">
        <f t="shared" si="13"/>
        <v>64484</v>
      </c>
      <c r="U36" s="8">
        <f t="shared" si="14"/>
        <v>58726.5</v>
      </c>
      <c r="V36" s="8">
        <f t="shared" si="15"/>
        <v>145089</v>
      </c>
      <c r="W36" s="8">
        <f t="shared" si="16"/>
        <v>43757</v>
      </c>
      <c r="X36" s="8">
        <f t="shared" si="17"/>
        <v>11515</v>
      </c>
      <c r="Y36" s="8">
        <f t="shared" si="18"/>
        <v>12090.75</v>
      </c>
      <c r="Z36" s="8">
        <f t="shared" si="19"/>
        <v>12666.5</v>
      </c>
      <c r="AA36" s="8">
        <f t="shared" si="20"/>
        <v>0</v>
      </c>
      <c r="AB36" s="8">
        <f t="shared" si="21"/>
        <v>0</v>
      </c>
    </row>
    <row r="37" spans="3:28">
      <c r="C37" s="74">
        <v>36</v>
      </c>
      <c r="D37" s="92">
        <v>188</v>
      </c>
      <c r="E37" s="92">
        <v>75</v>
      </c>
      <c r="F37" s="17">
        <f t="shared" si="1"/>
        <v>10</v>
      </c>
      <c r="G37" s="17">
        <f t="shared" si="2"/>
        <v>8</v>
      </c>
      <c r="H37" s="26">
        <f t="shared" si="9"/>
        <v>108</v>
      </c>
      <c r="K37" s="98">
        <v>5</v>
      </c>
      <c r="L37" s="8">
        <f t="shared" si="10"/>
        <v>7031.5</v>
      </c>
      <c r="M37" s="103">
        <f t="shared" si="6"/>
        <v>2460.5</v>
      </c>
      <c r="N37" s="103">
        <f t="shared" si="7"/>
        <v>1205902.25</v>
      </c>
      <c r="O37" s="103">
        <f t="shared" si="8"/>
        <v>163623.25</v>
      </c>
      <c r="Q37" s="138"/>
      <c r="R37" s="98">
        <f t="shared" si="11"/>
        <v>168</v>
      </c>
      <c r="S37" s="8">
        <f t="shared" si="12"/>
        <v>0</v>
      </c>
      <c r="T37" s="8">
        <f t="shared" si="13"/>
        <v>75264</v>
      </c>
      <c r="U37" s="8">
        <f t="shared" si="14"/>
        <v>49980</v>
      </c>
      <c r="V37" s="8">
        <f t="shared" si="15"/>
        <v>158760</v>
      </c>
      <c r="W37" s="8">
        <f t="shared" si="16"/>
        <v>89376</v>
      </c>
      <c r="X37" s="8">
        <f t="shared" si="17"/>
        <v>35280</v>
      </c>
      <c r="Y37" s="8">
        <f t="shared" si="18"/>
        <v>37044</v>
      </c>
      <c r="Z37" s="8">
        <f t="shared" si="19"/>
        <v>0</v>
      </c>
      <c r="AA37" s="8">
        <f t="shared" si="20"/>
        <v>0</v>
      </c>
      <c r="AB37" s="8">
        <f t="shared" si="21"/>
        <v>0</v>
      </c>
    </row>
    <row r="38" spans="3:28">
      <c r="C38" s="74">
        <v>37</v>
      </c>
      <c r="D38" s="92">
        <v>164</v>
      </c>
      <c r="E38" s="92">
        <v>53</v>
      </c>
      <c r="F38" s="17">
        <f t="shared" si="1"/>
        <v>3</v>
      </c>
      <c r="G38" s="17">
        <f t="shared" si="2"/>
        <v>1</v>
      </c>
      <c r="H38" s="26">
        <f t="shared" si="9"/>
        <v>31</v>
      </c>
      <c r="K38" s="98">
        <v>6</v>
      </c>
      <c r="L38" s="8">
        <f t="shared" si="10"/>
        <v>4200</v>
      </c>
      <c r="M38" s="103">
        <f t="shared" si="6"/>
        <v>1750</v>
      </c>
      <c r="N38" s="103">
        <f t="shared" si="7"/>
        <v>735000</v>
      </c>
      <c r="O38" s="103">
        <f t="shared" si="8"/>
        <v>122500</v>
      </c>
      <c r="Q38" s="138"/>
      <c r="R38" s="98">
        <f t="shared" si="11"/>
        <v>171.5</v>
      </c>
      <c r="S38" s="8">
        <f t="shared" si="12"/>
        <v>0</v>
      </c>
      <c r="T38" s="8">
        <f t="shared" si="13"/>
        <v>0</v>
      </c>
      <c r="U38" s="8">
        <f t="shared" si="14"/>
        <v>20408.5</v>
      </c>
      <c r="V38" s="8">
        <f t="shared" si="15"/>
        <v>129654</v>
      </c>
      <c r="W38" s="8">
        <f t="shared" si="16"/>
        <v>148261.75</v>
      </c>
      <c r="X38" s="8">
        <f t="shared" si="17"/>
        <v>84035</v>
      </c>
      <c r="Y38" s="8">
        <f t="shared" si="18"/>
        <v>63026.25</v>
      </c>
      <c r="Z38" s="8">
        <f t="shared" si="19"/>
        <v>26411</v>
      </c>
      <c r="AA38" s="8">
        <f t="shared" si="20"/>
        <v>0</v>
      </c>
      <c r="AB38" s="8">
        <f t="shared" si="21"/>
        <v>0</v>
      </c>
    </row>
    <row r="39" spans="3:28">
      <c r="C39" s="74">
        <v>38</v>
      </c>
      <c r="D39" s="92">
        <v>167</v>
      </c>
      <c r="E39" s="92">
        <v>64</v>
      </c>
      <c r="F39" s="17">
        <f t="shared" si="1"/>
        <v>4</v>
      </c>
      <c r="G39" s="17">
        <f t="shared" si="2"/>
        <v>4</v>
      </c>
      <c r="H39" s="26">
        <f t="shared" si="9"/>
        <v>44</v>
      </c>
      <c r="K39" s="98">
        <v>7</v>
      </c>
      <c r="L39" s="8">
        <f t="shared" si="10"/>
        <v>1428</v>
      </c>
      <c r="M39" s="103">
        <f t="shared" si="6"/>
        <v>1029</v>
      </c>
      <c r="N39" s="103">
        <f t="shared" si="7"/>
        <v>254898</v>
      </c>
      <c r="O39" s="103">
        <f t="shared" si="8"/>
        <v>75631.5</v>
      </c>
      <c r="Q39" s="138"/>
      <c r="R39" s="98">
        <f t="shared" si="11"/>
        <v>175</v>
      </c>
      <c r="S39" s="8">
        <f t="shared" si="12"/>
        <v>0</v>
      </c>
      <c r="T39" s="8">
        <f t="shared" si="13"/>
        <v>0</v>
      </c>
      <c r="U39" s="8">
        <f t="shared" si="14"/>
        <v>0</v>
      </c>
      <c r="V39" s="8">
        <f t="shared" si="15"/>
        <v>55125</v>
      </c>
      <c r="W39" s="8">
        <f t="shared" si="16"/>
        <v>46550</v>
      </c>
      <c r="X39" s="8">
        <f t="shared" si="17"/>
        <v>85750</v>
      </c>
      <c r="Y39" s="8">
        <f t="shared" si="18"/>
        <v>25725</v>
      </c>
      <c r="Z39" s="8">
        <f t="shared" si="19"/>
        <v>67375</v>
      </c>
      <c r="AA39" s="8">
        <f t="shared" si="20"/>
        <v>14087.5</v>
      </c>
      <c r="AB39" s="8">
        <f t="shared" si="21"/>
        <v>0</v>
      </c>
    </row>
    <row r="40" spans="3:28">
      <c r="C40" s="74">
        <v>39</v>
      </c>
      <c r="D40" s="92">
        <v>174</v>
      </c>
      <c r="E40" s="92">
        <v>69</v>
      </c>
      <c r="F40" s="17">
        <f t="shared" si="1"/>
        <v>6</v>
      </c>
      <c r="G40" s="17">
        <f t="shared" si="2"/>
        <v>6</v>
      </c>
      <c r="H40" s="26">
        <f t="shared" si="9"/>
        <v>66</v>
      </c>
      <c r="K40" s="98">
        <v>8</v>
      </c>
      <c r="L40" s="8">
        <f t="shared" si="10"/>
        <v>1638</v>
      </c>
      <c r="M40" s="103">
        <f t="shared" si="6"/>
        <v>1155</v>
      </c>
      <c r="N40" s="103">
        <f t="shared" si="7"/>
        <v>298116</v>
      </c>
      <c r="O40" s="103">
        <f t="shared" si="8"/>
        <v>88935</v>
      </c>
      <c r="Q40" s="138"/>
      <c r="R40" s="98">
        <f t="shared" si="11"/>
        <v>178.5</v>
      </c>
      <c r="S40" s="8">
        <f t="shared" si="12"/>
        <v>0</v>
      </c>
      <c r="T40" s="8">
        <f t="shared" si="13"/>
        <v>0</v>
      </c>
      <c r="U40" s="8">
        <f t="shared" si="14"/>
        <v>0</v>
      </c>
      <c r="V40" s="8">
        <f t="shared" si="15"/>
        <v>11245.5</v>
      </c>
      <c r="W40" s="8">
        <f t="shared" si="16"/>
        <v>11870.25</v>
      </c>
      <c r="X40" s="8">
        <f t="shared" si="17"/>
        <v>49980</v>
      </c>
      <c r="Y40" s="8">
        <f t="shared" si="18"/>
        <v>0</v>
      </c>
      <c r="Z40" s="8">
        <f t="shared" si="19"/>
        <v>27489</v>
      </c>
      <c r="AA40" s="8">
        <f t="shared" si="20"/>
        <v>0</v>
      </c>
      <c r="AB40" s="8">
        <f t="shared" si="21"/>
        <v>0</v>
      </c>
    </row>
    <row r="41" spans="3:28">
      <c r="C41" s="74">
        <v>40</v>
      </c>
      <c r="D41" s="92">
        <v>161</v>
      </c>
      <c r="E41" s="92">
        <v>62</v>
      </c>
      <c r="F41" s="17">
        <f t="shared" si="1"/>
        <v>2</v>
      </c>
      <c r="G41" s="17">
        <f t="shared" si="2"/>
        <v>4</v>
      </c>
      <c r="H41" s="26">
        <f t="shared" si="9"/>
        <v>24</v>
      </c>
      <c r="K41" s="98">
        <v>9</v>
      </c>
      <c r="L41" s="8">
        <f t="shared" si="10"/>
        <v>185.5</v>
      </c>
      <c r="M41" s="103">
        <f t="shared" si="6"/>
        <v>161</v>
      </c>
      <c r="N41" s="103">
        <f t="shared" si="7"/>
        <v>34410.25</v>
      </c>
      <c r="O41" s="103">
        <f t="shared" si="8"/>
        <v>12960.5</v>
      </c>
      <c r="Q41" s="138"/>
      <c r="R41" s="98">
        <f t="shared" si="11"/>
        <v>182</v>
      </c>
      <c r="S41" s="8">
        <f t="shared" si="12"/>
        <v>0</v>
      </c>
      <c r="T41" s="8">
        <f t="shared" si="13"/>
        <v>0</v>
      </c>
      <c r="U41" s="8">
        <f t="shared" si="14"/>
        <v>0</v>
      </c>
      <c r="V41" s="8">
        <f t="shared" si="15"/>
        <v>0</v>
      </c>
      <c r="W41" s="8">
        <f t="shared" si="16"/>
        <v>12103</v>
      </c>
      <c r="X41" s="8">
        <f t="shared" si="17"/>
        <v>12740</v>
      </c>
      <c r="Y41" s="8">
        <f t="shared" si="18"/>
        <v>26754</v>
      </c>
      <c r="Z41" s="8">
        <f t="shared" si="19"/>
        <v>56056</v>
      </c>
      <c r="AA41" s="8">
        <f t="shared" si="20"/>
        <v>0</v>
      </c>
      <c r="AB41" s="8">
        <f t="shared" si="21"/>
        <v>15106</v>
      </c>
    </row>
    <row r="42" spans="3:28">
      <c r="C42" s="74">
        <v>41</v>
      </c>
      <c r="D42" s="92">
        <v>172</v>
      </c>
      <c r="E42" s="92">
        <v>63</v>
      </c>
      <c r="F42" s="17">
        <f t="shared" si="1"/>
        <v>5</v>
      </c>
      <c r="G42" s="17">
        <f t="shared" si="2"/>
        <v>4</v>
      </c>
      <c r="H42" s="26">
        <f t="shared" si="9"/>
        <v>54</v>
      </c>
      <c r="K42" s="98">
        <v>10</v>
      </c>
      <c r="L42" s="8">
        <f t="shared" si="10"/>
        <v>565.5</v>
      </c>
      <c r="M42" s="103">
        <f t="shared" si="6"/>
        <v>166</v>
      </c>
      <c r="N42" s="103">
        <f t="shared" si="7"/>
        <v>106596.75</v>
      </c>
      <c r="O42" s="103">
        <f t="shared" si="8"/>
        <v>13778</v>
      </c>
      <c r="Q42" s="138"/>
      <c r="R42" s="98">
        <f t="shared" si="11"/>
        <v>185.5</v>
      </c>
      <c r="S42" s="8">
        <f t="shared" si="12"/>
        <v>0</v>
      </c>
      <c r="T42" s="8">
        <f t="shared" si="13"/>
        <v>0</v>
      </c>
      <c r="U42" s="8">
        <f t="shared" si="14"/>
        <v>0</v>
      </c>
      <c r="V42" s="8">
        <f t="shared" si="15"/>
        <v>0</v>
      </c>
      <c r="W42" s="8">
        <f t="shared" si="16"/>
        <v>0</v>
      </c>
      <c r="X42" s="8">
        <f t="shared" si="17"/>
        <v>0</v>
      </c>
      <c r="Y42" s="8">
        <f t="shared" si="18"/>
        <v>13634.25</v>
      </c>
      <c r="Z42" s="8">
        <f t="shared" si="19"/>
        <v>0</v>
      </c>
      <c r="AA42" s="8">
        <f t="shared" si="20"/>
        <v>0</v>
      </c>
      <c r="AB42" s="8">
        <f t="shared" si="21"/>
        <v>0</v>
      </c>
    </row>
    <row r="43" spans="3:28">
      <c r="C43" s="74">
        <v>42</v>
      </c>
      <c r="D43" s="92">
        <v>171</v>
      </c>
      <c r="E43" s="92">
        <v>69</v>
      </c>
      <c r="F43" s="17">
        <f t="shared" si="1"/>
        <v>5</v>
      </c>
      <c r="G43" s="17">
        <f t="shared" si="2"/>
        <v>6</v>
      </c>
      <c r="H43" s="26">
        <f t="shared" si="9"/>
        <v>56</v>
      </c>
      <c r="K43" s="23" t="s">
        <v>140</v>
      </c>
      <c r="L43" s="23">
        <f>SUM(L33:L42)/200</f>
        <v>169.02500000000001</v>
      </c>
      <c r="M43" s="24">
        <f>SUM(M33:M42)/200</f>
        <v>65.072500000000005</v>
      </c>
      <c r="N43" s="24">
        <f>SQRT(SUM(N33:N42)/200 - POWER(L43,2))</f>
        <v>6.3905692234729425</v>
      </c>
      <c r="O43" s="24">
        <f>SQRT(SUM(O33:O42)/200 - POWER(M43,2))</f>
        <v>6.7058551840909635</v>
      </c>
      <c r="Q43" s="138"/>
      <c r="R43" s="98">
        <f t="shared" si="11"/>
        <v>188.5</v>
      </c>
      <c r="S43" s="8">
        <f t="shared" si="12"/>
        <v>0</v>
      </c>
      <c r="T43" s="8">
        <f t="shared" si="13"/>
        <v>0</v>
      </c>
      <c r="U43" s="8">
        <f t="shared" si="14"/>
        <v>0</v>
      </c>
      <c r="V43" s="8">
        <f t="shared" si="15"/>
        <v>0</v>
      </c>
      <c r="W43" s="8">
        <f t="shared" si="16"/>
        <v>0</v>
      </c>
      <c r="X43" s="8">
        <f t="shared" si="17"/>
        <v>0</v>
      </c>
      <c r="Y43" s="8">
        <f t="shared" si="18"/>
        <v>0</v>
      </c>
      <c r="Z43" s="8">
        <f t="shared" si="19"/>
        <v>14514.5</v>
      </c>
      <c r="AA43" s="8">
        <f t="shared" si="20"/>
        <v>15174.25</v>
      </c>
      <c r="AB43" s="8">
        <f t="shared" si="21"/>
        <v>15645.5</v>
      </c>
    </row>
    <row r="44" spans="3:28">
      <c r="C44" s="74">
        <v>43</v>
      </c>
      <c r="D44" s="92">
        <v>173</v>
      </c>
      <c r="E44" s="92">
        <v>68</v>
      </c>
      <c r="F44" s="17">
        <f t="shared" si="1"/>
        <v>6</v>
      </c>
      <c r="G44" s="17">
        <f t="shared" si="2"/>
        <v>6</v>
      </c>
      <c r="H44" s="26">
        <f t="shared" si="9"/>
        <v>66</v>
      </c>
      <c r="AA44" s="29"/>
      <c r="AB44" s="73">
        <f>SUM(S34:AB43)/200</f>
        <v>11027.995000000001</v>
      </c>
    </row>
    <row r="45" spans="3:28">
      <c r="C45" s="74">
        <v>44</v>
      </c>
      <c r="D45" s="92">
        <v>176</v>
      </c>
      <c r="E45" s="92">
        <v>70</v>
      </c>
      <c r="F45" s="17">
        <f t="shared" si="1"/>
        <v>6</v>
      </c>
      <c r="G45" s="17">
        <f t="shared" si="2"/>
        <v>6</v>
      </c>
      <c r="H45" s="26">
        <f t="shared" si="9"/>
        <v>66</v>
      </c>
    </row>
    <row r="46" spans="3:28" ht="18">
      <c r="C46" s="74">
        <v>45</v>
      </c>
      <c r="D46" s="92">
        <v>156</v>
      </c>
      <c r="E46" s="92">
        <v>54</v>
      </c>
      <c r="F46" s="17">
        <f t="shared" si="1"/>
        <v>1</v>
      </c>
      <c r="G46" s="17">
        <f t="shared" si="2"/>
        <v>2</v>
      </c>
      <c r="H46" s="26">
        <f t="shared" si="9"/>
        <v>12</v>
      </c>
      <c r="K46" s="207" t="s">
        <v>150</v>
      </c>
      <c r="L46" s="206"/>
    </row>
    <row r="47" spans="3:28" ht="18">
      <c r="C47" s="74">
        <v>46</v>
      </c>
      <c r="D47" s="92">
        <v>161</v>
      </c>
      <c r="E47" s="92">
        <v>59</v>
      </c>
      <c r="F47" s="17">
        <f t="shared" si="1"/>
        <v>2</v>
      </c>
      <c r="G47" s="17">
        <f t="shared" si="2"/>
        <v>3</v>
      </c>
      <c r="H47" s="26">
        <f t="shared" si="9"/>
        <v>23</v>
      </c>
      <c r="K47" s="111" t="s">
        <v>149</v>
      </c>
      <c r="L47" s="28" cm="1">
        <f t="array" ref="L47">AVERAGE(D2:D201 * E2:E201)</f>
        <v>10929.635</v>
      </c>
    </row>
    <row r="48" spans="3:28" ht="18">
      <c r="C48" s="74">
        <v>47</v>
      </c>
      <c r="D48" s="92">
        <v>165</v>
      </c>
      <c r="E48" s="92">
        <v>63</v>
      </c>
      <c r="F48" s="17">
        <f t="shared" si="1"/>
        <v>3</v>
      </c>
      <c r="G48" s="17">
        <f t="shared" si="2"/>
        <v>4</v>
      </c>
      <c r="H48" s="26">
        <f t="shared" si="9"/>
        <v>34</v>
      </c>
      <c r="K48" s="111" t="s">
        <v>149</v>
      </c>
      <c r="L48" s="28">
        <f>AVERAGE(D2:D201)</f>
        <v>168.62</v>
      </c>
    </row>
    <row r="49" spans="3:19" ht="18">
      <c r="C49" s="74">
        <v>48</v>
      </c>
      <c r="D49" s="92">
        <v>174</v>
      </c>
      <c r="E49" s="92">
        <v>66</v>
      </c>
      <c r="F49" s="17">
        <f t="shared" si="1"/>
        <v>6</v>
      </c>
      <c r="G49" s="17">
        <f t="shared" si="2"/>
        <v>5</v>
      </c>
      <c r="H49" s="26">
        <f t="shared" si="9"/>
        <v>65</v>
      </c>
      <c r="K49" s="111" t="s">
        <v>149</v>
      </c>
      <c r="L49" s="28">
        <f>AVERAGE(E2:E201)</f>
        <v>64.644999999999996</v>
      </c>
    </row>
    <row r="50" spans="3:19" ht="18">
      <c r="C50" s="74">
        <v>49</v>
      </c>
      <c r="D50" s="92">
        <v>183</v>
      </c>
      <c r="E50" s="92">
        <v>73</v>
      </c>
      <c r="F50" s="17">
        <f t="shared" si="1"/>
        <v>8</v>
      </c>
      <c r="G50" s="17">
        <f t="shared" si="2"/>
        <v>7</v>
      </c>
      <c r="H50" s="26">
        <f t="shared" si="9"/>
        <v>87</v>
      </c>
      <c r="J50" s="110"/>
      <c r="K50" s="112" t="s">
        <v>148</v>
      </c>
      <c r="L50" s="28">
        <f xml:space="preserve"> SQRT(VARP(D2:D201))</f>
        <v>6.3368446406709387</v>
      </c>
    </row>
    <row r="51" spans="3:19" ht="18">
      <c r="C51" s="74">
        <v>50</v>
      </c>
      <c r="D51" s="92">
        <v>173</v>
      </c>
      <c r="E51" s="92">
        <v>71</v>
      </c>
      <c r="F51" s="17">
        <f t="shared" si="1"/>
        <v>6</v>
      </c>
      <c r="G51" s="17">
        <f t="shared" si="2"/>
        <v>6</v>
      </c>
      <c r="H51" s="26">
        <f t="shared" si="9"/>
        <v>66</v>
      </c>
      <c r="K51" s="112" t="s">
        <v>148</v>
      </c>
      <c r="L51" s="28">
        <f>SQRT(VARP(E2:E201))</f>
        <v>6.672254116863356</v>
      </c>
    </row>
    <row r="52" spans="3:19">
      <c r="C52" s="74">
        <v>51</v>
      </c>
      <c r="D52" s="92">
        <v>160</v>
      </c>
      <c r="E52" s="92">
        <v>61</v>
      </c>
      <c r="F52" s="17">
        <f t="shared" si="1"/>
        <v>2</v>
      </c>
      <c r="G52" s="17">
        <f t="shared" si="2"/>
        <v>4</v>
      </c>
      <c r="H52" s="26">
        <f t="shared" si="9"/>
        <v>24</v>
      </c>
    </row>
    <row r="53" spans="3:19">
      <c r="C53" s="74">
        <v>52</v>
      </c>
      <c r="D53" s="92">
        <v>178</v>
      </c>
      <c r="E53" s="92">
        <v>69</v>
      </c>
      <c r="F53" s="17">
        <f t="shared" si="1"/>
        <v>7</v>
      </c>
      <c r="G53" s="17">
        <f t="shared" si="2"/>
        <v>6</v>
      </c>
      <c r="H53" s="26">
        <f t="shared" si="9"/>
        <v>76</v>
      </c>
    </row>
    <row r="54" spans="3:19">
      <c r="C54" s="74">
        <v>53</v>
      </c>
      <c r="D54" s="92">
        <v>170</v>
      </c>
      <c r="E54" s="92">
        <v>70</v>
      </c>
      <c r="F54" s="17">
        <f t="shared" si="1"/>
        <v>5</v>
      </c>
      <c r="G54" s="17">
        <f t="shared" si="2"/>
        <v>6</v>
      </c>
      <c r="H54" s="26">
        <f t="shared" si="9"/>
        <v>56</v>
      </c>
      <c r="K54" s="134" t="s">
        <v>151</v>
      </c>
      <c r="L54" s="135"/>
      <c r="M54" s="135"/>
      <c r="N54" s="136"/>
    </row>
    <row r="55" spans="3:19" ht="18">
      <c r="C55" s="74">
        <v>54</v>
      </c>
      <c r="D55" s="92">
        <v>168</v>
      </c>
      <c r="E55" s="92">
        <v>60</v>
      </c>
      <c r="F55" s="17">
        <f t="shared" si="1"/>
        <v>4</v>
      </c>
      <c r="G55" s="17">
        <f t="shared" si="2"/>
        <v>3</v>
      </c>
      <c r="H55" s="26">
        <f t="shared" si="9"/>
        <v>43</v>
      </c>
      <c r="K55" s="109" t="s">
        <v>145</v>
      </c>
      <c r="L55" s="135">
        <f>(AB44-L43*M43)/(N43*O43)</f>
        <v>0.67941219120259111</v>
      </c>
      <c r="M55" s="135"/>
      <c r="N55" s="136"/>
    </row>
    <row r="56" spans="3:19" ht="18">
      <c r="C56" s="74">
        <v>55</v>
      </c>
      <c r="D56" s="92">
        <v>173</v>
      </c>
      <c r="E56" s="92">
        <v>69</v>
      </c>
      <c r="F56" s="17">
        <f t="shared" si="1"/>
        <v>6</v>
      </c>
      <c r="G56" s="17">
        <f t="shared" si="2"/>
        <v>6</v>
      </c>
      <c r="H56" s="26">
        <f t="shared" si="9"/>
        <v>66</v>
      </c>
      <c r="K56" s="109" t="s">
        <v>147</v>
      </c>
      <c r="L56" s="205">
        <f>(L47-L48*L49)/(L50*L51)</f>
        <v>0.6905010273966915</v>
      </c>
      <c r="M56" s="205"/>
      <c r="N56" s="206"/>
      <c r="O56" s="189" t="s">
        <v>154</v>
      </c>
      <c r="P56" s="190"/>
      <c r="Q56" s="190"/>
      <c r="R56" s="190"/>
      <c r="S56" s="190"/>
    </row>
    <row r="57" spans="3:19">
      <c r="C57" s="74">
        <v>56</v>
      </c>
      <c r="D57" s="92">
        <v>176</v>
      </c>
      <c r="E57" s="92">
        <v>70</v>
      </c>
      <c r="F57" s="17">
        <f t="shared" si="1"/>
        <v>6</v>
      </c>
      <c r="G57" s="17">
        <f t="shared" si="2"/>
        <v>6</v>
      </c>
      <c r="H57" s="26">
        <f t="shared" si="9"/>
        <v>66</v>
      </c>
    </row>
    <row r="58" spans="3:19">
      <c r="C58" s="74">
        <v>57</v>
      </c>
      <c r="D58" s="92">
        <v>170</v>
      </c>
      <c r="E58" s="92">
        <v>58</v>
      </c>
      <c r="F58" s="17">
        <f t="shared" si="1"/>
        <v>5</v>
      </c>
      <c r="G58" s="17">
        <f t="shared" si="2"/>
        <v>3</v>
      </c>
      <c r="H58" s="26">
        <f t="shared" si="9"/>
        <v>53</v>
      </c>
      <c r="P58" s="134" t="s">
        <v>161</v>
      </c>
      <c r="Q58" s="135"/>
      <c r="R58" s="135"/>
      <c r="S58" s="136"/>
    </row>
    <row r="59" spans="3:19">
      <c r="C59" s="74">
        <v>58</v>
      </c>
      <c r="D59" s="92">
        <v>163</v>
      </c>
      <c r="E59" s="92">
        <v>64</v>
      </c>
      <c r="F59" s="17">
        <f t="shared" si="1"/>
        <v>3</v>
      </c>
      <c r="G59" s="17">
        <f t="shared" si="2"/>
        <v>4</v>
      </c>
      <c r="H59" s="26">
        <f t="shared" si="9"/>
        <v>34</v>
      </c>
      <c r="K59" s="191" t="s">
        <v>156</v>
      </c>
      <c r="L59" s="191"/>
      <c r="M59" s="191"/>
      <c r="N59" s="191"/>
      <c r="R59" s="119" t="s">
        <v>165</v>
      </c>
      <c r="S59" s="119" t="s">
        <v>164</v>
      </c>
    </row>
    <row r="60" spans="3:19" ht="18">
      <c r="C60" s="74">
        <v>59</v>
      </c>
      <c r="D60" s="92">
        <v>165</v>
      </c>
      <c r="E60" s="92">
        <v>57</v>
      </c>
      <c r="F60" s="17">
        <f t="shared" si="1"/>
        <v>3</v>
      </c>
      <c r="G60" s="17">
        <f t="shared" si="2"/>
        <v>2</v>
      </c>
      <c r="H60" s="26">
        <f t="shared" si="9"/>
        <v>32</v>
      </c>
      <c r="K60" s="113" t="s">
        <v>132</v>
      </c>
      <c r="L60" s="114">
        <f>M43-L43*L61</f>
        <v>-44.365879391737707</v>
      </c>
      <c r="M60" s="113" t="s">
        <v>158</v>
      </c>
      <c r="N60" s="114">
        <f>L49-L48*N61</f>
        <v>-57.950049308194593</v>
      </c>
      <c r="P60" s="115" t="s">
        <v>162</v>
      </c>
      <c r="Q60" s="117">
        <f>MIN(D2:D201)</f>
        <v>156</v>
      </c>
      <c r="R60" s="29">
        <f>L60+L61*Q60</f>
        <v>56.639221540734312</v>
      </c>
      <c r="S60" s="29">
        <f>N60+Q60*N61</f>
        <v>55.469638107760545</v>
      </c>
    </row>
    <row r="61" spans="3:19" ht="18">
      <c r="C61" s="74">
        <v>60</v>
      </c>
      <c r="D61" s="92">
        <v>165</v>
      </c>
      <c r="E61" s="92">
        <v>60</v>
      </c>
      <c r="F61" s="17">
        <f t="shared" si="1"/>
        <v>3</v>
      </c>
      <c r="G61" s="17">
        <f t="shared" si="2"/>
        <v>3</v>
      </c>
      <c r="H61" s="26">
        <f t="shared" si="9"/>
        <v>33</v>
      </c>
      <c r="K61" s="113" t="s">
        <v>131</v>
      </c>
      <c r="L61" s="114">
        <f>(AB44-L43*M43)/POWER(O43,2)</f>
        <v>0.64746859572097448</v>
      </c>
      <c r="M61" s="113" t="s">
        <v>159</v>
      </c>
      <c r="N61" s="114">
        <f>(L47 - L48*L49)/L50/L50</f>
        <v>0.72704927830740473</v>
      </c>
      <c r="P61" s="116" t="s">
        <v>163</v>
      </c>
      <c r="Q61" s="118">
        <f>MAX(D2:D201)</f>
        <v>190</v>
      </c>
      <c r="R61" s="29">
        <f>L60+L61*Q61</f>
        <v>78.653153795247448</v>
      </c>
      <c r="S61" s="29">
        <f>N60+N61*Q61</f>
        <v>80.189313570212306</v>
      </c>
    </row>
    <row r="62" spans="3:19">
      <c r="C62" s="74">
        <v>61</v>
      </c>
      <c r="D62" s="92">
        <v>170</v>
      </c>
      <c r="E62" s="92">
        <v>61</v>
      </c>
      <c r="F62" s="17">
        <f t="shared" si="1"/>
        <v>5</v>
      </c>
      <c r="G62" s="17">
        <f t="shared" si="2"/>
        <v>4</v>
      </c>
      <c r="H62" s="26">
        <f t="shared" si="9"/>
        <v>54</v>
      </c>
    </row>
    <row r="63" spans="3:19">
      <c r="C63" s="74">
        <v>62</v>
      </c>
      <c r="D63" s="92">
        <v>166</v>
      </c>
      <c r="E63" s="92">
        <v>55</v>
      </c>
      <c r="F63" s="17">
        <f t="shared" si="1"/>
        <v>4</v>
      </c>
      <c r="G63" s="17">
        <f t="shared" si="2"/>
        <v>2</v>
      </c>
      <c r="H63" s="26">
        <f t="shared" si="9"/>
        <v>42</v>
      </c>
    </row>
    <row r="64" spans="3:19">
      <c r="C64" s="74">
        <v>63</v>
      </c>
      <c r="D64" s="92">
        <v>165</v>
      </c>
      <c r="E64" s="92">
        <v>63</v>
      </c>
      <c r="F64" s="17">
        <f t="shared" si="1"/>
        <v>3</v>
      </c>
      <c r="G64" s="17">
        <f t="shared" si="2"/>
        <v>4</v>
      </c>
      <c r="H64" s="26">
        <f t="shared" si="9"/>
        <v>34</v>
      </c>
      <c r="K64" s="161" t="s">
        <v>133</v>
      </c>
      <c r="L64" s="148" t="s">
        <v>134</v>
      </c>
      <c r="M64" s="149"/>
      <c r="N64" s="150"/>
    </row>
    <row r="65" spans="3:14">
      <c r="C65" s="74">
        <v>64</v>
      </c>
      <c r="D65" s="92">
        <v>181</v>
      </c>
      <c r="E65" s="92">
        <v>77</v>
      </c>
      <c r="F65" s="17">
        <f t="shared" si="1"/>
        <v>8</v>
      </c>
      <c r="G65" s="17">
        <f t="shared" si="2"/>
        <v>8</v>
      </c>
      <c r="H65" s="26">
        <f t="shared" si="9"/>
        <v>88</v>
      </c>
      <c r="K65" s="161"/>
      <c r="L65" s="148" t="s">
        <v>135</v>
      </c>
      <c r="M65" s="149"/>
      <c r="N65" s="150"/>
    </row>
    <row r="66" spans="3:14" ht="18">
      <c r="C66" s="74">
        <v>65</v>
      </c>
      <c r="D66" s="92">
        <v>172</v>
      </c>
      <c r="E66" s="92">
        <v>64</v>
      </c>
      <c r="F66" s="17">
        <f t="shared" si="1"/>
        <v>5</v>
      </c>
      <c r="G66" s="17">
        <f t="shared" si="2"/>
        <v>4</v>
      </c>
      <c r="H66" s="26">
        <f t="shared" ref="H66:H97" si="22">F66*10+G66</f>
        <v>54</v>
      </c>
      <c r="K66" s="106" t="s">
        <v>166</v>
      </c>
      <c r="L66" s="148" t="s">
        <v>167</v>
      </c>
      <c r="M66" s="149"/>
      <c r="N66" s="150"/>
    </row>
    <row r="67" spans="3:14">
      <c r="C67" s="74">
        <v>66</v>
      </c>
      <c r="D67" s="92">
        <v>165</v>
      </c>
      <c r="E67" s="92">
        <v>63</v>
      </c>
      <c r="F67" s="17">
        <f t="shared" ref="F67:F130" si="23">IF(AND(D67&gt;=$L$4,D67&lt;$M$4),1,IF(AND(D67&gt;=$L$5,D67&lt;$M$5),2,IF(AND(D67&gt;=$L$6,D67&lt;$M$6),3,IF(AND(D67&gt;=$L$7,D67&lt;$M$7),4,IF(AND(D67&gt;=$L$8,D67&lt;$M$8),5,IF(AND(D67&gt;=$L$9,D67&lt;$M$9),6,IF(AND(D67&gt;=$L$10,D67&lt;$M$10),7,IF(AND(D67&gt;=$L$11,D67&lt;$M$11),8,IF(AND(D67&gt;=$L$12,D67&lt;$M$12),9,IF(AND(D67&gt;=$L$13,D67&lt;=$M$13),10,0))))))))))</f>
        <v>3</v>
      </c>
      <c r="G67" s="17">
        <f t="shared" ref="G67:G130" si="24">IF(AND(E67&gt;=$N$4,E67&lt;$O$4),1,IF(AND(E67&gt;=$N$5,E67&lt;$O$5),2,IF(AND(E67&gt;=$N$6,E67&lt;$O$6),3,IF(AND(E67&gt;=$N$7,E67&lt;$O$7),4,IF(AND(E67&gt;=$N$8,E67&lt;$O$8),5,IF(AND(E67&gt;=$N$9,E67&lt;$O$9),6,IF(AND(E67&gt;=$N$10,E67&lt;$O$10),7,IF(AND(E67&gt;=$N$11,E67&lt;$O$11),8,IF(AND(E67&gt;=$N$12,E67&lt;$O$12),9,IF(AND(E67&gt;=$N$13,E67&lt;=$O$13),10,0))))))))))</f>
        <v>4</v>
      </c>
      <c r="H67" s="26">
        <f t="shared" si="22"/>
        <v>34</v>
      </c>
    </row>
    <row r="68" spans="3:14">
      <c r="C68" s="74">
        <v>67</v>
      </c>
      <c r="D68" s="92">
        <v>172</v>
      </c>
      <c r="E68" s="92">
        <v>78</v>
      </c>
      <c r="F68" s="17">
        <f t="shared" si="23"/>
        <v>5</v>
      </c>
      <c r="G68" s="17">
        <f t="shared" si="24"/>
        <v>8</v>
      </c>
      <c r="H68" s="26">
        <f t="shared" si="22"/>
        <v>58</v>
      </c>
    </row>
    <row r="69" spans="3:14">
      <c r="C69" s="74">
        <v>68</v>
      </c>
      <c r="D69" s="92">
        <v>178</v>
      </c>
      <c r="E69" s="92">
        <v>75</v>
      </c>
      <c r="F69" s="17">
        <f t="shared" si="23"/>
        <v>7</v>
      </c>
      <c r="G69" s="17">
        <f t="shared" si="24"/>
        <v>8</v>
      </c>
      <c r="H69" s="26">
        <f t="shared" si="22"/>
        <v>78</v>
      </c>
    </row>
    <row r="70" spans="3:14">
      <c r="C70" s="74">
        <v>69</v>
      </c>
      <c r="D70" s="92">
        <v>169</v>
      </c>
      <c r="E70" s="92">
        <v>74</v>
      </c>
      <c r="F70" s="17">
        <f t="shared" si="23"/>
        <v>4</v>
      </c>
      <c r="G70" s="17">
        <f t="shared" si="24"/>
        <v>7</v>
      </c>
      <c r="H70" s="26">
        <f t="shared" si="22"/>
        <v>47</v>
      </c>
    </row>
    <row r="71" spans="3:14">
      <c r="C71" s="74">
        <v>70</v>
      </c>
      <c r="D71" s="92">
        <v>165</v>
      </c>
      <c r="E71" s="92">
        <v>63</v>
      </c>
      <c r="F71" s="17">
        <f t="shared" si="23"/>
        <v>3</v>
      </c>
      <c r="G71" s="17">
        <f t="shared" si="24"/>
        <v>4</v>
      </c>
      <c r="H71" s="26">
        <f t="shared" si="22"/>
        <v>34</v>
      </c>
    </row>
    <row r="72" spans="3:14">
      <c r="C72" s="74">
        <v>71</v>
      </c>
      <c r="D72" s="92">
        <v>174</v>
      </c>
      <c r="E72" s="92">
        <v>75</v>
      </c>
      <c r="F72" s="17">
        <f t="shared" si="23"/>
        <v>6</v>
      </c>
      <c r="G72" s="17">
        <f t="shared" si="24"/>
        <v>8</v>
      </c>
      <c r="H72" s="26">
        <f t="shared" si="22"/>
        <v>68</v>
      </c>
    </row>
    <row r="73" spans="3:14">
      <c r="C73" s="74">
        <v>72</v>
      </c>
      <c r="D73" s="92">
        <v>159</v>
      </c>
      <c r="E73" s="92">
        <v>54</v>
      </c>
      <c r="F73" s="17">
        <f t="shared" si="23"/>
        <v>2</v>
      </c>
      <c r="G73" s="17">
        <f t="shared" si="24"/>
        <v>2</v>
      </c>
      <c r="H73" s="26">
        <f t="shared" si="22"/>
        <v>22</v>
      </c>
    </row>
    <row r="74" spans="3:14">
      <c r="C74" s="74">
        <v>73</v>
      </c>
      <c r="D74" s="92">
        <v>171</v>
      </c>
      <c r="E74" s="92">
        <v>66</v>
      </c>
      <c r="F74" s="17">
        <f t="shared" si="23"/>
        <v>5</v>
      </c>
      <c r="G74" s="17">
        <f t="shared" si="24"/>
        <v>5</v>
      </c>
      <c r="H74" s="26">
        <f t="shared" si="22"/>
        <v>55</v>
      </c>
    </row>
    <row r="75" spans="3:14">
      <c r="C75" s="74">
        <v>74</v>
      </c>
      <c r="D75" s="92">
        <v>169</v>
      </c>
      <c r="E75" s="92">
        <v>67</v>
      </c>
      <c r="F75" s="17">
        <f t="shared" si="23"/>
        <v>4</v>
      </c>
      <c r="G75" s="17">
        <f t="shared" si="24"/>
        <v>5</v>
      </c>
      <c r="H75" s="26">
        <f t="shared" si="22"/>
        <v>45</v>
      </c>
    </row>
    <row r="76" spans="3:14">
      <c r="C76" s="74">
        <v>75</v>
      </c>
      <c r="D76" s="92">
        <v>176</v>
      </c>
      <c r="E76" s="92">
        <v>62</v>
      </c>
      <c r="F76" s="17">
        <f t="shared" si="23"/>
        <v>6</v>
      </c>
      <c r="G76" s="17">
        <f t="shared" si="24"/>
        <v>4</v>
      </c>
      <c r="H76" s="26">
        <f t="shared" si="22"/>
        <v>64</v>
      </c>
    </row>
    <row r="77" spans="3:14">
      <c r="C77" s="74">
        <v>76</v>
      </c>
      <c r="D77" s="92">
        <v>170</v>
      </c>
      <c r="E77" s="92">
        <v>65</v>
      </c>
      <c r="F77" s="17">
        <f t="shared" si="23"/>
        <v>5</v>
      </c>
      <c r="G77" s="17">
        <f t="shared" si="24"/>
        <v>5</v>
      </c>
      <c r="H77" s="26">
        <f t="shared" si="22"/>
        <v>55</v>
      </c>
    </row>
    <row r="78" spans="3:14">
      <c r="C78" s="74">
        <v>77</v>
      </c>
      <c r="D78" s="92">
        <v>170</v>
      </c>
      <c r="E78" s="92">
        <v>66</v>
      </c>
      <c r="F78" s="17">
        <f t="shared" si="23"/>
        <v>5</v>
      </c>
      <c r="G78" s="17">
        <f t="shared" si="24"/>
        <v>5</v>
      </c>
      <c r="H78" s="26">
        <f t="shared" si="22"/>
        <v>55</v>
      </c>
    </row>
    <row r="79" spans="3:14">
      <c r="C79" s="74">
        <v>78</v>
      </c>
      <c r="D79" s="92">
        <v>165</v>
      </c>
      <c r="E79" s="92">
        <v>61</v>
      </c>
      <c r="F79" s="17">
        <f t="shared" si="23"/>
        <v>3</v>
      </c>
      <c r="G79" s="17">
        <f t="shared" si="24"/>
        <v>4</v>
      </c>
      <c r="H79" s="26">
        <f t="shared" si="22"/>
        <v>34</v>
      </c>
    </row>
    <row r="80" spans="3:14">
      <c r="C80" s="74">
        <v>79</v>
      </c>
      <c r="D80" s="92">
        <v>162</v>
      </c>
      <c r="E80" s="92">
        <v>66</v>
      </c>
      <c r="F80" s="17">
        <f t="shared" si="23"/>
        <v>2</v>
      </c>
      <c r="G80" s="17">
        <f t="shared" si="24"/>
        <v>5</v>
      </c>
      <c r="H80" s="26">
        <f t="shared" si="22"/>
        <v>25</v>
      </c>
    </row>
    <row r="81" spans="3:8">
      <c r="C81" s="74">
        <v>80</v>
      </c>
      <c r="D81" s="92">
        <v>175</v>
      </c>
      <c r="E81" s="92">
        <v>75</v>
      </c>
      <c r="F81" s="17">
        <f t="shared" si="23"/>
        <v>6</v>
      </c>
      <c r="G81" s="17">
        <f t="shared" si="24"/>
        <v>8</v>
      </c>
      <c r="H81" s="26">
        <f t="shared" si="22"/>
        <v>68</v>
      </c>
    </row>
    <row r="82" spans="3:8">
      <c r="C82" s="74">
        <v>81</v>
      </c>
      <c r="D82" s="92">
        <v>157</v>
      </c>
      <c r="E82" s="92">
        <v>53</v>
      </c>
      <c r="F82" s="17">
        <f t="shared" si="23"/>
        <v>1</v>
      </c>
      <c r="G82" s="17">
        <f t="shared" si="24"/>
        <v>1</v>
      </c>
      <c r="H82" s="26">
        <f t="shared" si="22"/>
        <v>11</v>
      </c>
    </row>
    <row r="83" spans="3:8">
      <c r="C83" s="74">
        <v>82</v>
      </c>
      <c r="D83" s="92">
        <v>161</v>
      </c>
      <c r="E83" s="92">
        <v>55</v>
      </c>
      <c r="F83" s="17">
        <f t="shared" si="23"/>
        <v>2</v>
      </c>
      <c r="G83" s="17">
        <f t="shared" si="24"/>
        <v>2</v>
      </c>
      <c r="H83" s="26">
        <f t="shared" si="22"/>
        <v>22</v>
      </c>
    </row>
    <row r="84" spans="3:8">
      <c r="C84" s="74">
        <v>83</v>
      </c>
      <c r="D84" s="92">
        <v>172</v>
      </c>
      <c r="E84" s="92">
        <v>66</v>
      </c>
      <c r="F84" s="17">
        <f t="shared" si="23"/>
        <v>5</v>
      </c>
      <c r="G84" s="17">
        <f t="shared" si="24"/>
        <v>5</v>
      </c>
      <c r="H84" s="26">
        <f t="shared" si="22"/>
        <v>55</v>
      </c>
    </row>
    <row r="85" spans="3:8">
      <c r="C85" s="74">
        <v>84</v>
      </c>
      <c r="D85" s="92">
        <v>159</v>
      </c>
      <c r="E85" s="92">
        <v>55</v>
      </c>
      <c r="F85" s="17">
        <f t="shared" si="23"/>
        <v>2</v>
      </c>
      <c r="G85" s="17">
        <f t="shared" si="24"/>
        <v>2</v>
      </c>
      <c r="H85" s="26">
        <f t="shared" si="22"/>
        <v>22</v>
      </c>
    </row>
    <row r="86" spans="3:8">
      <c r="C86" s="74">
        <v>85</v>
      </c>
      <c r="D86" s="92">
        <v>162</v>
      </c>
      <c r="E86" s="92">
        <v>65</v>
      </c>
      <c r="F86" s="17">
        <f t="shared" si="23"/>
        <v>2</v>
      </c>
      <c r="G86" s="17">
        <f t="shared" si="24"/>
        <v>5</v>
      </c>
      <c r="H86" s="26">
        <f t="shared" si="22"/>
        <v>25</v>
      </c>
    </row>
    <row r="87" spans="3:8">
      <c r="C87" s="74">
        <v>86</v>
      </c>
      <c r="D87" s="92">
        <v>167</v>
      </c>
      <c r="E87" s="92">
        <v>63</v>
      </c>
      <c r="F87" s="17">
        <f t="shared" si="23"/>
        <v>4</v>
      </c>
      <c r="G87" s="17">
        <f t="shared" si="24"/>
        <v>4</v>
      </c>
      <c r="H87" s="26">
        <f t="shared" si="22"/>
        <v>44</v>
      </c>
    </row>
    <row r="88" spans="3:8">
      <c r="C88" s="74">
        <v>87</v>
      </c>
      <c r="D88" s="92">
        <v>159</v>
      </c>
      <c r="E88" s="92">
        <v>68</v>
      </c>
      <c r="F88" s="17">
        <f t="shared" si="23"/>
        <v>2</v>
      </c>
      <c r="G88" s="17">
        <f t="shared" si="24"/>
        <v>6</v>
      </c>
      <c r="H88" s="26">
        <f t="shared" si="22"/>
        <v>26</v>
      </c>
    </row>
    <row r="89" spans="3:8">
      <c r="C89" s="74">
        <v>88</v>
      </c>
      <c r="D89" s="92">
        <v>160</v>
      </c>
      <c r="E89" s="92">
        <v>62</v>
      </c>
      <c r="F89" s="17">
        <f t="shared" si="23"/>
        <v>2</v>
      </c>
      <c r="G89" s="17">
        <f t="shared" si="24"/>
        <v>4</v>
      </c>
      <c r="H89" s="26">
        <f t="shared" si="22"/>
        <v>24</v>
      </c>
    </row>
    <row r="90" spans="3:8">
      <c r="C90" s="74">
        <v>89</v>
      </c>
      <c r="D90" s="92">
        <v>175</v>
      </c>
      <c r="E90" s="92">
        <v>75</v>
      </c>
      <c r="F90" s="17">
        <f t="shared" si="23"/>
        <v>6</v>
      </c>
      <c r="G90" s="17">
        <f t="shared" si="24"/>
        <v>8</v>
      </c>
      <c r="H90" s="26">
        <f t="shared" si="22"/>
        <v>68</v>
      </c>
    </row>
    <row r="91" spans="3:8">
      <c r="C91" s="74">
        <v>90</v>
      </c>
      <c r="D91" s="92">
        <v>163</v>
      </c>
      <c r="E91" s="92">
        <v>67</v>
      </c>
      <c r="F91" s="17">
        <f t="shared" si="23"/>
        <v>3</v>
      </c>
      <c r="G91" s="17">
        <f t="shared" si="24"/>
        <v>5</v>
      </c>
      <c r="H91" s="26">
        <f t="shared" si="22"/>
        <v>35</v>
      </c>
    </row>
    <row r="92" spans="3:8">
      <c r="C92" s="74">
        <v>91</v>
      </c>
      <c r="D92" s="92">
        <v>169</v>
      </c>
      <c r="E92" s="92">
        <v>56</v>
      </c>
      <c r="F92" s="17">
        <f t="shared" si="23"/>
        <v>4</v>
      </c>
      <c r="G92" s="17">
        <f t="shared" si="24"/>
        <v>2</v>
      </c>
      <c r="H92" s="26">
        <f t="shared" si="22"/>
        <v>42</v>
      </c>
    </row>
    <row r="93" spans="3:8">
      <c r="C93" s="74">
        <v>92</v>
      </c>
      <c r="D93" s="92">
        <v>180</v>
      </c>
      <c r="E93" s="92">
        <v>65</v>
      </c>
      <c r="F93" s="17">
        <f t="shared" si="23"/>
        <v>8</v>
      </c>
      <c r="G93" s="17">
        <f t="shared" si="24"/>
        <v>5</v>
      </c>
      <c r="H93" s="26">
        <f t="shared" si="22"/>
        <v>85</v>
      </c>
    </row>
    <row r="94" spans="3:8">
      <c r="C94" s="74">
        <v>93</v>
      </c>
      <c r="D94" s="92">
        <v>165</v>
      </c>
      <c r="E94" s="92">
        <v>63</v>
      </c>
      <c r="F94" s="17">
        <f t="shared" si="23"/>
        <v>3</v>
      </c>
      <c r="G94" s="17">
        <f t="shared" si="24"/>
        <v>4</v>
      </c>
      <c r="H94" s="26">
        <f t="shared" si="22"/>
        <v>34</v>
      </c>
    </row>
    <row r="95" spans="3:8">
      <c r="C95" s="74">
        <v>94</v>
      </c>
      <c r="D95" s="92">
        <v>168</v>
      </c>
      <c r="E95" s="92">
        <v>67</v>
      </c>
      <c r="F95" s="17">
        <f t="shared" si="23"/>
        <v>4</v>
      </c>
      <c r="G95" s="17">
        <f t="shared" si="24"/>
        <v>5</v>
      </c>
      <c r="H95" s="26">
        <f t="shared" si="22"/>
        <v>45</v>
      </c>
    </row>
    <row r="96" spans="3:8">
      <c r="C96" s="74">
        <v>95</v>
      </c>
      <c r="D96" s="92">
        <v>169</v>
      </c>
      <c r="E96" s="92">
        <v>68</v>
      </c>
      <c r="F96" s="17">
        <f t="shared" si="23"/>
        <v>4</v>
      </c>
      <c r="G96" s="17">
        <f t="shared" si="24"/>
        <v>6</v>
      </c>
      <c r="H96" s="26">
        <f t="shared" si="22"/>
        <v>46</v>
      </c>
    </row>
    <row r="97" spans="3:8">
      <c r="C97" s="74">
        <v>96</v>
      </c>
      <c r="D97" s="92">
        <v>170</v>
      </c>
      <c r="E97" s="92">
        <v>69</v>
      </c>
      <c r="F97" s="17">
        <f t="shared" si="23"/>
        <v>5</v>
      </c>
      <c r="G97" s="17">
        <f t="shared" si="24"/>
        <v>6</v>
      </c>
      <c r="H97" s="26">
        <f t="shared" si="22"/>
        <v>56</v>
      </c>
    </row>
    <row r="98" spans="3:8">
      <c r="C98" s="74">
        <v>97</v>
      </c>
      <c r="D98" s="92">
        <v>163</v>
      </c>
      <c r="E98" s="92">
        <v>57</v>
      </c>
      <c r="F98" s="17">
        <f t="shared" si="23"/>
        <v>3</v>
      </c>
      <c r="G98" s="17">
        <f t="shared" si="24"/>
        <v>2</v>
      </c>
      <c r="H98" s="26">
        <f t="shared" ref="H98:H129" si="25">F98*10+G98</f>
        <v>32</v>
      </c>
    </row>
    <row r="99" spans="3:8">
      <c r="C99" s="74">
        <v>98</v>
      </c>
      <c r="D99" s="92">
        <v>178</v>
      </c>
      <c r="E99" s="92">
        <v>75</v>
      </c>
      <c r="F99" s="17">
        <f t="shared" si="23"/>
        <v>7</v>
      </c>
      <c r="G99" s="17">
        <f t="shared" si="24"/>
        <v>8</v>
      </c>
      <c r="H99" s="26">
        <f t="shared" si="25"/>
        <v>78</v>
      </c>
    </row>
    <row r="100" spans="3:8">
      <c r="C100" s="74">
        <v>99</v>
      </c>
      <c r="D100" s="92">
        <v>162</v>
      </c>
      <c r="E100" s="92">
        <v>53</v>
      </c>
      <c r="F100" s="17">
        <f t="shared" si="23"/>
        <v>2</v>
      </c>
      <c r="G100" s="17">
        <f t="shared" si="24"/>
        <v>1</v>
      </c>
      <c r="H100" s="26">
        <f t="shared" si="25"/>
        <v>21</v>
      </c>
    </row>
    <row r="101" spans="3:8">
      <c r="C101" s="74">
        <v>100</v>
      </c>
      <c r="D101" s="92">
        <v>178</v>
      </c>
      <c r="E101" s="92">
        <v>69</v>
      </c>
      <c r="F101" s="17">
        <f t="shared" si="23"/>
        <v>7</v>
      </c>
      <c r="G101" s="17">
        <f t="shared" si="24"/>
        <v>6</v>
      </c>
      <c r="H101" s="26">
        <f t="shared" si="25"/>
        <v>76</v>
      </c>
    </row>
    <row r="102" spans="3:8">
      <c r="C102" s="74">
        <v>101</v>
      </c>
      <c r="D102" s="92">
        <v>172</v>
      </c>
      <c r="E102" s="92">
        <v>73</v>
      </c>
      <c r="F102" s="17">
        <f t="shared" si="23"/>
        <v>5</v>
      </c>
      <c r="G102" s="17">
        <f t="shared" si="24"/>
        <v>7</v>
      </c>
      <c r="H102" s="26">
        <f t="shared" si="25"/>
        <v>57</v>
      </c>
    </row>
    <row r="103" spans="3:8">
      <c r="C103" s="74">
        <v>102</v>
      </c>
      <c r="D103" s="92">
        <v>162</v>
      </c>
      <c r="E103" s="92">
        <v>65</v>
      </c>
      <c r="F103" s="17">
        <f t="shared" si="23"/>
        <v>2</v>
      </c>
      <c r="G103" s="17">
        <f t="shared" si="24"/>
        <v>5</v>
      </c>
      <c r="H103" s="26">
        <f t="shared" si="25"/>
        <v>25</v>
      </c>
    </row>
    <row r="104" spans="3:8">
      <c r="C104" s="74">
        <v>103</v>
      </c>
      <c r="D104" s="92">
        <v>164</v>
      </c>
      <c r="E104" s="92">
        <v>59</v>
      </c>
      <c r="F104" s="17">
        <f t="shared" si="23"/>
        <v>3</v>
      </c>
      <c r="G104" s="17">
        <f t="shared" si="24"/>
        <v>3</v>
      </c>
      <c r="H104" s="26">
        <f t="shared" si="25"/>
        <v>33</v>
      </c>
    </row>
    <row r="105" spans="3:8">
      <c r="C105" s="74">
        <v>104</v>
      </c>
      <c r="D105" s="92">
        <v>162</v>
      </c>
      <c r="E105" s="92">
        <v>58</v>
      </c>
      <c r="F105" s="17">
        <f t="shared" si="23"/>
        <v>2</v>
      </c>
      <c r="G105" s="17">
        <f t="shared" si="24"/>
        <v>3</v>
      </c>
      <c r="H105" s="26">
        <f t="shared" si="25"/>
        <v>23</v>
      </c>
    </row>
    <row r="106" spans="3:8">
      <c r="C106" s="74">
        <v>105</v>
      </c>
      <c r="D106" s="92">
        <v>171</v>
      </c>
      <c r="E106" s="92">
        <v>70</v>
      </c>
      <c r="F106" s="17">
        <f t="shared" si="23"/>
        <v>5</v>
      </c>
      <c r="G106" s="17">
        <f t="shared" si="24"/>
        <v>6</v>
      </c>
      <c r="H106" s="26">
        <f t="shared" si="25"/>
        <v>56</v>
      </c>
    </row>
    <row r="107" spans="3:8">
      <c r="C107" s="74">
        <v>106</v>
      </c>
      <c r="D107" s="92">
        <v>167</v>
      </c>
      <c r="E107" s="92">
        <v>55</v>
      </c>
      <c r="F107" s="17">
        <f t="shared" si="23"/>
        <v>4</v>
      </c>
      <c r="G107" s="17">
        <f t="shared" si="24"/>
        <v>2</v>
      </c>
      <c r="H107" s="26">
        <f t="shared" si="25"/>
        <v>42</v>
      </c>
    </row>
    <row r="108" spans="3:8">
      <c r="C108" s="74">
        <v>107</v>
      </c>
      <c r="D108" s="92">
        <v>156</v>
      </c>
      <c r="E108" s="92">
        <v>59</v>
      </c>
      <c r="F108" s="17">
        <f t="shared" si="23"/>
        <v>1</v>
      </c>
      <c r="G108" s="17">
        <f t="shared" si="24"/>
        <v>3</v>
      </c>
      <c r="H108" s="26">
        <f t="shared" si="25"/>
        <v>13</v>
      </c>
    </row>
    <row r="109" spans="3:8">
      <c r="C109" s="74">
        <v>108</v>
      </c>
      <c r="D109" s="92">
        <v>172</v>
      </c>
      <c r="E109" s="92">
        <v>67</v>
      </c>
      <c r="F109" s="17">
        <f t="shared" si="23"/>
        <v>5</v>
      </c>
      <c r="G109" s="17">
        <f t="shared" si="24"/>
        <v>5</v>
      </c>
      <c r="H109" s="26">
        <f t="shared" si="25"/>
        <v>55</v>
      </c>
    </row>
    <row r="110" spans="3:8">
      <c r="C110" s="74">
        <v>109</v>
      </c>
      <c r="D110" s="92">
        <v>167</v>
      </c>
      <c r="E110" s="92">
        <v>61</v>
      </c>
      <c r="F110" s="17">
        <f t="shared" si="23"/>
        <v>4</v>
      </c>
      <c r="G110" s="17">
        <f t="shared" si="24"/>
        <v>4</v>
      </c>
      <c r="H110" s="26">
        <f t="shared" si="25"/>
        <v>44</v>
      </c>
    </row>
    <row r="111" spans="3:8">
      <c r="C111" s="74">
        <v>110</v>
      </c>
      <c r="D111" s="92">
        <v>170</v>
      </c>
      <c r="E111" s="92">
        <v>63</v>
      </c>
      <c r="F111" s="17">
        <f t="shared" si="23"/>
        <v>5</v>
      </c>
      <c r="G111" s="17">
        <f t="shared" si="24"/>
        <v>4</v>
      </c>
      <c r="H111" s="26">
        <f t="shared" si="25"/>
        <v>54</v>
      </c>
    </row>
    <row r="112" spans="3:8">
      <c r="C112" s="74">
        <v>111</v>
      </c>
      <c r="D112" s="92">
        <v>169</v>
      </c>
      <c r="E112" s="92">
        <v>74</v>
      </c>
      <c r="F112" s="17">
        <f t="shared" si="23"/>
        <v>4</v>
      </c>
      <c r="G112" s="17">
        <f t="shared" si="24"/>
        <v>7</v>
      </c>
      <c r="H112" s="26">
        <f t="shared" si="25"/>
        <v>47</v>
      </c>
    </row>
    <row r="113" spans="3:8">
      <c r="C113" s="74">
        <v>112</v>
      </c>
      <c r="D113" s="92">
        <v>171</v>
      </c>
      <c r="E113" s="92">
        <v>60</v>
      </c>
      <c r="F113" s="17">
        <f t="shared" si="23"/>
        <v>5</v>
      </c>
      <c r="G113" s="17">
        <f t="shared" si="24"/>
        <v>3</v>
      </c>
      <c r="H113" s="26">
        <f t="shared" si="25"/>
        <v>53</v>
      </c>
    </row>
    <row r="114" spans="3:8">
      <c r="C114" s="74">
        <v>113</v>
      </c>
      <c r="D114" s="92">
        <v>160</v>
      </c>
      <c r="E114" s="92">
        <v>59</v>
      </c>
      <c r="F114" s="17">
        <f t="shared" si="23"/>
        <v>2</v>
      </c>
      <c r="G114" s="17">
        <f t="shared" si="24"/>
        <v>3</v>
      </c>
      <c r="H114" s="26">
        <f t="shared" si="25"/>
        <v>23</v>
      </c>
    </row>
    <row r="115" spans="3:8">
      <c r="C115" s="74">
        <v>114</v>
      </c>
      <c r="D115" s="92">
        <v>169</v>
      </c>
      <c r="E115" s="92">
        <v>57</v>
      </c>
      <c r="F115" s="17">
        <f t="shared" si="23"/>
        <v>4</v>
      </c>
      <c r="G115" s="17">
        <f t="shared" si="24"/>
        <v>2</v>
      </c>
      <c r="H115" s="26">
        <f t="shared" si="25"/>
        <v>42</v>
      </c>
    </row>
    <row r="116" spans="3:8">
      <c r="C116" s="74">
        <v>115</v>
      </c>
      <c r="D116" s="92">
        <v>168</v>
      </c>
      <c r="E116" s="92">
        <v>59</v>
      </c>
      <c r="F116" s="17">
        <f t="shared" si="23"/>
        <v>4</v>
      </c>
      <c r="G116" s="17">
        <f t="shared" si="24"/>
        <v>3</v>
      </c>
      <c r="H116" s="26">
        <f t="shared" si="25"/>
        <v>43</v>
      </c>
    </row>
    <row r="117" spans="3:8">
      <c r="C117" s="74">
        <v>116</v>
      </c>
      <c r="D117" s="92">
        <v>165</v>
      </c>
      <c r="E117" s="92">
        <v>60</v>
      </c>
      <c r="F117" s="17">
        <f t="shared" si="23"/>
        <v>3</v>
      </c>
      <c r="G117" s="17">
        <f t="shared" si="24"/>
        <v>3</v>
      </c>
      <c r="H117" s="26">
        <f t="shared" si="25"/>
        <v>33</v>
      </c>
    </row>
    <row r="118" spans="3:8">
      <c r="C118" s="74">
        <v>117</v>
      </c>
      <c r="D118" s="92">
        <v>164</v>
      </c>
      <c r="E118" s="92">
        <v>59</v>
      </c>
      <c r="F118" s="17">
        <f t="shared" si="23"/>
        <v>3</v>
      </c>
      <c r="G118" s="17">
        <f t="shared" si="24"/>
        <v>3</v>
      </c>
      <c r="H118" s="26">
        <f t="shared" si="25"/>
        <v>33</v>
      </c>
    </row>
    <row r="119" spans="3:8">
      <c r="C119" s="74">
        <v>118</v>
      </c>
      <c r="D119" s="92">
        <v>180</v>
      </c>
      <c r="E119" s="92">
        <v>84</v>
      </c>
      <c r="F119" s="17">
        <f t="shared" si="23"/>
        <v>8</v>
      </c>
      <c r="G119" s="17">
        <f t="shared" si="24"/>
        <v>10</v>
      </c>
      <c r="H119" s="26">
        <f t="shared" si="25"/>
        <v>90</v>
      </c>
    </row>
    <row r="120" spans="3:8">
      <c r="C120" s="74">
        <v>119</v>
      </c>
      <c r="D120" s="92">
        <v>164</v>
      </c>
      <c r="E120" s="92">
        <v>57</v>
      </c>
      <c r="F120" s="17">
        <f t="shared" si="23"/>
        <v>3</v>
      </c>
      <c r="G120" s="17">
        <f t="shared" si="24"/>
        <v>2</v>
      </c>
      <c r="H120" s="26">
        <f t="shared" si="25"/>
        <v>32</v>
      </c>
    </row>
    <row r="121" spans="3:8">
      <c r="C121" s="74">
        <v>120</v>
      </c>
      <c r="D121" s="92">
        <v>171</v>
      </c>
      <c r="E121" s="92">
        <v>64</v>
      </c>
      <c r="F121" s="17">
        <f t="shared" si="23"/>
        <v>5</v>
      </c>
      <c r="G121" s="17">
        <f t="shared" si="24"/>
        <v>4</v>
      </c>
      <c r="H121" s="26">
        <f t="shared" si="25"/>
        <v>54</v>
      </c>
    </row>
    <row r="122" spans="3:8">
      <c r="C122" s="74">
        <v>121</v>
      </c>
      <c r="D122" s="92">
        <v>181</v>
      </c>
      <c r="E122" s="92">
        <v>77</v>
      </c>
      <c r="F122" s="17">
        <f t="shared" si="23"/>
        <v>8</v>
      </c>
      <c r="G122" s="17">
        <f t="shared" si="24"/>
        <v>8</v>
      </c>
      <c r="H122" s="26">
        <f t="shared" si="25"/>
        <v>88</v>
      </c>
    </row>
    <row r="123" spans="3:8">
      <c r="C123" s="74">
        <v>122</v>
      </c>
      <c r="D123" s="92">
        <v>171</v>
      </c>
      <c r="E123" s="92">
        <v>62</v>
      </c>
      <c r="F123" s="17">
        <f t="shared" si="23"/>
        <v>5</v>
      </c>
      <c r="G123" s="17">
        <f t="shared" si="24"/>
        <v>4</v>
      </c>
      <c r="H123" s="26">
        <f t="shared" si="25"/>
        <v>54</v>
      </c>
    </row>
    <row r="124" spans="3:8">
      <c r="C124" s="74">
        <v>123</v>
      </c>
      <c r="D124" s="92">
        <v>172</v>
      </c>
      <c r="E124" s="92">
        <v>74</v>
      </c>
      <c r="F124" s="17">
        <f t="shared" si="23"/>
        <v>5</v>
      </c>
      <c r="G124" s="17">
        <f t="shared" si="24"/>
        <v>7</v>
      </c>
      <c r="H124" s="26">
        <f t="shared" si="25"/>
        <v>57</v>
      </c>
    </row>
    <row r="125" spans="3:8">
      <c r="C125" s="74">
        <v>124</v>
      </c>
      <c r="D125" s="92">
        <v>161</v>
      </c>
      <c r="E125" s="92">
        <v>55</v>
      </c>
      <c r="F125" s="17">
        <f t="shared" si="23"/>
        <v>2</v>
      </c>
      <c r="G125" s="17">
        <f t="shared" si="24"/>
        <v>2</v>
      </c>
      <c r="H125" s="26">
        <f t="shared" si="25"/>
        <v>22</v>
      </c>
    </row>
    <row r="126" spans="3:8">
      <c r="C126" s="74">
        <v>125</v>
      </c>
      <c r="D126" s="92">
        <v>187</v>
      </c>
      <c r="E126" s="92">
        <v>84</v>
      </c>
      <c r="F126" s="17">
        <f t="shared" si="23"/>
        <v>10</v>
      </c>
      <c r="G126" s="17">
        <f t="shared" si="24"/>
        <v>10</v>
      </c>
      <c r="H126" s="26">
        <f t="shared" si="25"/>
        <v>110</v>
      </c>
    </row>
    <row r="127" spans="3:8">
      <c r="C127" s="74">
        <v>126</v>
      </c>
      <c r="D127" s="92">
        <v>163</v>
      </c>
      <c r="E127" s="92">
        <v>57</v>
      </c>
      <c r="F127" s="17">
        <f t="shared" si="23"/>
        <v>3</v>
      </c>
      <c r="G127" s="17">
        <f t="shared" si="24"/>
        <v>2</v>
      </c>
      <c r="H127" s="26">
        <f t="shared" si="25"/>
        <v>32</v>
      </c>
    </row>
    <row r="128" spans="3:8">
      <c r="C128" s="74">
        <v>127</v>
      </c>
      <c r="D128" s="92">
        <v>166</v>
      </c>
      <c r="E128" s="92">
        <v>60</v>
      </c>
      <c r="F128" s="17">
        <f t="shared" si="23"/>
        <v>4</v>
      </c>
      <c r="G128" s="17">
        <f t="shared" si="24"/>
        <v>3</v>
      </c>
      <c r="H128" s="26">
        <f t="shared" si="25"/>
        <v>43</v>
      </c>
    </row>
    <row r="129" spans="3:8">
      <c r="C129" s="74">
        <v>128</v>
      </c>
      <c r="D129" s="92">
        <v>164</v>
      </c>
      <c r="E129" s="92">
        <v>60</v>
      </c>
      <c r="F129" s="17">
        <f t="shared" si="23"/>
        <v>3</v>
      </c>
      <c r="G129" s="17">
        <f t="shared" si="24"/>
        <v>3</v>
      </c>
      <c r="H129" s="26">
        <f t="shared" si="25"/>
        <v>33</v>
      </c>
    </row>
    <row r="130" spans="3:8">
      <c r="C130" s="74">
        <v>129</v>
      </c>
      <c r="D130" s="92">
        <v>159</v>
      </c>
      <c r="E130" s="92">
        <v>68</v>
      </c>
      <c r="F130" s="17">
        <f t="shared" si="23"/>
        <v>2</v>
      </c>
      <c r="G130" s="17">
        <f t="shared" si="24"/>
        <v>6</v>
      </c>
      <c r="H130" s="26">
        <f t="shared" ref="H130:H161" si="26">F130*10+G130</f>
        <v>26</v>
      </c>
    </row>
    <row r="131" spans="3:8">
      <c r="C131" s="74">
        <v>130</v>
      </c>
      <c r="D131" s="92">
        <v>176</v>
      </c>
      <c r="E131" s="92">
        <v>62</v>
      </c>
      <c r="F131" s="17">
        <f t="shared" ref="F131:F194" si="27">IF(AND(D131&gt;=$L$4,D131&lt;$M$4),1,IF(AND(D131&gt;=$L$5,D131&lt;$M$5),2,IF(AND(D131&gt;=$L$6,D131&lt;$M$6),3,IF(AND(D131&gt;=$L$7,D131&lt;$M$7),4,IF(AND(D131&gt;=$L$8,D131&lt;$M$8),5,IF(AND(D131&gt;=$L$9,D131&lt;$M$9),6,IF(AND(D131&gt;=$L$10,D131&lt;$M$10),7,IF(AND(D131&gt;=$L$11,D131&lt;$M$11),8,IF(AND(D131&gt;=$L$12,D131&lt;$M$12),9,IF(AND(D131&gt;=$L$13,D131&lt;=$M$13),10,0))))))))))</f>
        <v>6</v>
      </c>
      <c r="G131" s="17">
        <f t="shared" ref="G131:G194" si="28">IF(AND(E131&gt;=$N$4,E131&lt;$O$4),1,IF(AND(E131&gt;=$N$5,E131&lt;$O$5),2,IF(AND(E131&gt;=$N$6,E131&lt;$O$6),3,IF(AND(E131&gt;=$N$7,E131&lt;$O$7),4,IF(AND(E131&gt;=$N$8,E131&lt;$O$8),5,IF(AND(E131&gt;=$N$9,E131&lt;$O$9),6,IF(AND(E131&gt;=$N$10,E131&lt;$O$10),7,IF(AND(E131&gt;=$N$11,E131&lt;$O$11),8,IF(AND(E131&gt;=$N$12,E131&lt;$O$12),9,IF(AND(E131&gt;=$N$13,E131&lt;=$O$13),10,0))))))))))</f>
        <v>4</v>
      </c>
      <c r="H131" s="26">
        <f t="shared" si="26"/>
        <v>64</v>
      </c>
    </row>
    <row r="132" spans="3:8">
      <c r="C132" s="74">
        <v>131</v>
      </c>
      <c r="D132" s="92">
        <v>167</v>
      </c>
      <c r="E132" s="92">
        <v>68</v>
      </c>
      <c r="F132" s="17">
        <f t="shared" si="27"/>
        <v>4</v>
      </c>
      <c r="G132" s="17">
        <f t="shared" si="28"/>
        <v>6</v>
      </c>
      <c r="H132" s="26">
        <f t="shared" si="26"/>
        <v>46</v>
      </c>
    </row>
    <row r="133" spans="3:8">
      <c r="C133" s="74">
        <v>132</v>
      </c>
      <c r="D133" s="92">
        <v>167</v>
      </c>
      <c r="E133" s="92">
        <v>64</v>
      </c>
      <c r="F133" s="17">
        <f t="shared" si="27"/>
        <v>4</v>
      </c>
      <c r="G133" s="17">
        <f t="shared" si="28"/>
        <v>4</v>
      </c>
      <c r="H133" s="26">
        <f t="shared" si="26"/>
        <v>44</v>
      </c>
    </row>
    <row r="134" spans="3:8">
      <c r="C134" s="74">
        <v>133</v>
      </c>
      <c r="D134" s="92">
        <v>169</v>
      </c>
      <c r="E134" s="92">
        <v>62</v>
      </c>
      <c r="F134" s="17">
        <f t="shared" si="27"/>
        <v>4</v>
      </c>
      <c r="G134" s="17">
        <f t="shared" si="28"/>
        <v>4</v>
      </c>
      <c r="H134" s="26">
        <f t="shared" si="26"/>
        <v>44</v>
      </c>
    </row>
    <row r="135" spans="3:8">
      <c r="C135" s="74">
        <v>134</v>
      </c>
      <c r="D135" s="92">
        <v>190</v>
      </c>
      <c r="E135" s="92">
        <v>80</v>
      </c>
      <c r="F135" s="17">
        <f t="shared" si="27"/>
        <v>10</v>
      </c>
      <c r="G135" s="17">
        <f t="shared" si="28"/>
        <v>9</v>
      </c>
      <c r="H135" s="26">
        <f t="shared" si="26"/>
        <v>109</v>
      </c>
    </row>
    <row r="136" spans="3:8">
      <c r="C136" s="74">
        <v>135</v>
      </c>
      <c r="D136" s="92">
        <v>171</v>
      </c>
      <c r="E136" s="92">
        <v>70</v>
      </c>
      <c r="F136" s="17">
        <f t="shared" si="27"/>
        <v>5</v>
      </c>
      <c r="G136" s="17">
        <f t="shared" si="28"/>
        <v>6</v>
      </c>
      <c r="H136" s="26">
        <f t="shared" si="26"/>
        <v>56</v>
      </c>
    </row>
    <row r="137" spans="3:8">
      <c r="C137" s="74">
        <v>136</v>
      </c>
      <c r="D137" s="92">
        <v>164</v>
      </c>
      <c r="E137" s="92">
        <v>63</v>
      </c>
      <c r="F137" s="17">
        <f t="shared" si="27"/>
        <v>3</v>
      </c>
      <c r="G137" s="17">
        <f t="shared" si="28"/>
        <v>4</v>
      </c>
      <c r="H137" s="26">
        <f t="shared" si="26"/>
        <v>34</v>
      </c>
    </row>
    <row r="138" spans="3:8">
      <c r="C138" s="74">
        <v>137</v>
      </c>
      <c r="D138" s="92">
        <v>164</v>
      </c>
      <c r="E138" s="92">
        <v>65</v>
      </c>
      <c r="F138" s="17">
        <f t="shared" si="27"/>
        <v>3</v>
      </c>
      <c r="G138" s="17">
        <f t="shared" si="28"/>
        <v>5</v>
      </c>
      <c r="H138" s="26">
        <f t="shared" si="26"/>
        <v>35</v>
      </c>
    </row>
    <row r="139" spans="3:8">
      <c r="C139" s="74">
        <v>138</v>
      </c>
      <c r="D139" s="92">
        <v>177</v>
      </c>
      <c r="E139" s="92">
        <v>67</v>
      </c>
      <c r="F139" s="17">
        <f t="shared" si="27"/>
        <v>7</v>
      </c>
      <c r="G139" s="17">
        <f t="shared" si="28"/>
        <v>5</v>
      </c>
      <c r="H139" s="26">
        <f t="shared" si="26"/>
        <v>75</v>
      </c>
    </row>
    <row r="140" spans="3:8">
      <c r="C140" s="74">
        <v>139</v>
      </c>
      <c r="D140" s="92">
        <v>161</v>
      </c>
      <c r="E140" s="92">
        <v>51</v>
      </c>
      <c r="F140" s="17">
        <f t="shared" si="27"/>
        <v>2</v>
      </c>
      <c r="G140" s="17">
        <f t="shared" si="28"/>
        <v>1</v>
      </c>
      <c r="H140" s="26">
        <f t="shared" si="26"/>
        <v>21</v>
      </c>
    </row>
    <row r="141" spans="3:8">
      <c r="C141" s="74">
        <v>140</v>
      </c>
      <c r="D141" s="92">
        <v>166</v>
      </c>
      <c r="E141" s="92">
        <v>63</v>
      </c>
      <c r="F141" s="17">
        <f t="shared" si="27"/>
        <v>4</v>
      </c>
      <c r="G141" s="17">
        <f t="shared" si="28"/>
        <v>4</v>
      </c>
      <c r="H141" s="26">
        <f t="shared" si="26"/>
        <v>44</v>
      </c>
    </row>
    <row r="142" spans="3:8">
      <c r="C142" s="74">
        <v>141</v>
      </c>
      <c r="D142" s="92">
        <v>172</v>
      </c>
      <c r="E142" s="92">
        <v>67</v>
      </c>
      <c r="F142" s="17">
        <f t="shared" si="27"/>
        <v>5</v>
      </c>
      <c r="G142" s="17">
        <f t="shared" si="28"/>
        <v>5</v>
      </c>
      <c r="H142" s="26">
        <f t="shared" si="26"/>
        <v>55</v>
      </c>
    </row>
    <row r="143" spans="3:8">
      <c r="C143" s="74">
        <v>142</v>
      </c>
      <c r="D143" s="92">
        <v>171</v>
      </c>
      <c r="E143" s="92">
        <v>67</v>
      </c>
      <c r="F143" s="17">
        <f t="shared" si="27"/>
        <v>5</v>
      </c>
      <c r="G143" s="17">
        <f t="shared" si="28"/>
        <v>5</v>
      </c>
      <c r="H143" s="26">
        <f t="shared" si="26"/>
        <v>55</v>
      </c>
    </row>
    <row r="144" spans="3:8">
      <c r="C144" s="74">
        <v>143</v>
      </c>
      <c r="D144" s="92">
        <v>161</v>
      </c>
      <c r="E144" s="92">
        <v>56</v>
      </c>
      <c r="F144" s="17">
        <f t="shared" si="27"/>
        <v>2</v>
      </c>
      <c r="G144" s="17">
        <f t="shared" si="28"/>
        <v>2</v>
      </c>
      <c r="H144" s="26">
        <f t="shared" si="26"/>
        <v>22</v>
      </c>
    </row>
    <row r="145" spans="3:8">
      <c r="C145" s="74">
        <v>144</v>
      </c>
      <c r="D145" s="92">
        <v>173</v>
      </c>
      <c r="E145" s="92">
        <v>77</v>
      </c>
      <c r="F145" s="17">
        <f t="shared" si="27"/>
        <v>6</v>
      </c>
      <c r="G145" s="17">
        <f t="shared" si="28"/>
        <v>8</v>
      </c>
      <c r="H145" s="26">
        <f t="shared" si="26"/>
        <v>68</v>
      </c>
    </row>
    <row r="146" spans="3:8">
      <c r="C146" s="74">
        <v>145</v>
      </c>
      <c r="D146" s="92">
        <v>172</v>
      </c>
      <c r="E146" s="92">
        <v>64</v>
      </c>
      <c r="F146" s="17">
        <f t="shared" si="27"/>
        <v>5</v>
      </c>
      <c r="G146" s="17">
        <f t="shared" si="28"/>
        <v>4</v>
      </c>
      <c r="H146" s="26">
        <f t="shared" si="26"/>
        <v>54</v>
      </c>
    </row>
    <row r="147" spans="3:8">
      <c r="C147" s="74">
        <v>146</v>
      </c>
      <c r="D147" s="92">
        <v>162</v>
      </c>
      <c r="E147" s="92">
        <v>66</v>
      </c>
      <c r="F147" s="17">
        <f t="shared" si="27"/>
        <v>2</v>
      </c>
      <c r="G147" s="17">
        <f t="shared" si="28"/>
        <v>5</v>
      </c>
      <c r="H147" s="26">
        <f t="shared" si="26"/>
        <v>25</v>
      </c>
    </row>
    <row r="148" spans="3:8">
      <c r="C148" s="74">
        <v>147</v>
      </c>
      <c r="D148" s="92">
        <v>167</v>
      </c>
      <c r="E148" s="92">
        <v>61</v>
      </c>
      <c r="F148" s="17">
        <f t="shared" si="27"/>
        <v>4</v>
      </c>
      <c r="G148" s="17">
        <f t="shared" si="28"/>
        <v>4</v>
      </c>
      <c r="H148" s="26">
        <f t="shared" si="26"/>
        <v>44</v>
      </c>
    </row>
    <row r="149" spans="3:8">
      <c r="C149" s="74">
        <v>148</v>
      </c>
      <c r="D149" s="92">
        <v>164</v>
      </c>
      <c r="E149" s="92">
        <v>57</v>
      </c>
      <c r="F149" s="17">
        <f t="shared" si="27"/>
        <v>3</v>
      </c>
      <c r="G149" s="17">
        <f t="shared" si="28"/>
        <v>2</v>
      </c>
      <c r="H149" s="26">
        <f t="shared" si="26"/>
        <v>32</v>
      </c>
    </row>
    <row r="150" spans="3:8">
      <c r="C150" s="74">
        <v>149</v>
      </c>
      <c r="D150" s="92">
        <v>171</v>
      </c>
      <c r="E150" s="92">
        <v>69</v>
      </c>
      <c r="F150" s="17">
        <f t="shared" si="27"/>
        <v>5</v>
      </c>
      <c r="G150" s="17">
        <f t="shared" si="28"/>
        <v>6</v>
      </c>
      <c r="H150" s="26">
        <f t="shared" si="26"/>
        <v>56</v>
      </c>
    </row>
    <row r="151" spans="3:8">
      <c r="C151" s="74">
        <v>150</v>
      </c>
      <c r="D151" s="92">
        <v>174</v>
      </c>
      <c r="E151" s="92">
        <v>74</v>
      </c>
      <c r="F151" s="17">
        <f t="shared" si="27"/>
        <v>6</v>
      </c>
      <c r="G151" s="17">
        <f t="shared" si="28"/>
        <v>7</v>
      </c>
      <c r="H151" s="26">
        <f t="shared" si="26"/>
        <v>67</v>
      </c>
    </row>
    <row r="152" spans="3:8">
      <c r="C152" s="74">
        <v>151</v>
      </c>
      <c r="D152" s="92">
        <v>166</v>
      </c>
      <c r="E152" s="92">
        <v>60</v>
      </c>
      <c r="F152" s="17">
        <f t="shared" si="27"/>
        <v>4</v>
      </c>
      <c r="G152" s="17">
        <f t="shared" si="28"/>
        <v>3</v>
      </c>
      <c r="H152" s="26">
        <f t="shared" si="26"/>
        <v>43</v>
      </c>
    </row>
    <row r="153" spans="3:8">
      <c r="C153" s="74">
        <v>152</v>
      </c>
      <c r="D153" s="92">
        <v>170</v>
      </c>
      <c r="E153" s="92">
        <v>73</v>
      </c>
      <c r="F153" s="17">
        <f t="shared" si="27"/>
        <v>5</v>
      </c>
      <c r="G153" s="17">
        <f t="shared" si="28"/>
        <v>7</v>
      </c>
      <c r="H153" s="26">
        <f t="shared" si="26"/>
        <v>57</v>
      </c>
    </row>
    <row r="154" spans="3:8">
      <c r="C154" s="74">
        <v>153</v>
      </c>
      <c r="D154" s="92">
        <v>166</v>
      </c>
      <c r="E154" s="92">
        <v>57</v>
      </c>
      <c r="F154" s="17">
        <f t="shared" si="27"/>
        <v>4</v>
      </c>
      <c r="G154" s="17">
        <f t="shared" si="28"/>
        <v>2</v>
      </c>
      <c r="H154" s="26">
        <f t="shared" si="26"/>
        <v>42</v>
      </c>
    </row>
    <row r="155" spans="3:8">
      <c r="C155" s="74">
        <v>154</v>
      </c>
      <c r="D155" s="92">
        <v>177</v>
      </c>
      <c r="E155" s="92">
        <v>68</v>
      </c>
      <c r="F155" s="17">
        <f t="shared" si="27"/>
        <v>7</v>
      </c>
      <c r="G155" s="17">
        <f t="shared" si="28"/>
        <v>6</v>
      </c>
      <c r="H155" s="26">
        <f t="shared" si="26"/>
        <v>76</v>
      </c>
    </row>
    <row r="156" spans="3:8">
      <c r="C156" s="74">
        <v>155</v>
      </c>
      <c r="D156" s="92">
        <v>172</v>
      </c>
      <c r="E156" s="92">
        <v>63</v>
      </c>
      <c r="F156" s="17">
        <f t="shared" si="27"/>
        <v>5</v>
      </c>
      <c r="G156" s="17">
        <f t="shared" si="28"/>
        <v>4</v>
      </c>
      <c r="H156" s="26">
        <f t="shared" si="26"/>
        <v>54</v>
      </c>
    </row>
    <row r="157" spans="3:8">
      <c r="C157" s="74">
        <v>156</v>
      </c>
      <c r="D157" s="92">
        <v>161</v>
      </c>
      <c r="E157" s="92">
        <v>60</v>
      </c>
      <c r="F157" s="17">
        <f t="shared" si="27"/>
        <v>2</v>
      </c>
      <c r="G157" s="17">
        <f t="shared" si="28"/>
        <v>3</v>
      </c>
      <c r="H157" s="26">
        <f t="shared" si="26"/>
        <v>23</v>
      </c>
    </row>
    <row r="158" spans="3:8">
      <c r="C158" s="74">
        <v>157</v>
      </c>
      <c r="D158" s="92">
        <v>172</v>
      </c>
      <c r="E158" s="92">
        <v>67</v>
      </c>
      <c r="F158" s="17">
        <f t="shared" si="27"/>
        <v>5</v>
      </c>
      <c r="G158" s="17">
        <f t="shared" si="28"/>
        <v>5</v>
      </c>
      <c r="H158" s="26">
        <f t="shared" si="26"/>
        <v>55</v>
      </c>
    </row>
    <row r="159" spans="3:8">
      <c r="C159" s="74">
        <v>158</v>
      </c>
      <c r="D159" s="92">
        <v>163</v>
      </c>
      <c r="E159" s="92">
        <v>65</v>
      </c>
      <c r="F159" s="17">
        <f t="shared" si="27"/>
        <v>3</v>
      </c>
      <c r="G159" s="17">
        <f t="shared" si="28"/>
        <v>5</v>
      </c>
      <c r="H159" s="26">
        <f t="shared" si="26"/>
        <v>35</v>
      </c>
    </row>
    <row r="160" spans="3:8">
      <c r="C160" s="74">
        <v>159</v>
      </c>
      <c r="D160" s="92">
        <v>176</v>
      </c>
      <c r="E160" s="92">
        <v>67</v>
      </c>
      <c r="F160" s="17">
        <f t="shared" si="27"/>
        <v>6</v>
      </c>
      <c r="G160" s="17">
        <f t="shared" si="28"/>
        <v>5</v>
      </c>
      <c r="H160" s="26">
        <f t="shared" si="26"/>
        <v>65</v>
      </c>
    </row>
    <row r="161" spans="3:8">
      <c r="C161" s="74">
        <v>160</v>
      </c>
      <c r="D161" s="92">
        <v>161</v>
      </c>
      <c r="E161" s="92">
        <v>55</v>
      </c>
      <c r="F161" s="17">
        <f t="shared" si="27"/>
        <v>2</v>
      </c>
      <c r="G161" s="17">
        <f t="shared" si="28"/>
        <v>2</v>
      </c>
      <c r="H161" s="26">
        <f t="shared" si="26"/>
        <v>22</v>
      </c>
    </row>
    <row r="162" spans="3:8">
      <c r="C162" s="74">
        <v>161</v>
      </c>
      <c r="D162" s="92">
        <v>161</v>
      </c>
      <c r="E162" s="92">
        <v>60</v>
      </c>
      <c r="F162" s="17">
        <f t="shared" si="27"/>
        <v>2</v>
      </c>
      <c r="G162" s="17">
        <f t="shared" si="28"/>
        <v>3</v>
      </c>
      <c r="H162" s="26">
        <f t="shared" ref="H162:H193" si="29">F162*10+G162</f>
        <v>23</v>
      </c>
    </row>
    <row r="163" spans="3:8">
      <c r="C163" s="74">
        <v>162</v>
      </c>
      <c r="D163" s="92">
        <v>172</v>
      </c>
      <c r="E163" s="92">
        <v>72</v>
      </c>
      <c r="F163" s="17">
        <f t="shared" si="27"/>
        <v>5</v>
      </c>
      <c r="G163" s="17">
        <f t="shared" si="28"/>
        <v>7</v>
      </c>
      <c r="H163" s="26">
        <f t="shared" si="29"/>
        <v>57</v>
      </c>
    </row>
    <row r="164" spans="3:8">
      <c r="C164" s="74">
        <v>163</v>
      </c>
      <c r="D164" s="92">
        <v>167</v>
      </c>
      <c r="E164" s="92">
        <v>61</v>
      </c>
      <c r="F164" s="17">
        <f t="shared" si="27"/>
        <v>4</v>
      </c>
      <c r="G164" s="17">
        <f t="shared" si="28"/>
        <v>4</v>
      </c>
      <c r="H164" s="26">
        <f t="shared" si="29"/>
        <v>44</v>
      </c>
    </row>
    <row r="165" spans="3:8">
      <c r="C165" s="74">
        <v>164</v>
      </c>
      <c r="D165" s="92">
        <v>168</v>
      </c>
      <c r="E165" s="92">
        <v>63</v>
      </c>
      <c r="F165" s="17">
        <f t="shared" si="27"/>
        <v>4</v>
      </c>
      <c r="G165" s="17">
        <f t="shared" si="28"/>
        <v>4</v>
      </c>
      <c r="H165" s="26">
        <f t="shared" si="29"/>
        <v>44</v>
      </c>
    </row>
    <row r="166" spans="3:8">
      <c r="C166" s="74">
        <v>165</v>
      </c>
      <c r="D166" s="92">
        <v>161</v>
      </c>
      <c r="E166" s="92">
        <v>61</v>
      </c>
      <c r="F166" s="17">
        <f t="shared" si="27"/>
        <v>2</v>
      </c>
      <c r="G166" s="17">
        <f t="shared" si="28"/>
        <v>4</v>
      </c>
      <c r="H166" s="26">
        <f t="shared" si="29"/>
        <v>24</v>
      </c>
    </row>
    <row r="167" spans="3:8">
      <c r="C167" s="74">
        <v>166</v>
      </c>
      <c r="D167" s="92">
        <v>169</v>
      </c>
      <c r="E167" s="92">
        <v>59</v>
      </c>
      <c r="F167" s="17">
        <f t="shared" si="27"/>
        <v>4</v>
      </c>
      <c r="G167" s="17">
        <f t="shared" si="28"/>
        <v>3</v>
      </c>
      <c r="H167" s="26">
        <f t="shared" si="29"/>
        <v>43</v>
      </c>
    </row>
    <row r="168" spans="3:8">
      <c r="C168" s="74">
        <v>167</v>
      </c>
      <c r="D168" s="92">
        <v>168</v>
      </c>
      <c r="E168" s="92">
        <v>70</v>
      </c>
      <c r="F168" s="17">
        <f t="shared" si="27"/>
        <v>4</v>
      </c>
      <c r="G168" s="17">
        <f t="shared" si="28"/>
        <v>6</v>
      </c>
      <c r="H168" s="26">
        <f t="shared" si="29"/>
        <v>46</v>
      </c>
    </row>
    <row r="169" spans="3:8">
      <c r="C169" s="74">
        <v>168</v>
      </c>
      <c r="D169" s="92">
        <v>170</v>
      </c>
      <c r="E169" s="92">
        <v>61</v>
      </c>
      <c r="F169" s="17">
        <f t="shared" si="27"/>
        <v>5</v>
      </c>
      <c r="G169" s="17">
        <f t="shared" si="28"/>
        <v>4</v>
      </c>
      <c r="H169" s="26">
        <f t="shared" si="29"/>
        <v>54</v>
      </c>
    </row>
    <row r="170" spans="3:8">
      <c r="C170" s="74">
        <v>169</v>
      </c>
      <c r="D170" s="92">
        <v>166</v>
      </c>
      <c r="E170" s="92">
        <v>55</v>
      </c>
      <c r="F170" s="17">
        <f t="shared" si="27"/>
        <v>4</v>
      </c>
      <c r="G170" s="17">
        <f t="shared" si="28"/>
        <v>2</v>
      </c>
      <c r="H170" s="26">
        <f t="shared" si="29"/>
        <v>42</v>
      </c>
    </row>
    <row r="171" spans="3:8">
      <c r="C171" s="74">
        <v>170</v>
      </c>
      <c r="D171" s="92">
        <v>175</v>
      </c>
      <c r="E171" s="92">
        <v>64</v>
      </c>
      <c r="F171" s="17">
        <f t="shared" si="27"/>
        <v>6</v>
      </c>
      <c r="G171" s="17">
        <f t="shared" si="28"/>
        <v>4</v>
      </c>
      <c r="H171" s="26">
        <f t="shared" si="29"/>
        <v>64</v>
      </c>
    </row>
    <row r="172" spans="3:8">
      <c r="C172" s="74">
        <v>171</v>
      </c>
      <c r="D172" s="92">
        <v>180</v>
      </c>
      <c r="E172" s="92">
        <v>73</v>
      </c>
      <c r="F172" s="17">
        <f t="shared" si="27"/>
        <v>8</v>
      </c>
      <c r="G172" s="17">
        <f t="shared" si="28"/>
        <v>7</v>
      </c>
      <c r="H172" s="26">
        <f t="shared" si="29"/>
        <v>87</v>
      </c>
    </row>
    <row r="173" spans="3:8">
      <c r="C173" s="74">
        <v>172</v>
      </c>
      <c r="D173" s="92">
        <v>164</v>
      </c>
      <c r="E173" s="92">
        <v>56</v>
      </c>
      <c r="F173" s="17">
        <f t="shared" si="27"/>
        <v>3</v>
      </c>
      <c r="G173" s="17">
        <f t="shared" si="28"/>
        <v>2</v>
      </c>
      <c r="H173" s="26">
        <f t="shared" si="29"/>
        <v>32</v>
      </c>
    </row>
    <row r="174" spans="3:8">
      <c r="C174" s="74">
        <v>173</v>
      </c>
      <c r="D174" s="92">
        <v>161</v>
      </c>
      <c r="E174" s="92">
        <v>51</v>
      </c>
      <c r="F174" s="17">
        <f t="shared" si="27"/>
        <v>2</v>
      </c>
      <c r="G174" s="17">
        <f t="shared" si="28"/>
        <v>1</v>
      </c>
      <c r="H174" s="26">
        <f t="shared" si="29"/>
        <v>21</v>
      </c>
    </row>
    <row r="175" spans="3:8">
      <c r="C175" s="74">
        <v>174</v>
      </c>
      <c r="D175" s="92">
        <v>162</v>
      </c>
      <c r="E175" s="92">
        <v>61</v>
      </c>
      <c r="F175" s="17">
        <f t="shared" si="27"/>
        <v>2</v>
      </c>
      <c r="G175" s="17">
        <f t="shared" si="28"/>
        <v>4</v>
      </c>
      <c r="H175" s="26">
        <f t="shared" si="29"/>
        <v>24</v>
      </c>
    </row>
    <row r="176" spans="3:8">
      <c r="C176" s="74">
        <v>175</v>
      </c>
      <c r="D176" s="92">
        <v>171</v>
      </c>
      <c r="E176" s="92">
        <v>67</v>
      </c>
      <c r="F176" s="17">
        <f t="shared" si="27"/>
        <v>5</v>
      </c>
      <c r="G176" s="17">
        <f t="shared" si="28"/>
        <v>5</v>
      </c>
      <c r="H176" s="26">
        <f t="shared" si="29"/>
        <v>55</v>
      </c>
    </row>
    <row r="177" spans="3:8">
      <c r="C177" s="74">
        <v>176</v>
      </c>
      <c r="D177" s="92">
        <v>166</v>
      </c>
      <c r="E177" s="92">
        <v>63</v>
      </c>
      <c r="F177" s="17">
        <f t="shared" si="27"/>
        <v>4</v>
      </c>
      <c r="G177" s="17">
        <f t="shared" si="28"/>
        <v>4</v>
      </c>
      <c r="H177" s="26">
        <f t="shared" si="29"/>
        <v>44</v>
      </c>
    </row>
    <row r="178" spans="3:8">
      <c r="C178" s="74">
        <v>177</v>
      </c>
      <c r="D178" s="92">
        <v>179</v>
      </c>
      <c r="E178" s="92">
        <v>71</v>
      </c>
      <c r="F178" s="17">
        <f t="shared" si="27"/>
        <v>7</v>
      </c>
      <c r="G178" s="17">
        <f t="shared" si="28"/>
        <v>6</v>
      </c>
      <c r="H178" s="26">
        <f t="shared" si="29"/>
        <v>76</v>
      </c>
    </row>
    <row r="179" spans="3:8">
      <c r="C179" s="74">
        <v>178</v>
      </c>
      <c r="D179" s="92">
        <v>162</v>
      </c>
      <c r="E179" s="92">
        <v>52</v>
      </c>
      <c r="F179" s="17">
        <f t="shared" si="27"/>
        <v>2</v>
      </c>
      <c r="G179" s="17">
        <f t="shared" si="28"/>
        <v>1</v>
      </c>
      <c r="H179" s="26">
        <f t="shared" si="29"/>
        <v>21</v>
      </c>
    </row>
    <row r="180" spans="3:8">
      <c r="C180" s="74">
        <v>179</v>
      </c>
      <c r="D180" s="92">
        <v>167</v>
      </c>
      <c r="E180" s="92">
        <v>55</v>
      </c>
      <c r="F180" s="17">
        <f t="shared" si="27"/>
        <v>4</v>
      </c>
      <c r="G180" s="17">
        <f t="shared" si="28"/>
        <v>2</v>
      </c>
      <c r="H180" s="26">
        <f t="shared" si="29"/>
        <v>42</v>
      </c>
    </row>
    <row r="181" spans="3:8">
      <c r="C181" s="74">
        <v>180</v>
      </c>
      <c r="D181" s="92">
        <v>176</v>
      </c>
      <c r="E181" s="92">
        <v>70</v>
      </c>
      <c r="F181" s="17">
        <f t="shared" si="27"/>
        <v>6</v>
      </c>
      <c r="G181" s="17">
        <f t="shared" si="28"/>
        <v>6</v>
      </c>
      <c r="H181" s="26">
        <f t="shared" si="29"/>
        <v>66</v>
      </c>
    </row>
    <row r="182" spans="3:8">
      <c r="C182" s="74">
        <v>181</v>
      </c>
      <c r="D182" s="92">
        <v>163</v>
      </c>
      <c r="E182" s="92">
        <v>63</v>
      </c>
      <c r="F182" s="17">
        <f t="shared" si="27"/>
        <v>3</v>
      </c>
      <c r="G182" s="17">
        <f t="shared" si="28"/>
        <v>4</v>
      </c>
      <c r="H182" s="26">
        <f t="shared" si="29"/>
        <v>34</v>
      </c>
    </row>
    <row r="183" spans="3:8">
      <c r="C183" s="74">
        <v>182</v>
      </c>
      <c r="D183" s="92">
        <v>169</v>
      </c>
      <c r="E183" s="92">
        <v>62</v>
      </c>
      <c r="F183" s="17">
        <f t="shared" si="27"/>
        <v>4</v>
      </c>
      <c r="G183" s="17">
        <f t="shared" si="28"/>
        <v>4</v>
      </c>
      <c r="H183" s="26">
        <f t="shared" si="29"/>
        <v>44</v>
      </c>
    </row>
    <row r="184" spans="3:8">
      <c r="C184" s="74">
        <v>183</v>
      </c>
      <c r="D184" s="92">
        <v>174</v>
      </c>
      <c r="E184" s="92">
        <v>73</v>
      </c>
      <c r="F184" s="17">
        <f t="shared" si="27"/>
        <v>6</v>
      </c>
      <c r="G184" s="17">
        <f t="shared" si="28"/>
        <v>7</v>
      </c>
      <c r="H184" s="26">
        <f t="shared" si="29"/>
        <v>67</v>
      </c>
    </row>
    <row r="185" spans="3:8">
      <c r="C185" s="74">
        <v>184</v>
      </c>
      <c r="D185" s="92">
        <v>167</v>
      </c>
      <c r="E185" s="92">
        <v>65</v>
      </c>
      <c r="F185" s="17">
        <f t="shared" si="27"/>
        <v>4</v>
      </c>
      <c r="G185" s="17">
        <f t="shared" si="28"/>
        <v>5</v>
      </c>
      <c r="H185" s="26">
        <f t="shared" si="29"/>
        <v>45</v>
      </c>
    </row>
    <row r="186" spans="3:8">
      <c r="C186" s="74">
        <v>185</v>
      </c>
      <c r="D186" s="92">
        <v>179</v>
      </c>
      <c r="E186" s="92">
        <v>63</v>
      </c>
      <c r="F186" s="17">
        <f t="shared" si="27"/>
        <v>7</v>
      </c>
      <c r="G186" s="17">
        <f t="shared" si="28"/>
        <v>4</v>
      </c>
      <c r="H186" s="26">
        <f t="shared" si="29"/>
        <v>74</v>
      </c>
    </row>
    <row r="187" spans="3:8">
      <c r="C187" s="74">
        <v>186</v>
      </c>
      <c r="D187" s="92">
        <v>173</v>
      </c>
      <c r="E187" s="92">
        <v>63</v>
      </c>
      <c r="F187" s="17">
        <f t="shared" si="27"/>
        <v>6</v>
      </c>
      <c r="G187" s="17">
        <f t="shared" si="28"/>
        <v>4</v>
      </c>
      <c r="H187" s="26">
        <f t="shared" si="29"/>
        <v>64</v>
      </c>
    </row>
    <row r="188" spans="3:8">
      <c r="C188" s="74">
        <v>187</v>
      </c>
      <c r="D188" s="92">
        <v>172</v>
      </c>
      <c r="E188" s="92">
        <v>67</v>
      </c>
      <c r="F188" s="17">
        <f t="shared" si="27"/>
        <v>5</v>
      </c>
      <c r="G188" s="17">
        <f t="shared" si="28"/>
        <v>5</v>
      </c>
      <c r="H188" s="26">
        <f t="shared" si="29"/>
        <v>55</v>
      </c>
    </row>
    <row r="189" spans="3:8">
      <c r="C189" s="74">
        <v>188</v>
      </c>
      <c r="D189" s="92">
        <v>171</v>
      </c>
      <c r="E189" s="92">
        <v>66</v>
      </c>
      <c r="F189" s="17">
        <f t="shared" si="27"/>
        <v>5</v>
      </c>
      <c r="G189" s="17">
        <f t="shared" si="28"/>
        <v>5</v>
      </c>
      <c r="H189" s="26">
        <f t="shared" si="29"/>
        <v>55</v>
      </c>
    </row>
    <row r="190" spans="3:8">
      <c r="C190" s="74">
        <v>189</v>
      </c>
      <c r="D190" s="92">
        <v>171</v>
      </c>
      <c r="E190" s="92">
        <v>64</v>
      </c>
      <c r="F190" s="17">
        <f t="shared" si="27"/>
        <v>5</v>
      </c>
      <c r="G190" s="17">
        <f t="shared" si="28"/>
        <v>4</v>
      </c>
      <c r="H190" s="26">
        <f t="shared" si="29"/>
        <v>54</v>
      </c>
    </row>
    <row r="191" spans="3:8">
      <c r="C191" s="74">
        <v>190</v>
      </c>
      <c r="D191" s="92">
        <v>171</v>
      </c>
      <c r="E191" s="92">
        <v>67</v>
      </c>
      <c r="F191" s="17">
        <f t="shared" si="27"/>
        <v>5</v>
      </c>
      <c r="G191" s="17">
        <f t="shared" si="28"/>
        <v>5</v>
      </c>
      <c r="H191" s="26">
        <f t="shared" si="29"/>
        <v>55</v>
      </c>
    </row>
    <row r="192" spans="3:8">
      <c r="C192" s="74">
        <v>191</v>
      </c>
      <c r="D192" s="92">
        <v>163</v>
      </c>
      <c r="E192" s="92">
        <v>72</v>
      </c>
      <c r="F192" s="17">
        <f t="shared" si="27"/>
        <v>3</v>
      </c>
      <c r="G192" s="17">
        <f t="shared" si="28"/>
        <v>7</v>
      </c>
      <c r="H192" s="26">
        <f t="shared" si="29"/>
        <v>37</v>
      </c>
    </row>
    <row r="193" spans="3:8">
      <c r="C193" s="74">
        <v>192</v>
      </c>
      <c r="D193" s="92">
        <v>168</v>
      </c>
      <c r="E193" s="92">
        <v>64</v>
      </c>
      <c r="F193" s="17">
        <f t="shared" si="27"/>
        <v>4</v>
      </c>
      <c r="G193" s="17">
        <f t="shared" si="28"/>
        <v>4</v>
      </c>
      <c r="H193" s="26">
        <f t="shared" si="29"/>
        <v>44</v>
      </c>
    </row>
    <row r="194" spans="3:8">
      <c r="C194" s="74">
        <v>193</v>
      </c>
      <c r="D194" s="92">
        <v>164</v>
      </c>
      <c r="E194" s="92">
        <v>70</v>
      </c>
      <c r="F194" s="17">
        <f t="shared" si="27"/>
        <v>3</v>
      </c>
      <c r="G194" s="17">
        <f t="shared" si="28"/>
        <v>6</v>
      </c>
      <c r="H194" s="26">
        <f t="shared" ref="H194:H201" si="30">F194*10+G194</f>
        <v>36</v>
      </c>
    </row>
    <row r="195" spans="3:8">
      <c r="C195" s="74">
        <v>194</v>
      </c>
      <c r="D195" s="92">
        <v>167</v>
      </c>
      <c r="E195" s="92">
        <v>66</v>
      </c>
      <c r="F195" s="17">
        <f t="shared" ref="F195:F201" si="31">IF(AND(D195&gt;=$L$4,D195&lt;$M$4),1,IF(AND(D195&gt;=$L$5,D195&lt;$M$5),2,IF(AND(D195&gt;=$L$6,D195&lt;$M$6),3,IF(AND(D195&gt;=$L$7,D195&lt;$M$7),4,IF(AND(D195&gt;=$L$8,D195&lt;$M$8),5,IF(AND(D195&gt;=$L$9,D195&lt;$M$9),6,IF(AND(D195&gt;=$L$10,D195&lt;$M$10),7,IF(AND(D195&gt;=$L$11,D195&lt;$M$11),8,IF(AND(D195&gt;=$L$12,D195&lt;$M$12),9,IF(AND(D195&gt;=$L$13,D195&lt;=$M$13),10,0))))))))))</f>
        <v>4</v>
      </c>
      <c r="G195" s="17">
        <f t="shared" ref="G195:G201" si="32">IF(AND(E195&gt;=$N$4,E195&lt;$O$4),1,IF(AND(E195&gt;=$N$5,E195&lt;$O$5),2,IF(AND(E195&gt;=$N$6,E195&lt;$O$6),3,IF(AND(E195&gt;=$N$7,E195&lt;$O$7),4,IF(AND(E195&gt;=$N$8,E195&lt;$O$8),5,IF(AND(E195&gt;=$N$9,E195&lt;$O$9),6,IF(AND(E195&gt;=$N$10,E195&lt;$O$10),7,IF(AND(E195&gt;=$N$11,E195&lt;$O$11),8,IF(AND(E195&gt;=$N$12,E195&lt;$O$12),9,IF(AND(E195&gt;=$N$13,E195&lt;=$O$13),10,0))))))))))</f>
        <v>5</v>
      </c>
      <c r="H195" s="26">
        <f t="shared" si="30"/>
        <v>45</v>
      </c>
    </row>
    <row r="196" spans="3:8">
      <c r="C196" s="74">
        <v>195</v>
      </c>
      <c r="D196" s="92">
        <v>171</v>
      </c>
      <c r="E196" s="92">
        <v>65</v>
      </c>
      <c r="F196" s="17">
        <f t="shared" si="31"/>
        <v>5</v>
      </c>
      <c r="G196" s="17">
        <f t="shared" si="32"/>
        <v>5</v>
      </c>
      <c r="H196" s="26">
        <f t="shared" si="30"/>
        <v>55</v>
      </c>
    </row>
    <row r="197" spans="3:8">
      <c r="C197" s="74">
        <v>196</v>
      </c>
      <c r="D197" s="92">
        <v>165</v>
      </c>
      <c r="E197" s="92">
        <v>62</v>
      </c>
      <c r="F197" s="17">
        <f t="shared" si="31"/>
        <v>3</v>
      </c>
      <c r="G197" s="17">
        <f t="shared" si="32"/>
        <v>4</v>
      </c>
      <c r="H197" s="26">
        <f t="shared" si="30"/>
        <v>34</v>
      </c>
    </row>
    <row r="198" spans="3:8">
      <c r="C198" s="74">
        <v>197</v>
      </c>
      <c r="D198" s="92">
        <v>164</v>
      </c>
      <c r="E198" s="92">
        <v>61</v>
      </c>
      <c r="F198" s="17">
        <f t="shared" si="31"/>
        <v>3</v>
      </c>
      <c r="G198" s="17">
        <f t="shared" si="32"/>
        <v>4</v>
      </c>
      <c r="H198" s="26">
        <f t="shared" si="30"/>
        <v>34</v>
      </c>
    </row>
    <row r="199" spans="3:8">
      <c r="C199" s="74">
        <v>198</v>
      </c>
      <c r="D199" s="92">
        <v>180</v>
      </c>
      <c r="E199" s="92">
        <v>76</v>
      </c>
      <c r="F199" s="17">
        <f t="shared" si="31"/>
        <v>8</v>
      </c>
      <c r="G199" s="17">
        <f t="shared" si="32"/>
        <v>8</v>
      </c>
      <c r="H199" s="26">
        <f t="shared" si="30"/>
        <v>88</v>
      </c>
    </row>
    <row r="200" spans="3:8">
      <c r="C200" s="74">
        <v>199</v>
      </c>
      <c r="D200" s="92">
        <v>165</v>
      </c>
      <c r="E200" s="92">
        <v>76</v>
      </c>
      <c r="F200" s="17">
        <f t="shared" si="31"/>
        <v>3</v>
      </c>
      <c r="G200" s="17">
        <f t="shared" si="32"/>
        <v>8</v>
      </c>
      <c r="H200" s="26">
        <f t="shared" si="30"/>
        <v>38</v>
      </c>
    </row>
    <row r="201" spans="3:8">
      <c r="C201" s="74">
        <v>200</v>
      </c>
      <c r="D201" s="92">
        <v>165</v>
      </c>
      <c r="E201" s="92">
        <v>63</v>
      </c>
      <c r="F201" s="17">
        <f t="shared" si="31"/>
        <v>3</v>
      </c>
      <c r="G201" s="17">
        <f t="shared" si="32"/>
        <v>4</v>
      </c>
      <c r="H201" s="26">
        <f t="shared" si="30"/>
        <v>34</v>
      </c>
    </row>
  </sheetData>
  <mergeCells count="28">
    <mergeCell ref="K1:O1"/>
    <mergeCell ref="P1:Q2"/>
    <mergeCell ref="R1:S2"/>
    <mergeCell ref="K2:K3"/>
    <mergeCell ref="L2:M2"/>
    <mergeCell ref="N2:O2"/>
    <mergeCell ref="A5:A8"/>
    <mergeCell ref="M17:V17"/>
    <mergeCell ref="K19:K28"/>
    <mergeCell ref="K17:L18"/>
    <mergeCell ref="K31:O31"/>
    <mergeCell ref="K16:V16"/>
    <mergeCell ref="Q31:AB31"/>
    <mergeCell ref="L66:N66"/>
    <mergeCell ref="L65:N65"/>
    <mergeCell ref="X18:Z18"/>
    <mergeCell ref="P58:S58"/>
    <mergeCell ref="K64:K65"/>
    <mergeCell ref="L64:N64"/>
    <mergeCell ref="Q32:R33"/>
    <mergeCell ref="S32:AB32"/>
    <mergeCell ref="Q34:Q43"/>
    <mergeCell ref="O56:S56"/>
    <mergeCell ref="K59:N59"/>
    <mergeCell ref="L56:N56"/>
    <mergeCell ref="K46:L46"/>
    <mergeCell ref="K54:N54"/>
    <mergeCell ref="L55:N55"/>
  </mergeCell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4774-0FDC-EF4B-97D6-F7F7A71ECB5E}">
  <dimension ref="A1:L201"/>
  <sheetViews>
    <sheetView workbookViewId="0">
      <selection activeCell="A27" sqref="A27"/>
    </sheetView>
  </sheetViews>
  <sheetFormatPr baseColWidth="10" defaultRowHeight="16"/>
  <cols>
    <col min="1" max="1" width="84.83203125" bestFit="1" customWidth="1"/>
    <col min="3" max="3" width="40" bestFit="1" customWidth="1"/>
    <col min="4" max="4" width="15.6640625" bestFit="1" customWidth="1"/>
    <col min="5" max="5" width="34.6640625" bestFit="1" customWidth="1"/>
  </cols>
  <sheetData>
    <row r="1" spans="1:12">
      <c r="A1" s="133" t="s">
        <v>3</v>
      </c>
      <c r="B1" s="99"/>
      <c r="C1" s="191" t="s">
        <v>182</v>
      </c>
      <c r="D1" s="191"/>
      <c r="E1" s="191"/>
      <c r="F1" s="191"/>
      <c r="H1" s="211" t="s">
        <v>174</v>
      </c>
      <c r="I1" s="211"/>
      <c r="L1" s="99"/>
    </row>
    <row r="2" spans="1:12">
      <c r="A2" s="127" t="s">
        <v>170</v>
      </c>
      <c r="B2" s="100"/>
      <c r="C2" s="113" t="s">
        <v>132</v>
      </c>
      <c r="D2" s="37">
        <f>H2</f>
        <v>0.72704927830738331</v>
      </c>
      <c r="E2" s="113" t="s">
        <v>131</v>
      </c>
      <c r="F2" s="37">
        <f>I2</f>
        <v>-57.950049308190984</v>
      </c>
      <c r="H2" s="106" cm="1">
        <f t="array" ref="H2:I6">LINEST('1'!E3:E202,'1'!D3:D202,TRUE,TRUE)</f>
        <v>0.72704927830738331</v>
      </c>
      <c r="I2" s="106">
        <v>-57.950049308190984</v>
      </c>
    </row>
    <row r="3" spans="1:12" ht="18">
      <c r="A3" s="127" t="s">
        <v>172</v>
      </c>
      <c r="B3" s="100"/>
      <c r="C3" s="113" t="s">
        <v>178</v>
      </c>
      <c r="D3" s="37">
        <f>H3</f>
        <v>5.4125790076272634E-2</v>
      </c>
      <c r="E3" s="113" t="s">
        <v>179</v>
      </c>
      <c r="F3" s="37">
        <f>I3</f>
        <v>9.1331332761053279</v>
      </c>
      <c r="H3" s="106">
        <v>5.4125790076272634E-2</v>
      </c>
      <c r="I3" s="106">
        <v>9.1331332761053279</v>
      </c>
    </row>
    <row r="4" spans="1:12" ht="20">
      <c r="A4" s="127" t="s">
        <v>184</v>
      </c>
      <c r="B4" s="100"/>
      <c r="C4" s="113" t="s">
        <v>177</v>
      </c>
      <c r="D4" s="37">
        <f>H4</f>
        <v>0.47679166883585922</v>
      </c>
      <c r="E4" s="113" t="s">
        <v>180</v>
      </c>
      <c r="F4" s="37">
        <f>I4</f>
        <v>4.8505647505086307</v>
      </c>
      <c r="H4" s="106">
        <v>0.47679166883585922</v>
      </c>
      <c r="I4" s="106">
        <v>4.8505647505086307</v>
      </c>
    </row>
    <row r="5" spans="1:12">
      <c r="A5" s="127" t="s">
        <v>187</v>
      </c>
      <c r="B5" s="100"/>
      <c r="C5" s="113" t="s">
        <v>175</v>
      </c>
      <c r="D5" s="37">
        <f>H5</f>
        <v>180.43434098124766</v>
      </c>
      <c r="E5" s="113" t="s">
        <v>181</v>
      </c>
      <c r="F5" s="37">
        <f>I5</f>
        <v>198</v>
      </c>
      <c r="H5" s="106">
        <v>180.43434098124766</v>
      </c>
      <c r="I5" s="106">
        <v>198</v>
      </c>
    </row>
    <row r="6" spans="1:12">
      <c r="A6" s="127" t="s">
        <v>191</v>
      </c>
      <c r="B6" s="100"/>
      <c r="C6" s="113" t="s">
        <v>176</v>
      </c>
      <c r="D6" s="37">
        <f>H6</f>
        <v>4245.2552770223747</v>
      </c>
      <c r="E6" s="113" t="s">
        <v>173</v>
      </c>
      <c r="F6" s="37">
        <f>I6</f>
        <v>4658.5397229776163</v>
      </c>
      <c r="H6" s="106">
        <v>4245.2552770223747</v>
      </c>
      <c r="I6" s="106">
        <v>4658.5397229776163</v>
      </c>
    </row>
    <row r="7" spans="1:12">
      <c r="A7" s="127" t="s">
        <v>206</v>
      </c>
      <c r="B7" s="100"/>
      <c r="C7" s="100"/>
    </row>
    <row r="8" spans="1:12">
      <c r="A8" s="127" t="s">
        <v>207</v>
      </c>
      <c r="B8" s="100"/>
      <c r="C8" s="124" t="s">
        <v>157</v>
      </c>
      <c r="E8" s="212" t="s">
        <v>185</v>
      </c>
      <c r="F8" s="213"/>
    </row>
    <row r="9" spans="1:12">
      <c r="A9" s="100"/>
      <c r="B9" s="100"/>
      <c r="C9" s="108" t="s">
        <v>183</v>
      </c>
      <c r="D9" s="123"/>
      <c r="E9" s="125" t="s">
        <v>186</v>
      </c>
      <c r="F9" s="16">
        <f>F2 + D2*180</f>
        <v>72.918820787138003</v>
      </c>
    </row>
    <row r="10" spans="1:12">
      <c r="A10" s="100"/>
      <c r="B10" s="100"/>
      <c r="C10" s="100"/>
    </row>
    <row r="11" spans="1:12">
      <c r="A11" s="100"/>
      <c r="B11" s="100"/>
      <c r="C11" s="215" t="s">
        <v>188</v>
      </c>
      <c r="D11" s="216"/>
      <c r="E11" s="217"/>
    </row>
    <row r="12" spans="1:12" ht="18">
      <c r="A12" s="100"/>
      <c r="B12" s="100"/>
      <c r="C12" s="113" t="s">
        <v>180</v>
      </c>
      <c r="D12" s="149">
        <f>SQRT(F6/F5)</f>
        <v>4.8505647505086307</v>
      </c>
      <c r="E12" s="150"/>
    </row>
    <row r="13" spans="1:12" ht="18">
      <c r="A13" s="100"/>
      <c r="B13" s="100"/>
      <c r="C13" s="113" t="s">
        <v>189</v>
      </c>
      <c r="D13" s="149">
        <f>D12*SQRT(1 + 1/200 + POWER((180 - AVERAGE('1'!D3:'1'!D202)),2) / VARP('1'!D3:'1'!D202)/200)</f>
        <v>4.9015318554733582</v>
      </c>
      <c r="E13" s="150"/>
    </row>
    <row r="14" spans="1:12">
      <c r="A14" s="100"/>
      <c r="B14" s="100"/>
      <c r="C14" s="214" t="s">
        <v>190</v>
      </c>
      <c r="D14" s="29" t="s">
        <v>74</v>
      </c>
      <c r="E14" s="29" t="s">
        <v>75</v>
      </c>
    </row>
    <row r="15" spans="1:12">
      <c r="A15" s="100"/>
      <c r="B15" s="100"/>
      <c r="C15" s="214"/>
      <c r="D15" s="106">
        <f>F9 - _xlfn.T.INV.2T(0.05,198) * D13</f>
        <v>63.252914299973114</v>
      </c>
      <c r="E15" s="29">
        <f>F9 + _xlfn.T.INV.2T(0.05,198) * D13</f>
        <v>82.584727274302892</v>
      </c>
    </row>
    <row r="16" spans="1:12">
      <c r="A16" s="100"/>
      <c r="B16" s="100"/>
      <c r="C16" s="100"/>
    </row>
    <row r="17" spans="1:8">
      <c r="A17" s="100"/>
      <c r="B17" s="100"/>
      <c r="C17" s="208" t="s">
        <v>192</v>
      </c>
      <c r="D17" s="208"/>
      <c r="E17" s="208"/>
      <c r="F17" s="126"/>
    </row>
    <row r="18" spans="1:8">
      <c r="A18" s="100"/>
      <c r="B18" s="100"/>
      <c r="C18" s="128" t="s">
        <v>194</v>
      </c>
      <c r="D18" s="107" t="s">
        <v>74</v>
      </c>
      <c r="E18" s="107" t="s">
        <v>75</v>
      </c>
    </row>
    <row r="19" spans="1:8">
      <c r="A19" s="100"/>
      <c r="B19" s="100"/>
      <c r="C19" s="128" t="s">
        <v>193</v>
      </c>
      <c r="D19" s="107">
        <f>D2-D3*D13</f>
        <v>0.46174999404586925</v>
      </c>
      <c r="E19" s="107">
        <f>D2+D3*D13</f>
        <v>0.99234856256889736</v>
      </c>
    </row>
    <row r="20" spans="1:8">
      <c r="A20" s="100"/>
      <c r="B20" s="100"/>
      <c r="C20" s="128" t="s">
        <v>195</v>
      </c>
      <c r="D20" s="107">
        <f>F2-F3*D13</f>
        <v>-102.71639300130499</v>
      </c>
      <c r="E20" s="107">
        <f>F2+F3*D13</f>
        <v>-13.183705615076967</v>
      </c>
    </row>
    <row r="21" spans="1:8">
      <c r="A21" s="100"/>
      <c r="B21" s="100"/>
      <c r="C21" s="100"/>
    </row>
    <row r="22" spans="1:8">
      <c r="A22" s="100"/>
      <c r="B22" s="100"/>
      <c r="C22" s="134" t="s">
        <v>199</v>
      </c>
      <c r="D22" s="135"/>
      <c r="E22" s="136"/>
    </row>
    <row r="23" spans="1:8" ht="20">
      <c r="A23" s="100"/>
      <c r="B23" s="100"/>
      <c r="C23" s="130" t="s">
        <v>200</v>
      </c>
      <c r="D23" s="172" t="s">
        <v>196</v>
      </c>
      <c r="E23" s="173"/>
    </row>
    <row r="24" spans="1:8" ht="20">
      <c r="A24" s="100"/>
      <c r="B24" s="100"/>
      <c r="C24" s="131" t="s">
        <v>201</v>
      </c>
      <c r="D24" s="172" t="s">
        <v>197</v>
      </c>
      <c r="E24" s="173"/>
    </row>
    <row r="25" spans="1:8" ht="20">
      <c r="A25" s="100"/>
      <c r="B25" s="100"/>
      <c r="C25" s="132" t="s">
        <v>202</v>
      </c>
      <c r="D25" s="29" t="s">
        <v>198</v>
      </c>
      <c r="E25" s="106">
        <f>D4*F5/(1-D4)</f>
        <v>180.43434098124766</v>
      </c>
    </row>
    <row r="26" spans="1:8">
      <c r="A26" s="100"/>
      <c r="B26" s="100"/>
      <c r="C26" s="100"/>
    </row>
    <row r="27" spans="1:8">
      <c r="A27" s="100"/>
      <c r="B27" s="100"/>
      <c r="C27" s="100"/>
    </row>
    <row r="28" spans="1:8" ht="18">
      <c r="A28" s="100"/>
      <c r="B28" s="100"/>
      <c r="C28" s="122" t="s">
        <v>204</v>
      </c>
      <c r="D28" s="105" t="s">
        <v>203</v>
      </c>
      <c r="E28" s="105">
        <f>_xlfn.F.INV.RT(0.05,1,F6)</f>
        <v>3.8434559690118575</v>
      </c>
      <c r="F28" s="209" t="s">
        <v>205</v>
      </c>
      <c r="G28" s="209"/>
      <c r="H28" s="210"/>
    </row>
    <row r="29" spans="1:8" ht="18">
      <c r="A29" s="100"/>
      <c r="B29" s="100"/>
      <c r="C29" s="100"/>
      <c r="D29" s="129"/>
    </row>
    <row r="30" spans="1:8">
      <c r="A30" s="100"/>
      <c r="B30" s="100"/>
      <c r="C30" s="100"/>
    </row>
    <row r="31" spans="1:8">
      <c r="A31" s="100"/>
      <c r="B31" s="100"/>
      <c r="C31" s="100"/>
    </row>
    <row r="32" spans="1:8">
      <c r="A32" s="100"/>
      <c r="B32" s="100"/>
      <c r="C32" s="100"/>
    </row>
    <row r="33" spans="1:3">
      <c r="A33" s="100"/>
      <c r="B33" s="100"/>
      <c r="C33" s="100"/>
    </row>
    <row r="34" spans="1:3">
      <c r="A34" s="100"/>
      <c r="B34" s="100"/>
      <c r="C34" s="100"/>
    </row>
    <row r="35" spans="1:3">
      <c r="A35" s="100"/>
      <c r="B35" s="100"/>
      <c r="C35" s="100"/>
    </row>
    <row r="36" spans="1:3">
      <c r="A36" s="100"/>
      <c r="B36" s="100"/>
      <c r="C36" s="100"/>
    </row>
    <row r="37" spans="1:3">
      <c r="A37" s="100"/>
      <c r="B37" s="100"/>
      <c r="C37" s="100"/>
    </row>
    <row r="38" spans="1:3">
      <c r="A38" s="100"/>
      <c r="B38" s="100"/>
      <c r="C38" s="100"/>
    </row>
    <row r="39" spans="1:3">
      <c r="A39" s="100"/>
      <c r="B39" s="100"/>
      <c r="C39" s="100"/>
    </row>
    <row r="40" spans="1:3">
      <c r="A40" s="100"/>
      <c r="B40" s="100"/>
      <c r="C40" s="100"/>
    </row>
    <row r="41" spans="1:3">
      <c r="A41" s="100"/>
      <c r="B41" s="100"/>
      <c r="C41" s="100"/>
    </row>
    <row r="42" spans="1:3">
      <c r="A42" s="100"/>
      <c r="B42" s="100"/>
      <c r="C42" s="100"/>
    </row>
    <row r="43" spans="1:3">
      <c r="A43" s="100"/>
      <c r="B43" s="100"/>
      <c r="C43" s="100"/>
    </row>
    <row r="44" spans="1:3">
      <c r="A44" s="100"/>
      <c r="B44" s="100"/>
      <c r="C44" s="100"/>
    </row>
    <row r="45" spans="1:3">
      <c r="A45" s="100"/>
      <c r="B45" s="100"/>
      <c r="C45" s="100"/>
    </row>
    <row r="46" spans="1:3">
      <c r="A46" s="100"/>
      <c r="B46" s="100"/>
      <c r="C46" s="100"/>
    </row>
    <row r="47" spans="1:3">
      <c r="A47" s="100"/>
      <c r="B47" s="100"/>
      <c r="C47" s="100"/>
    </row>
    <row r="48" spans="1:3">
      <c r="A48" s="100"/>
      <c r="B48" s="100"/>
      <c r="C48" s="100"/>
    </row>
    <row r="49" spans="1:3">
      <c r="A49" s="100"/>
      <c r="B49" s="100"/>
      <c r="C49" s="100"/>
    </row>
    <row r="50" spans="1:3">
      <c r="A50" s="100"/>
      <c r="B50" s="100"/>
      <c r="C50" s="100"/>
    </row>
    <row r="51" spans="1:3">
      <c r="A51" s="100"/>
      <c r="B51" s="100"/>
      <c r="C51" s="100"/>
    </row>
    <row r="52" spans="1:3">
      <c r="A52" s="100"/>
      <c r="B52" s="100"/>
      <c r="C52" s="100"/>
    </row>
    <row r="53" spans="1:3">
      <c r="A53" s="100"/>
      <c r="B53" s="100"/>
      <c r="C53" s="100"/>
    </row>
    <row r="54" spans="1:3">
      <c r="A54" s="100"/>
      <c r="B54" s="100"/>
      <c r="C54" s="100"/>
    </row>
    <row r="55" spans="1:3">
      <c r="A55" s="100"/>
      <c r="B55" s="100"/>
      <c r="C55" s="100"/>
    </row>
    <row r="56" spans="1:3">
      <c r="A56" s="100"/>
      <c r="B56" s="100"/>
      <c r="C56" s="100"/>
    </row>
    <row r="57" spans="1:3">
      <c r="A57" s="100"/>
      <c r="B57" s="100"/>
      <c r="C57" s="100"/>
    </row>
    <row r="58" spans="1:3">
      <c r="A58" s="100"/>
      <c r="B58" s="100"/>
      <c r="C58" s="100"/>
    </row>
    <row r="59" spans="1:3">
      <c r="A59" s="100"/>
      <c r="B59" s="100"/>
      <c r="C59" s="100"/>
    </row>
    <row r="60" spans="1:3">
      <c r="A60" s="100"/>
      <c r="B60" s="100"/>
      <c r="C60" s="100"/>
    </row>
    <row r="61" spans="1:3">
      <c r="A61" s="100"/>
      <c r="B61" s="100"/>
      <c r="C61" s="100"/>
    </row>
    <row r="62" spans="1:3">
      <c r="A62" s="100"/>
      <c r="B62" s="100"/>
      <c r="C62" s="100"/>
    </row>
    <row r="63" spans="1:3">
      <c r="A63" s="100"/>
      <c r="B63" s="100"/>
      <c r="C63" s="100"/>
    </row>
    <row r="64" spans="1:3">
      <c r="A64" s="100"/>
      <c r="B64" s="100"/>
      <c r="C64" s="100"/>
    </row>
    <row r="65" spans="1:3">
      <c r="A65" s="100"/>
      <c r="B65" s="100"/>
      <c r="C65" s="100"/>
    </row>
    <row r="66" spans="1:3">
      <c r="A66" s="100"/>
      <c r="B66" s="100"/>
      <c r="C66" s="100"/>
    </row>
    <row r="67" spans="1:3">
      <c r="A67" s="100"/>
      <c r="B67" s="100"/>
      <c r="C67" s="100"/>
    </row>
    <row r="68" spans="1:3">
      <c r="A68" s="100"/>
      <c r="B68" s="100"/>
      <c r="C68" s="100"/>
    </row>
    <row r="69" spans="1:3">
      <c r="A69" s="100"/>
      <c r="B69" s="100"/>
      <c r="C69" s="100"/>
    </row>
    <row r="70" spans="1:3">
      <c r="A70" s="100"/>
      <c r="B70" s="100"/>
      <c r="C70" s="100"/>
    </row>
    <row r="71" spans="1:3">
      <c r="A71" s="100"/>
      <c r="B71" s="100"/>
      <c r="C71" s="100"/>
    </row>
    <row r="72" spans="1:3">
      <c r="A72" s="100"/>
      <c r="B72" s="100"/>
      <c r="C72" s="100"/>
    </row>
    <row r="73" spans="1:3">
      <c r="A73" s="100"/>
      <c r="B73" s="100"/>
      <c r="C73" s="100"/>
    </row>
    <row r="74" spans="1:3">
      <c r="A74" s="100"/>
      <c r="B74" s="100"/>
      <c r="C74" s="100"/>
    </row>
    <row r="75" spans="1:3">
      <c r="A75" s="100"/>
      <c r="B75" s="100"/>
      <c r="C75" s="100"/>
    </row>
    <row r="76" spans="1:3">
      <c r="A76" s="100"/>
      <c r="B76" s="100"/>
      <c r="C76" s="100"/>
    </row>
    <row r="77" spans="1:3">
      <c r="A77" s="100"/>
      <c r="B77" s="100"/>
      <c r="C77" s="100"/>
    </row>
    <row r="78" spans="1:3">
      <c r="A78" s="100"/>
      <c r="B78" s="100"/>
      <c r="C78" s="100"/>
    </row>
    <row r="79" spans="1:3">
      <c r="A79" s="100"/>
      <c r="B79" s="100"/>
      <c r="C79" s="100"/>
    </row>
    <row r="80" spans="1:3">
      <c r="A80" s="100"/>
      <c r="B80" s="100"/>
      <c r="C80" s="100"/>
    </row>
    <row r="81" spans="1:3">
      <c r="A81" s="100"/>
      <c r="B81" s="100"/>
      <c r="C81" s="100"/>
    </row>
    <row r="82" spans="1:3">
      <c r="A82" s="100"/>
      <c r="B82" s="100"/>
      <c r="C82" s="100"/>
    </row>
    <row r="83" spans="1:3">
      <c r="A83" s="100"/>
      <c r="B83" s="100"/>
      <c r="C83" s="100"/>
    </row>
    <row r="84" spans="1:3">
      <c r="A84" s="100"/>
      <c r="B84" s="100"/>
      <c r="C84" s="100"/>
    </row>
    <row r="85" spans="1:3">
      <c r="A85" s="100"/>
      <c r="B85" s="100"/>
      <c r="C85" s="100"/>
    </row>
    <row r="86" spans="1:3">
      <c r="A86" s="100"/>
      <c r="B86" s="100"/>
      <c r="C86" s="100"/>
    </row>
    <row r="87" spans="1:3">
      <c r="A87" s="100"/>
      <c r="B87" s="100"/>
      <c r="C87" s="100"/>
    </row>
    <row r="88" spans="1:3">
      <c r="A88" s="100"/>
      <c r="B88" s="100"/>
      <c r="C88" s="100"/>
    </row>
    <row r="89" spans="1:3">
      <c r="A89" s="100"/>
      <c r="B89" s="100"/>
      <c r="C89" s="100"/>
    </row>
    <row r="90" spans="1:3">
      <c r="A90" s="100"/>
      <c r="B90" s="100"/>
      <c r="C90" s="100"/>
    </row>
    <row r="91" spans="1:3">
      <c r="A91" s="100"/>
      <c r="B91" s="100"/>
      <c r="C91" s="100"/>
    </row>
    <row r="92" spans="1:3">
      <c r="A92" s="100"/>
      <c r="B92" s="100"/>
      <c r="C92" s="100"/>
    </row>
    <row r="93" spans="1:3">
      <c r="A93" s="100"/>
      <c r="B93" s="100"/>
      <c r="C93" s="100"/>
    </row>
    <row r="94" spans="1:3">
      <c r="A94" s="100"/>
      <c r="B94" s="100"/>
      <c r="C94" s="100"/>
    </row>
    <row r="95" spans="1:3">
      <c r="A95" s="100"/>
      <c r="B95" s="100"/>
      <c r="C95" s="100"/>
    </row>
    <row r="96" spans="1:3">
      <c r="A96" s="100"/>
      <c r="B96" s="100"/>
      <c r="C96" s="100"/>
    </row>
    <row r="97" spans="1:3">
      <c r="A97" s="100"/>
      <c r="B97" s="100"/>
      <c r="C97" s="100"/>
    </row>
    <row r="98" spans="1:3">
      <c r="A98" s="100"/>
      <c r="B98" s="100"/>
      <c r="C98" s="100"/>
    </row>
    <row r="99" spans="1:3">
      <c r="A99" s="100"/>
      <c r="B99" s="100"/>
      <c r="C99" s="100"/>
    </row>
    <row r="100" spans="1:3">
      <c r="A100" s="100"/>
      <c r="B100" s="100"/>
      <c r="C100" s="100"/>
    </row>
    <row r="101" spans="1:3">
      <c r="A101" s="100"/>
      <c r="B101" s="100"/>
      <c r="C101" s="100"/>
    </row>
    <row r="102" spans="1:3">
      <c r="A102" s="100"/>
      <c r="B102" s="100"/>
      <c r="C102" s="100"/>
    </row>
    <row r="103" spans="1:3">
      <c r="A103" s="100"/>
      <c r="B103" s="100"/>
      <c r="C103" s="100"/>
    </row>
    <row r="104" spans="1:3">
      <c r="A104" s="100"/>
      <c r="B104" s="100"/>
      <c r="C104" s="100"/>
    </row>
    <row r="105" spans="1:3">
      <c r="A105" s="100"/>
      <c r="B105" s="100"/>
      <c r="C105" s="100"/>
    </row>
    <row r="106" spans="1:3">
      <c r="A106" s="100"/>
      <c r="B106" s="100"/>
      <c r="C106" s="100"/>
    </row>
    <row r="107" spans="1:3">
      <c r="A107" s="100"/>
      <c r="B107" s="100"/>
      <c r="C107" s="100"/>
    </row>
    <row r="108" spans="1:3">
      <c r="A108" s="100"/>
      <c r="B108" s="100"/>
      <c r="C108" s="100"/>
    </row>
    <row r="109" spans="1:3">
      <c r="A109" s="100"/>
      <c r="B109" s="100"/>
      <c r="C109" s="100"/>
    </row>
    <row r="110" spans="1:3">
      <c r="A110" s="100"/>
      <c r="B110" s="100"/>
      <c r="C110" s="100"/>
    </row>
    <row r="111" spans="1:3">
      <c r="A111" s="100"/>
      <c r="B111" s="100"/>
      <c r="C111" s="100"/>
    </row>
    <row r="112" spans="1:3">
      <c r="A112" s="100"/>
      <c r="B112" s="100"/>
      <c r="C112" s="100"/>
    </row>
    <row r="113" spans="1:3">
      <c r="A113" s="100"/>
      <c r="B113" s="100"/>
      <c r="C113" s="100"/>
    </row>
    <row r="114" spans="1:3">
      <c r="A114" s="100"/>
      <c r="B114" s="100"/>
      <c r="C114" s="100"/>
    </row>
    <row r="115" spans="1:3">
      <c r="A115" s="100"/>
      <c r="B115" s="100"/>
      <c r="C115" s="100"/>
    </row>
    <row r="116" spans="1:3">
      <c r="A116" s="100"/>
      <c r="B116" s="100"/>
      <c r="C116" s="100"/>
    </row>
    <row r="117" spans="1:3">
      <c r="A117" s="100"/>
      <c r="B117" s="100"/>
      <c r="C117" s="100"/>
    </row>
    <row r="118" spans="1:3">
      <c r="A118" s="100"/>
      <c r="B118" s="100"/>
      <c r="C118" s="100"/>
    </row>
    <row r="119" spans="1:3">
      <c r="A119" s="100"/>
      <c r="B119" s="100"/>
      <c r="C119" s="100"/>
    </row>
    <row r="120" spans="1:3">
      <c r="A120" s="100"/>
      <c r="B120" s="100"/>
      <c r="C120" s="100"/>
    </row>
    <row r="121" spans="1:3">
      <c r="A121" s="100"/>
      <c r="B121" s="100"/>
      <c r="C121" s="100"/>
    </row>
    <row r="122" spans="1:3">
      <c r="A122" s="100"/>
      <c r="B122" s="100"/>
      <c r="C122" s="100"/>
    </row>
    <row r="123" spans="1:3">
      <c r="A123" s="100"/>
      <c r="B123" s="100"/>
      <c r="C123" s="100"/>
    </row>
    <row r="124" spans="1:3">
      <c r="A124" s="100"/>
      <c r="B124" s="100"/>
      <c r="C124" s="100"/>
    </row>
    <row r="125" spans="1:3">
      <c r="A125" s="100"/>
      <c r="B125" s="100"/>
      <c r="C125" s="100"/>
    </row>
    <row r="126" spans="1:3">
      <c r="A126" s="100"/>
      <c r="B126" s="100"/>
      <c r="C126" s="100"/>
    </row>
    <row r="127" spans="1:3">
      <c r="A127" s="100"/>
      <c r="B127" s="100"/>
      <c r="C127" s="100"/>
    </row>
    <row r="128" spans="1:3">
      <c r="A128" s="100"/>
      <c r="B128" s="100"/>
      <c r="C128" s="100"/>
    </row>
    <row r="129" spans="1:3">
      <c r="A129" s="100"/>
      <c r="B129" s="100"/>
      <c r="C129" s="100"/>
    </row>
    <row r="130" spans="1:3">
      <c r="A130" s="100"/>
      <c r="B130" s="100"/>
      <c r="C130" s="100"/>
    </row>
    <row r="131" spans="1:3">
      <c r="A131" s="100"/>
      <c r="B131" s="100"/>
      <c r="C131" s="100"/>
    </row>
    <row r="132" spans="1:3">
      <c r="A132" s="100"/>
      <c r="B132" s="100"/>
      <c r="C132" s="100"/>
    </row>
    <row r="133" spans="1:3">
      <c r="A133" s="100"/>
      <c r="B133" s="100"/>
      <c r="C133" s="100"/>
    </row>
    <row r="134" spans="1:3">
      <c r="A134" s="100"/>
      <c r="B134" s="100"/>
      <c r="C134" s="100"/>
    </row>
    <row r="135" spans="1:3">
      <c r="A135" s="100"/>
      <c r="B135" s="100"/>
      <c r="C135" s="100"/>
    </row>
    <row r="136" spans="1:3">
      <c r="A136" s="100"/>
      <c r="B136" s="100"/>
      <c r="C136" s="100"/>
    </row>
    <row r="137" spans="1:3">
      <c r="A137" s="100"/>
      <c r="B137" s="100"/>
      <c r="C137" s="100"/>
    </row>
    <row r="138" spans="1:3">
      <c r="A138" s="100"/>
      <c r="B138" s="100"/>
      <c r="C138" s="100"/>
    </row>
    <row r="139" spans="1:3">
      <c r="A139" s="100"/>
      <c r="B139" s="100"/>
      <c r="C139" s="100"/>
    </row>
    <row r="140" spans="1:3">
      <c r="A140" s="100"/>
      <c r="B140" s="100"/>
      <c r="C140" s="100"/>
    </row>
    <row r="141" spans="1:3">
      <c r="A141" s="100"/>
      <c r="B141" s="100"/>
      <c r="C141" s="100"/>
    </row>
    <row r="142" spans="1:3">
      <c r="A142" s="100"/>
      <c r="B142" s="100"/>
      <c r="C142" s="100"/>
    </row>
    <row r="143" spans="1:3">
      <c r="A143" s="100"/>
      <c r="B143" s="100"/>
      <c r="C143" s="100"/>
    </row>
    <row r="144" spans="1:3">
      <c r="A144" s="100"/>
      <c r="B144" s="100"/>
      <c r="C144" s="100"/>
    </row>
    <row r="145" spans="1:3">
      <c r="A145" s="100"/>
      <c r="B145" s="100"/>
      <c r="C145" s="100"/>
    </row>
    <row r="146" spans="1:3">
      <c r="A146" s="100"/>
      <c r="B146" s="100"/>
      <c r="C146" s="100"/>
    </row>
    <row r="147" spans="1:3">
      <c r="A147" s="100"/>
      <c r="B147" s="100"/>
      <c r="C147" s="100"/>
    </row>
    <row r="148" spans="1:3">
      <c r="A148" s="100"/>
      <c r="B148" s="100"/>
      <c r="C148" s="100"/>
    </row>
    <row r="149" spans="1:3">
      <c r="A149" s="100"/>
      <c r="B149" s="100"/>
      <c r="C149" s="100"/>
    </row>
    <row r="150" spans="1:3">
      <c r="A150" s="100"/>
      <c r="B150" s="100"/>
      <c r="C150" s="100"/>
    </row>
    <row r="151" spans="1:3">
      <c r="A151" s="100"/>
      <c r="B151" s="100"/>
      <c r="C151" s="100"/>
    </row>
    <row r="152" spans="1:3">
      <c r="A152" s="100"/>
      <c r="B152" s="100"/>
      <c r="C152" s="100"/>
    </row>
    <row r="153" spans="1:3">
      <c r="A153" s="100"/>
      <c r="B153" s="100"/>
      <c r="C153" s="100"/>
    </row>
    <row r="154" spans="1:3">
      <c r="A154" s="100"/>
      <c r="B154" s="100"/>
      <c r="C154" s="100"/>
    </row>
    <row r="155" spans="1:3">
      <c r="A155" s="100"/>
      <c r="B155" s="100"/>
      <c r="C155" s="100"/>
    </row>
    <row r="156" spans="1:3">
      <c r="A156" s="100"/>
      <c r="B156" s="100"/>
      <c r="C156" s="100"/>
    </row>
    <row r="157" spans="1:3">
      <c r="A157" s="100"/>
      <c r="B157" s="100"/>
      <c r="C157" s="100"/>
    </row>
    <row r="158" spans="1:3">
      <c r="A158" s="100"/>
      <c r="B158" s="100"/>
      <c r="C158" s="100"/>
    </row>
    <row r="159" spans="1:3">
      <c r="A159" s="100"/>
      <c r="B159" s="100"/>
      <c r="C159" s="100"/>
    </row>
    <row r="160" spans="1:3">
      <c r="A160" s="100"/>
      <c r="B160" s="100"/>
      <c r="C160" s="100"/>
    </row>
    <row r="161" spans="1:3">
      <c r="A161" s="100"/>
      <c r="B161" s="100"/>
      <c r="C161" s="100"/>
    </row>
    <row r="162" spans="1:3">
      <c r="A162" s="100"/>
      <c r="B162" s="100"/>
      <c r="C162" s="100"/>
    </row>
    <row r="163" spans="1:3">
      <c r="A163" s="100"/>
      <c r="B163" s="100"/>
      <c r="C163" s="100"/>
    </row>
    <row r="164" spans="1:3">
      <c r="A164" s="100"/>
      <c r="B164" s="100"/>
      <c r="C164" s="100"/>
    </row>
    <row r="165" spans="1:3">
      <c r="A165" s="100"/>
      <c r="B165" s="100"/>
      <c r="C165" s="100"/>
    </row>
    <row r="166" spans="1:3">
      <c r="A166" s="100"/>
      <c r="B166" s="100"/>
      <c r="C166" s="100"/>
    </row>
    <row r="167" spans="1:3">
      <c r="A167" s="100"/>
      <c r="B167" s="100"/>
      <c r="C167" s="100"/>
    </row>
    <row r="168" spans="1:3">
      <c r="A168" s="100"/>
      <c r="B168" s="100"/>
      <c r="C168" s="100"/>
    </row>
    <row r="169" spans="1:3">
      <c r="A169" s="100"/>
      <c r="B169" s="100"/>
      <c r="C169" s="100"/>
    </row>
    <row r="170" spans="1:3">
      <c r="A170" s="100"/>
      <c r="B170" s="100"/>
      <c r="C170" s="100"/>
    </row>
    <row r="171" spans="1:3">
      <c r="A171" s="100"/>
      <c r="B171" s="100"/>
      <c r="C171" s="100"/>
    </row>
    <row r="172" spans="1:3">
      <c r="A172" s="100"/>
      <c r="B172" s="100"/>
      <c r="C172" s="100"/>
    </row>
    <row r="173" spans="1:3">
      <c r="A173" s="100"/>
      <c r="B173" s="100"/>
      <c r="C173" s="100"/>
    </row>
    <row r="174" spans="1:3">
      <c r="A174" s="100"/>
      <c r="B174" s="100"/>
      <c r="C174" s="100"/>
    </row>
    <row r="175" spans="1:3">
      <c r="A175" s="100"/>
      <c r="B175" s="100"/>
      <c r="C175" s="100"/>
    </row>
    <row r="176" spans="1:3">
      <c r="A176" s="100"/>
      <c r="B176" s="100"/>
      <c r="C176" s="100"/>
    </row>
    <row r="177" spans="1:3">
      <c r="A177" s="100"/>
      <c r="B177" s="100"/>
      <c r="C177" s="100"/>
    </row>
    <row r="178" spans="1:3">
      <c r="A178" s="100"/>
      <c r="B178" s="100"/>
      <c r="C178" s="100"/>
    </row>
    <row r="179" spans="1:3">
      <c r="A179" s="100"/>
      <c r="B179" s="100"/>
      <c r="C179" s="100"/>
    </row>
    <row r="180" spans="1:3">
      <c r="A180" s="100"/>
      <c r="B180" s="100"/>
      <c r="C180" s="100"/>
    </row>
    <row r="181" spans="1:3">
      <c r="A181" s="100"/>
      <c r="B181" s="100"/>
      <c r="C181" s="100"/>
    </row>
    <row r="182" spans="1:3">
      <c r="A182" s="100"/>
      <c r="B182" s="100"/>
      <c r="C182" s="100"/>
    </row>
    <row r="183" spans="1:3">
      <c r="A183" s="100"/>
      <c r="B183" s="100"/>
      <c r="C183" s="100"/>
    </row>
    <row r="184" spans="1:3">
      <c r="A184" s="100"/>
      <c r="B184" s="100"/>
      <c r="C184" s="100"/>
    </row>
    <row r="185" spans="1:3">
      <c r="A185" s="100"/>
      <c r="B185" s="100"/>
      <c r="C185" s="100"/>
    </row>
    <row r="186" spans="1:3">
      <c r="A186" s="100"/>
      <c r="B186" s="100"/>
      <c r="C186" s="100"/>
    </row>
    <row r="187" spans="1:3">
      <c r="A187" s="100"/>
      <c r="B187" s="100"/>
      <c r="C187" s="100"/>
    </row>
    <row r="188" spans="1:3">
      <c r="A188" s="100"/>
      <c r="B188" s="100"/>
      <c r="C188" s="100"/>
    </row>
    <row r="189" spans="1:3">
      <c r="A189" s="100"/>
      <c r="B189" s="100"/>
      <c r="C189" s="100"/>
    </row>
    <row r="190" spans="1:3">
      <c r="A190" s="100"/>
      <c r="B190" s="100"/>
      <c r="C190" s="100"/>
    </row>
    <row r="191" spans="1:3">
      <c r="A191" s="100"/>
      <c r="B191" s="100"/>
      <c r="C191" s="100"/>
    </row>
    <row r="192" spans="1:3">
      <c r="A192" s="100"/>
      <c r="B192" s="100"/>
      <c r="C192" s="100"/>
    </row>
    <row r="193" spans="1:3">
      <c r="A193" s="100"/>
      <c r="B193" s="100"/>
      <c r="C193" s="100"/>
    </row>
    <row r="194" spans="1:3">
      <c r="A194" s="100"/>
      <c r="B194" s="100"/>
      <c r="C194" s="100"/>
    </row>
    <row r="195" spans="1:3">
      <c r="A195" s="100"/>
      <c r="B195" s="100"/>
      <c r="C195" s="100"/>
    </row>
    <row r="196" spans="1:3">
      <c r="A196" s="100"/>
      <c r="B196" s="100"/>
      <c r="C196" s="100"/>
    </row>
    <row r="197" spans="1:3">
      <c r="A197" s="100"/>
      <c r="B197" s="100"/>
      <c r="C197" s="100"/>
    </row>
    <row r="198" spans="1:3">
      <c r="A198" s="100"/>
      <c r="B198" s="100"/>
      <c r="C198" s="100"/>
    </row>
    <row r="199" spans="1:3">
      <c r="A199" s="100"/>
      <c r="B199" s="100"/>
      <c r="C199" s="100"/>
    </row>
    <row r="200" spans="1:3">
      <c r="A200" s="100"/>
      <c r="B200" s="100"/>
      <c r="C200" s="100"/>
    </row>
    <row r="201" spans="1:3">
      <c r="A201" s="100"/>
      <c r="B201" s="100"/>
      <c r="C201" s="100"/>
    </row>
  </sheetData>
  <mergeCells count="12">
    <mergeCell ref="H1:I1"/>
    <mergeCell ref="C1:F1"/>
    <mergeCell ref="E8:F8"/>
    <mergeCell ref="C14:C15"/>
    <mergeCell ref="D12:E12"/>
    <mergeCell ref="D13:E13"/>
    <mergeCell ref="C11:E11"/>
    <mergeCell ref="C17:E17"/>
    <mergeCell ref="D23:E23"/>
    <mergeCell ref="D24:E24"/>
    <mergeCell ref="C22:E22"/>
    <mergeCell ref="F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Popov</dc:creator>
  <cp:lastModifiedBy>Vladimir Popov</cp:lastModifiedBy>
  <dcterms:created xsi:type="dcterms:W3CDTF">2021-11-22T20:43:18Z</dcterms:created>
  <dcterms:modified xsi:type="dcterms:W3CDTF">2021-11-28T01:29:03Z</dcterms:modified>
</cp:coreProperties>
</file>