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pierre\Downloads\DAS 1\"/>
    </mc:Choice>
  </mc:AlternateContent>
  <bookViews>
    <workbookView xWindow="0" yWindow="0" windowWidth="23040" windowHeight="10512" firstSheet="2" activeTab="5"/>
  </bookViews>
  <sheets>
    <sheet name="Prévision_par_Champ" sheetId="2" r:id="rId1"/>
    <sheet name="Prévision_par_Point " sheetId="3" r:id="rId2"/>
    <sheet name="Prévision_par_Point__Modifiée" sheetId="1" r:id="rId3"/>
    <sheet name="Prévision_par_Point_Rectifiée " sheetId="4" r:id="rId4"/>
    <sheet name="Prévision_par_Champ_Rectifiée " sheetId="5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I19" i="6"/>
  <c r="I17" i="6"/>
  <c r="I13" i="6"/>
  <c r="I14" i="6"/>
  <c r="I12" i="6"/>
  <c r="I6" i="6"/>
  <c r="I7" i="6"/>
  <c r="I8" i="6"/>
  <c r="I9" i="6"/>
  <c r="I5" i="6"/>
  <c r="F20" i="6"/>
  <c r="G20" i="6"/>
  <c r="H20" i="6"/>
  <c r="I20" i="6"/>
  <c r="E20" i="6"/>
  <c r="H15" i="6"/>
  <c r="F15" i="6"/>
  <c r="G15" i="6"/>
  <c r="E15" i="6"/>
  <c r="F10" i="6"/>
  <c r="G10" i="6"/>
  <c r="H10" i="6"/>
  <c r="E10" i="6"/>
  <c r="L74" i="5"/>
  <c r="W67" i="5"/>
  <c r="V31" i="5"/>
  <c r="W65" i="5"/>
  <c r="V61" i="5"/>
  <c r="U60" i="5"/>
  <c r="V52" i="5"/>
  <c r="U50" i="5"/>
  <c r="V33" i="5"/>
  <c r="U28" i="5"/>
  <c r="U29" i="5"/>
  <c r="U7" i="5"/>
  <c r="U11" i="5"/>
  <c r="I15" i="6" l="1"/>
  <c r="E22" i="6"/>
  <c r="G22" i="6"/>
  <c r="H22" i="6"/>
  <c r="F22" i="6"/>
  <c r="I10" i="6"/>
  <c r="R61" i="5"/>
  <c r="R60" i="5"/>
  <c r="R54" i="5"/>
  <c r="R55" i="5"/>
  <c r="R57" i="5"/>
  <c r="R58" i="5"/>
  <c r="R50" i="5"/>
  <c r="R40" i="5"/>
  <c r="R41" i="5"/>
  <c r="R42" i="5"/>
  <c r="R43" i="5"/>
  <c r="R44" i="5"/>
  <c r="R39" i="5"/>
  <c r="R32" i="5"/>
  <c r="R33" i="5"/>
  <c r="R34" i="5"/>
  <c r="R35" i="5"/>
  <c r="R36" i="5"/>
  <c r="R31" i="5"/>
  <c r="R30" i="5"/>
  <c r="R28" i="5"/>
  <c r="R20" i="5"/>
  <c r="R21" i="5"/>
  <c r="R22" i="5"/>
  <c r="R23" i="5"/>
  <c r="R24" i="5"/>
  <c r="R25" i="5"/>
  <c r="R19" i="5"/>
  <c r="R16" i="5"/>
  <c r="R13" i="5"/>
  <c r="R12" i="5"/>
  <c r="M53" i="5"/>
  <c r="I22" i="6" l="1"/>
  <c r="K44" i="4"/>
  <c r="L44" i="4"/>
  <c r="M44" i="4"/>
  <c r="N44" i="4"/>
  <c r="O44" i="4"/>
  <c r="O48" i="1" s="1"/>
  <c r="P44" i="4"/>
  <c r="P48" i="1" s="1"/>
  <c r="L61" i="5"/>
  <c r="S61" i="5" s="1"/>
  <c r="L60" i="5"/>
  <c r="S60" i="5" s="1"/>
  <c r="L58" i="5"/>
  <c r="S58" i="5" s="1"/>
  <c r="L57" i="5"/>
  <c r="S57" i="5" s="1"/>
  <c r="L55" i="5"/>
  <c r="S55" i="5" s="1"/>
  <c r="L50" i="5"/>
  <c r="S50" i="5" s="1"/>
  <c r="S49" i="5" s="1"/>
  <c r="L40" i="5"/>
  <c r="S40" i="5" s="1"/>
  <c r="L41" i="5"/>
  <c r="S41" i="5" s="1"/>
  <c r="L42" i="5"/>
  <c r="S42" i="5" s="1"/>
  <c r="L43" i="5"/>
  <c r="S43" i="5" s="1"/>
  <c r="L44" i="5"/>
  <c r="S44" i="5" s="1"/>
  <c r="L39" i="5"/>
  <c r="S39" i="5" s="1"/>
  <c r="L36" i="5"/>
  <c r="S36" i="5" s="1"/>
  <c r="L31" i="5"/>
  <c r="S31" i="5" s="1"/>
  <c r="L21" i="5"/>
  <c r="S21" i="5" s="1"/>
  <c r="L22" i="5"/>
  <c r="S22" i="5" s="1"/>
  <c r="L23" i="5"/>
  <c r="S23" i="5" s="1"/>
  <c r="L24" i="5"/>
  <c r="S24" i="5" s="1"/>
  <c r="L25" i="5"/>
  <c r="S25" i="5" s="1"/>
  <c r="L19" i="5"/>
  <c r="S19" i="5" s="1"/>
  <c r="L16" i="5"/>
  <c r="S16" i="5" s="1"/>
  <c r="S15" i="5" s="1"/>
  <c r="L15" i="5"/>
  <c r="L13" i="5"/>
  <c r="S13" i="5" s="1"/>
  <c r="L12" i="5"/>
  <c r="S12" i="5" s="1"/>
  <c r="Q56" i="5"/>
  <c r="P56" i="5"/>
  <c r="O56" i="5"/>
  <c r="N56" i="5"/>
  <c r="M56" i="5"/>
  <c r="K56" i="5"/>
  <c r="J56" i="5"/>
  <c r="I56" i="5"/>
  <c r="H56" i="5"/>
  <c r="G56" i="5"/>
  <c r="F56" i="5"/>
  <c r="E56" i="5"/>
  <c r="I54" i="5"/>
  <c r="I53" i="5" s="1"/>
  <c r="Q53" i="5"/>
  <c r="P53" i="5"/>
  <c r="P52" i="5" s="1"/>
  <c r="O53" i="5"/>
  <c r="N53" i="5"/>
  <c r="K53" i="5"/>
  <c r="J53" i="5"/>
  <c r="H53" i="5"/>
  <c r="G53" i="5"/>
  <c r="F53" i="5"/>
  <c r="E53" i="5"/>
  <c r="Q49" i="5"/>
  <c r="P49" i="5"/>
  <c r="O49" i="5"/>
  <c r="N49" i="5"/>
  <c r="M49" i="5"/>
  <c r="R49" i="5" s="1"/>
  <c r="K49" i="5"/>
  <c r="J49" i="5"/>
  <c r="I49" i="5"/>
  <c r="H49" i="5"/>
  <c r="G49" i="5"/>
  <c r="F49" i="5"/>
  <c r="E49" i="5"/>
  <c r="Q38" i="5"/>
  <c r="P38" i="5"/>
  <c r="O38" i="5"/>
  <c r="N38" i="5"/>
  <c r="K38" i="5"/>
  <c r="J38" i="5"/>
  <c r="I38" i="5"/>
  <c r="H38" i="5"/>
  <c r="G38" i="5"/>
  <c r="F38" i="5"/>
  <c r="E38" i="5"/>
  <c r="J35" i="5"/>
  <c r="L35" i="5" s="1"/>
  <c r="S35" i="5" s="1"/>
  <c r="K34" i="5"/>
  <c r="J34" i="5"/>
  <c r="L34" i="5" s="1"/>
  <c r="S34" i="5" s="1"/>
  <c r="I33" i="5"/>
  <c r="L33" i="5" s="1"/>
  <c r="S33" i="5" s="1"/>
  <c r="M29" i="5"/>
  <c r="I32" i="5"/>
  <c r="F32" i="5"/>
  <c r="F29" i="5" s="1"/>
  <c r="F27" i="5" s="1"/>
  <c r="I30" i="5"/>
  <c r="L30" i="5" s="1"/>
  <c r="S30" i="5" s="1"/>
  <c r="Q29" i="5"/>
  <c r="Q27" i="5" s="1"/>
  <c r="P29" i="5"/>
  <c r="P27" i="5" s="1"/>
  <c r="O29" i="5"/>
  <c r="O27" i="5" s="1"/>
  <c r="N29" i="5"/>
  <c r="N27" i="5" s="1"/>
  <c r="K29" i="5"/>
  <c r="J29" i="5"/>
  <c r="H29" i="5"/>
  <c r="G29" i="5"/>
  <c r="E29" i="5"/>
  <c r="E27" i="5" s="1"/>
  <c r="H28" i="5"/>
  <c r="G28" i="5"/>
  <c r="I20" i="5"/>
  <c r="I18" i="5" s="1"/>
  <c r="Q18" i="5"/>
  <c r="P18" i="5"/>
  <c r="O18" i="5"/>
  <c r="N18" i="5"/>
  <c r="M18" i="5"/>
  <c r="R18" i="5" s="1"/>
  <c r="K18" i="5"/>
  <c r="J18" i="5"/>
  <c r="H18" i="5"/>
  <c r="G18" i="5"/>
  <c r="F18" i="5"/>
  <c r="E18" i="5"/>
  <c r="Q15" i="5"/>
  <c r="P15" i="5"/>
  <c r="O15" i="5"/>
  <c r="N15" i="5"/>
  <c r="M15" i="5"/>
  <c r="K15" i="5"/>
  <c r="J15" i="5"/>
  <c r="I15" i="5"/>
  <c r="H15" i="5"/>
  <c r="G15" i="5"/>
  <c r="F15" i="5"/>
  <c r="E15" i="5"/>
  <c r="Q11" i="5"/>
  <c r="P11" i="5"/>
  <c r="O11" i="5"/>
  <c r="N11" i="5"/>
  <c r="M11" i="5"/>
  <c r="K11" i="5"/>
  <c r="J11" i="5"/>
  <c r="I11" i="5"/>
  <c r="H11" i="5"/>
  <c r="G11" i="5"/>
  <c r="F11" i="5"/>
  <c r="E11" i="5"/>
  <c r="N48" i="1"/>
  <c r="L48" i="1"/>
  <c r="M48" i="1"/>
  <c r="K48" i="1"/>
  <c r="L49" i="5" l="1"/>
  <c r="L28" i="5"/>
  <c r="S28" i="5" s="1"/>
  <c r="R53" i="5"/>
  <c r="R56" i="5"/>
  <c r="E46" i="5"/>
  <c r="H52" i="5"/>
  <c r="H63" i="5" s="1"/>
  <c r="L32" i="5"/>
  <c r="S32" i="5" s="1"/>
  <c r="M27" i="5"/>
  <c r="R27" i="5" s="1"/>
  <c r="R29" i="5"/>
  <c r="R11" i="5"/>
  <c r="R15" i="5"/>
  <c r="L54" i="5"/>
  <c r="K27" i="5"/>
  <c r="K46" i="5" s="1"/>
  <c r="E52" i="5"/>
  <c r="E63" i="5" s="1"/>
  <c r="L56" i="5"/>
  <c r="N52" i="5"/>
  <c r="N63" i="5" s="1"/>
  <c r="L38" i="5"/>
  <c r="L11" i="5"/>
  <c r="L29" i="5"/>
  <c r="I29" i="5"/>
  <c r="I27" i="5" s="1"/>
  <c r="I46" i="5" s="1"/>
  <c r="Q52" i="5"/>
  <c r="Q63" i="5" s="1"/>
  <c r="F52" i="5"/>
  <c r="F63" i="5" s="1"/>
  <c r="G52" i="5"/>
  <c r="G63" i="5" s="1"/>
  <c r="J52" i="5"/>
  <c r="J63" i="5" s="1"/>
  <c r="L20" i="5"/>
  <c r="P46" i="5"/>
  <c r="Q46" i="5"/>
  <c r="K52" i="5"/>
  <c r="K63" i="5" s="1"/>
  <c r="O52" i="5"/>
  <c r="O63" i="5" s="1"/>
  <c r="I52" i="5"/>
  <c r="I63" i="5" s="1"/>
  <c r="O46" i="5"/>
  <c r="N46" i="5"/>
  <c r="H27" i="5"/>
  <c r="H46" i="5" s="1"/>
  <c r="F46" i="5"/>
  <c r="P63" i="5"/>
  <c r="J27" i="5"/>
  <c r="J46" i="5" s="1"/>
  <c r="M38" i="5"/>
  <c r="R38" i="5" s="1"/>
  <c r="G27" i="5"/>
  <c r="G46" i="5" s="1"/>
  <c r="Q65" i="5" l="1"/>
  <c r="E65" i="5"/>
  <c r="L18" i="5"/>
  <c r="S18" i="5" s="1"/>
  <c r="S20" i="5"/>
  <c r="S54" i="5"/>
  <c r="L53" i="5"/>
  <c r="S53" i="5" s="1"/>
  <c r="L27" i="5"/>
  <c r="S29" i="5"/>
  <c r="S11" i="5"/>
  <c r="S38" i="5"/>
  <c r="J65" i="5"/>
  <c r="S56" i="5"/>
  <c r="P65" i="5"/>
  <c r="N65" i="5"/>
  <c r="H65" i="5"/>
  <c r="I65" i="5"/>
  <c r="M46" i="5"/>
  <c r="R46" i="5" s="1"/>
  <c r="O65" i="5"/>
  <c r="F65" i="5"/>
  <c r="K65" i="5"/>
  <c r="G65" i="5"/>
  <c r="O11" i="4"/>
  <c r="O10" i="4"/>
  <c r="N11" i="4"/>
  <c r="N10" i="4"/>
  <c r="M11" i="4"/>
  <c r="M10" i="4"/>
  <c r="L11" i="4"/>
  <c r="L10" i="4"/>
  <c r="K10" i="4"/>
  <c r="K11" i="4"/>
  <c r="L52" i="5" l="1"/>
  <c r="L63" i="5"/>
  <c r="L46" i="5"/>
  <c r="S27" i="5"/>
  <c r="U18" i="4"/>
  <c r="U17" i="4"/>
  <c r="U15" i="4"/>
  <c r="U14" i="4"/>
  <c r="U13" i="4"/>
  <c r="U12" i="4"/>
  <c r="U10" i="4"/>
  <c r="T18" i="4"/>
  <c r="T17" i="4"/>
  <c r="T16" i="4"/>
  <c r="T15" i="4"/>
  <c r="T14" i="4"/>
  <c r="T13" i="4"/>
  <c r="T12" i="4"/>
  <c r="T11" i="4"/>
  <c r="T10" i="4"/>
  <c r="P14" i="4"/>
  <c r="P12" i="4"/>
  <c r="P43" i="4"/>
  <c r="J43" i="4"/>
  <c r="Q43" i="4" s="1"/>
  <c r="P42" i="4"/>
  <c r="J42" i="4"/>
  <c r="Q42" i="4" s="1"/>
  <c r="O41" i="4"/>
  <c r="N41" i="4"/>
  <c r="M41" i="4"/>
  <c r="L41" i="4"/>
  <c r="K41" i="4"/>
  <c r="P41" i="4" s="1"/>
  <c r="I41" i="4"/>
  <c r="H41" i="4"/>
  <c r="G41" i="4"/>
  <c r="F41" i="4"/>
  <c r="J41" i="4" s="1"/>
  <c r="E41" i="4"/>
  <c r="D41" i="4"/>
  <c r="C41" i="4"/>
  <c r="P40" i="4"/>
  <c r="J40" i="4"/>
  <c r="Q40" i="4" s="1"/>
  <c r="P39" i="4"/>
  <c r="J39" i="4"/>
  <c r="Q39" i="4" s="1"/>
  <c r="P38" i="4"/>
  <c r="J38" i="4"/>
  <c r="Q38" i="4" s="1"/>
  <c r="P37" i="4"/>
  <c r="J37" i="4"/>
  <c r="Q37" i="4" s="1"/>
  <c r="P36" i="4"/>
  <c r="J36" i="4"/>
  <c r="Q36" i="4" s="1"/>
  <c r="O35" i="4"/>
  <c r="N35" i="4"/>
  <c r="M35" i="4"/>
  <c r="L35" i="4"/>
  <c r="K35" i="4"/>
  <c r="P35" i="4" s="1"/>
  <c r="I35" i="4"/>
  <c r="H35" i="4"/>
  <c r="G35" i="4"/>
  <c r="F35" i="4"/>
  <c r="J35" i="4" s="1"/>
  <c r="Q35" i="4" s="1"/>
  <c r="E35" i="4"/>
  <c r="D35" i="4"/>
  <c r="C35" i="4"/>
  <c r="P34" i="4"/>
  <c r="J34" i="4"/>
  <c r="Q34" i="4" s="1"/>
  <c r="P33" i="4"/>
  <c r="J33" i="4"/>
  <c r="Q33" i="4" s="1"/>
  <c r="O32" i="4"/>
  <c r="N32" i="4"/>
  <c r="M32" i="4"/>
  <c r="L32" i="4"/>
  <c r="K32" i="4"/>
  <c r="P32" i="4" s="1"/>
  <c r="I32" i="4"/>
  <c r="H32" i="4"/>
  <c r="G32" i="4"/>
  <c r="F32" i="4"/>
  <c r="J32" i="4" s="1"/>
  <c r="E32" i="4"/>
  <c r="D32" i="4"/>
  <c r="C32" i="4"/>
  <c r="P31" i="4"/>
  <c r="J31" i="4"/>
  <c r="Q31" i="4" s="1"/>
  <c r="P30" i="4"/>
  <c r="J30" i="4"/>
  <c r="Q30" i="4" s="1"/>
  <c r="O29" i="4"/>
  <c r="N29" i="4"/>
  <c r="M29" i="4"/>
  <c r="L29" i="4"/>
  <c r="K29" i="4"/>
  <c r="P29" i="4" s="1"/>
  <c r="I29" i="4"/>
  <c r="I24" i="4" s="1"/>
  <c r="H29" i="4"/>
  <c r="H24" i="4" s="1"/>
  <c r="G29" i="4"/>
  <c r="G24" i="4" s="1"/>
  <c r="F29" i="4"/>
  <c r="F24" i="4" s="1"/>
  <c r="E29" i="4"/>
  <c r="D29" i="4"/>
  <c r="C29" i="4"/>
  <c r="P28" i="4"/>
  <c r="J28" i="4"/>
  <c r="Q28" i="4" s="1"/>
  <c r="P27" i="4"/>
  <c r="J27" i="4"/>
  <c r="Q27" i="4" s="1"/>
  <c r="P26" i="4"/>
  <c r="J26" i="4"/>
  <c r="Q26" i="4" s="1"/>
  <c r="O25" i="4"/>
  <c r="N25" i="4"/>
  <c r="M25" i="4"/>
  <c r="M24" i="4" s="1"/>
  <c r="L25" i="4"/>
  <c r="L24" i="4" s="1"/>
  <c r="K25" i="4"/>
  <c r="K24" i="4" s="1"/>
  <c r="J25" i="4"/>
  <c r="I25" i="4"/>
  <c r="H25" i="4"/>
  <c r="G25" i="4"/>
  <c r="F25" i="4"/>
  <c r="E25" i="4"/>
  <c r="D25" i="4"/>
  <c r="C25" i="4"/>
  <c r="O24" i="4"/>
  <c r="N24" i="4"/>
  <c r="E24" i="4"/>
  <c r="D24" i="4"/>
  <c r="C24" i="4"/>
  <c r="J24" i="4" s="1"/>
  <c r="I23" i="4"/>
  <c r="I44" i="4" s="1"/>
  <c r="H23" i="4"/>
  <c r="H44" i="4" s="1"/>
  <c r="G23" i="4"/>
  <c r="F23" i="4"/>
  <c r="P22" i="4"/>
  <c r="J22" i="4"/>
  <c r="Q22" i="4" s="1"/>
  <c r="P21" i="4"/>
  <c r="J21" i="4"/>
  <c r="P20" i="4"/>
  <c r="J20" i="4"/>
  <c r="Q20" i="4" s="1"/>
  <c r="P19" i="4"/>
  <c r="J19" i="4"/>
  <c r="Q19" i="4" s="1"/>
  <c r="P18" i="4"/>
  <c r="J18" i="4"/>
  <c r="P17" i="4"/>
  <c r="J17" i="4"/>
  <c r="Q17" i="4" s="1"/>
  <c r="P16" i="4"/>
  <c r="J16" i="4"/>
  <c r="Q16" i="4" s="1"/>
  <c r="J15" i="4"/>
  <c r="J14" i="4"/>
  <c r="O13" i="4"/>
  <c r="L13" i="4"/>
  <c r="K13" i="4"/>
  <c r="J13" i="4"/>
  <c r="I13" i="4"/>
  <c r="H13" i="4"/>
  <c r="G13" i="4"/>
  <c r="F13" i="4"/>
  <c r="E13" i="4"/>
  <c r="E23" i="4" s="1"/>
  <c r="E44" i="4" s="1"/>
  <c r="D13" i="4"/>
  <c r="D23" i="4" s="1"/>
  <c r="D44" i="4" s="1"/>
  <c r="C13" i="4"/>
  <c r="C23" i="4" s="1"/>
  <c r="J12" i="4"/>
  <c r="J11" i="4"/>
  <c r="P10" i="4"/>
  <c r="J10" i="4"/>
  <c r="J9" i="4"/>
  <c r="P12" i="1"/>
  <c r="Q12" i="1" s="1"/>
  <c r="Q41" i="1"/>
  <c r="Q40" i="1"/>
  <c r="Q39" i="1"/>
  <c r="Q38" i="1"/>
  <c r="Q35" i="1"/>
  <c r="Q32" i="1"/>
  <c r="Q43" i="1"/>
  <c r="Q42" i="1"/>
  <c r="Q37" i="1"/>
  <c r="Q36" i="1"/>
  <c r="Q34" i="1"/>
  <c r="Q33" i="1"/>
  <c r="Q31" i="1"/>
  <c r="Q30" i="1"/>
  <c r="Q29" i="1"/>
  <c r="Q28" i="1"/>
  <c r="Q27" i="1"/>
  <c r="Q26" i="1"/>
  <c r="Q25" i="1"/>
  <c r="Q10" i="1"/>
  <c r="Q11" i="1"/>
  <c r="Q13" i="1"/>
  <c r="Q14" i="1"/>
  <c r="Q15" i="1"/>
  <c r="Q16" i="1"/>
  <c r="Q17" i="1"/>
  <c r="Q18" i="1"/>
  <c r="Q19" i="1"/>
  <c r="Q20" i="1"/>
  <c r="Q21" i="1"/>
  <c r="Q22" i="1"/>
  <c r="Q9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5" i="1"/>
  <c r="P10" i="1"/>
  <c r="P11" i="1"/>
  <c r="P13" i="1"/>
  <c r="P14" i="1"/>
  <c r="P15" i="1"/>
  <c r="P16" i="1"/>
  <c r="P17" i="1"/>
  <c r="P18" i="1"/>
  <c r="P19" i="1"/>
  <c r="P20" i="1"/>
  <c r="P21" i="1"/>
  <c r="P22" i="1"/>
  <c r="P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5" i="1"/>
  <c r="J15" i="1"/>
  <c r="J16" i="1"/>
  <c r="J17" i="1"/>
  <c r="J18" i="1"/>
  <c r="J19" i="1"/>
  <c r="J20" i="1"/>
  <c r="J21" i="1"/>
  <c r="J22" i="1"/>
  <c r="J14" i="1"/>
  <c r="J10" i="1"/>
  <c r="J11" i="1"/>
  <c r="J12" i="1"/>
  <c r="J9" i="1"/>
  <c r="O43" i="3"/>
  <c r="O42" i="3"/>
  <c r="N41" i="3"/>
  <c r="M41" i="3"/>
  <c r="L41" i="3"/>
  <c r="K41" i="3"/>
  <c r="O41" i="3" s="1"/>
  <c r="J41" i="3"/>
  <c r="I41" i="3"/>
  <c r="H41" i="3"/>
  <c r="G41" i="3"/>
  <c r="F41" i="3"/>
  <c r="E41" i="3"/>
  <c r="D41" i="3"/>
  <c r="C41" i="3"/>
  <c r="O40" i="3"/>
  <c r="O39" i="3"/>
  <c r="O38" i="3"/>
  <c r="O37" i="3"/>
  <c r="O36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O34" i="3"/>
  <c r="O33" i="3"/>
  <c r="O32" i="3" s="1"/>
  <c r="N32" i="3"/>
  <c r="M32" i="3"/>
  <c r="L32" i="3"/>
  <c r="K32" i="3"/>
  <c r="J32" i="3"/>
  <c r="I32" i="3"/>
  <c r="H32" i="3"/>
  <c r="G32" i="3"/>
  <c r="F32" i="3"/>
  <c r="E32" i="3"/>
  <c r="D32" i="3"/>
  <c r="C32" i="3"/>
  <c r="O31" i="3"/>
  <c r="O30" i="3"/>
  <c r="O29" i="3"/>
  <c r="N29" i="3"/>
  <c r="N24" i="3" s="1"/>
  <c r="M29" i="3"/>
  <c r="M24" i="3" s="1"/>
  <c r="L29" i="3"/>
  <c r="L24" i="3" s="1"/>
  <c r="K29" i="3"/>
  <c r="K24" i="3" s="1"/>
  <c r="J29" i="3"/>
  <c r="I29" i="3"/>
  <c r="H29" i="3"/>
  <c r="G29" i="3"/>
  <c r="F29" i="3"/>
  <c r="E29" i="3"/>
  <c r="D29" i="3"/>
  <c r="D24" i="3" s="1"/>
  <c r="C29" i="3"/>
  <c r="C24" i="3" s="1"/>
  <c r="O28" i="3"/>
  <c r="O27" i="3"/>
  <c r="O26" i="3"/>
  <c r="N25" i="3"/>
  <c r="M25" i="3"/>
  <c r="L25" i="3"/>
  <c r="K25" i="3"/>
  <c r="J25" i="3"/>
  <c r="I25" i="3"/>
  <c r="H25" i="3"/>
  <c r="H24" i="3" s="1"/>
  <c r="G25" i="3"/>
  <c r="G24" i="3" s="1"/>
  <c r="F25" i="3"/>
  <c r="F24" i="3" s="1"/>
  <c r="F44" i="3" s="1"/>
  <c r="E25" i="3"/>
  <c r="E24" i="3" s="1"/>
  <c r="E44" i="3" s="1"/>
  <c r="D25" i="3"/>
  <c r="C25" i="3"/>
  <c r="O25" i="3" s="1"/>
  <c r="J24" i="3"/>
  <c r="I24" i="3"/>
  <c r="N23" i="3"/>
  <c r="N44" i="3" s="1"/>
  <c r="M23" i="3"/>
  <c r="M44" i="3" s="1"/>
  <c r="L23" i="3"/>
  <c r="L44" i="3" s="1"/>
  <c r="K23" i="3"/>
  <c r="K44" i="3" s="1"/>
  <c r="F23" i="3"/>
  <c r="E23" i="3"/>
  <c r="D23" i="3"/>
  <c r="C23" i="3"/>
  <c r="C44" i="3" s="1"/>
  <c r="O22" i="3"/>
  <c r="O21" i="3"/>
  <c r="O20" i="3"/>
  <c r="O19" i="3"/>
  <c r="O18" i="3"/>
  <c r="O17" i="3"/>
  <c r="O16" i="3"/>
  <c r="O15" i="3"/>
  <c r="O14" i="3"/>
  <c r="N13" i="3"/>
  <c r="M13" i="3"/>
  <c r="L13" i="3"/>
  <c r="K13" i="3"/>
  <c r="J13" i="3"/>
  <c r="J23" i="3" s="1"/>
  <c r="J44" i="3" s="1"/>
  <c r="I13" i="3"/>
  <c r="I23" i="3" s="1"/>
  <c r="I44" i="3" s="1"/>
  <c r="H13" i="3"/>
  <c r="H23" i="3" s="1"/>
  <c r="G13" i="3"/>
  <c r="G23" i="3" s="1"/>
  <c r="F13" i="3"/>
  <c r="E13" i="3"/>
  <c r="D13" i="3"/>
  <c r="C13" i="3"/>
  <c r="O12" i="3"/>
  <c r="O11" i="3"/>
  <c r="O10" i="3"/>
  <c r="O9" i="3"/>
  <c r="L65" i="5" l="1"/>
  <c r="S46" i="5"/>
  <c r="Q18" i="4"/>
  <c r="Q10" i="4"/>
  <c r="U16" i="4" s="1"/>
  <c r="P11" i="4"/>
  <c r="P24" i="4"/>
  <c r="Q24" i="4" s="1"/>
  <c r="Q21" i="4"/>
  <c r="N13" i="4"/>
  <c r="N23" i="4" s="1"/>
  <c r="P15" i="4"/>
  <c r="M13" i="4"/>
  <c r="M23" i="4" s="1"/>
  <c r="Q15" i="4"/>
  <c r="Q14" i="4"/>
  <c r="P9" i="4"/>
  <c r="Q9" i="4" s="1"/>
  <c r="K23" i="4"/>
  <c r="O23" i="4"/>
  <c r="L23" i="4"/>
  <c r="Q12" i="4"/>
  <c r="C44" i="4"/>
  <c r="J23" i="4"/>
  <c r="Q32" i="4"/>
  <c r="F44" i="4"/>
  <c r="G44" i="4"/>
  <c r="Q41" i="4"/>
  <c r="J29" i="4"/>
  <c r="Q29" i="4" s="1"/>
  <c r="P25" i="4"/>
  <c r="Q25" i="4" s="1"/>
  <c r="G44" i="3"/>
  <c r="H44" i="3"/>
  <c r="O24" i="3"/>
  <c r="D44" i="3"/>
  <c r="O44" i="3" s="1"/>
  <c r="O23" i="3"/>
  <c r="O13" i="3"/>
  <c r="Q60" i="2"/>
  <c r="Q59" i="2"/>
  <c r="Q57" i="2"/>
  <c r="Q56" i="2"/>
  <c r="P55" i="2"/>
  <c r="O55" i="2"/>
  <c r="N55" i="2"/>
  <c r="M55" i="2"/>
  <c r="L55" i="2"/>
  <c r="K55" i="2"/>
  <c r="J55" i="2"/>
  <c r="J51" i="2" s="1"/>
  <c r="I55" i="2"/>
  <c r="H55" i="2"/>
  <c r="G55" i="2"/>
  <c r="F55" i="2"/>
  <c r="E55" i="2"/>
  <c r="Q54" i="2"/>
  <c r="I53" i="2"/>
  <c r="I52" i="2" s="1"/>
  <c r="P52" i="2"/>
  <c r="P51" i="2" s="1"/>
  <c r="O52" i="2"/>
  <c r="O51" i="2" s="1"/>
  <c r="N52" i="2"/>
  <c r="N51" i="2" s="1"/>
  <c r="M52" i="2"/>
  <c r="L52" i="2"/>
  <c r="K52" i="2"/>
  <c r="J52" i="2"/>
  <c r="H52" i="2"/>
  <c r="G52" i="2"/>
  <c r="F52" i="2"/>
  <c r="E52" i="2"/>
  <c r="H51" i="2"/>
  <c r="G51" i="2"/>
  <c r="F51" i="2"/>
  <c r="E51" i="2"/>
  <c r="Q49" i="2"/>
  <c r="P48" i="2"/>
  <c r="O48" i="2"/>
  <c r="N48" i="2"/>
  <c r="M48" i="2"/>
  <c r="L48" i="2"/>
  <c r="K48" i="2"/>
  <c r="J48" i="2"/>
  <c r="I48" i="2"/>
  <c r="H48" i="2"/>
  <c r="H62" i="2" s="1"/>
  <c r="G48" i="2"/>
  <c r="G62" i="2" s="1"/>
  <c r="F48" i="2"/>
  <c r="F62" i="2" s="1"/>
  <c r="E48" i="2"/>
  <c r="E62" i="2" s="1"/>
  <c r="Q43" i="2"/>
  <c r="Q42" i="2"/>
  <c r="Q41" i="2"/>
  <c r="Q40" i="2"/>
  <c r="Q39" i="2"/>
  <c r="L38" i="2"/>
  <c r="L37" i="2" s="1"/>
  <c r="P37" i="2"/>
  <c r="O37" i="2"/>
  <c r="N37" i="2"/>
  <c r="M37" i="2"/>
  <c r="K37" i="2"/>
  <c r="J37" i="2"/>
  <c r="I37" i="2"/>
  <c r="H37" i="2"/>
  <c r="G37" i="2"/>
  <c r="F37" i="2"/>
  <c r="E37" i="2"/>
  <c r="Q35" i="2"/>
  <c r="J34" i="2"/>
  <c r="Q34" i="2" s="1"/>
  <c r="N33" i="2"/>
  <c r="M33" i="2"/>
  <c r="L33" i="2"/>
  <c r="K33" i="2"/>
  <c r="J33" i="2"/>
  <c r="Q33" i="2" s="1"/>
  <c r="I32" i="2"/>
  <c r="Q32" i="2" s="1"/>
  <c r="L31" i="2"/>
  <c r="L28" i="2" s="1"/>
  <c r="L26" i="2" s="1"/>
  <c r="I31" i="2"/>
  <c r="F31" i="2"/>
  <c r="Q30" i="2"/>
  <c r="L29" i="2"/>
  <c r="I29" i="2"/>
  <c r="P28" i="2"/>
  <c r="P26" i="2" s="1"/>
  <c r="O28" i="2"/>
  <c r="O26" i="2" s="1"/>
  <c r="N28" i="2"/>
  <c r="N26" i="2" s="1"/>
  <c r="M28" i="2"/>
  <c r="M26" i="2" s="1"/>
  <c r="K28" i="2"/>
  <c r="J28" i="2"/>
  <c r="H28" i="2"/>
  <c r="G28" i="2"/>
  <c r="E28" i="2"/>
  <c r="H27" i="2"/>
  <c r="G27" i="2"/>
  <c r="Q27" i="2" s="1"/>
  <c r="E26" i="2"/>
  <c r="Q24" i="2"/>
  <c r="Q23" i="2"/>
  <c r="Q22" i="2"/>
  <c r="Q21" i="2"/>
  <c r="Q20" i="2"/>
  <c r="I19" i="2"/>
  <c r="I17" i="2" s="1"/>
  <c r="Q18" i="2"/>
  <c r="P17" i="2"/>
  <c r="O17" i="2"/>
  <c r="N17" i="2"/>
  <c r="M17" i="2"/>
  <c r="L17" i="2"/>
  <c r="K17" i="2"/>
  <c r="J17" i="2"/>
  <c r="H17" i="2"/>
  <c r="G17" i="2"/>
  <c r="F17" i="2"/>
  <c r="E17" i="2"/>
  <c r="Q15" i="2"/>
  <c r="P14" i="2"/>
  <c r="O14" i="2"/>
  <c r="N14" i="2"/>
  <c r="M14" i="2"/>
  <c r="L14" i="2"/>
  <c r="K14" i="2"/>
  <c r="J14" i="2"/>
  <c r="I14" i="2"/>
  <c r="H14" i="2"/>
  <c r="G14" i="2"/>
  <c r="F14" i="2"/>
  <c r="E14" i="2"/>
  <c r="Q12" i="2"/>
  <c r="Q11" i="2"/>
  <c r="P10" i="2"/>
  <c r="O10" i="2"/>
  <c r="N10" i="2"/>
  <c r="M10" i="2"/>
  <c r="L10" i="2"/>
  <c r="K10" i="2"/>
  <c r="J10" i="2"/>
  <c r="I10" i="2"/>
  <c r="H10" i="2"/>
  <c r="G10" i="2"/>
  <c r="F10" i="2"/>
  <c r="E10" i="2"/>
  <c r="Q11" i="4" l="1"/>
  <c r="U11" i="4" s="1"/>
  <c r="U19" i="4" s="1"/>
  <c r="P13" i="4"/>
  <c r="Q13" i="4" s="1"/>
  <c r="P23" i="4"/>
  <c r="Q23" i="4" s="1"/>
  <c r="J44" i="4"/>
  <c r="P44" i="3"/>
  <c r="P30" i="3"/>
  <c r="P36" i="3"/>
  <c r="P9" i="3"/>
  <c r="P12" i="3"/>
  <c r="P22" i="3"/>
  <c r="P33" i="3"/>
  <c r="P14" i="3"/>
  <c r="P19" i="3"/>
  <c r="P27" i="3"/>
  <c r="P31" i="3"/>
  <c r="P37" i="3"/>
  <c r="P40" i="3"/>
  <c r="P15" i="3"/>
  <c r="P41" i="3"/>
  <c r="P10" i="3"/>
  <c r="P32" i="3"/>
  <c r="P20" i="3"/>
  <c r="P16" i="3"/>
  <c r="P38" i="3"/>
  <c r="P28" i="3"/>
  <c r="P34" i="3"/>
  <c r="P42" i="3"/>
  <c r="P17" i="3"/>
  <c r="P11" i="3"/>
  <c r="P35" i="3"/>
  <c r="P29" i="3"/>
  <c r="P18" i="3"/>
  <c r="P43" i="3"/>
  <c r="P21" i="3"/>
  <c r="P25" i="3"/>
  <c r="P26" i="3"/>
  <c r="P39" i="3"/>
  <c r="P24" i="3"/>
  <c r="P13" i="3"/>
  <c r="P23" i="3"/>
  <c r="P45" i="2"/>
  <c r="E45" i="2"/>
  <c r="E64" i="2" s="1"/>
  <c r="M51" i="2"/>
  <c r="Q51" i="2" s="1"/>
  <c r="I28" i="2"/>
  <c r="I26" i="2" s="1"/>
  <c r="Q14" i="2"/>
  <c r="I51" i="2"/>
  <c r="K51" i="2"/>
  <c r="L51" i="2"/>
  <c r="I62" i="2"/>
  <c r="J62" i="2"/>
  <c r="H26" i="2"/>
  <c r="H45" i="2" s="1"/>
  <c r="H64" i="2" s="1"/>
  <c r="K62" i="2"/>
  <c r="Q55" i="2"/>
  <c r="O45" i="2"/>
  <c r="K26" i="2"/>
  <c r="K45" i="2" s="1"/>
  <c r="K64" i="2" s="1"/>
  <c r="P62" i="2"/>
  <c r="Q17" i="2"/>
  <c r="Q37" i="2"/>
  <c r="F28" i="2"/>
  <c r="F26" i="2" s="1"/>
  <c r="F45" i="2" s="1"/>
  <c r="F64" i="2" s="1"/>
  <c r="Q31" i="2"/>
  <c r="L62" i="2"/>
  <c r="L64" i="2" s="1"/>
  <c r="Q52" i="2"/>
  <c r="I45" i="2"/>
  <c r="J26" i="2"/>
  <c r="J45" i="2" s="1"/>
  <c r="J64" i="2" s="1"/>
  <c r="N62" i="2"/>
  <c r="O62" i="2"/>
  <c r="L45" i="2"/>
  <c r="Q48" i="2"/>
  <c r="M45" i="2"/>
  <c r="N45" i="2"/>
  <c r="Q10" i="2"/>
  <c r="G26" i="2"/>
  <c r="G45" i="2" s="1"/>
  <c r="G64" i="2" s="1"/>
  <c r="Q38" i="2"/>
  <c r="Q53" i="2"/>
  <c r="Q19" i="2"/>
  <c r="Q29" i="2"/>
  <c r="Q44" i="4" l="1"/>
  <c r="M62" i="2"/>
  <c r="M64" i="2" s="1"/>
  <c r="I64" i="2"/>
  <c r="Q45" i="2"/>
  <c r="O64" i="2"/>
  <c r="P64" i="2"/>
  <c r="Q28" i="2"/>
  <c r="N64" i="2"/>
  <c r="Q62" i="2"/>
  <c r="Q26" i="2"/>
  <c r="Q48" i="1" l="1"/>
  <c r="Z11" i="4"/>
  <c r="AA11" i="4" s="1"/>
  <c r="U20" i="4"/>
  <c r="R13" i="4"/>
  <c r="R43" i="4"/>
  <c r="R31" i="4"/>
  <c r="R25" i="4"/>
  <c r="V17" i="4" s="1"/>
  <c r="R37" i="4"/>
  <c r="R30" i="4"/>
  <c r="R23" i="4"/>
  <c r="R28" i="4"/>
  <c r="V15" i="4" s="1"/>
  <c r="R17" i="4"/>
  <c r="R20" i="4"/>
  <c r="R33" i="4"/>
  <c r="R42" i="4"/>
  <c r="R14" i="4"/>
  <c r="V12" i="4" s="1"/>
  <c r="R15" i="4"/>
  <c r="V14" i="4" s="1"/>
  <c r="R34" i="4"/>
  <c r="R38" i="4"/>
  <c r="R10" i="4"/>
  <c r="V16" i="4" s="1"/>
  <c r="R26" i="4"/>
  <c r="R12" i="4"/>
  <c r="V10" i="4" s="1"/>
  <c r="R27" i="4"/>
  <c r="R16" i="4"/>
  <c r="R40" i="4"/>
  <c r="R39" i="4"/>
  <c r="R18" i="4"/>
  <c r="R36" i="4"/>
  <c r="R24" i="4"/>
  <c r="R44" i="4"/>
  <c r="R48" i="1" s="1"/>
  <c r="R9" i="4"/>
  <c r="V13" i="4" s="1"/>
  <c r="R19" i="4"/>
  <c r="R41" i="4"/>
  <c r="R21" i="4"/>
  <c r="R35" i="4"/>
  <c r="R32" i="4"/>
  <c r="V18" i="4" s="1"/>
  <c r="R11" i="4"/>
  <c r="V11" i="4" s="1"/>
  <c r="R22" i="4"/>
  <c r="R29" i="4"/>
  <c r="Q64" i="2"/>
  <c r="O41" i="1"/>
  <c r="N41" i="1"/>
  <c r="M41" i="1"/>
  <c r="L41" i="1"/>
  <c r="K41" i="1"/>
  <c r="I41" i="1"/>
  <c r="H41" i="1"/>
  <c r="G41" i="1"/>
  <c r="F41" i="1"/>
  <c r="E41" i="1"/>
  <c r="D41" i="1"/>
  <c r="C41" i="1"/>
  <c r="O35" i="1"/>
  <c r="N35" i="1"/>
  <c r="M35" i="1"/>
  <c r="L35" i="1"/>
  <c r="K35" i="1"/>
  <c r="I35" i="1"/>
  <c r="H35" i="1"/>
  <c r="G35" i="1"/>
  <c r="F35" i="1"/>
  <c r="E35" i="1"/>
  <c r="D35" i="1"/>
  <c r="C35" i="1"/>
  <c r="O32" i="1"/>
  <c r="N32" i="1"/>
  <c r="M32" i="1"/>
  <c r="L32" i="1"/>
  <c r="K32" i="1"/>
  <c r="I32" i="1"/>
  <c r="H32" i="1"/>
  <c r="G32" i="1"/>
  <c r="F32" i="1"/>
  <c r="E32" i="1"/>
  <c r="D32" i="1"/>
  <c r="C32" i="1"/>
  <c r="O29" i="1"/>
  <c r="N29" i="1"/>
  <c r="M29" i="1"/>
  <c r="L29" i="1"/>
  <c r="K29" i="1"/>
  <c r="I29" i="1"/>
  <c r="H29" i="1"/>
  <c r="G29" i="1"/>
  <c r="F29" i="1"/>
  <c r="E29" i="1"/>
  <c r="D29" i="1"/>
  <c r="C29" i="1"/>
  <c r="O25" i="1"/>
  <c r="N25" i="1"/>
  <c r="N24" i="1" s="1"/>
  <c r="M25" i="1"/>
  <c r="M24" i="1" s="1"/>
  <c r="P24" i="1" s="1"/>
  <c r="Q24" i="1" s="1"/>
  <c r="L25" i="1"/>
  <c r="K25" i="1"/>
  <c r="I25" i="1"/>
  <c r="I24" i="1" s="1"/>
  <c r="H25" i="1"/>
  <c r="H24" i="1" s="1"/>
  <c r="G25" i="1"/>
  <c r="F25" i="1"/>
  <c r="E25" i="1"/>
  <c r="E24" i="1" s="1"/>
  <c r="D25" i="1"/>
  <c r="D24" i="1" s="1"/>
  <c r="C25" i="1"/>
  <c r="O24" i="1"/>
  <c r="L24" i="1"/>
  <c r="K24" i="1"/>
  <c r="G24" i="1"/>
  <c r="F24" i="1"/>
  <c r="C24" i="1"/>
  <c r="M23" i="1"/>
  <c r="M44" i="1" s="1"/>
  <c r="O13" i="1"/>
  <c r="O23" i="1" s="1"/>
  <c r="O44" i="1" s="1"/>
  <c r="N13" i="1"/>
  <c r="N23" i="1" s="1"/>
  <c r="M13" i="1"/>
  <c r="L13" i="1"/>
  <c r="L23" i="1" s="1"/>
  <c r="K13" i="1"/>
  <c r="K23" i="1" s="1"/>
  <c r="I13" i="1"/>
  <c r="I23" i="1" s="1"/>
  <c r="H13" i="1"/>
  <c r="H23" i="1" s="1"/>
  <c r="G13" i="1"/>
  <c r="G23" i="1" s="1"/>
  <c r="F13" i="1"/>
  <c r="F23" i="1" s="1"/>
  <c r="E13" i="1"/>
  <c r="E23" i="1" s="1"/>
  <c r="E44" i="1" s="1"/>
  <c r="D13" i="1"/>
  <c r="J13" i="1" s="1"/>
  <c r="C13" i="1"/>
  <c r="C23" i="1" s="1"/>
  <c r="U21" i="4" l="1"/>
  <c r="W10" i="4" s="1"/>
  <c r="P23" i="1"/>
  <c r="Q23" i="1" s="1"/>
  <c r="F44" i="1"/>
  <c r="G44" i="1"/>
  <c r="K44" i="1"/>
  <c r="J24" i="1"/>
  <c r="I44" i="1"/>
  <c r="L44" i="1"/>
  <c r="D23" i="1"/>
  <c r="J23" i="1" s="1"/>
  <c r="N44" i="1"/>
  <c r="C44" i="1"/>
  <c r="D44" i="1"/>
  <c r="J44" i="1" s="1"/>
  <c r="H44" i="1"/>
  <c r="W20" i="4" l="1"/>
  <c r="P44" i="1"/>
  <c r="Q44" i="1" l="1"/>
  <c r="R26" i="1" s="1"/>
  <c r="R28" i="1"/>
  <c r="R29" i="1"/>
  <c r="R22" i="1"/>
  <c r="R33" i="1"/>
  <c r="R30" i="1"/>
  <c r="R23" i="1"/>
  <c r="R43" i="1"/>
  <c r="R41" i="1"/>
  <c r="R9" i="1"/>
  <c r="R44" i="1"/>
  <c r="R12" i="1"/>
  <c r="R37" i="1"/>
  <c r="R38" i="1"/>
  <c r="R39" i="1"/>
  <c r="R36" i="1"/>
  <c r="R14" i="1" l="1"/>
  <c r="R25" i="1"/>
  <c r="R16" i="1"/>
  <c r="R24" i="1"/>
  <c r="R21" i="1"/>
  <c r="R11" i="1"/>
  <c r="R15" i="1"/>
  <c r="R42" i="1"/>
  <c r="R20" i="1"/>
  <c r="R17" i="1"/>
  <c r="R35" i="1"/>
  <c r="R27" i="1"/>
  <c r="R13" i="1"/>
  <c r="R40" i="1"/>
  <c r="R32" i="1"/>
  <c r="R31" i="1"/>
  <c r="R19" i="1"/>
  <c r="R10" i="1"/>
  <c r="R34" i="1"/>
  <c r="R18" i="1"/>
  <c r="M52" i="5"/>
  <c r="R52" i="5" s="1"/>
  <c r="S52" i="5" s="1"/>
  <c r="M63" i="5" l="1"/>
  <c r="M65" i="5" l="1"/>
  <c r="R65" i="5" s="1"/>
  <c r="R63" i="5"/>
  <c r="S63" i="5" s="1"/>
  <c r="S65" i="5" s="1"/>
</calcChain>
</file>

<file path=xl/sharedStrings.xml><?xml version="1.0" encoding="utf-8"?>
<sst xmlns="http://schemas.openxmlformats.org/spreadsheetml/2006/main" count="347" uniqueCount="143">
  <si>
    <t>REPUBLIQUE D'HAITI</t>
  </si>
  <si>
    <t xml:space="preserve">  DIRECTION GENERALE DES IMPOTS</t>
  </si>
  <si>
    <t xml:space="preserve"> PREVISIONS MENSUELLES DES RECETTES INTERNES, EN MILLIONS DE GOURDES, PAR POINT DE PERCEPTION </t>
  </si>
  <si>
    <t>EXERCICE: 2024- 2025</t>
  </si>
  <si>
    <t>Prévision</t>
  </si>
  <si>
    <t>TOTAL</t>
  </si>
  <si>
    <t>Apport en %</t>
  </si>
  <si>
    <t>POINT DE PERCEPTION</t>
  </si>
  <si>
    <t>Mars</t>
  </si>
  <si>
    <t>Avril</t>
  </si>
  <si>
    <t>Mai</t>
  </si>
  <si>
    <t>Juin</t>
  </si>
  <si>
    <t>Juillet</t>
  </si>
  <si>
    <t>Août</t>
  </si>
  <si>
    <t xml:space="preserve">Bureau Central </t>
  </si>
  <si>
    <t>DMC</t>
  </si>
  <si>
    <t>DOEE</t>
  </si>
  <si>
    <t xml:space="preserve">DGC </t>
  </si>
  <si>
    <t>PERIPHERIE DE PORT-AU-PRINCE</t>
  </si>
  <si>
    <t>Pétion-Ville</t>
  </si>
  <si>
    <t>Delmas</t>
  </si>
  <si>
    <t xml:space="preserve">Carrefour </t>
  </si>
  <si>
    <t xml:space="preserve">Tabarre </t>
  </si>
  <si>
    <t>Croix-Des-Bouquets</t>
  </si>
  <si>
    <t>Cité Soleil</t>
  </si>
  <si>
    <t>Léogane</t>
  </si>
  <si>
    <t>CDI de Petit-Goâve</t>
  </si>
  <si>
    <t>ALIs (15)</t>
  </si>
  <si>
    <t>DEPARTEMENT DE L'OUEST</t>
  </si>
  <si>
    <t>PROVINCES</t>
  </si>
  <si>
    <t>DDI du Sud</t>
  </si>
  <si>
    <t>CDI des Cayes</t>
  </si>
  <si>
    <t>CDI d'Aquin</t>
  </si>
  <si>
    <t>DDI du Nord</t>
  </si>
  <si>
    <t>DDI du Nord-Est</t>
  </si>
  <si>
    <t>CDI de Fort-Liberté</t>
  </si>
  <si>
    <t>CDI de Ouanaminthe</t>
  </si>
  <si>
    <t>DDI de l'Artibonite</t>
  </si>
  <si>
    <t>CDI des Gonaïves</t>
  </si>
  <si>
    <t>CDI de Saint-Marc</t>
  </si>
  <si>
    <t>DDI du Centre</t>
  </si>
  <si>
    <t>CDI de Hinche</t>
  </si>
  <si>
    <t>CDI de Mirebalais</t>
  </si>
  <si>
    <t>DDI du Sud-Est</t>
  </si>
  <si>
    <t>DDI de la Grand-Anse</t>
  </si>
  <si>
    <t>DDI des Nippes</t>
  </si>
  <si>
    <t>DDI du Nord-Ouest</t>
  </si>
  <si>
    <t>CDI de Port-de-Paix</t>
  </si>
  <si>
    <t>CDI de Saint-Louis du Nord</t>
  </si>
  <si>
    <t xml:space="preserve">PREVISION GLOBALE </t>
  </si>
  <si>
    <t>Source  :  Direction d'Analyses et des Statistiques</t>
  </si>
  <si>
    <t>DIRECTION GENERALE DES IMPOTS</t>
  </si>
  <si>
    <t>VENTILATION MENSUELLE, EN MILLIONS DE GOURDES COURANTES, DES PREVISIONS DE RECETTES INTERNES</t>
  </si>
  <si>
    <t>EXERCICE: 2024-2025</t>
  </si>
  <si>
    <t>Code</t>
  </si>
  <si>
    <t>RECETTES FISCALES</t>
  </si>
  <si>
    <t>Octobre</t>
  </si>
  <si>
    <t>Novembre</t>
  </si>
  <si>
    <t>Décembre</t>
  </si>
  <si>
    <t>Janvier</t>
  </si>
  <si>
    <t>Février</t>
  </si>
  <si>
    <t>Septembre</t>
  </si>
  <si>
    <t xml:space="preserve">           IMPOTS SUR LE REVENU</t>
  </si>
  <si>
    <t xml:space="preserve"> </t>
  </si>
  <si>
    <t>100 Sociétés et autres personnes morales</t>
  </si>
  <si>
    <t>101 Personnes Physiques</t>
  </si>
  <si>
    <t xml:space="preserve">  TAXE/SALAIRE ou TAXE/MAIN D'OEUVRE</t>
  </si>
  <si>
    <t>110 Taxe sur masse salariale</t>
  </si>
  <si>
    <t xml:space="preserve">           IMPOT/ LA PROPRIETE</t>
  </si>
  <si>
    <t>120 Propriété Immobilière</t>
  </si>
  <si>
    <t>121 Droits de Succession et Donation</t>
  </si>
  <si>
    <t>122 Droits/ Transactions Immob. Et Mobil.</t>
  </si>
  <si>
    <t>123 Droits/Autres actes relatifs à la Propriété</t>
  </si>
  <si>
    <t>124 Divers impots sur la propriété</t>
  </si>
  <si>
    <t>125 Droits d'Hypothèque</t>
  </si>
  <si>
    <t>129 Pénal.Amen et frs de prsuite/I/Propriété</t>
  </si>
  <si>
    <t xml:space="preserve">       TAXE SUR BIENS ET SERVICES</t>
  </si>
  <si>
    <t>130 Taxe sur chiffre d'affaires</t>
  </si>
  <si>
    <t>131 Droits d'accises</t>
  </si>
  <si>
    <t xml:space="preserve">                        Cigarettes</t>
  </si>
  <si>
    <t xml:space="preserve">                       Alumettes</t>
  </si>
  <si>
    <t xml:space="preserve">                       Autres</t>
  </si>
  <si>
    <t>132 Taxe sur les services déterminés</t>
  </si>
  <si>
    <t>133 Taxe/ utilisation des biens mob.et immob</t>
  </si>
  <si>
    <t>134 Diverses taxes sur Biens et Services</t>
  </si>
  <si>
    <t>139 Pen.Amen. Et frs de prsuite/T/bien et serv</t>
  </si>
  <si>
    <t xml:space="preserve">     AUTRES RECETTES FISCALES</t>
  </si>
  <si>
    <t>150  Identité</t>
  </si>
  <si>
    <t>151 Timbre</t>
  </si>
  <si>
    <t>152 Droits fixe d'enregistrement</t>
  </si>
  <si>
    <t>153 Diverses autres recettes fiscales</t>
  </si>
  <si>
    <t>159 Pen.Amen.Frs de Prs./Autres rec.fiscales</t>
  </si>
  <si>
    <t>*Autres recettes diverses</t>
  </si>
  <si>
    <t>RECETTES NON FISCALES</t>
  </si>
  <si>
    <t>REVENU DOMAINE ET ENTREPRISE</t>
  </si>
  <si>
    <t>201  Revenu de la propriété</t>
  </si>
  <si>
    <t xml:space="preserve">  DROITS ET FRAIS ADMINISTRATIFS</t>
  </si>
  <si>
    <t>210 Droits administratifs</t>
  </si>
  <si>
    <t xml:space="preserve">                                                 Passeport</t>
  </si>
  <si>
    <t xml:space="preserve">                      Autres</t>
  </si>
  <si>
    <t>211 Frais administratifs</t>
  </si>
  <si>
    <t xml:space="preserve"> Immigration et Emigration</t>
  </si>
  <si>
    <t xml:space="preserve">                          Autres</t>
  </si>
  <si>
    <t xml:space="preserve">        AMENDES ET SANCTIONS</t>
  </si>
  <si>
    <t xml:space="preserve">      Autres Recettes Non Fiscales</t>
  </si>
  <si>
    <t xml:space="preserve">TOTAL </t>
  </si>
  <si>
    <r>
      <t>TOTAL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 </t>
    </r>
  </si>
  <si>
    <r>
      <t>TOTAL</t>
    </r>
    <r>
      <rPr>
        <b/>
        <vertAlign val="subscript"/>
        <sz val="8"/>
        <rFont val="Arial"/>
        <family val="2"/>
      </rPr>
      <t>1</t>
    </r>
    <r>
      <rPr>
        <b/>
        <sz val="8"/>
        <rFont val="Arial"/>
        <family val="2"/>
      </rPr>
      <t xml:space="preserve"> </t>
    </r>
  </si>
  <si>
    <t>Source  :  Direction d'Analyses et des Statistiques (DAS)</t>
  </si>
  <si>
    <t>Prévision initiale</t>
  </si>
  <si>
    <t>Prévision retifiée</t>
  </si>
  <si>
    <r>
      <t>TOTAL</t>
    </r>
    <r>
      <rPr>
        <b/>
        <vertAlign val="subscript"/>
        <sz val="11"/>
        <rFont val="Times New Roman"/>
        <family val="1"/>
      </rPr>
      <t>1</t>
    </r>
  </si>
  <si>
    <r>
      <t>TOTAL</t>
    </r>
    <r>
      <rPr>
        <b/>
        <vertAlign val="subscript"/>
        <sz val="11"/>
        <rFont val="Times New Roman"/>
        <family val="1"/>
      </rPr>
      <t>2</t>
    </r>
  </si>
  <si>
    <t xml:space="preserve"> VENTILATION DES PREVISIONS MENSUELLES DES RECETTES INTERNES, EN MILLIONS DE GOURDES COURANTES, PAR POINT DE PERCEPTION </t>
  </si>
  <si>
    <t>Autres</t>
  </si>
  <si>
    <r>
      <t>TOTAL</t>
    </r>
    <r>
      <rPr>
        <b/>
        <vertAlign val="subscript"/>
        <sz val="10"/>
        <rFont val="Times New Roman"/>
        <family val="1"/>
      </rPr>
      <t>1</t>
    </r>
  </si>
  <si>
    <r>
      <t>TOTAL</t>
    </r>
    <r>
      <rPr>
        <b/>
        <vertAlign val="subscript"/>
        <sz val="10"/>
        <rFont val="Times New Roman"/>
        <family val="1"/>
      </rPr>
      <t>2</t>
    </r>
  </si>
  <si>
    <t>Big nine</t>
  </si>
  <si>
    <t>Prévision rectifiée</t>
  </si>
  <si>
    <t>total</t>
  </si>
  <si>
    <t>uagm 12%</t>
  </si>
  <si>
    <t>Structures Responsables</t>
  </si>
  <si>
    <t>Sept</t>
  </si>
  <si>
    <t>Réactivation de la relance des OAEP défaillants (absence de déclarations et nonpaiement de créances) par la mise sur pied d’une Task Force</t>
  </si>
  <si>
    <t>Poursuite de la relance des non déclarants</t>
  </si>
  <si>
    <t>Poursuite de la campagne de déclaration définitive d’IR des Gérants Responsables (mesure à reconduire)</t>
  </si>
  <si>
    <t>Intensification du contrôle sur pièces</t>
  </si>
  <si>
    <t>Sollicitation du MEF pour un dialogue avec les établissements publics (OAEP)</t>
  </si>
  <si>
    <t>Reprise de la campagne de contrôle général des institutions financières privées (Banques, autres services financiers et Assurances)</t>
  </si>
  <si>
    <t>Intensification de la campagne de contrôle des opérateurs de télécommunications et assimilés (internet, télévision, etc.)</t>
  </si>
  <si>
    <t>Contrôle ponctuel de TCA, Droits d’Accise, Taxe sur billet, Taxe sur prime d’assurance et TMS</t>
  </si>
  <si>
    <t>Réactivation du recouvrement forcé des créances des entreprises récalcitrantes2</t>
  </si>
  <si>
    <t>Relance des défaillants à partir des plans de règlement sur une période ne dépassant les mois restants à courir de l’exercice fiscal</t>
  </si>
  <si>
    <t>Relance des créances des OAEP et promotion de civisme fiscal</t>
  </si>
  <si>
    <t>Services de Vérification</t>
  </si>
  <si>
    <t>Services de Gestion</t>
  </si>
  <si>
    <t>Services de Recouvrement</t>
  </si>
  <si>
    <t>No</t>
  </si>
  <si>
    <r>
      <t>Ao</t>
    </r>
    <r>
      <rPr>
        <b/>
        <sz val="11"/>
        <color theme="1"/>
        <rFont val="Calibri"/>
        <family val="2"/>
      </rPr>
      <t>ȗ</t>
    </r>
    <r>
      <rPr>
        <b/>
        <sz val="11"/>
        <color theme="1"/>
        <rFont val="Calibri"/>
        <family val="2"/>
        <scheme val="minor"/>
      </rPr>
      <t>t</t>
    </r>
  </si>
  <si>
    <t>Résultats Escomptés</t>
  </si>
  <si>
    <t>Actions/Activités</t>
  </si>
  <si>
    <t>Sous-total</t>
  </si>
  <si>
    <t>GRAND-TOTAL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</si>
</sst>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b/>
      <i/>
      <sz val="9"/>
      <name val="Times New Roman"/>
      <family val="1"/>
    </font>
    <font>
      <b/>
      <i/>
      <sz val="12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i/>
      <sz val="10"/>
      <name val="Times New Roman"/>
      <family val="1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sz val="11"/>
      <color rgb="FF000000"/>
      <name val="Times New Roman"/>
      <family val="1"/>
    </font>
    <font>
      <b/>
      <vertAlign val="subscript"/>
      <sz val="11"/>
      <name val="Times New Roman"/>
      <family val="1"/>
    </font>
    <font>
      <sz val="10"/>
      <color theme="1"/>
      <name val="Calibri"/>
      <family val="2"/>
      <scheme val="minor"/>
    </font>
    <font>
      <b/>
      <vertAlign val="subscript"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1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double">
        <color indexed="64"/>
      </right>
      <top style="thick">
        <color auto="1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hair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560">
    <xf numFmtId="0" fontId="0" fillId="0" borderId="0" xfId="0"/>
    <xf numFmtId="43" fontId="8" fillId="0" borderId="16" xfId="1" applyFont="1" applyFill="1" applyBorder="1" applyAlignment="1">
      <alignment horizontal="center" vertical="center"/>
    </xf>
    <xf numFmtId="43" fontId="9" fillId="0" borderId="17" xfId="1" applyFont="1" applyBorder="1" applyAlignment="1">
      <alignment horizontal="center" vertical="center"/>
    </xf>
    <xf numFmtId="43" fontId="0" fillId="0" borderId="0" xfId="0" applyNumberFormat="1"/>
    <xf numFmtId="43" fontId="8" fillId="0" borderId="19" xfId="1" applyFont="1" applyFill="1" applyBorder="1" applyAlignment="1">
      <alignment horizontal="center" vertical="center"/>
    </xf>
    <xf numFmtId="10" fontId="2" fillId="0" borderId="20" xfId="2" applyNumberFormat="1" applyFont="1" applyBorder="1"/>
    <xf numFmtId="2" fontId="0" fillId="0" borderId="0" xfId="0" applyNumberFormat="1"/>
    <xf numFmtId="43" fontId="9" fillId="2" borderId="19" xfId="1" applyFont="1" applyFill="1" applyBorder="1" applyAlignment="1">
      <alignment horizontal="center" vertical="center"/>
    </xf>
    <xf numFmtId="10" fontId="2" fillId="2" borderId="20" xfId="2" applyNumberFormat="1" applyFont="1" applyFill="1" applyBorder="1"/>
    <xf numFmtId="0" fontId="2" fillId="0" borderId="0" xfId="0" applyFont="1"/>
    <xf numFmtId="43" fontId="8" fillId="0" borderId="21" xfId="1" applyFont="1" applyFill="1" applyBorder="1" applyAlignment="1">
      <alignment horizontal="center" vertical="center"/>
    </xf>
    <xf numFmtId="43" fontId="8" fillId="3" borderId="19" xfId="1" applyFont="1" applyFill="1" applyBorder="1" applyAlignment="1">
      <alignment horizontal="center" vertical="center"/>
    </xf>
    <xf numFmtId="43" fontId="8" fillId="3" borderId="16" xfId="1" applyFont="1" applyFill="1" applyBorder="1" applyAlignment="1">
      <alignment horizontal="center" vertical="center"/>
    </xf>
    <xf numFmtId="43" fontId="8" fillId="0" borderId="23" xfId="1" applyFont="1" applyFill="1" applyBorder="1" applyAlignment="1">
      <alignment horizontal="center" vertical="center"/>
    </xf>
    <xf numFmtId="43" fontId="8" fillId="0" borderId="24" xfId="1" applyFont="1" applyFill="1" applyBorder="1" applyAlignment="1">
      <alignment horizontal="center" vertical="center"/>
    </xf>
    <xf numFmtId="43" fontId="9" fillId="0" borderId="25" xfId="1" applyFont="1" applyBorder="1" applyAlignment="1">
      <alignment horizontal="center" vertical="center"/>
    </xf>
    <xf numFmtId="10" fontId="2" fillId="0" borderId="26" xfId="2" applyNumberFormat="1" applyFont="1" applyBorder="1"/>
    <xf numFmtId="43" fontId="9" fillId="2" borderId="13" xfId="1" applyFont="1" applyFill="1" applyBorder="1" applyAlignment="1">
      <alignment horizontal="center" vertical="center"/>
    </xf>
    <xf numFmtId="43" fontId="9" fillId="2" borderId="8" xfId="1" applyFont="1" applyFill="1" applyBorder="1" applyAlignment="1">
      <alignment horizontal="center" vertical="center"/>
    </xf>
    <xf numFmtId="43" fontId="9" fillId="2" borderId="28" xfId="1" applyFont="1" applyFill="1" applyBorder="1" applyAlignment="1">
      <alignment horizontal="center" vertical="center"/>
    </xf>
    <xf numFmtId="10" fontId="2" fillId="2" borderId="29" xfId="2" applyNumberFormat="1" applyFont="1" applyFill="1" applyBorder="1"/>
    <xf numFmtId="43" fontId="8" fillId="0" borderId="31" xfId="1" applyFont="1" applyFill="1" applyBorder="1" applyAlignment="1">
      <alignment horizontal="center" vertical="center"/>
    </xf>
    <xf numFmtId="43" fontId="8" fillId="0" borderId="32" xfId="1" applyFont="1" applyFill="1" applyBorder="1" applyAlignment="1">
      <alignment horizontal="center" vertical="center"/>
    </xf>
    <xf numFmtId="43" fontId="9" fillId="0" borderId="33" xfId="1" applyFont="1" applyBorder="1" applyAlignment="1">
      <alignment horizontal="center" vertical="center"/>
    </xf>
    <xf numFmtId="10" fontId="2" fillId="0" borderId="34" xfId="2" applyNumberFormat="1" applyFont="1" applyBorder="1"/>
    <xf numFmtId="2" fontId="10" fillId="3" borderId="17" xfId="1" applyNumberFormat="1" applyFont="1" applyFill="1" applyBorder="1" applyAlignment="1">
      <alignment horizontal="left" vertical="center"/>
    </xf>
    <xf numFmtId="10" fontId="2" fillId="3" borderId="20" xfId="2" applyNumberFormat="1" applyFont="1" applyFill="1" applyBorder="1"/>
    <xf numFmtId="2" fontId="10" fillId="0" borderId="17" xfId="1" applyNumberFormat="1" applyFont="1" applyFill="1" applyBorder="1" applyAlignment="1">
      <alignment horizontal="right" vertical="center"/>
    </xf>
    <xf numFmtId="43" fontId="11" fillId="0" borderId="19" xfId="1" applyFont="1" applyFill="1" applyBorder="1" applyAlignment="1">
      <alignment horizontal="center" vertical="center"/>
    </xf>
    <xf numFmtId="43" fontId="11" fillId="0" borderId="21" xfId="1" applyFont="1" applyFill="1" applyBorder="1" applyAlignment="1">
      <alignment horizontal="right" vertical="center"/>
    </xf>
    <xf numFmtId="2" fontId="11" fillId="0" borderId="17" xfId="3" applyNumberFormat="1" applyFont="1" applyFill="1" applyBorder="1" applyAlignment="1">
      <alignment horizontal="right" vertical="center"/>
    </xf>
    <xf numFmtId="2" fontId="10" fillId="3" borderId="17" xfId="1" applyNumberFormat="1" applyFont="1" applyFill="1" applyBorder="1" applyAlignment="1">
      <alignment horizontal="left"/>
    </xf>
    <xf numFmtId="43" fontId="11" fillId="0" borderId="21" xfId="1" applyFont="1" applyFill="1" applyBorder="1" applyAlignment="1">
      <alignment horizontal="center" vertical="center"/>
    </xf>
    <xf numFmtId="2" fontId="11" fillId="3" borderId="17" xfId="1" applyNumberFormat="1" applyFont="1" applyFill="1" applyBorder="1" applyAlignment="1">
      <alignment horizontal="left" vertical="center"/>
    </xf>
    <xf numFmtId="2" fontId="9" fillId="0" borderId="17" xfId="1" applyNumberFormat="1" applyFont="1" applyBorder="1" applyAlignment="1">
      <alignment horizontal="right" vertical="center"/>
    </xf>
    <xf numFmtId="10" fontId="2" fillId="3" borderId="35" xfId="2" applyNumberFormat="1" applyFont="1" applyFill="1" applyBorder="1"/>
    <xf numFmtId="43" fontId="9" fillId="2" borderId="37" xfId="1" applyFont="1" applyFill="1" applyBorder="1" applyAlignment="1">
      <alignment horizontal="center" vertical="center"/>
    </xf>
    <xf numFmtId="2" fontId="9" fillId="2" borderId="28" xfId="3" applyNumberFormat="1" applyFont="1" applyFill="1" applyBorder="1" applyAlignment="1">
      <alignment horizontal="center" vertical="center"/>
    </xf>
    <xf numFmtId="10" fontId="2" fillId="0" borderId="38" xfId="2" applyNumberFormat="1" applyFont="1" applyBorder="1"/>
    <xf numFmtId="0" fontId="7" fillId="0" borderId="36" xfId="3" applyFont="1" applyFill="1" applyBorder="1" applyAlignment="1">
      <alignment horizontal="center" vertical="center"/>
    </xf>
    <xf numFmtId="2" fontId="7" fillId="0" borderId="7" xfId="3" applyNumberFormat="1" applyFont="1" applyFill="1" applyBorder="1" applyAlignment="1">
      <alignment vertical="center"/>
    </xf>
    <xf numFmtId="2" fontId="7" fillId="0" borderId="8" xfId="3" applyNumberFormat="1" applyFont="1" applyFill="1" applyBorder="1" applyAlignment="1">
      <alignment vertical="center"/>
    </xf>
    <xf numFmtId="2" fontId="7" fillId="0" borderId="9" xfId="3" applyNumberFormat="1" applyFont="1" applyFill="1" applyBorder="1" applyAlignment="1">
      <alignment vertical="center"/>
    </xf>
    <xf numFmtId="2" fontId="7" fillId="0" borderId="38" xfId="3" applyNumberFormat="1" applyFont="1" applyFill="1" applyBorder="1" applyAlignment="1">
      <alignment horizontal="center" vertical="center"/>
    </xf>
    <xf numFmtId="0" fontId="0" fillId="0" borderId="0" xfId="0" applyFill="1"/>
    <xf numFmtId="0" fontId="12" fillId="0" borderId="39" xfId="0" applyFont="1" applyBorder="1" applyAlignment="1"/>
    <xf numFmtId="0" fontId="13" fillId="0" borderId="40" xfId="0" applyFont="1" applyBorder="1" applyAlignment="1"/>
    <xf numFmtId="0" fontId="13" fillId="0" borderId="41" xfId="0" applyFont="1" applyBorder="1" applyAlignment="1"/>
    <xf numFmtId="0" fontId="2" fillId="0" borderId="42" xfId="0" applyFont="1" applyBorder="1"/>
    <xf numFmtId="0" fontId="0" fillId="0" borderId="0" xfId="0" applyFont="1"/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Fill="1" applyBorder="1" applyAlignment="1">
      <alignment horizontal="center" vertical="center"/>
    </xf>
    <xf numFmtId="0" fontId="9" fillId="0" borderId="47" xfId="3" applyFont="1" applyFill="1" applyBorder="1" applyAlignment="1">
      <alignment horizontal="center" vertical="center"/>
    </xf>
    <xf numFmtId="0" fontId="9" fillId="0" borderId="48" xfId="3" applyFont="1" applyFill="1" applyBorder="1" applyAlignment="1">
      <alignment horizontal="center" vertical="center"/>
    </xf>
    <xf numFmtId="0" fontId="9" fillId="0" borderId="10" xfId="3" applyFont="1" applyFill="1" applyBorder="1" applyAlignment="1">
      <alignment horizontal="center" vertical="center"/>
    </xf>
    <xf numFmtId="43" fontId="9" fillId="0" borderId="50" xfId="1" applyFont="1" applyBorder="1" applyAlignment="1">
      <alignment horizontal="center"/>
    </xf>
    <xf numFmtId="43" fontId="9" fillId="0" borderId="51" xfId="1" applyFont="1" applyFill="1" applyBorder="1" applyAlignment="1">
      <alignment horizontal="center" vertical="center"/>
    </xf>
    <xf numFmtId="43" fontId="9" fillId="0" borderId="52" xfId="1" applyFont="1" applyFill="1" applyBorder="1" applyAlignment="1">
      <alignment horizontal="center" vertical="center"/>
    </xf>
    <xf numFmtId="43" fontId="9" fillId="0" borderId="51" xfId="1" applyFont="1" applyBorder="1" applyAlignment="1">
      <alignment horizontal="center" vertical="center"/>
    </xf>
    <xf numFmtId="43" fontId="9" fillId="0" borderId="53" xfId="1" applyFont="1" applyBorder="1" applyAlignment="1">
      <alignment horizontal="center" vertical="center"/>
    </xf>
    <xf numFmtId="43" fontId="9" fillId="4" borderId="53" xfId="1" applyFont="1" applyFill="1" applyBorder="1" applyAlignment="1">
      <alignment horizontal="center" vertical="center"/>
    </xf>
    <xf numFmtId="43" fontId="9" fillId="4" borderId="51" xfId="1" applyFont="1" applyFill="1" applyBorder="1" applyAlignment="1">
      <alignment horizontal="center" vertical="center"/>
    </xf>
    <xf numFmtId="43" fontId="9" fillId="4" borderId="54" xfId="1" applyFont="1" applyFill="1" applyBorder="1" applyAlignment="1">
      <alignment horizontal="center" vertical="center"/>
    </xf>
    <xf numFmtId="43" fontId="9" fillId="4" borderId="52" xfId="1" applyFont="1" applyFill="1" applyBorder="1" applyAlignment="1">
      <alignment horizontal="center" vertical="center"/>
    </xf>
    <xf numFmtId="43" fontId="9" fillId="5" borderId="55" xfId="1" applyFont="1" applyFill="1" applyBorder="1" applyAlignment="1">
      <alignment horizontal="center" vertical="center"/>
    </xf>
    <xf numFmtId="2" fontId="0" fillId="0" borderId="0" xfId="0" applyNumberFormat="1" applyFont="1"/>
    <xf numFmtId="43" fontId="8" fillId="0" borderId="57" xfId="1" applyFont="1" applyBorder="1" applyAlignment="1">
      <alignment horizontal="left"/>
    </xf>
    <xf numFmtId="2" fontId="14" fillId="0" borderId="58" xfId="0" applyNumberFormat="1" applyFont="1" applyBorder="1" applyAlignment="1">
      <alignment horizontal="center" vertical="center"/>
    </xf>
    <xf numFmtId="2" fontId="14" fillId="0" borderId="31" xfId="0" applyNumberFormat="1" applyFont="1" applyBorder="1" applyAlignment="1">
      <alignment horizontal="center" vertical="center"/>
    </xf>
    <xf numFmtId="2" fontId="14" fillId="0" borderId="59" xfId="0" applyNumberFormat="1" applyFont="1" applyBorder="1" applyAlignment="1">
      <alignment horizontal="center" vertical="center"/>
    </xf>
    <xf numFmtId="2" fontId="14" fillId="0" borderId="60" xfId="0" applyNumberFormat="1" applyFont="1" applyBorder="1" applyAlignment="1">
      <alignment horizontal="center" vertical="center"/>
    </xf>
    <xf numFmtId="43" fontId="9" fillId="5" borderId="17" xfId="1" applyFont="1" applyFill="1" applyBorder="1" applyAlignment="1">
      <alignment horizontal="center" vertical="center"/>
    </xf>
    <xf numFmtId="43" fontId="8" fillId="0" borderId="62" xfId="1" applyFont="1" applyBorder="1" applyAlignment="1">
      <alignment horizontal="left"/>
    </xf>
    <xf numFmtId="43" fontId="9" fillId="5" borderId="63" xfId="1" applyFont="1" applyFill="1" applyBorder="1" applyAlignment="1">
      <alignment horizontal="center" vertical="center"/>
    </xf>
    <xf numFmtId="43" fontId="9" fillId="0" borderId="59" xfId="1" applyFont="1" applyBorder="1" applyAlignment="1">
      <alignment horizontal="center"/>
    </xf>
    <xf numFmtId="43" fontId="9" fillId="0" borderId="64" xfId="1" applyFont="1" applyFill="1" applyBorder="1" applyAlignment="1">
      <alignment horizontal="center" vertical="center"/>
    </xf>
    <xf numFmtId="43" fontId="9" fillId="0" borderId="16" xfId="1" applyFont="1" applyFill="1" applyBorder="1" applyAlignment="1">
      <alignment horizontal="center" vertical="center"/>
    </xf>
    <xf numFmtId="43" fontId="9" fillId="0" borderId="64" xfId="1" applyFont="1" applyBorder="1" applyAlignment="1">
      <alignment horizontal="center" vertical="center"/>
    </xf>
    <xf numFmtId="43" fontId="9" fillId="0" borderId="65" xfId="1" applyFont="1" applyBorder="1" applyAlignment="1">
      <alignment horizontal="center" vertical="center"/>
    </xf>
    <xf numFmtId="43" fontId="9" fillId="4" borderId="65" xfId="1" applyFont="1" applyFill="1" applyBorder="1" applyAlignment="1">
      <alignment horizontal="center" vertical="center"/>
    </xf>
    <xf numFmtId="43" fontId="9" fillId="4" borderId="64" xfId="1" applyFont="1" applyFill="1" applyBorder="1" applyAlignment="1">
      <alignment horizontal="center" vertical="center"/>
    </xf>
    <xf numFmtId="43" fontId="9" fillId="4" borderId="16" xfId="1" applyFont="1" applyFill="1" applyBorder="1" applyAlignment="1">
      <alignment horizontal="center" vertical="center"/>
    </xf>
    <xf numFmtId="43" fontId="9" fillId="5" borderId="33" xfId="1" applyFont="1" applyFill="1" applyBorder="1" applyAlignment="1">
      <alignment horizontal="center" vertical="center"/>
    </xf>
    <xf numFmtId="43" fontId="8" fillId="0" borderId="64" xfId="1" applyFont="1" applyFill="1" applyBorder="1" applyAlignment="1">
      <alignment horizontal="center" vertical="center"/>
    </xf>
    <xf numFmtId="43" fontId="8" fillId="0" borderId="66" xfId="1" applyFont="1" applyFill="1" applyBorder="1" applyAlignment="1">
      <alignment horizontal="center" vertical="center"/>
    </xf>
    <xf numFmtId="43" fontId="8" fillId="0" borderId="65" xfId="1" applyFont="1" applyBorder="1" applyAlignment="1">
      <alignment horizontal="center" vertical="center"/>
    </xf>
    <xf numFmtId="43" fontId="8" fillId="0" borderId="67" xfId="1" applyFont="1" applyBorder="1" applyAlignment="1">
      <alignment horizontal="center" vertical="center"/>
    </xf>
    <xf numFmtId="43" fontId="8" fillId="4" borderId="68" xfId="1" applyFont="1" applyFill="1" applyBorder="1" applyAlignment="1">
      <alignment horizontal="center" vertical="center"/>
    </xf>
    <xf numFmtId="43" fontId="0" fillId="4" borderId="69" xfId="1" applyFont="1" applyFill="1" applyBorder="1" applyAlignment="1">
      <alignment horizontal="center" vertical="center"/>
    </xf>
    <xf numFmtId="43" fontId="0" fillId="4" borderId="0" xfId="1" applyFont="1" applyFill="1" applyBorder="1" applyAlignment="1">
      <alignment horizontal="center" vertical="center"/>
    </xf>
    <xf numFmtId="43" fontId="0" fillId="4" borderId="70" xfId="1" applyFont="1" applyFill="1" applyBorder="1" applyAlignment="1">
      <alignment horizontal="center" vertical="center"/>
    </xf>
    <xf numFmtId="43" fontId="9" fillId="5" borderId="25" xfId="1" applyFont="1" applyFill="1" applyBorder="1" applyAlignment="1">
      <alignment horizontal="center" vertical="center"/>
    </xf>
    <xf numFmtId="43" fontId="8" fillId="4" borderId="67" xfId="1" applyFont="1" applyFill="1" applyBorder="1" applyAlignment="1">
      <alignment horizontal="center" vertical="center"/>
    </xf>
    <xf numFmtId="43" fontId="0" fillId="4" borderId="65" xfId="1" applyFont="1" applyFill="1" applyBorder="1" applyAlignment="1">
      <alignment horizontal="center" vertical="center"/>
    </xf>
    <xf numFmtId="43" fontId="0" fillId="4" borderId="64" xfId="1" applyFont="1" applyFill="1" applyBorder="1" applyAlignment="1">
      <alignment horizontal="center" vertical="center"/>
    </xf>
    <xf numFmtId="43" fontId="0" fillId="4" borderId="66" xfId="1" applyFont="1" applyFill="1" applyBorder="1" applyAlignment="1">
      <alignment horizontal="center" vertical="center"/>
    </xf>
    <xf numFmtId="43" fontId="8" fillId="0" borderId="71" xfId="1" applyFont="1" applyBorder="1" applyAlignment="1">
      <alignment horizontal="center" vertical="center"/>
    </xf>
    <xf numFmtId="43" fontId="8" fillId="0" borderId="68" xfId="1" applyFont="1" applyBorder="1" applyAlignment="1">
      <alignment horizontal="center" vertical="center"/>
    </xf>
    <xf numFmtId="43" fontId="0" fillId="4" borderId="68" xfId="1" applyFont="1" applyFill="1" applyBorder="1" applyAlignment="1">
      <alignment horizontal="center" vertical="center"/>
    </xf>
    <xf numFmtId="43" fontId="9" fillId="0" borderId="72" xfId="1" applyFont="1" applyBorder="1" applyAlignment="1">
      <alignment horizontal="center" vertical="center"/>
    </xf>
    <xf numFmtId="43" fontId="9" fillId="0" borderId="67" xfId="1" applyFont="1" applyBorder="1" applyAlignment="1">
      <alignment horizontal="center" vertical="center"/>
    </xf>
    <xf numFmtId="43" fontId="9" fillId="4" borderId="72" xfId="1" applyFont="1" applyFill="1" applyBorder="1" applyAlignment="1">
      <alignment horizontal="center" vertical="center"/>
    </xf>
    <xf numFmtId="43" fontId="9" fillId="4" borderId="67" xfId="1" applyFont="1" applyFill="1" applyBorder="1" applyAlignment="1">
      <alignment horizontal="center" vertical="center"/>
    </xf>
    <xf numFmtId="43" fontId="8" fillId="4" borderId="72" xfId="1" applyFont="1" applyFill="1" applyBorder="1" applyAlignment="1">
      <alignment horizontal="center" vertical="center"/>
    </xf>
    <xf numFmtId="43" fontId="11" fillId="0" borderId="64" xfId="1" applyFont="1" applyFill="1" applyBorder="1" applyAlignment="1">
      <alignment horizontal="center" vertical="center"/>
    </xf>
    <xf numFmtId="43" fontId="11" fillId="0" borderId="64" xfId="1" applyFont="1" applyBorder="1" applyAlignment="1">
      <alignment horizontal="center" vertical="center"/>
    </xf>
    <xf numFmtId="43" fontId="11" fillId="0" borderId="65" xfId="1" applyFont="1" applyBorder="1" applyAlignment="1">
      <alignment horizontal="center" vertical="center"/>
    </xf>
    <xf numFmtId="43" fontId="11" fillId="4" borderId="64" xfId="1" applyFont="1" applyFill="1" applyBorder="1" applyAlignment="1">
      <alignment horizontal="center" vertical="center"/>
    </xf>
    <xf numFmtId="43" fontId="11" fillId="4" borderId="65" xfId="1" applyFont="1" applyFill="1" applyBorder="1" applyAlignment="1">
      <alignment horizontal="center" vertical="center"/>
    </xf>
    <xf numFmtId="43" fontId="8" fillId="0" borderId="66" xfId="1" applyFont="1" applyBorder="1" applyAlignment="1">
      <alignment horizontal="left"/>
    </xf>
    <xf numFmtId="43" fontId="8" fillId="4" borderId="73" xfId="1" applyFont="1" applyFill="1" applyBorder="1" applyAlignment="1">
      <alignment horizontal="center" vertical="center"/>
    </xf>
    <xf numFmtId="43" fontId="0" fillId="4" borderId="73" xfId="1" applyFont="1" applyFill="1" applyBorder="1" applyAlignment="1">
      <alignment horizontal="center" vertical="center"/>
    </xf>
    <xf numFmtId="43" fontId="0" fillId="4" borderId="74" xfId="1" applyFont="1" applyFill="1" applyBorder="1" applyAlignment="1">
      <alignment horizontal="center" vertical="center"/>
    </xf>
    <xf numFmtId="43" fontId="9" fillId="4" borderId="66" xfId="1" applyFont="1" applyFill="1" applyBorder="1" applyAlignment="1">
      <alignment horizontal="center" vertical="center"/>
    </xf>
    <xf numFmtId="43" fontId="8" fillId="4" borderId="64" xfId="1" applyFont="1" applyFill="1" applyBorder="1" applyAlignment="1">
      <alignment horizontal="center" vertical="center"/>
    </xf>
    <xf numFmtId="43" fontId="8" fillId="0" borderId="72" xfId="1" applyFont="1" applyBorder="1" applyAlignment="1">
      <alignment horizontal="center" vertical="center"/>
    </xf>
    <xf numFmtId="43" fontId="8" fillId="4" borderId="75" xfId="1" applyFont="1" applyFill="1" applyBorder="1" applyAlignment="1">
      <alignment horizontal="center" vertical="center"/>
    </xf>
    <xf numFmtId="43" fontId="8" fillId="4" borderId="66" xfId="1" applyFont="1" applyFill="1" applyBorder="1" applyAlignment="1">
      <alignment horizontal="center" vertical="center"/>
    </xf>
    <xf numFmtId="43" fontId="15" fillId="4" borderId="64" xfId="1" applyFont="1" applyFill="1" applyBorder="1" applyAlignment="1">
      <alignment horizontal="center" vertical="center"/>
    </xf>
    <xf numFmtId="43" fontId="15" fillId="4" borderId="65" xfId="1" applyFont="1" applyFill="1" applyBorder="1" applyAlignment="1">
      <alignment horizontal="center" vertical="center"/>
    </xf>
    <xf numFmtId="43" fontId="9" fillId="0" borderId="76" xfId="1" applyFont="1" applyBorder="1" applyAlignment="1">
      <alignment horizontal="left"/>
    </xf>
    <xf numFmtId="43" fontId="8" fillId="0" borderId="77" xfId="1" applyFont="1" applyBorder="1" applyAlignment="1">
      <alignment horizontal="center"/>
    </xf>
    <xf numFmtId="43" fontId="8" fillId="0" borderId="78" xfId="1" applyFont="1" applyFill="1" applyBorder="1" applyAlignment="1">
      <alignment horizontal="center" vertical="center"/>
    </xf>
    <xf numFmtId="43" fontId="8" fillId="0" borderId="79" xfId="1" applyFont="1" applyFill="1" applyBorder="1" applyAlignment="1">
      <alignment horizontal="center" vertical="center"/>
    </xf>
    <xf numFmtId="43" fontId="8" fillId="0" borderId="69" xfId="1" applyFont="1" applyBorder="1" applyAlignment="1">
      <alignment horizontal="center" vertical="center"/>
    </xf>
    <xf numFmtId="43" fontId="8" fillId="4" borderId="0" xfId="1" applyFont="1" applyFill="1" applyBorder="1" applyAlignment="1">
      <alignment horizontal="center" vertical="center"/>
    </xf>
    <xf numFmtId="43" fontId="8" fillId="4" borderId="69" xfId="1" applyFont="1" applyFill="1" applyBorder="1" applyAlignment="1">
      <alignment horizontal="center" vertical="center"/>
    </xf>
    <xf numFmtId="43" fontId="8" fillId="4" borderId="79" xfId="1" applyFont="1" applyFill="1" applyBorder="1" applyAlignment="1">
      <alignment horizontal="center" vertical="center"/>
    </xf>
    <xf numFmtId="43" fontId="8" fillId="4" borderId="78" xfId="1" applyFont="1" applyFill="1" applyBorder="1" applyAlignment="1">
      <alignment horizontal="center" vertical="center"/>
    </xf>
    <xf numFmtId="43" fontId="9" fillId="0" borderId="36" xfId="1" applyFont="1" applyBorder="1" applyAlignment="1"/>
    <xf numFmtId="43" fontId="9" fillId="4" borderId="82" xfId="1" applyFont="1" applyFill="1" applyBorder="1" applyAlignment="1">
      <alignment vertical="center"/>
    </xf>
    <xf numFmtId="43" fontId="9" fillId="4" borderId="85" xfId="1" applyFont="1" applyFill="1" applyBorder="1" applyAlignment="1">
      <alignment horizontal="center" vertical="center"/>
    </xf>
    <xf numFmtId="43" fontId="8" fillId="4" borderId="71" xfId="1" applyFont="1" applyFill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/>
    </xf>
    <xf numFmtId="43" fontId="8" fillId="4" borderId="65" xfId="1" applyFont="1" applyFill="1" applyBorder="1" applyAlignment="1">
      <alignment horizontal="center" vertical="center"/>
    </xf>
    <xf numFmtId="43" fontId="16" fillId="0" borderId="57" xfId="1" applyFont="1" applyBorder="1" applyAlignment="1">
      <alignment horizontal="left"/>
    </xf>
    <xf numFmtId="43" fontId="8" fillId="0" borderId="57" xfId="1" applyFont="1" applyBorder="1" applyAlignment="1">
      <alignment horizontal="center"/>
    </xf>
    <xf numFmtId="43" fontId="8" fillId="0" borderId="64" xfId="1" applyFont="1" applyBorder="1" applyAlignment="1">
      <alignment horizontal="center" vertical="center"/>
    </xf>
    <xf numFmtId="43" fontId="0" fillId="0" borderId="0" xfId="1" applyFont="1"/>
    <xf numFmtId="43" fontId="8" fillId="0" borderId="76" xfId="1" applyFont="1" applyBorder="1" applyAlignment="1">
      <alignment horizontal="left"/>
    </xf>
    <xf numFmtId="43" fontId="8" fillId="0" borderId="76" xfId="1" applyFont="1" applyBorder="1" applyAlignment="1">
      <alignment horizontal="center"/>
    </xf>
    <xf numFmtId="43" fontId="8" fillId="0" borderId="77" xfId="1" applyFont="1" applyBorder="1" applyAlignment="1">
      <alignment horizontal="left"/>
    </xf>
    <xf numFmtId="43" fontId="8" fillId="0" borderId="70" xfId="1" applyFont="1" applyFill="1" applyBorder="1" applyAlignment="1">
      <alignment horizontal="center" vertical="center"/>
    </xf>
    <xf numFmtId="43" fontId="8" fillId="0" borderId="86" xfId="1" applyFont="1" applyFill="1" applyBorder="1" applyAlignment="1">
      <alignment horizontal="center" vertical="center"/>
    </xf>
    <xf numFmtId="43" fontId="8" fillId="0" borderId="87" xfId="1" applyFont="1" applyBorder="1" applyAlignment="1">
      <alignment horizontal="center" vertical="center"/>
    </xf>
    <xf numFmtId="43" fontId="8" fillId="0" borderId="70" xfId="1" applyFont="1" applyBorder="1" applyAlignment="1">
      <alignment horizontal="center" vertical="center"/>
    </xf>
    <xf numFmtId="43" fontId="8" fillId="4" borderId="86" xfId="1" applyFont="1" applyFill="1" applyBorder="1" applyAlignment="1">
      <alignment horizontal="center" vertical="center"/>
    </xf>
    <xf numFmtId="43" fontId="8" fillId="4" borderId="87" xfId="1" applyFont="1" applyFill="1" applyBorder="1" applyAlignment="1">
      <alignment horizontal="center" vertical="center"/>
    </xf>
    <xf numFmtId="43" fontId="0" fillId="4" borderId="86" xfId="1" applyFont="1" applyFill="1" applyBorder="1" applyAlignment="1">
      <alignment horizontal="center" vertical="center"/>
    </xf>
    <xf numFmtId="43" fontId="9" fillId="5" borderId="88" xfId="1" applyFont="1" applyFill="1" applyBorder="1" applyAlignment="1">
      <alignment horizontal="center" vertical="center"/>
    </xf>
    <xf numFmtId="43" fontId="1" fillId="0" borderId="0" xfId="1" applyFont="1"/>
    <xf numFmtId="43" fontId="8" fillId="0" borderId="60" xfId="1" applyFont="1" applyBorder="1" applyAlignment="1">
      <alignment horizontal="center"/>
    </xf>
    <xf numFmtId="43" fontId="9" fillId="0" borderId="66" xfId="1" applyFont="1" applyFill="1" applyBorder="1" applyAlignment="1">
      <alignment horizontal="center" vertical="center"/>
    </xf>
    <xf numFmtId="43" fontId="9" fillId="4" borderId="75" xfId="1" applyFont="1" applyFill="1" applyBorder="1" applyAlignment="1">
      <alignment horizontal="center" vertical="center"/>
    </xf>
    <xf numFmtId="43" fontId="0" fillId="0" borderId="0" xfId="0" applyNumberFormat="1" applyFont="1"/>
    <xf numFmtId="43" fontId="9" fillId="0" borderId="78" xfId="1" applyFont="1" applyFill="1" applyBorder="1" applyAlignment="1">
      <alignment horizontal="center" vertical="center"/>
    </xf>
    <xf numFmtId="43" fontId="9" fillId="0" borderId="71" xfId="1" applyFont="1" applyBorder="1" applyAlignment="1">
      <alignment horizontal="center" vertical="center"/>
    </xf>
    <xf numFmtId="43" fontId="9" fillId="0" borderId="69" xfId="1" applyFont="1" applyBorder="1" applyAlignment="1">
      <alignment horizontal="center" vertical="center"/>
    </xf>
    <xf numFmtId="43" fontId="9" fillId="4" borderId="79" xfId="1" applyFont="1" applyFill="1" applyBorder="1" applyAlignment="1">
      <alignment horizontal="center" vertical="center"/>
    </xf>
    <xf numFmtId="43" fontId="9" fillId="4" borderId="71" xfId="1" applyFont="1" applyFill="1" applyBorder="1" applyAlignment="1">
      <alignment horizontal="center" vertical="center"/>
    </xf>
    <xf numFmtId="43" fontId="9" fillId="4" borderId="78" xfId="1" applyFont="1" applyFill="1" applyBorder="1" applyAlignment="1">
      <alignment horizontal="center" vertical="center"/>
    </xf>
    <xf numFmtId="0" fontId="17" fillId="0" borderId="39" xfId="0" applyFont="1" applyBorder="1" applyAlignment="1"/>
    <xf numFmtId="0" fontId="17" fillId="0" borderId="40" xfId="0" applyFont="1" applyBorder="1" applyAlignment="1"/>
    <xf numFmtId="0" fontId="0" fillId="0" borderId="0" xfId="0" applyFont="1" applyFill="1"/>
    <xf numFmtId="43" fontId="0" fillId="0" borderId="0" xfId="1" applyFont="1" applyFill="1"/>
    <xf numFmtId="43" fontId="0" fillId="0" borderId="0" xfId="0" applyNumberFormat="1" applyFont="1" applyFill="1"/>
    <xf numFmtId="43" fontId="2" fillId="0" borderId="0" xfId="1" applyFont="1" applyFill="1"/>
    <xf numFmtId="43" fontId="9" fillId="2" borderId="80" xfId="1" applyFont="1" applyFill="1" applyBorder="1" applyAlignment="1">
      <alignment horizontal="center" vertical="center"/>
    </xf>
    <xf numFmtId="43" fontId="9" fillId="2" borderId="7" xfId="1" applyFont="1" applyFill="1" applyBorder="1" applyAlignment="1">
      <alignment horizontal="center" vertical="center"/>
    </xf>
    <xf numFmtId="43" fontId="9" fillId="2" borderId="9" xfId="1" applyFont="1" applyFill="1" applyBorder="1" applyAlignment="1">
      <alignment horizontal="center" vertical="center"/>
    </xf>
    <xf numFmtId="43" fontId="9" fillId="2" borderId="48" xfId="1" applyFont="1" applyFill="1" applyBorder="1" applyAlignment="1">
      <alignment horizontal="center" vertical="center"/>
    </xf>
    <xf numFmtId="43" fontId="9" fillId="2" borderId="28" xfId="1" applyFont="1" applyFill="1" applyBorder="1" applyAlignment="1">
      <alignment vertical="center"/>
    </xf>
    <xf numFmtId="0" fontId="18" fillId="2" borderId="90" xfId="0" applyFont="1" applyFill="1" applyBorder="1" applyAlignment="1">
      <alignment horizontal="center" vertical="center"/>
    </xf>
    <xf numFmtId="0" fontId="18" fillId="2" borderId="91" xfId="0" applyFont="1" applyFill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9" fillId="0" borderId="12" xfId="3" applyFont="1" applyFill="1" applyBorder="1" applyAlignment="1">
      <alignment horizontal="center" vertical="center"/>
    </xf>
    <xf numFmtId="0" fontId="9" fillId="0" borderId="13" xfId="3" applyFont="1" applyFill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14" xfId="3" applyFont="1" applyFill="1" applyBorder="1" applyAlignment="1">
      <alignment horizontal="center" vertical="center"/>
    </xf>
    <xf numFmtId="0" fontId="20" fillId="0" borderId="18" xfId="3" applyFont="1" applyBorder="1" applyAlignment="1">
      <alignment horizontal="left" vertical="center"/>
    </xf>
    <xf numFmtId="0" fontId="9" fillId="2" borderId="18" xfId="3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left" vertical="center"/>
    </xf>
    <xf numFmtId="0" fontId="20" fillId="0" borderId="22" xfId="3" applyFont="1" applyBorder="1" applyAlignment="1">
      <alignment horizontal="left" vertical="center"/>
    </xf>
    <xf numFmtId="0" fontId="9" fillId="2" borderId="27" xfId="3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2" borderId="36" xfId="3" applyFont="1" applyFill="1" applyBorder="1" applyAlignment="1">
      <alignment horizontal="center" vertical="center"/>
    </xf>
    <xf numFmtId="0" fontId="20" fillId="0" borderId="30" xfId="3" applyFont="1" applyBorder="1" applyAlignment="1">
      <alignment horizontal="left" vertical="center"/>
    </xf>
    <xf numFmtId="0" fontId="9" fillId="0" borderId="28" xfId="3" applyFont="1" applyBorder="1" applyAlignment="1">
      <alignment vertical="center"/>
    </xf>
    <xf numFmtId="0" fontId="9" fillId="0" borderId="38" xfId="3" applyFont="1" applyFill="1" applyBorder="1" applyAlignment="1">
      <alignment vertical="center"/>
    </xf>
    <xf numFmtId="0" fontId="9" fillId="6" borderId="13" xfId="3" applyFont="1" applyFill="1" applyBorder="1" applyAlignment="1">
      <alignment horizontal="center" vertical="center"/>
    </xf>
    <xf numFmtId="43" fontId="8" fillId="6" borderId="31" xfId="1" applyFont="1" applyFill="1" applyBorder="1" applyAlignment="1">
      <alignment horizontal="center" vertical="center"/>
    </xf>
    <xf numFmtId="43" fontId="8" fillId="6" borderId="19" xfId="1" applyFont="1" applyFill="1" applyBorder="1" applyAlignment="1">
      <alignment horizontal="center" vertical="center"/>
    </xf>
    <xf numFmtId="43" fontId="9" fillId="6" borderId="19" xfId="1" applyFont="1" applyFill="1" applyBorder="1" applyAlignment="1">
      <alignment horizontal="center" vertical="center"/>
    </xf>
    <xf numFmtId="43" fontId="8" fillId="6" borderId="21" xfId="1" applyFont="1" applyFill="1" applyBorder="1" applyAlignment="1">
      <alignment horizontal="center" vertical="center"/>
    </xf>
    <xf numFmtId="43" fontId="8" fillId="6" borderId="23" xfId="1" applyFont="1" applyFill="1" applyBorder="1" applyAlignment="1">
      <alignment horizontal="center" vertical="center"/>
    </xf>
    <xf numFmtId="43" fontId="9" fillId="6" borderId="13" xfId="1" applyFont="1" applyFill="1" applyBorder="1" applyAlignment="1">
      <alignment horizontal="center" vertical="center"/>
    </xf>
    <xf numFmtId="43" fontId="9" fillId="6" borderId="8" xfId="1" applyFont="1" applyFill="1" applyBorder="1" applyAlignment="1">
      <alignment horizontal="center" vertical="center"/>
    </xf>
    <xf numFmtId="43" fontId="11" fillId="6" borderId="19" xfId="1" applyFont="1" applyFill="1" applyBorder="1" applyAlignment="1">
      <alignment horizontal="center" vertical="center"/>
    </xf>
    <xf numFmtId="43" fontId="11" fillId="6" borderId="21" xfId="1" applyFont="1" applyFill="1" applyBorder="1" applyAlignment="1">
      <alignment horizontal="center" vertical="center"/>
    </xf>
    <xf numFmtId="43" fontId="9" fillId="6" borderId="37" xfId="1" applyFont="1" applyFill="1" applyBorder="1" applyAlignment="1">
      <alignment horizontal="center" vertical="center"/>
    </xf>
    <xf numFmtId="0" fontId="9" fillId="0" borderId="27" xfId="3" applyFont="1" applyBorder="1" applyAlignment="1">
      <alignment vertical="center"/>
    </xf>
    <xf numFmtId="0" fontId="9" fillId="0" borderId="38" xfId="3" applyFont="1" applyBorder="1" applyAlignment="1">
      <alignment vertical="center"/>
    </xf>
    <xf numFmtId="0" fontId="9" fillId="6" borderId="37" xfId="3" applyFont="1" applyFill="1" applyBorder="1" applyAlignment="1">
      <alignment horizontal="center" vertical="center"/>
    </xf>
    <xf numFmtId="43" fontId="8" fillId="6" borderId="92" xfId="1" applyFont="1" applyFill="1" applyBorder="1" applyAlignment="1">
      <alignment horizontal="center" vertical="center"/>
    </xf>
    <xf numFmtId="43" fontId="8" fillId="6" borderId="93" xfId="1" applyFont="1" applyFill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43" fontId="8" fillId="0" borderId="60" xfId="1" applyFont="1" applyFill="1" applyBorder="1" applyAlignment="1">
      <alignment horizontal="center" vertical="center"/>
    </xf>
    <xf numFmtId="43" fontId="8" fillId="0" borderId="76" xfId="1" applyFont="1" applyFill="1" applyBorder="1" applyAlignment="1">
      <alignment horizontal="center" vertical="center"/>
    </xf>
    <xf numFmtId="43" fontId="9" fillId="2" borderId="76" xfId="1" applyFont="1" applyFill="1" applyBorder="1" applyAlignment="1">
      <alignment horizontal="center" vertical="center"/>
    </xf>
    <xf numFmtId="43" fontId="8" fillId="3" borderId="76" xfId="1" applyFont="1" applyFill="1" applyBorder="1" applyAlignment="1">
      <alignment horizontal="center" vertical="center"/>
    </xf>
    <xf numFmtId="43" fontId="8" fillId="0" borderId="77" xfId="1" applyFont="1" applyFill="1" applyBorder="1" applyAlignment="1">
      <alignment horizontal="center" vertical="center"/>
    </xf>
    <xf numFmtId="43" fontId="9" fillId="2" borderId="14" xfId="1" applyFont="1" applyFill="1" applyBorder="1" applyAlignment="1">
      <alignment horizontal="center" vertical="center"/>
    </xf>
    <xf numFmtId="43" fontId="11" fillId="0" borderId="76" xfId="1" applyFont="1" applyFill="1" applyBorder="1" applyAlignment="1">
      <alignment horizontal="center" vertical="center"/>
    </xf>
    <xf numFmtId="43" fontId="8" fillId="6" borderId="75" xfId="1" applyFont="1" applyFill="1" applyBorder="1" applyAlignment="1">
      <alignment horizontal="center" vertical="center"/>
    </xf>
    <xf numFmtId="43" fontId="8" fillId="6" borderId="66" xfId="1" applyFont="1" applyFill="1" applyBorder="1" applyAlignment="1">
      <alignment horizontal="center" vertical="center"/>
    </xf>
    <xf numFmtId="43" fontId="8" fillId="6" borderId="79" xfId="1" applyFont="1" applyFill="1" applyBorder="1" applyAlignment="1">
      <alignment horizontal="center" vertical="center"/>
    </xf>
    <xf numFmtId="43" fontId="11" fillId="6" borderId="66" xfId="1" applyFont="1" applyFill="1" applyBorder="1" applyAlignment="1">
      <alignment horizontal="right" vertical="center"/>
    </xf>
    <xf numFmtId="43" fontId="11" fillId="6" borderId="66" xfId="1" applyFont="1" applyFill="1" applyBorder="1" applyAlignment="1">
      <alignment horizontal="center" vertical="center"/>
    </xf>
    <xf numFmtId="0" fontId="9" fillId="6" borderId="90" xfId="3" applyFont="1" applyFill="1" applyBorder="1" applyAlignment="1">
      <alignment horizontal="center" vertical="center"/>
    </xf>
    <xf numFmtId="43" fontId="9" fillId="6" borderId="57" xfId="1" applyFont="1" applyFill="1" applyBorder="1" applyAlignment="1">
      <alignment horizontal="center" vertical="center"/>
    </xf>
    <xf numFmtId="43" fontId="8" fillId="7" borderId="72" xfId="1" applyFont="1" applyFill="1" applyBorder="1" applyAlignment="1">
      <alignment horizontal="center" vertical="center"/>
    </xf>
    <xf numFmtId="43" fontId="8" fillId="7" borderId="64" xfId="1" applyFont="1" applyFill="1" applyBorder="1" applyAlignment="1">
      <alignment horizontal="center" vertical="center"/>
    </xf>
    <xf numFmtId="43" fontId="9" fillId="7" borderId="64" xfId="1" applyFont="1" applyFill="1" applyBorder="1" applyAlignment="1">
      <alignment horizontal="center" vertical="center"/>
    </xf>
    <xf numFmtId="43" fontId="9" fillId="7" borderId="80" xfId="1" applyFont="1" applyFill="1" applyBorder="1" applyAlignment="1">
      <alignment horizontal="center" vertical="center"/>
    </xf>
    <xf numFmtId="43" fontId="8" fillId="6" borderId="97" xfId="1" applyFont="1" applyFill="1" applyBorder="1" applyAlignment="1">
      <alignment horizontal="center" vertical="center"/>
    </xf>
    <xf numFmtId="43" fontId="9" fillId="6" borderId="97" xfId="1" applyFont="1" applyFill="1" applyBorder="1" applyAlignment="1">
      <alignment horizontal="center" vertical="center"/>
    </xf>
    <xf numFmtId="43" fontId="9" fillId="8" borderId="94" xfId="1" applyFont="1" applyFill="1" applyBorder="1" applyAlignment="1">
      <alignment horizontal="center" vertical="center"/>
    </xf>
    <xf numFmtId="43" fontId="9" fillId="8" borderId="38" xfId="1" applyFont="1" applyFill="1" applyBorder="1" applyAlignment="1">
      <alignment horizontal="center" vertical="center"/>
    </xf>
    <xf numFmtId="2" fontId="10" fillId="8" borderId="95" xfId="1" applyNumberFormat="1" applyFont="1" applyFill="1" applyBorder="1" applyAlignment="1">
      <alignment horizontal="left" vertical="center"/>
    </xf>
    <xf numFmtId="2" fontId="10" fillId="8" borderId="95" xfId="1" applyNumberFormat="1" applyFont="1" applyFill="1" applyBorder="1" applyAlignment="1">
      <alignment horizontal="right" vertical="center"/>
    </xf>
    <xf numFmtId="0" fontId="9" fillId="3" borderId="22" xfId="0" applyFont="1" applyFill="1" applyBorder="1" applyAlignment="1">
      <alignment horizontal="center" vertical="center"/>
    </xf>
    <xf numFmtId="43" fontId="8" fillId="3" borderId="23" xfId="1" applyFont="1" applyFill="1" applyBorder="1" applyAlignment="1">
      <alignment horizontal="center" vertical="center"/>
    </xf>
    <xf numFmtId="43" fontId="8" fillId="3" borderId="77" xfId="1" applyFont="1" applyFill="1" applyBorder="1" applyAlignment="1">
      <alignment horizontal="center" vertical="center"/>
    </xf>
    <xf numFmtId="43" fontId="8" fillId="7" borderId="69" xfId="1" applyFont="1" applyFill="1" applyBorder="1" applyAlignment="1">
      <alignment horizontal="center" vertical="center"/>
    </xf>
    <xf numFmtId="2" fontId="10" fillId="8" borderId="96" xfId="1" applyNumberFormat="1" applyFont="1" applyFill="1" applyBorder="1" applyAlignment="1">
      <alignment horizontal="left" vertical="center"/>
    </xf>
    <xf numFmtId="10" fontId="2" fillId="3" borderId="26" xfId="2" applyNumberFormat="1" applyFont="1" applyFill="1" applyBorder="1"/>
    <xf numFmtId="0" fontId="9" fillId="2" borderId="98" xfId="3" applyFont="1" applyFill="1" applyBorder="1" applyAlignment="1">
      <alignment horizontal="center" vertical="center"/>
    </xf>
    <xf numFmtId="43" fontId="9" fillId="2" borderId="99" xfId="1" applyFont="1" applyFill="1" applyBorder="1" applyAlignment="1">
      <alignment horizontal="center" vertical="center"/>
    </xf>
    <xf numFmtId="43" fontId="9" fillId="2" borderId="100" xfId="1" applyFont="1" applyFill="1" applyBorder="1" applyAlignment="1">
      <alignment horizontal="center" vertical="center"/>
    </xf>
    <xf numFmtId="43" fontId="9" fillId="7" borderId="101" xfId="1" applyFont="1" applyFill="1" applyBorder="1" applyAlignment="1">
      <alignment horizontal="center" vertical="center"/>
    </xf>
    <xf numFmtId="43" fontId="9" fillId="6" borderId="102" xfId="1" applyFont="1" applyFill="1" applyBorder="1" applyAlignment="1">
      <alignment horizontal="center" vertical="center"/>
    </xf>
    <xf numFmtId="43" fontId="9" fillId="6" borderId="99" xfId="1" applyFont="1" applyFill="1" applyBorder="1" applyAlignment="1">
      <alignment horizontal="center" vertical="center"/>
    </xf>
    <xf numFmtId="43" fontId="9" fillId="6" borderId="103" xfId="1" applyFont="1" applyFill="1" applyBorder="1" applyAlignment="1">
      <alignment horizontal="center" vertical="center"/>
    </xf>
    <xf numFmtId="2" fontId="10" fillId="8" borderId="104" xfId="1" applyNumberFormat="1" applyFont="1" applyFill="1" applyBorder="1" applyAlignment="1">
      <alignment horizontal="right" vertical="center"/>
    </xf>
    <xf numFmtId="10" fontId="2" fillId="0" borderId="104" xfId="2" applyNumberFormat="1" applyFont="1" applyBorder="1"/>
    <xf numFmtId="0" fontId="2" fillId="0" borderId="0" xfId="0" applyFont="1" applyFill="1"/>
    <xf numFmtId="43" fontId="0" fillId="0" borderId="0" xfId="0" applyNumberFormat="1" applyFill="1"/>
    <xf numFmtId="43" fontId="2" fillId="0" borderId="0" xfId="0" applyNumberFormat="1" applyFont="1" applyFill="1"/>
    <xf numFmtId="0" fontId="22" fillId="0" borderId="0" xfId="0" applyFont="1"/>
    <xf numFmtId="0" fontId="6" fillId="0" borderId="27" xfId="3" applyFont="1" applyBorder="1" applyAlignment="1">
      <alignment vertical="center"/>
    </xf>
    <xf numFmtId="0" fontId="6" fillId="0" borderId="6" xfId="3" applyFont="1" applyBorder="1" applyAlignment="1">
      <alignment horizontal="center" vertical="center"/>
    </xf>
    <xf numFmtId="0" fontId="6" fillId="0" borderId="12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6" borderId="37" xfId="3" applyFont="1" applyFill="1" applyBorder="1" applyAlignment="1">
      <alignment horizontal="center" vertical="center"/>
    </xf>
    <xf numFmtId="0" fontId="6" fillId="6" borderId="13" xfId="3" applyFont="1" applyFill="1" applyBorder="1" applyAlignment="1">
      <alignment horizontal="center" vertical="center"/>
    </xf>
    <xf numFmtId="0" fontId="6" fillId="6" borderId="90" xfId="3" applyFont="1" applyFill="1" applyBorder="1" applyAlignment="1">
      <alignment horizontal="center" vertical="center"/>
    </xf>
    <xf numFmtId="0" fontId="24" fillId="0" borderId="30" xfId="3" applyFont="1" applyBorder="1" applyAlignment="1">
      <alignment horizontal="left" vertical="center"/>
    </xf>
    <xf numFmtId="43" fontId="4" fillId="0" borderId="31" xfId="1" applyFont="1" applyFill="1" applyBorder="1" applyAlignment="1">
      <alignment horizontal="center" vertical="center"/>
    </xf>
    <xf numFmtId="43" fontId="4" fillId="0" borderId="60" xfId="1" applyFont="1" applyFill="1" applyBorder="1" applyAlignment="1">
      <alignment horizontal="center" vertical="center"/>
    </xf>
    <xf numFmtId="43" fontId="4" fillId="7" borderId="72" xfId="1" applyFont="1" applyFill="1" applyBorder="1" applyAlignment="1">
      <alignment horizontal="center" vertical="center"/>
    </xf>
    <xf numFmtId="43" fontId="4" fillId="6" borderId="92" xfId="1" applyFont="1" applyFill="1" applyBorder="1" applyAlignment="1">
      <alignment horizontal="center" vertical="center"/>
    </xf>
    <xf numFmtId="43" fontId="4" fillId="6" borderId="31" xfId="1" applyFont="1" applyFill="1" applyBorder="1" applyAlignment="1">
      <alignment horizontal="center" vertical="center"/>
    </xf>
    <xf numFmtId="43" fontId="4" fillId="6" borderId="75" xfId="1" applyFont="1" applyFill="1" applyBorder="1" applyAlignment="1">
      <alignment horizontal="center" vertical="center"/>
    </xf>
    <xf numFmtId="43" fontId="6" fillId="8" borderId="94" xfId="1" applyFont="1" applyFill="1" applyBorder="1" applyAlignment="1">
      <alignment horizontal="center" vertical="center"/>
    </xf>
    <xf numFmtId="10" fontId="25" fillId="2" borderId="34" xfId="2" applyNumberFormat="1" applyFont="1" applyFill="1" applyBorder="1"/>
    <xf numFmtId="43" fontId="22" fillId="0" borderId="0" xfId="0" applyNumberFormat="1" applyFont="1"/>
    <xf numFmtId="0" fontId="24" fillId="0" borderId="18" xfId="3" applyFont="1" applyBorder="1" applyAlignment="1">
      <alignment horizontal="left" vertical="center"/>
    </xf>
    <xf numFmtId="43" fontId="4" fillId="0" borderId="19" xfId="1" applyFont="1" applyFill="1" applyBorder="1" applyAlignment="1">
      <alignment horizontal="center" vertical="center"/>
    </xf>
    <xf numFmtId="43" fontId="4" fillId="0" borderId="76" xfId="1" applyFont="1" applyFill="1" applyBorder="1" applyAlignment="1">
      <alignment horizontal="center" vertical="center"/>
    </xf>
    <xf numFmtId="43" fontId="4" fillId="6" borderId="97" xfId="1" applyFont="1" applyFill="1" applyBorder="1" applyAlignment="1">
      <alignment horizontal="center" vertical="center"/>
    </xf>
    <xf numFmtId="43" fontId="4" fillId="6" borderId="19" xfId="1" applyFont="1" applyFill="1" applyBorder="1" applyAlignment="1">
      <alignment horizontal="center" vertical="center"/>
    </xf>
    <xf numFmtId="43" fontId="4" fillId="6" borderId="66" xfId="1" applyFont="1" applyFill="1" applyBorder="1" applyAlignment="1">
      <alignment horizontal="center" vertical="center"/>
    </xf>
    <xf numFmtId="43" fontId="4" fillId="7" borderId="64" xfId="1" applyFont="1" applyFill="1" applyBorder="1" applyAlignment="1">
      <alignment horizontal="center" vertical="center"/>
    </xf>
    <xf numFmtId="10" fontId="25" fillId="2" borderId="20" xfId="2" applyNumberFormat="1" applyFont="1" applyFill="1" applyBorder="1"/>
    <xf numFmtId="1" fontId="22" fillId="0" borderId="0" xfId="0" applyNumberFormat="1" applyFont="1" applyAlignment="1">
      <alignment horizontal="center"/>
    </xf>
    <xf numFmtId="43" fontId="22" fillId="6" borderId="0" xfId="0" applyNumberFormat="1" applyFont="1" applyFill="1"/>
    <xf numFmtId="0" fontId="6" fillId="2" borderId="18" xfId="3" applyFont="1" applyFill="1" applyBorder="1" applyAlignment="1">
      <alignment horizontal="center" vertical="center"/>
    </xf>
    <xf numFmtId="43" fontId="6" fillId="2" borderId="19" xfId="1" applyFont="1" applyFill="1" applyBorder="1" applyAlignment="1">
      <alignment horizontal="center" vertical="center"/>
    </xf>
    <xf numFmtId="43" fontId="6" fillId="2" borderId="76" xfId="1" applyFont="1" applyFill="1" applyBorder="1" applyAlignment="1">
      <alignment horizontal="center" vertical="center"/>
    </xf>
    <xf numFmtId="43" fontId="6" fillId="7" borderId="64" xfId="1" applyFont="1" applyFill="1" applyBorder="1" applyAlignment="1">
      <alignment horizontal="center" vertical="center"/>
    </xf>
    <xf numFmtId="43" fontId="6" fillId="6" borderId="97" xfId="1" applyFont="1" applyFill="1" applyBorder="1" applyAlignment="1">
      <alignment horizontal="center" vertical="center"/>
    </xf>
    <xf numFmtId="43" fontId="6" fillId="6" borderId="19" xfId="1" applyFont="1" applyFill="1" applyBorder="1" applyAlignment="1">
      <alignment horizontal="center" vertical="center"/>
    </xf>
    <xf numFmtId="43" fontId="6" fillId="6" borderId="57" xfId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4" fillId="0" borderId="18" xfId="0" applyFont="1" applyFill="1" applyBorder="1" applyAlignment="1">
      <alignment horizontal="left" vertical="center"/>
    </xf>
    <xf numFmtId="2" fontId="22" fillId="6" borderId="0" xfId="0" applyNumberFormat="1" applyFont="1" applyFill="1"/>
    <xf numFmtId="2" fontId="22" fillId="0" borderId="0" xfId="0" applyNumberFormat="1" applyFont="1"/>
    <xf numFmtId="43" fontId="4" fillId="3" borderId="19" xfId="1" applyFont="1" applyFill="1" applyBorder="1" applyAlignment="1">
      <alignment horizontal="center" vertical="center"/>
    </xf>
    <xf numFmtId="43" fontId="4" fillId="3" borderId="76" xfId="1" applyFont="1" applyFill="1" applyBorder="1" applyAlignment="1">
      <alignment horizontal="center" vertical="center"/>
    </xf>
    <xf numFmtId="10" fontId="22" fillId="6" borderId="0" xfId="2" applyNumberFormat="1" applyFont="1" applyFill="1"/>
    <xf numFmtId="0" fontId="25" fillId="0" borderId="0" xfId="0" applyFont="1"/>
    <xf numFmtId="0" fontId="24" fillId="0" borderId="22" xfId="3" applyFont="1" applyBorder="1" applyAlignment="1">
      <alignment horizontal="left" vertical="center"/>
    </xf>
    <xf numFmtId="43" fontId="4" fillId="0" borderId="23" xfId="1" applyFont="1" applyFill="1" applyBorder="1" applyAlignment="1">
      <alignment horizontal="center" vertical="center"/>
    </xf>
    <xf numFmtId="43" fontId="4" fillId="0" borderId="77" xfId="1" applyFont="1" applyFill="1" applyBorder="1" applyAlignment="1">
      <alignment horizontal="center" vertical="center"/>
    </xf>
    <xf numFmtId="43" fontId="4" fillId="6" borderId="93" xfId="1" applyFont="1" applyFill="1" applyBorder="1" applyAlignment="1">
      <alignment horizontal="center" vertical="center"/>
    </xf>
    <xf numFmtId="43" fontId="4" fillId="6" borderId="23" xfId="1" applyFont="1" applyFill="1" applyBorder="1" applyAlignment="1">
      <alignment horizontal="center" vertical="center"/>
    </xf>
    <xf numFmtId="43" fontId="4" fillId="6" borderId="79" xfId="1" applyFont="1" applyFill="1" applyBorder="1" applyAlignment="1">
      <alignment horizontal="center" vertical="center"/>
    </xf>
    <xf numFmtId="10" fontId="25" fillId="2" borderId="26" xfId="2" applyNumberFormat="1" applyFont="1" applyFill="1" applyBorder="1"/>
    <xf numFmtId="0" fontId="6" fillId="2" borderId="27" xfId="3" applyFont="1" applyFill="1" applyBorder="1" applyAlignment="1">
      <alignment horizontal="center" vertical="center"/>
    </xf>
    <xf numFmtId="43" fontId="6" fillId="2" borderId="13" xfId="1" applyFont="1" applyFill="1" applyBorder="1" applyAlignment="1">
      <alignment horizontal="center" vertical="center"/>
    </xf>
    <xf numFmtId="43" fontId="6" fillId="2" borderId="14" xfId="1" applyFont="1" applyFill="1" applyBorder="1" applyAlignment="1">
      <alignment horizontal="center" vertical="center"/>
    </xf>
    <xf numFmtId="43" fontId="6" fillId="7" borderId="80" xfId="1" applyFont="1" applyFill="1" applyBorder="1" applyAlignment="1">
      <alignment horizontal="center" vertical="center"/>
    </xf>
    <xf numFmtId="43" fontId="6" fillId="6" borderId="37" xfId="1" applyFont="1" applyFill="1" applyBorder="1" applyAlignment="1">
      <alignment horizontal="center" vertical="center"/>
    </xf>
    <xf numFmtId="43" fontId="6" fillId="6" borderId="13" xfId="1" applyFont="1" applyFill="1" applyBorder="1" applyAlignment="1">
      <alignment horizontal="center" vertical="center"/>
    </xf>
    <xf numFmtId="43" fontId="6" fillId="6" borderId="8" xfId="1" applyFont="1" applyFill="1" applyBorder="1" applyAlignment="1">
      <alignment horizontal="center" vertical="center"/>
    </xf>
    <xf numFmtId="43" fontId="6" fillId="8" borderId="38" xfId="1" applyFont="1" applyFill="1" applyBorder="1" applyAlignment="1">
      <alignment horizontal="center" vertical="center"/>
    </xf>
    <xf numFmtId="10" fontId="25" fillId="2" borderId="29" xfId="2" applyNumberFormat="1" applyFont="1" applyFill="1" applyBorder="1"/>
    <xf numFmtId="0" fontId="6" fillId="0" borderId="30" xfId="0" applyFont="1" applyBorder="1" applyAlignment="1">
      <alignment horizontal="left" vertical="center"/>
    </xf>
    <xf numFmtId="0" fontId="6" fillId="3" borderId="18" xfId="0" applyFont="1" applyFill="1" applyBorder="1" applyAlignment="1">
      <alignment horizontal="center" vertical="center"/>
    </xf>
    <xf numFmtId="43" fontId="4" fillId="6" borderId="21" xfId="1" applyFont="1" applyFill="1" applyBorder="1" applyAlignment="1">
      <alignment horizontal="center" vertical="center"/>
    </xf>
    <xf numFmtId="2" fontId="26" fillId="8" borderId="95" xfId="1" applyNumberFormat="1" applyFont="1" applyFill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2" fontId="26" fillId="8" borderId="95" xfId="1" applyNumberFormat="1" applyFont="1" applyFill="1" applyBorder="1" applyAlignment="1">
      <alignment horizontal="right" vertical="center"/>
    </xf>
    <xf numFmtId="43" fontId="17" fillId="0" borderId="19" xfId="1" applyFont="1" applyFill="1" applyBorder="1" applyAlignment="1">
      <alignment horizontal="center" vertical="center"/>
    </xf>
    <xf numFmtId="43" fontId="17" fillId="0" borderId="76" xfId="1" applyFont="1" applyFill="1" applyBorder="1" applyAlignment="1">
      <alignment horizontal="center" vertical="center"/>
    </xf>
    <xf numFmtId="43" fontId="17" fillId="6" borderId="21" xfId="1" applyFont="1" applyFill="1" applyBorder="1" applyAlignment="1">
      <alignment horizontal="center" vertical="center"/>
    </xf>
    <xf numFmtId="43" fontId="17" fillId="6" borderId="19" xfId="1" applyFont="1" applyFill="1" applyBorder="1" applyAlignment="1">
      <alignment horizontal="center" vertical="center"/>
    </xf>
    <xf numFmtId="43" fontId="17" fillId="6" borderId="66" xfId="1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left" vertical="center"/>
    </xf>
    <xf numFmtId="43" fontId="17" fillId="6" borderId="66" xfId="1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center" vertical="center"/>
    </xf>
    <xf numFmtId="43" fontId="4" fillId="3" borderId="23" xfId="1" applyFont="1" applyFill="1" applyBorder="1" applyAlignment="1">
      <alignment horizontal="center" vertical="center"/>
    </xf>
    <xf numFmtId="43" fontId="4" fillId="3" borderId="77" xfId="1" applyFont="1" applyFill="1" applyBorder="1" applyAlignment="1">
      <alignment horizontal="center" vertical="center"/>
    </xf>
    <xf numFmtId="43" fontId="4" fillId="7" borderId="69" xfId="1" applyFont="1" applyFill="1" applyBorder="1" applyAlignment="1">
      <alignment horizontal="center" vertical="center"/>
    </xf>
    <xf numFmtId="2" fontId="26" fillId="8" borderId="96" xfId="1" applyNumberFormat="1" applyFont="1" applyFill="1" applyBorder="1" applyAlignment="1">
      <alignment horizontal="left" vertical="center"/>
    </xf>
    <xf numFmtId="0" fontId="6" fillId="2" borderId="98" xfId="3" applyFont="1" applyFill="1" applyBorder="1" applyAlignment="1">
      <alignment horizontal="center" vertical="center"/>
    </xf>
    <xf numFmtId="43" fontId="6" fillId="2" borderId="99" xfId="1" applyFont="1" applyFill="1" applyBorder="1" applyAlignment="1">
      <alignment horizontal="center" vertical="center"/>
    </xf>
    <xf numFmtId="43" fontId="6" fillId="2" borderId="100" xfId="1" applyFont="1" applyFill="1" applyBorder="1" applyAlignment="1">
      <alignment horizontal="center" vertical="center"/>
    </xf>
    <xf numFmtId="43" fontId="6" fillId="7" borderId="101" xfId="1" applyFont="1" applyFill="1" applyBorder="1" applyAlignment="1">
      <alignment horizontal="center" vertical="center"/>
    </xf>
    <xf numFmtId="43" fontId="6" fillId="6" borderId="102" xfId="1" applyFont="1" applyFill="1" applyBorder="1" applyAlignment="1">
      <alignment horizontal="center" vertical="center"/>
    </xf>
    <xf numFmtId="43" fontId="6" fillId="6" borderId="99" xfId="1" applyFont="1" applyFill="1" applyBorder="1" applyAlignment="1">
      <alignment horizontal="center" vertical="center"/>
    </xf>
    <xf numFmtId="43" fontId="6" fillId="6" borderId="103" xfId="1" applyFont="1" applyFill="1" applyBorder="1" applyAlignment="1">
      <alignment horizontal="center" vertical="center"/>
    </xf>
    <xf numFmtId="2" fontId="26" fillId="8" borderId="104" xfId="1" applyNumberFormat="1" applyFont="1" applyFill="1" applyBorder="1" applyAlignment="1">
      <alignment horizontal="right" vertical="center"/>
    </xf>
    <xf numFmtId="10" fontId="25" fillId="2" borderId="104" xfId="2" applyNumberFormat="1" applyFont="1" applyFill="1" applyBorder="1"/>
    <xf numFmtId="10" fontId="0" fillId="0" borderId="0" xfId="2" applyNumberFormat="1" applyFont="1" applyFill="1"/>
    <xf numFmtId="10" fontId="22" fillId="6" borderId="0" xfId="0" applyNumberFormat="1" applyFont="1" applyFill="1"/>
    <xf numFmtId="0" fontId="9" fillId="0" borderId="4" xfId="3" applyFont="1" applyBorder="1" applyAlignment="1">
      <alignment horizontal="center"/>
    </xf>
    <xf numFmtId="0" fontId="9" fillId="0" borderId="0" xfId="3" applyFont="1" applyBorder="1" applyAlignment="1">
      <alignment horizontal="center"/>
    </xf>
    <xf numFmtId="0" fontId="9" fillId="7" borderId="47" xfId="3" applyFont="1" applyFill="1" applyBorder="1" applyAlignment="1">
      <alignment horizontal="center" vertical="center"/>
    </xf>
    <xf numFmtId="0" fontId="9" fillId="7" borderId="46" xfId="3" applyFont="1" applyFill="1" applyBorder="1" applyAlignment="1">
      <alignment horizontal="center" vertical="center"/>
    </xf>
    <xf numFmtId="0" fontId="9" fillId="7" borderId="48" xfId="3" applyFont="1" applyFill="1" applyBorder="1" applyAlignment="1">
      <alignment horizontal="center" vertical="center"/>
    </xf>
    <xf numFmtId="43" fontId="9" fillId="7" borderId="51" xfId="1" applyFont="1" applyFill="1" applyBorder="1" applyAlignment="1">
      <alignment horizontal="center" vertical="center"/>
    </xf>
    <xf numFmtId="43" fontId="9" fillId="7" borderId="52" xfId="1" applyFont="1" applyFill="1" applyBorder="1" applyAlignment="1">
      <alignment horizontal="center" vertical="center"/>
    </xf>
    <xf numFmtId="43" fontId="9" fillId="7" borderId="53" xfId="1" applyFont="1" applyFill="1" applyBorder="1" applyAlignment="1">
      <alignment horizontal="center" vertical="center"/>
    </xf>
    <xf numFmtId="2" fontId="14" fillId="7" borderId="58" xfId="0" applyNumberFormat="1" applyFont="1" applyFill="1" applyBorder="1" applyAlignment="1">
      <alignment horizontal="center" vertical="center"/>
    </xf>
    <xf numFmtId="2" fontId="14" fillId="7" borderId="31" xfId="0" applyNumberFormat="1" applyFont="1" applyFill="1" applyBorder="1" applyAlignment="1">
      <alignment horizontal="center" vertical="center"/>
    </xf>
    <xf numFmtId="2" fontId="14" fillId="7" borderId="60" xfId="0" applyNumberFormat="1" applyFont="1" applyFill="1" applyBorder="1" applyAlignment="1">
      <alignment horizontal="center" vertical="center"/>
    </xf>
    <xf numFmtId="2" fontId="14" fillId="7" borderId="105" xfId="0" applyNumberFormat="1" applyFont="1" applyFill="1" applyBorder="1" applyAlignment="1">
      <alignment horizontal="center" vertical="center"/>
    </xf>
    <xf numFmtId="2" fontId="14" fillId="7" borderId="106" xfId="0" applyNumberFormat="1" applyFont="1" applyFill="1" applyBorder="1" applyAlignment="1">
      <alignment horizontal="center" vertical="center"/>
    </xf>
    <xf numFmtId="2" fontId="14" fillId="7" borderId="107" xfId="0" applyNumberFormat="1" applyFont="1" applyFill="1" applyBorder="1" applyAlignment="1">
      <alignment horizontal="center" vertical="center"/>
    </xf>
    <xf numFmtId="43" fontId="9" fillId="7" borderId="16" xfId="1" applyFont="1" applyFill="1" applyBorder="1" applyAlignment="1">
      <alignment horizontal="center" vertical="center"/>
    </xf>
    <xf numFmtId="43" fontId="9" fillId="7" borderId="65" xfId="1" applyFont="1" applyFill="1" applyBorder="1" applyAlignment="1">
      <alignment horizontal="center" vertical="center"/>
    </xf>
    <xf numFmtId="43" fontId="8" fillId="7" borderId="66" xfId="1" applyFont="1" applyFill="1" applyBorder="1" applyAlignment="1">
      <alignment horizontal="center" vertical="center"/>
    </xf>
    <xf numFmtId="43" fontId="8" fillId="7" borderId="65" xfId="1" applyFont="1" applyFill="1" applyBorder="1" applyAlignment="1">
      <alignment horizontal="center" vertical="center"/>
    </xf>
    <xf numFmtId="43" fontId="8" fillId="7" borderId="67" xfId="1" applyFont="1" applyFill="1" applyBorder="1" applyAlignment="1">
      <alignment horizontal="center" vertical="center"/>
    </xf>
    <xf numFmtId="43" fontId="8" fillId="7" borderId="68" xfId="1" applyFont="1" applyFill="1" applyBorder="1" applyAlignment="1">
      <alignment horizontal="center" vertical="center"/>
    </xf>
    <xf numFmtId="43" fontId="0" fillId="7" borderId="65" xfId="1" applyFont="1" applyFill="1" applyBorder="1" applyAlignment="1">
      <alignment horizontal="center" vertical="center"/>
    </xf>
    <xf numFmtId="43" fontId="8" fillId="7" borderId="71" xfId="1" applyFont="1" applyFill="1" applyBorder="1" applyAlignment="1">
      <alignment horizontal="center" vertical="center"/>
    </xf>
    <xf numFmtId="43" fontId="0" fillId="7" borderId="68" xfId="1" applyFont="1" applyFill="1" applyBorder="1" applyAlignment="1">
      <alignment horizontal="center" vertical="center"/>
    </xf>
    <xf numFmtId="43" fontId="9" fillId="7" borderId="72" xfId="1" applyFont="1" applyFill="1" applyBorder="1" applyAlignment="1">
      <alignment horizontal="center" vertical="center"/>
    </xf>
    <xf numFmtId="43" fontId="9" fillId="7" borderId="67" xfId="1" applyFont="1" applyFill="1" applyBorder="1" applyAlignment="1">
      <alignment horizontal="center" vertical="center"/>
    </xf>
    <xf numFmtId="43" fontId="0" fillId="7" borderId="64" xfId="1" applyFont="1" applyFill="1" applyBorder="1" applyAlignment="1">
      <alignment horizontal="center" vertical="center"/>
    </xf>
    <xf numFmtId="43" fontId="11" fillId="7" borderId="64" xfId="1" applyFont="1" applyFill="1" applyBorder="1" applyAlignment="1">
      <alignment horizontal="center" vertical="center"/>
    </xf>
    <xf numFmtId="43" fontId="11" fillId="7" borderId="65" xfId="1" applyFont="1" applyFill="1" applyBorder="1" applyAlignment="1">
      <alignment horizontal="center" vertical="center"/>
    </xf>
    <xf numFmtId="43" fontId="8" fillId="7" borderId="73" xfId="1" applyFont="1" applyFill="1" applyBorder="1" applyAlignment="1">
      <alignment horizontal="center" vertical="center"/>
    </xf>
    <xf numFmtId="43" fontId="0" fillId="7" borderId="73" xfId="1" applyFont="1" applyFill="1" applyBorder="1" applyAlignment="1">
      <alignment horizontal="center" vertical="center"/>
    </xf>
    <xf numFmtId="43" fontId="8" fillId="7" borderId="75" xfId="1" applyFont="1" applyFill="1" applyBorder="1" applyAlignment="1">
      <alignment horizontal="center" vertical="center"/>
    </xf>
    <xf numFmtId="43" fontId="15" fillId="7" borderId="64" xfId="1" applyFont="1" applyFill="1" applyBorder="1" applyAlignment="1">
      <alignment horizontal="center" vertical="center"/>
    </xf>
    <xf numFmtId="43" fontId="15" fillId="7" borderId="65" xfId="1" applyFont="1" applyFill="1" applyBorder="1" applyAlignment="1">
      <alignment horizontal="center" vertical="center"/>
    </xf>
    <xf numFmtId="43" fontId="8" fillId="7" borderId="78" xfId="1" applyFont="1" applyFill="1" applyBorder="1" applyAlignment="1">
      <alignment horizontal="center" vertical="center"/>
    </xf>
    <xf numFmtId="43" fontId="8" fillId="7" borderId="79" xfId="1" applyFont="1" applyFill="1" applyBorder="1" applyAlignment="1">
      <alignment horizontal="center" vertical="center"/>
    </xf>
    <xf numFmtId="43" fontId="8" fillId="7" borderId="0" xfId="1" applyFont="1" applyFill="1" applyBorder="1" applyAlignment="1">
      <alignment horizontal="center" vertical="center"/>
    </xf>
    <xf numFmtId="43" fontId="9" fillId="7" borderId="85" xfId="1" applyFont="1" applyFill="1" applyBorder="1" applyAlignment="1">
      <alignment horizontal="center" vertical="center"/>
    </xf>
    <xf numFmtId="43" fontId="8" fillId="7" borderId="70" xfId="1" applyFont="1" applyFill="1" applyBorder="1" applyAlignment="1">
      <alignment horizontal="center" vertical="center"/>
    </xf>
    <xf numFmtId="43" fontId="8" fillId="7" borderId="86" xfId="1" applyFont="1" applyFill="1" applyBorder="1" applyAlignment="1">
      <alignment horizontal="center" vertical="center"/>
    </xf>
    <xf numFmtId="43" fontId="8" fillId="7" borderId="87" xfId="1" applyFont="1" applyFill="1" applyBorder="1" applyAlignment="1">
      <alignment horizontal="center" vertical="center"/>
    </xf>
    <xf numFmtId="43" fontId="9" fillId="7" borderId="66" xfId="1" applyFont="1" applyFill="1" applyBorder="1" applyAlignment="1">
      <alignment horizontal="center" vertical="center"/>
    </xf>
    <xf numFmtId="43" fontId="9" fillId="7" borderId="75" xfId="1" applyFont="1" applyFill="1" applyBorder="1" applyAlignment="1">
      <alignment horizontal="center" vertical="center"/>
    </xf>
    <xf numFmtId="43" fontId="9" fillId="7" borderId="78" xfId="1" applyFont="1" applyFill="1" applyBorder="1" applyAlignment="1">
      <alignment horizontal="center" vertical="center"/>
    </xf>
    <xf numFmtId="43" fontId="9" fillId="7" borderId="71" xfId="1" applyFont="1" applyFill="1" applyBorder="1" applyAlignment="1">
      <alignment horizontal="center" vertical="center"/>
    </xf>
    <xf numFmtId="43" fontId="9" fillId="7" borderId="69" xfId="1" applyFont="1" applyFill="1" applyBorder="1" applyAlignment="1">
      <alignment horizontal="center" vertical="center"/>
    </xf>
    <xf numFmtId="43" fontId="9" fillId="7" borderId="79" xfId="1" applyFont="1" applyFill="1" applyBorder="1" applyAlignment="1">
      <alignment horizontal="center" vertical="center"/>
    </xf>
    <xf numFmtId="2" fontId="9" fillId="7" borderId="32" xfId="0" applyNumberFormat="1" applyFont="1" applyFill="1" applyBorder="1" applyAlignment="1">
      <alignment horizontal="right" vertical="center"/>
    </xf>
    <xf numFmtId="43" fontId="9" fillId="7" borderId="68" xfId="1" applyFont="1" applyFill="1" applyBorder="1" applyAlignment="1">
      <alignment horizontal="center" vertical="center"/>
    </xf>
    <xf numFmtId="43" fontId="2" fillId="7" borderId="65" xfId="1" applyFont="1" applyFill="1" applyBorder="1" applyAlignment="1">
      <alignment horizontal="center" vertical="center"/>
    </xf>
    <xf numFmtId="43" fontId="2" fillId="7" borderId="64" xfId="1" applyFont="1" applyFill="1" applyBorder="1" applyAlignment="1">
      <alignment horizontal="center" vertical="center"/>
    </xf>
    <xf numFmtId="43" fontId="9" fillId="6" borderId="52" xfId="1" applyFont="1" applyFill="1" applyBorder="1" applyAlignment="1">
      <alignment horizontal="center" vertical="center"/>
    </xf>
    <xf numFmtId="43" fontId="9" fillId="6" borderId="54" xfId="1" applyFont="1" applyFill="1" applyBorder="1" applyAlignment="1">
      <alignment horizontal="center" vertical="center"/>
    </xf>
    <xf numFmtId="43" fontId="9" fillId="6" borderId="51" xfId="1" applyFont="1" applyFill="1" applyBorder="1" applyAlignment="1">
      <alignment horizontal="center" vertical="center"/>
    </xf>
    <xf numFmtId="2" fontId="14" fillId="6" borderId="92" xfId="0" applyNumberFormat="1" applyFont="1" applyFill="1" applyBorder="1" applyAlignment="1">
      <alignment horizontal="center" vertical="center"/>
    </xf>
    <xf numFmtId="2" fontId="14" fillId="6" borderId="31" xfId="0" applyNumberFormat="1" applyFont="1" applyFill="1" applyBorder="1" applyAlignment="1">
      <alignment horizontal="center" vertical="center"/>
    </xf>
    <xf numFmtId="2" fontId="14" fillId="6" borderId="59" xfId="0" applyNumberFormat="1" applyFont="1" applyFill="1" applyBorder="1" applyAlignment="1">
      <alignment horizontal="center" vertical="center"/>
    </xf>
    <xf numFmtId="2" fontId="14" fillId="6" borderId="58" xfId="0" applyNumberFormat="1" applyFont="1" applyFill="1" applyBorder="1" applyAlignment="1">
      <alignment horizontal="center" vertical="center"/>
    </xf>
    <xf numFmtId="2" fontId="14" fillId="6" borderId="60" xfId="0" applyNumberFormat="1" applyFont="1" applyFill="1" applyBorder="1" applyAlignment="1">
      <alignment horizontal="center" vertical="center"/>
    </xf>
    <xf numFmtId="2" fontId="14" fillId="6" borderId="75" xfId="0" applyNumberFormat="1" applyFont="1" applyFill="1" applyBorder="1" applyAlignment="1">
      <alignment horizontal="center" vertical="center"/>
    </xf>
    <xf numFmtId="2" fontId="14" fillId="6" borderId="0" xfId="0" applyNumberFormat="1" applyFont="1" applyFill="1" applyBorder="1" applyAlignment="1">
      <alignment horizontal="center" vertical="center"/>
    </xf>
    <xf numFmtId="43" fontId="9" fillId="6" borderId="64" xfId="1" applyFont="1" applyFill="1" applyBorder="1" applyAlignment="1">
      <alignment horizontal="center" vertical="center"/>
    </xf>
    <xf numFmtId="43" fontId="9" fillId="6" borderId="16" xfId="1" applyFont="1" applyFill="1" applyBorder="1" applyAlignment="1">
      <alignment horizontal="center" vertical="center"/>
    </xf>
    <xf numFmtId="43" fontId="9" fillId="6" borderId="75" xfId="1" applyFont="1" applyFill="1" applyBorder="1" applyAlignment="1">
      <alignment horizontal="center" vertical="center"/>
    </xf>
    <xf numFmtId="43" fontId="0" fillId="6" borderId="69" xfId="1" applyFont="1" applyFill="1" applyBorder="1" applyAlignment="1">
      <alignment horizontal="center" vertical="center"/>
    </xf>
    <xf numFmtId="43" fontId="0" fillId="6" borderId="0" xfId="1" applyFont="1" applyFill="1" applyBorder="1" applyAlignment="1">
      <alignment horizontal="center" vertical="center"/>
    </xf>
    <xf numFmtId="43" fontId="0" fillId="6" borderId="70" xfId="1" applyFont="1" applyFill="1" applyBorder="1" applyAlignment="1">
      <alignment horizontal="center" vertical="center"/>
    </xf>
    <xf numFmtId="43" fontId="0" fillId="6" borderId="73" xfId="1" applyFont="1" applyFill="1" applyBorder="1" applyAlignment="1">
      <alignment horizontal="center" vertical="center"/>
    </xf>
    <xf numFmtId="43" fontId="9" fillId="6" borderId="66" xfId="1" applyFont="1" applyFill="1" applyBorder="1" applyAlignment="1">
      <alignment horizontal="center" vertical="center"/>
    </xf>
    <xf numFmtId="43" fontId="0" fillId="6" borderId="64" xfId="1" applyFont="1" applyFill="1" applyBorder="1" applyAlignment="1">
      <alignment horizontal="center" vertical="center"/>
    </xf>
    <xf numFmtId="43" fontId="0" fillId="6" borderId="66" xfId="1" applyFont="1" applyFill="1" applyBorder="1" applyAlignment="1">
      <alignment horizontal="center" vertical="center"/>
    </xf>
    <xf numFmtId="43" fontId="9" fillId="6" borderId="72" xfId="1" applyFont="1" applyFill="1" applyBorder="1" applyAlignment="1">
      <alignment horizontal="center" vertical="center"/>
    </xf>
    <xf numFmtId="43" fontId="9" fillId="6" borderId="67" xfId="1" applyFont="1" applyFill="1" applyBorder="1" applyAlignment="1">
      <alignment horizontal="center" vertical="center"/>
    </xf>
    <xf numFmtId="43" fontId="0" fillId="6" borderId="65" xfId="1" applyFont="1" applyFill="1" applyBorder="1" applyAlignment="1">
      <alignment horizontal="center" vertical="center"/>
    </xf>
    <xf numFmtId="43" fontId="11" fillId="6" borderId="64" xfId="1" applyFont="1" applyFill="1" applyBorder="1" applyAlignment="1">
      <alignment horizontal="center" vertical="center"/>
    </xf>
    <xf numFmtId="43" fontId="11" fillId="6" borderId="65" xfId="1" applyFont="1" applyFill="1" applyBorder="1" applyAlignment="1">
      <alignment horizontal="center" vertical="center"/>
    </xf>
    <xf numFmtId="43" fontId="0" fillId="6" borderId="74" xfId="1" applyFont="1" applyFill="1" applyBorder="1" applyAlignment="1">
      <alignment horizontal="center" vertical="center"/>
    </xf>
    <xf numFmtId="43" fontId="8" fillId="6" borderId="64" xfId="1" applyFont="1" applyFill="1" applyBorder="1" applyAlignment="1">
      <alignment horizontal="center" vertical="center"/>
    </xf>
    <xf numFmtId="43" fontId="15" fillId="6" borderId="65" xfId="1" applyFont="1" applyFill="1" applyBorder="1" applyAlignment="1">
      <alignment horizontal="center" vertical="center"/>
    </xf>
    <xf numFmtId="43" fontId="15" fillId="6" borderId="64" xfId="1" applyFont="1" applyFill="1" applyBorder="1" applyAlignment="1">
      <alignment horizontal="center" vertical="center"/>
    </xf>
    <xf numFmtId="43" fontId="8" fillId="6" borderId="69" xfId="1" applyFont="1" applyFill="1" applyBorder="1" applyAlignment="1">
      <alignment horizontal="center" vertical="center"/>
    </xf>
    <xf numFmtId="43" fontId="8" fillId="6" borderId="78" xfId="1" applyFont="1" applyFill="1" applyBorder="1" applyAlignment="1">
      <alignment horizontal="center" vertical="center"/>
    </xf>
    <xf numFmtId="43" fontId="8" fillId="6" borderId="70" xfId="1" applyFont="1" applyFill="1" applyBorder="1" applyAlignment="1">
      <alignment horizontal="center" vertical="center"/>
    </xf>
    <xf numFmtId="43" fontId="9" fillId="6" borderId="80" xfId="1" applyFont="1" applyFill="1" applyBorder="1" applyAlignment="1">
      <alignment horizontal="center" vertical="center"/>
    </xf>
    <xf numFmtId="43" fontId="9" fillId="6" borderId="9" xfId="1" applyFont="1" applyFill="1" applyBorder="1" applyAlignment="1">
      <alignment horizontal="center" vertical="center"/>
    </xf>
    <xf numFmtId="43" fontId="9" fillId="6" borderId="7" xfId="1" applyFont="1" applyFill="1" applyBorder="1" applyAlignment="1">
      <alignment horizontal="center" vertical="center"/>
    </xf>
    <xf numFmtId="43" fontId="9" fillId="6" borderId="65" xfId="1" applyFont="1" applyFill="1" applyBorder="1" applyAlignment="1">
      <alignment horizontal="center" vertical="center"/>
    </xf>
    <xf numFmtId="43" fontId="8" fillId="6" borderId="71" xfId="1" applyFont="1" applyFill="1" applyBorder="1" applyAlignment="1">
      <alignment horizontal="center" vertical="center"/>
    </xf>
    <xf numFmtId="43" fontId="0" fillId="6" borderId="86" xfId="1" applyFont="1" applyFill="1" applyBorder="1" applyAlignment="1">
      <alignment horizontal="center" vertical="center"/>
    </xf>
    <xf numFmtId="43" fontId="8" fillId="6" borderId="87" xfId="1" applyFont="1" applyFill="1" applyBorder="1" applyAlignment="1">
      <alignment horizontal="center" vertical="center"/>
    </xf>
    <xf numFmtId="43" fontId="8" fillId="6" borderId="86" xfId="1" applyFont="1" applyFill="1" applyBorder="1" applyAlignment="1">
      <alignment horizontal="center" vertical="center"/>
    </xf>
    <xf numFmtId="43" fontId="9" fillId="6" borderId="78" xfId="1" applyFont="1" applyFill="1" applyBorder="1" applyAlignment="1">
      <alignment horizontal="center" vertical="center"/>
    </xf>
    <xf numFmtId="43" fontId="9" fillId="6" borderId="79" xfId="1" applyFont="1" applyFill="1" applyBorder="1" applyAlignment="1">
      <alignment horizontal="center" vertical="center"/>
    </xf>
    <xf numFmtId="43" fontId="9" fillId="6" borderId="71" xfId="1" applyFont="1" applyFill="1" applyBorder="1" applyAlignment="1">
      <alignment horizontal="center" vertical="center"/>
    </xf>
    <xf numFmtId="0" fontId="9" fillId="6" borderId="48" xfId="3" applyFont="1" applyFill="1" applyBorder="1" applyAlignment="1">
      <alignment horizontal="center" vertical="center"/>
    </xf>
    <xf numFmtId="0" fontId="9" fillId="6" borderId="47" xfId="3" applyFont="1" applyFill="1" applyBorder="1" applyAlignment="1">
      <alignment horizontal="center" vertical="center"/>
    </xf>
    <xf numFmtId="0" fontId="9" fillId="6" borderId="46" xfId="3" applyFont="1" applyFill="1" applyBorder="1" applyAlignment="1">
      <alignment horizontal="center" vertical="center"/>
    </xf>
    <xf numFmtId="43" fontId="9" fillId="9" borderId="55" xfId="1" applyFont="1" applyFill="1" applyBorder="1" applyAlignment="1">
      <alignment horizontal="center" vertical="center"/>
    </xf>
    <xf numFmtId="43" fontId="9" fillId="9" borderId="17" xfId="1" applyFont="1" applyFill="1" applyBorder="1" applyAlignment="1">
      <alignment horizontal="center" vertical="center"/>
    </xf>
    <xf numFmtId="43" fontId="9" fillId="9" borderId="33" xfId="1" applyFont="1" applyFill="1" applyBorder="1" applyAlignment="1">
      <alignment horizontal="center" vertical="center"/>
    </xf>
    <xf numFmtId="43" fontId="9" fillId="9" borderId="25" xfId="1" applyFont="1" applyFill="1" applyBorder="1" applyAlignment="1">
      <alignment horizontal="center" vertical="center"/>
    </xf>
    <xf numFmtId="43" fontId="9" fillId="9" borderId="28" xfId="1" applyFont="1" applyFill="1" applyBorder="1" applyAlignment="1">
      <alignment horizontal="center" vertical="center"/>
    </xf>
    <xf numFmtId="43" fontId="9" fillId="9" borderId="28" xfId="1" applyFont="1" applyFill="1" applyBorder="1" applyAlignment="1">
      <alignment vertical="center"/>
    </xf>
    <xf numFmtId="43" fontId="2" fillId="2" borderId="0" xfId="0" applyNumberFormat="1" applyFont="1" applyFill="1"/>
    <xf numFmtId="2" fontId="0" fillId="0" borderId="0" xfId="0" applyNumberFormat="1" applyFont="1" applyAlignment="1">
      <alignment horizontal="center"/>
    </xf>
    <xf numFmtId="9" fontId="0" fillId="0" borderId="0" xfId="0" applyNumberFormat="1" applyFont="1"/>
    <xf numFmtId="0" fontId="0" fillId="0" borderId="112" xfId="0" applyBorder="1" applyAlignment="1">
      <alignment vertical="center" wrapText="1"/>
    </xf>
    <xf numFmtId="0" fontId="0" fillId="0" borderId="110" xfId="0" applyBorder="1" applyAlignment="1">
      <alignment vertical="center" wrapText="1"/>
    </xf>
    <xf numFmtId="0" fontId="0" fillId="10" borderId="110" xfId="0" applyFill="1" applyBorder="1" applyAlignment="1">
      <alignment vertical="center" wrapText="1"/>
    </xf>
    <xf numFmtId="0" fontId="2" fillId="0" borderId="112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0" fillId="10" borderId="108" xfId="0" applyFill="1" applyBorder="1" applyAlignment="1">
      <alignment horizontal="center" vertical="center"/>
    </xf>
    <xf numFmtId="43" fontId="0" fillId="0" borderId="112" xfId="1" applyFont="1" applyBorder="1" applyAlignment="1">
      <alignment vertical="center" wrapText="1"/>
    </xf>
    <xf numFmtId="43" fontId="0" fillId="0" borderId="108" xfId="1" applyFont="1" applyBorder="1" applyAlignment="1">
      <alignment vertical="center" wrapText="1"/>
    </xf>
    <xf numFmtId="43" fontId="0" fillId="0" borderId="111" xfId="1" applyFont="1" applyBorder="1" applyAlignment="1">
      <alignment vertical="center" wrapText="1"/>
    </xf>
    <xf numFmtId="43" fontId="9" fillId="0" borderId="27" xfId="1" applyFont="1" applyBorder="1" applyAlignment="1">
      <alignment horizontal="center"/>
    </xf>
    <xf numFmtId="43" fontId="9" fillId="0" borderId="8" xfId="1" applyFont="1" applyBorder="1" applyAlignment="1">
      <alignment horizontal="center"/>
    </xf>
    <xf numFmtId="43" fontId="9" fillId="0" borderId="38" xfId="1" applyFont="1" applyBorder="1" applyAlignment="1">
      <alignment horizontal="center"/>
    </xf>
    <xf numFmtId="43" fontId="9" fillId="0" borderId="49" xfId="1" applyFont="1" applyBorder="1" applyAlignment="1">
      <alignment horizontal="center"/>
    </xf>
    <xf numFmtId="43" fontId="9" fillId="0" borderId="56" xfId="1" applyFont="1" applyBorder="1" applyAlignment="1">
      <alignment horizontal="center"/>
    </xf>
    <xf numFmtId="43" fontId="9" fillId="0" borderId="61" xfId="1" applyFont="1" applyBorder="1" applyAlignment="1">
      <alignment horizontal="center"/>
    </xf>
    <xf numFmtId="14" fontId="17" fillId="0" borderId="40" xfId="0" applyNumberFormat="1" applyFont="1" applyBorder="1" applyAlignment="1">
      <alignment horizontal="center"/>
    </xf>
    <xf numFmtId="0" fontId="17" fillId="0" borderId="89" xfId="0" applyFont="1" applyBorder="1" applyAlignment="1">
      <alignment horizontal="center"/>
    </xf>
    <xf numFmtId="164" fontId="9" fillId="0" borderId="49" xfId="1" applyNumberFormat="1" applyFont="1" applyBorder="1" applyAlignment="1">
      <alignment horizontal="center" vertical="top"/>
    </xf>
    <xf numFmtId="164" fontId="9" fillId="0" borderId="56" xfId="1" applyNumberFormat="1" applyFont="1" applyBorder="1" applyAlignment="1">
      <alignment horizontal="center" vertical="top"/>
    </xf>
    <xf numFmtId="164" fontId="9" fillId="0" borderId="61" xfId="1" applyNumberFormat="1" applyFont="1" applyBorder="1" applyAlignment="1">
      <alignment horizontal="center" vertical="top"/>
    </xf>
    <xf numFmtId="43" fontId="9" fillId="4" borderId="45" xfId="1" applyFont="1" applyFill="1" applyBorder="1" applyAlignment="1">
      <alignment horizontal="left"/>
    </xf>
    <xf numFmtId="43" fontId="9" fillId="4" borderId="81" xfId="1" applyFont="1" applyFill="1" applyBorder="1" applyAlignment="1">
      <alignment horizontal="left"/>
    </xf>
    <xf numFmtId="43" fontId="9" fillId="4" borderId="11" xfId="1" applyFont="1" applyFill="1" applyBorder="1" applyAlignment="1">
      <alignment horizontal="left"/>
    </xf>
    <xf numFmtId="43" fontId="9" fillId="4" borderId="83" xfId="1" applyFont="1" applyFill="1" applyBorder="1" applyAlignment="1">
      <alignment horizontal="left"/>
    </xf>
    <xf numFmtId="43" fontId="9" fillId="4" borderId="41" xfId="1" applyFont="1" applyFill="1" applyBorder="1" applyAlignment="1">
      <alignment horizontal="left"/>
    </xf>
    <xf numFmtId="43" fontId="9" fillId="4" borderId="42" xfId="1" applyFont="1" applyFill="1" applyBorder="1" applyAlignment="1">
      <alignment horizontal="left"/>
    </xf>
    <xf numFmtId="164" fontId="9" fillId="0" borderId="84" xfId="1" applyNumberFormat="1" applyFont="1" applyBorder="1" applyAlignment="1">
      <alignment horizontal="center" vertical="top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0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0" fontId="9" fillId="0" borderId="43" xfId="3" applyFont="1" applyBorder="1" applyAlignment="1">
      <alignment horizontal="center"/>
    </xf>
    <xf numFmtId="0" fontId="9" fillId="0" borderId="44" xfId="3" applyFont="1" applyBorder="1" applyAlignment="1">
      <alignment horizontal="center"/>
    </xf>
    <xf numFmtId="0" fontId="9" fillId="0" borderId="15" xfId="3" applyFont="1" applyBorder="1" applyAlignment="1">
      <alignment horizont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7" fillId="0" borderId="43" xfId="3" applyFont="1" applyFill="1" applyBorder="1" applyAlignment="1">
      <alignment horizontal="center" vertical="center"/>
    </xf>
    <xf numFmtId="0" fontId="7" fillId="0" borderId="44" xfId="3" applyFont="1" applyFill="1" applyBorder="1" applyAlignment="1">
      <alignment horizontal="center" vertical="center"/>
    </xf>
    <xf numFmtId="0" fontId="7" fillId="0" borderId="15" xfId="3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/>
    </xf>
    <xf numFmtId="0" fontId="12" fillId="0" borderId="40" xfId="0" applyFont="1" applyBorder="1" applyAlignment="1">
      <alignment horizontal="left"/>
    </xf>
    <xf numFmtId="0" fontId="12" fillId="0" borderId="89" xfId="0" applyFont="1" applyBorder="1" applyAlignment="1">
      <alignment horizontal="left"/>
    </xf>
    <xf numFmtId="0" fontId="9" fillId="0" borderId="9" xfId="3" applyFont="1" applyBorder="1" applyAlignment="1">
      <alignment horizontal="center" vertical="center"/>
    </xf>
    <xf numFmtId="0" fontId="9" fillId="6" borderId="8" xfId="3" applyFont="1" applyFill="1" applyBorder="1" applyAlignment="1">
      <alignment horizontal="center" vertical="center"/>
    </xf>
    <xf numFmtId="0" fontId="9" fillId="8" borderId="81" xfId="3" applyFont="1" applyFill="1" applyBorder="1" applyAlignment="1">
      <alignment horizontal="center" vertical="center"/>
    </xf>
    <xf numFmtId="0" fontId="9" fillId="8" borderId="44" xfId="3" applyFont="1" applyFill="1" applyBorder="1" applyAlignment="1">
      <alignment horizontal="center" vertical="center"/>
    </xf>
    <xf numFmtId="0" fontId="9" fillId="7" borderId="47" xfId="3" applyFont="1" applyFill="1" applyBorder="1" applyAlignment="1">
      <alignment horizontal="center" vertical="center"/>
    </xf>
    <xf numFmtId="0" fontId="9" fillId="7" borderId="73" xfId="3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25" fillId="6" borderId="0" xfId="2" applyNumberFormat="1" applyFont="1" applyFill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center" vertical="center"/>
    </xf>
    <xf numFmtId="43" fontId="25" fillId="8" borderId="0" xfId="0" applyNumberFormat="1" applyFont="1" applyFill="1" applyAlignment="1">
      <alignment horizontal="center"/>
    </xf>
    <xf numFmtId="0" fontId="6" fillId="0" borderId="2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7" borderId="47" xfId="3" applyFont="1" applyFill="1" applyBorder="1" applyAlignment="1">
      <alignment horizontal="center" vertical="center"/>
    </xf>
    <xf numFmtId="0" fontId="6" fillId="7" borderId="73" xfId="3" applyFont="1" applyFill="1" applyBorder="1" applyAlignment="1">
      <alignment horizontal="center" vertical="center"/>
    </xf>
    <xf numFmtId="0" fontId="6" fillId="6" borderId="8" xfId="3" applyFont="1" applyFill="1" applyBorder="1" applyAlignment="1">
      <alignment horizontal="center" vertical="center"/>
    </xf>
    <xf numFmtId="0" fontId="6" fillId="8" borderId="81" xfId="3" applyFont="1" applyFill="1" applyBorder="1" applyAlignment="1">
      <alignment horizontal="center" vertical="center"/>
    </xf>
    <xf numFmtId="0" fontId="6" fillId="8" borderId="44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/>
    </xf>
    <xf numFmtId="0" fontId="9" fillId="7" borderId="8" xfId="3" applyFont="1" applyFill="1" applyBorder="1" applyAlignment="1">
      <alignment horizontal="center"/>
    </xf>
    <xf numFmtId="0" fontId="9" fillId="7" borderId="9" xfId="3" applyFont="1" applyFill="1" applyBorder="1" applyAlignment="1">
      <alignment horizontal="center"/>
    </xf>
    <xf numFmtId="0" fontId="9" fillId="6" borderId="7" xfId="3" applyFont="1" applyFill="1" applyBorder="1" applyAlignment="1">
      <alignment horizontal="center"/>
    </xf>
    <xf numFmtId="0" fontId="9" fillId="6" borderId="8" xfId="3" applyFont="1" applyFill="1" applyBorder="1" applyAlignment="1">
      <alignment horizontal="center"/>
    </xf>
    <xf numFmtId="0" fontId="9" fillId="9" borderId="11" xfId="3" applyFont="1" applyFill="1" applyBorder="1" applyAlignment="1">
      <alignment horizontal="center" vertical="center"/>
    </xf>
    <xf numFmtId="0" fontId="9" fillId="9" borderId="15" xfId="3" applyFont="1" applyFill="1" applyBorder="1" applyAlignment="1">
      <alignment horizontal="center" vertical="center"/>
    </xf>
    <xf numFmtId="0" fontId="29" fillId="0" borderId="114" xfId="0" applyFont="1" applyBorder="1" applyAlignment="1">
      <alignment horizontal="center" vertical="center" wrapText="1"/>
    </xf>
    <xf numFmtId="0" fontId="29" fillId="0" borderId="113" xfId="0" applyFont="1" applyBorder="1" applyAlignment="1">
      <alignment horizontal="center" vertical="center" wrapText="1"/>
    </xf>
    <xf numFmtId="0" fontId="29" fillId="0" borderId="111" xfId="0" applyFont="1" applyBorder="1" applyAlignment="1">
      <alignment horizontal="center" vertical="center" wrapText="1"/>
    </xf>
    <xf numFmtId="0" fontId="0" fillId="10" borderId="114" xfId="0" applyFill="1" applyBorder="1" applyAlignment="1">
      <alignment horizontal="center"/>
    </xf>
    <xf numFmtId="0" fontId="0" fillId="10" borderId="113" xfId="0" applyFill="1" applyBorder="1" applyAlignment="1">
      <alignment horizontal="center"/>
    </xf>
    <xf numFmtId="0" fontId="0" fillId="10" borderId="111" xfId="0" applyFill="1" applyBorder="1" applyAlignment="1">
      <alignment horizontal="center"/>
    </xf>
    <xf numFmtId="0" fontId="29" fillId="10" borderId="114" xfId="0" applyFont="1" applyFill="1" applyBorder="1" applyAlignment="1">
      <alignment horizontal="center" vertical="center" wrapText="1"/>
    </xf>
    <xf numFmtId="0" fontId="29" fillId="10" borderId="113" xfId="0" applyFont="1" applyFill="1" applyBorder="1" applyAlignment="1">
      <alignment horizontal="center" vertical="center" wrapText="1"/>
    </xf>
    <xf numFmtId="0" fontId="29" fillId="10" borderId="111" xfId="0" applyFont="1" applyFill="1" applyBorder="1" applyAlignment="1">
      <alignment horizontal="center" vertical="center" wrapText="1"/>
    </xf>
    <xf numFmtId="0" fontId="30" fillId="11" borderId="114" xfId="0" applyFont="1" applyFill="1" applyBorder="1" applyAlignment="1">
      <alignment horizontal="center"/>
    </xf>
    <xf numFmtId="0" fontId="30" fillId="11" borderId="113" xfId="0" applyFont="1" applyFill="1" applyBorder="1" applyAlignment="1">
      <alignment horizontal="center"/>
    </xf>
    <xf numFmtId="0" fontId="30" fillId="11" borderId="111" xfId="0" applyFont="1" applyFill="1" applyBorder="1" applyAlignment="1">
      <alignment horizontal="center"/>
    </xf>
    <xf numFmtId="0" fontId="27" fillId="0" borderId="109" xfId="0" applyFont="1" applyBorder="1" applyAlignment="1">
      <alignment horizontal="center" vertical="center" textRotation="45" wrapText="1"/>
    </xf>
    <xf numFmtId="0" fontId="27" fillId="0" borderId="115" xfId="0" applyFont="1" applyBorder="1" applyAlignment="1">
      <alignment horizontal="center" vertical="center" textRotation="45" wrapText="1"/>
    </xf>
    <xf numFmtId="0" fontId="27" fillId="0" borderId="110" xfId="0" applyFont="1" applyBorder="1" applyAlignment="1">
      <alignment horizontal="center" vertical="center" textRotation="45" wrapText="1"/>
    </xf>
    <xf numFmtId="0" fontId="2" fillId="0" borderId="109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2" fillId="0" borderId="113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91440</xdr:rowOff>
        </xdr:from>
        <xdr:to>
          <xdr:col>4</xdr:col>
          <xdr:colOff>0</xdr:colOff>
          <xdr:row>4</xdr:row>
          <xdr:rowOff>22860</xdr:rowOff>
        </xdr:to>
        <xdr:sp macro="" textlink="">
          <xdr:nvSpPr>
            <xdr:cNvPr id="2049" name="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66</xdr:row>
          <xdr:rowOff>0</xdr:rowOff>
        </xdr:from>
        <xdr:to>
          <xdr:col>4</xdr:col>
          <xdr:colOff>0</xdr:colOff>
          <xdr:row>66</xdr:row>
          <xdr:rowOff>0</xdr:rowOff>
        </xdr:to>
        <xdr:sp macro="" textlink="">
          <xdr:nvSpPr>
            <xdr:cNvPr id="2050" name="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640879</xdr:colOff>
      <xdr:row>0</xdr:row>
      <xdr:rowOff>82315</xdr:rowOff>
    </xdr:from>
    <xdr:to>
      <xdr:col>9</xdr:col>
      <xdr:colOff>211667</xdr:colOff>
      <xdr:row>4</xdr:row>
      <xdr:rowOff>52917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BF26F6-A87E-4CCF-BDC6-3CAA8624A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657" y="82315"/>
          <a:ext cx="1358195" cy="981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623383</xdr:colOff>
      <xdr:row>0</xdr:row>
      <xdr:rowOff>0</xdr:rowOff>
    </xdr:from>
    <xdr:to>
      <xdr:col>7</xdr:col>
      <xdr:colOff>676759</xdr:colOff>
      <xdr:row>2</xdr:row>
      <xdr:rowOff>71756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BF26F6-A87E-4CCF-BDC6-3CAA8624A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196" y="0"/>
          <a:ext cx="820138" cy="8004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642743</xdr:colOff>
      <xdr:row>0</xdr:row>
      <xdr:rowOff>0</xdr:rowOff>
    </xdr:from>
    <xdr:to>
      <xdr:col>8</xdr:col>
      <xdr:colOff>696119</xdr:colOff>
      <xdr:row>2</xdr:row>
      <xdr:rowOff>71756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BF26F6-A87E-4CCF-BDC6-3CAA8624A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0396" y="0"/>
          <a:ext cx="820022" cy="7996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580790</xdr:colOff>
      <xdr:row>0</xdr:row>
      <xdr:rowOff>0</xdr:rowOff>
    </xdr:from>
    <xdr:to>
      <xdr:col>8</xdr:col>
      <xdr:colOff>739541</xdr:colOff>
      <xdr:row>2</xdr:row>
      <xdr:rowOff>71756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BF26F6-A87E-4CCF-BDC6-3CAA8624A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443" y="0"/>
          <a:ext cx="925397" cy="7996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91440</xdr:rowOff>
        </xdr:from>
        <xdr:to>
          <xdr:col>4</xdr:col>
          <xdr:colOff>0</xdr:colOff>
          <xdr:row>4</xdr:row>
          <xdr:rowOff>22860</xdr:rowOff>
        </xdr:to>
        <xdr:sp macro="" textlink="">
          <xdr:nvSpPr>
            <xdr:cNvPr id="6145" name="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67</xdr:row>
          <xdr:rowOff>0</xdr:rowOff>
        </xdr:from>
        <xdr:to>
          <xdr:col>4</xdr:col>
          <xdr:colOff>0</xdr:colOff>
          <xdr:row>67</xdr:row>
          <xdr:rowOff>0</xdr:rowOff>
        </xdr:to>
        <xdr:sp macro="" textlink="">
          <xdr:nvSpPr>
            <xdr:cNvPr id="6146" name="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664398</xdr:colOff>
      <xdr:row>0</xdr:row>
      <xdr:rowOff>82315</xdr:rowOff>
    </xdr:from>
    <xdr:to>
      <xdr:col>10</xdr:col>
      <xdr:colOff>250864</xdr:colOff>
      <xdr:row>4</xdr:row>
      <xdr:rowOff>52917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BF26F6-A87E-4CCF-BDC6-3CAA8624A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4089" y="82315"/>
          <a:ext cx="1342516" cy="974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topLeftCell="B1" zoomScale="81" zoomScaleNormal="81" workbookViewId="0">
      <selection activeCell="K32" sqref="K32"/>
    </sheetView>
  </sheetViews>
  <sheetFormatPr defaultColWidth="11.44140625" defaultRowHeight="14.4" x14ac:dyDescent="0.3"/>
  <cols>
    <col min="1" max="1" width="1.44140625" style="49" hidden="1" customWidth="1"/>
    <col min="2" max="2" width="0.21875" style="49" customWidth="1"/>
    <col min="3" max="3" width="6.77734375" style="49" customWidth="1"/>
    <col min="4" max="4" width="49.21875" style="49" bestFit="1" customWidth="1"/>
    <col min="5" max="16" width="12.5546875" style="49" customWidth="1"/>
    <col min="17" max="17" width="17.21875" style="49" customWidth="1"/>
    <col min="18" max="18" width="11.44140625" style="49"/>
    <col min="19" max="19" width="18.77734375" style="49" bestFit="1" customWidth="1"/>
    <col min="20" max="16384" width="11.44140625" style="49"/>
  </cols>
  <sheetData>
    <row r="1" spans="2:18" ht="20.25" customHeight="1" thickTop="1" x14ac:dyDescent="0.3">
      <c r="C1" s="476" t="s">
        <v>0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8"/>
    </row>
    <row r="2" spans="2:18" ht="20.25" customHeight="1" x14ac:dyDescent="0.3">
      <c r="C2" s="479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1"/>
    </row>
    <row r="3" spans="2:18" ht="20.25" customHeight="1" x14ac:dyDescent="0.3">
      <c r="C3" s="479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1"/>
    </row>
    <row r="4" spans="2:18" ht="20.25" customHeight="1" x14ac:dyDescent="0.3">
      <c r="C4" s="479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1"/>
    </row>
    <row r="5" spans="2:18" ht="20.25" customHeight="1" x14ac:dyDescent="0.3">
      <c r="C5" s="479"/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0"/>
      <c r="O5" s="480"/>
      <c r="P5" s="480"/>
      <c r="Q5" s="481"/>
    </row>
    <row r="6" spans="2:18" ht="20.25" customHeight="1" x14ac:dyDescent="0.3">
      <c r="C6" s="482" t="s">
        <v>51</v>
      </c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4"/>
    </row>
    <row r="7" spans="2:18" ht="20.25" customHeight="1" x14ac:dyDescent="0.3">
      <c r="C7" s="482" t="s">
        <v>52</v>
      </c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4"/>
    </row>
    <row r="8" spans="2:18" ht="20.25" customHeight="1" thickBot="1" x14ac:dyDescent="0.35">
      <c r="C8" s="485" t="s">
        <v>53</v>
      </c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7"/>
    </row>
    <row r="9" spans="2:18" ht="20.25" customHeight="1" thickTop="1" thickBot="1" x14ac:dyDescent="0.35">
      <c r="C9" s="50" t="s">
        <v>54</v>
      </c>
      <c r="D9" s="51" t="s">
        <v>55</v>
      </c>
      <c r="E9" s="52" t="s">
        <v>56</v>
      </c>
      <c r="F9" s="53" t="s">
        <v>57</v>
      </c>
      <c r="G9" s="54" t="s">
        <v>58</v>
      </c>
      <c r="H9" s="53" t="s">
        <v>59</v>
      </c>
      <c r="I9" s="53" t="s">
        <v>60</v>
      </c>
      <c r="J9" s="53" t="s">
        <v>8</v>
      </c>
      <c r="K9" s="53" t="s">
        <v>9</v>
      </c>
      <c r="L9" s="53" t="s">
        <v>10</v>
      </c>
      <c r="M9" s="53" t="s">
        <v>11</v>
      </c>
      <c r="N9" s="53" t="s">
        <v>12</v>
      </c>
      <c r="O9" s="53" t="s">
        <v>13</v>
      </c>
      <c r="P9" s="53" t="s">
        <v>61</v>
      </c>
      <c r="Q9" s="55" t="s">
        <v>5</v>
      </c>
    </row>
    <row r="10" spans="2:18" ht="20.25" customHeight="1" thickTop="1" x14ac:dyDescent="0.3">
      <c r="C10" s="466">
        <v>10</v>
      </c>
      <c r="D10" s="56" t="s">
        <v>62</v>
      </c>
      <c r="E10" s="57">
        <f>E11+E12</f>
        <v>4917.286503357579</v>
      </c>
      <c r="F10" s="57">
        <f t="shared" ref="F10:P10" si="0">F11+F12</f>
        <v>3300.3615269144211</v>
      </c>
      <c r="G10" s="58">
        <f t="shared" si="0"/>
        <v>5419.0326373428043</v>
      </c>
      <c r="H10" s="59">
        <f t="shared" si="0"/>
        <v>4362.6366235916339</v>
      </c>
      <c r="I10" s="60">
        <f t="shared" si="0"/>
        <v>5075.0981460113526</v>
      </c>
      <c r="J10" s="61">
        <f t="shared" si="0"/>
        <v>3983.4205534936791</v>
      </c>
      <c r="K10" s="61">
        <f t="shared" si="0"/>
        <v>3786.6268549341839</v>
      </c>
      <c r="L10" s="62">
        <f t="shared" si="0"/>
        <v>3885.6297722702388</v>
      </c>
      <c r="M10" s="63">
        <f t="shared" si="0"/>
        <v>3119.878896391594</v>
      </c>
      <c r="N10" s="62">
        <f t="shared" si="0"/>
        <v>3401.8696098434611</v>
      </c>
      <c r="O10" s="62">
        <f t="shared" si="0"/>
        <v>3335.0099922317954</v>
      </c>
      <c r="P10" s="64">
        <f t="shared" si="0"/>
        <v>2825.2818836489796</v>
      </c>
      <c r="Q10" s="65">
        <f>SUM(E10:P10)</f>
        <v>47412.133000031725</v>
      </c>
      <c r="R10" s="66"/>
    </row>
    <row r="11" spans="2:18" ht="20.25" customHeight="1" x14ac:dyDescent="0.3">
      <c r="B11" s="49" t="s">
        <v>63</v>
      </c>
      <c r="C11" s="467"/>
      <c r="D11" s="67" t="s">
        <v>64</v>
      </c>
      <c r="E11" s="68">
        <v>1743.2807853330157</v>
      </c>
      <c r="F11" s="69">
        <v>1472.6429908485768</v>
      </c>
      <c r="G11" s="69">
        <v>1897.1398441585409</v>
      </c>
      <c r="H11" s="69">
        <v>1742.7622049733209</v>
      </c>
      <c r="I11" s="69">
        <v>1466.2766687098938</v>
      </c>
      <c r="J11" s="69">
        <v>1436.3534535436886</v>
      </c>
      <c r="K11" s="69">
        <v>1409.1623906552904</v>
      </c>
      <c r="L11" s="69">
        <v>1390.9351082474409</v>
      </c>
      <c r="M11" s="69">
        <v>1669.4220091425952</v>
      </c>
      <c r="N11" s="70">
        <v>1359.4658511375412</v>
      </c>
      <c r="O11" s="68">
        <v>970.39502146481107</v>
      </c>
      <c r="P11" s="71">
        <v>1514.443203404609</v>
      </c>
      <c r="Q11" s="72">
        <f>SUM(E11:P11)</f>
        <v>18072.279531619322</v>
      </c>
      <c r="R11" s="66"/>
    </row>
    <row r="12" spans="2:18" ht="20.25" customHeight="1" thickBot="1" x14ac:dyDescent="0.35">
      <c r="C12" s="468"/>
      <c r="D12" s="73" t="s">
        <v>65</v>
      </c>
      <c r="E12" s="68">
        <v>3174.0057180245631</v>
      </c>
      <c r="F12" s="69">
        <v>1827.7185360658445</v>
      </c>
      <c r="G12" s="69">
        <v>3521.8927931842636</v>
      </c>
      <c r="H12" s="69">
        <v>2619.8744186183126</v>
      </c>
      <c r="I12" s="69">
        <v>3608.8214773014588</v>
      </c>
      <c r="J12" s="69">
        <v>2547.0670999499903</v>
      </c>
      <c r="K12" s="69">
        <v>2377.4644642788935</v>
      </c>
      <c r="L12" s="69">
        <v>2494.694664022798</v>
      </c>
      <c r="M12" s="69">
        <v>1450.4568872489986</v>
      </c>
      <c r="N12" s="70">
        <v>2042.4037587059197</v>
      </c>
      <c r="O12" s="68">
        <v>2364.6149707669842</v>
      </c>
      <c r="P12" s="71">
        <v>1310.8386802443706</v>
      </c>
      <c r="Q12" s="74">
        <f>SUM(E12:P12)</f>
        <v>29339.853468412395</v>
      </c>
      <c r="R12" s="66"/>
    </row>
    <row r="13" spans="2:18" ht="20.25" customHeight="1" thickTop="1" thickBot="1" x14ac:dyDescent="0.35">
      <c r="C13" s="458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60"/>
      <c r="R13" s="66"/>
    </row>
    <row r="14" spans="2:18" ht="20.25" customHeight="1" thickTop="1" x14ac:dyDescent="0.3">
      <c r="C14" s="466">
        <v>11</v>
      </c>
      <c r="D14" s="75" t="s">
        <v>66</v>
      </c>
      <c r="E14" s="76">
        <f>E15</f>
        <v>71.769172973418108</v>
      </c>
      <c r="F14" s="76">
        <f t="shared" ref="F14:P14" si="1">F15</f>
        <v>79.381261902630726</v>
      </c>
      <c r="G14" s="77">
        <f t="shared" si="1"/>
        <v>102.14493472764404</v>
      </c>
      <c r="H14" s="78">
        <f t="shared" si="1"/>
        <v>144.93042896780219</v>
      </c>
      <c r="I14" s="79">
        <f t="shared" si="1"/>
        <v>131.12387101725176</v>
      </c>
      <c r="J14" s="80">
        <f t="shared" si="1"/>
        <v>141.91393789596125</v>
      </c>
      <c r="K14" s="80">
        <f t="shared" si="1"/>
        <v>138.69046949961844</v>
      </c>
      <c r="L14" s="81">
        <f t="shared" si="1"/>
        <v>139.7772296677451</v>
      </c>
      <c r="M14" s="82">
        <f t="shared" si="1"/>
        <v>134.70182579873114</v>
      </c>
      <c r="N14" s="81">
        <f t="shared" si="1"/>
        <v>123.02509936951805</v>
      </c>
      <c r="O14" s="81">
        <f t="shared" si="1"/>
        <v>118.1867516563287</v>
      </c>
      <c r="P14" s="80">
        <f t="shared" si="1"/>
        <v>108.51998501933343</v>
      </c>
      <c r="Q14" s="83">
        <f>SUM(E14:P14)</f>
        <v>1434.164968495983</v>
      </c>
      <c r="R14" s="66"/>
    </row>
    <row r="15" spans="2:18" ht="20.25" customHeight="1" thickBot="1" x14ac:dyDescent="0.35">
      <c r="C15" s="468"/>
      <c r="D15" s="73" t="s">
        <v>67</v>
      </c>
      <c r="E15" s="84">
        <v>71.769172973418108</v>
      </c>
      <c r="F15" s="84">
        <v>79.381261902630726</v>
      </c>
      <c r="G15" s="85">
        <v>102.14493472764404</v>
      </c>
      <c r="H15" s="86">
        <v>144.93042896780219</v>
      </c>
      <c r="I15" s="87">
        <v>131.12387101725176</v>
      </c>
      <c r="J15" s="88">
        <v>141.91393789596125</v>
      </c>
      <c r="K15" s="88">
        <v>138.69046949961844</v>
      </c>
      <c r="L15" s="89">
        <v>139.7772296677451</v>
      </c>
      <c r="M15" s="90">
        <v>134.70182579873114</v>
      </c>
      <c r="N15" s="91">
        <v>123.02509936951805</v>
      </c>
      <c r="O15" s="91">
        <v>118.1867516563287</v>
      </c>
      <c r="P15" s="90">
        <v>108.51998501933343</v>
      </c>
      <c r="Q15" s="92">
        <f>SUM(E15:P15)</f>
        <v>1434.164968495983</v>
      </c>
      <c r="R15" s="66"/>
    </row>
    <row r="16" spans="2:18" ht="20.25" customHeight="1" thickTop="1" thickBot="1" x14ac:dyDescent="0.35">
      <c r="C16" s="458"/>
      <c r="D16" s="459"/>
      <c r="E16" s="459"/>
      <c r="F16" s="459"/>
      <c r="G16" s="459"/>
      <c r="H16" s="459"/>
      <c r="I16" s="459"/>
      <c r="J16" s="459"/>
      <c r="K16" s="459"/>
      <c r="L16" s="459"/>
      <c r="M16" s="459"/>
      <c r="N16" s="459"/>
      <c r="O16" s="459"/>
      <c r="P16" s="459"/>
      <c r="Q16" s="460"/>
      <c r="R16" s="66"/>
    </row>
    <row r="17" spans="3:18" ht="20.25" customHeight="1" thickTop="1" x14ac:dyDescent="0.3">
      <c r="C17" s="466">
        <v>12</v>
      </c>
      <c r="D17" s="75" t="s">
        <v>68</v>
      </c>
      <c r="E17" s="76">
        <f>SUM(E18:E24)</f>
        <v>60.421276204047395</v>
      </c>
      <c r="F17" s="76">
        <f t="shared" ref="F17:P17" si="2">SUM(F18:F24)</f>
        <v>64.205239450469762</v>
      </c>
      <c r="G17" s="77">
        <f t="shared" si="2"/>
        <v>54.914780170343917</v>
      </c>
      <c r="H17" s="78">
        <f t="shared" si="2"/>
        <v>91.711783750153558</v>
      </c>
      <c r="I17" s="79">
        <f t="shared" si="2"/>
        <v>99.40770414958952</v>
      </c>
      <c r="J17" s="80">
        <f t="shared" si="2"/>
        <v>104.24799562545707</v>
      </c>
      <c r="K17" s="80">
        <f t="shared" si="2"/>
        <v>95.56478073830877</v>
      </c>
      <c r="L17" s="81">
        <f t="shared" si="2"/>
        <v>81.885708730180824</v>
      </c>
      <c r="M17" s="82">
        <f t="shared" si="2"/>
        <v>127.41465754798489</v>
      </c>
      <c r="N17" s="81">
        <f t="shared" si="2"/>
        <v>91.591142445836809</v>
      </c>
      <c r="O17" s="81">
        <f t="shared" si="2"/>
        <v>132.67631015646197</v>
      </c>
      <c r="P17" s="80">
        <f t="shared" si="2"/>
        <v>81.491831563345016</v>
      </c>
      <c r="Q17" s="72">
        <f>SUM(E17:P17)</f>
        <v>1085.5332105321795</v>
      </c>
      <c r="R17" s="66"/>
    </row>
    <row r="18" spans="3:18" ht="20.25" customHeight="1" x14ac:dyDescent="0.3">
      <c r="C18" s="467"/>
      <c r="D18" s="67" t="s">
        <v>69</v>
      </c>
      <c r="E18" s="84">
        <v>10.28895165717462</v>
      </c>
      <c r="F18" s="84">
        <v>9.7536615290559112</v>
      </c>
      <c r="G18" s="85">
        <v>13.452360130230286</v>
      </c>
      <c r="H18" s="86">
        <v>16.135116174384564</v>
      </c>
      <c r="I18" s="87">
        <v>10.938563764692617</v>
      </c>
      <c r="J18" s="93">
        <v>13.104289806660768</v>
      </c>
      <c r="K18" s="94">
        <v>11.67633329808144</v>
      </c>
      <c r="L18" s="95">
        <v>10.308383256220798</v>
      </c>
      <c r="M18" s="96">
        <v>13.000768447749948</v>
      </c>
      <c r="N18" s="95">
        <v>14.492188364575673</v>
      </c>
      <c r="O18" s="95">
        <v>15.807664808407743</v>
      </c>
      <c r="P18" s="96">
        <v>13.238866264317872</v>
      </c>
      <c r="Q18" s="72">
        <f>SUM(E18:P18)</f>
        <v>152.19714750155222</v>
      </c>
      <c r="R18" s="66"/>
    </row>
    <row r="19" spans="3:18" ht="20.25" customHeight="1" x14ac:dyDescent="0.3">
      <c r="C19" s="467"/>
      <c r="D19" s="67" t="s">
        <v>70</v>
      </c>
      <c r="E19" s="84">
        <v>42.36352134384358</v>
      </c>
      <c r="F19" s="84">
        <v>44.677707047403402</v>
      </c>
      <c r="G19" s="85">
        <v>32.267232932765239</v>
      </c>
      <c r="H19" s="86">
        <v>51.439678178385343</v>
      </c>
      <c r="I19" s="87">
        <f>26.0417805343354+30</f>
        <v>56.041780534335402</v>
      </c>
      <c r="J19" s="93">
        <v>57.689704543083963</v>
      </c>
      <c r="K19" s="94">
        <v>61.186529794763047</v>
      </c>
      <c r="L19" s="95">
        <v>52.578534437041654</v>
      </c>
      <c r="M19" s="96">
        <v>103.66279759465009</v>
      </c>
      <c r="N19" s="95">
        <v>68.437484071733863</v>
      </c>
      <c r="O19" s="95">
        <v>109.38124277182703</v>
      </c>
      <c r="P19" s="96">
        <v>61.756346087984731</v>
      </c>
      <c r="Q19" s="72">
        <f t="shared" ref="Q19:Q24" si="3">SUM(E19:P19)</f>
        <v>741.48255933781729</v>
      </c>
      <c r="R19" s="66"/>
    </row>
    <row r="20" spans="3:18" ht="20.25" customHeight="1" x14ac:dyDescent="0.3">
      <c r="C20" s="467"/>
      <c r="D20" s="67" t="s">
        <v>71</v>
      </c>
      <c r="E20" s="84">
        <v>1.5923484508646544</v>
      </c>
      <c r="F20" s="84">
        <v>2.1404884782895972</v>
      </c>
      <c r="G20" s="85">
        <v>2.0310294809200196</v>
      </c>
      <c r="H20" s="86">
        <v>2.9280729197050412</v>
      </c>
      <c r="I20" s="87">
        <v>3.9934185608791846</v>
      </c>
      <c r="J20" s="93">
        <v>3.0838579981661849</v>
      </c>
      <c r="K20" s="94">
        <v>1.3909183946612513</v>
      </c>
      <c r="L20" s="95">
        <v>1.1587042510481003</v>
      </c>
      <c r="M20" s="96">
        <v>1.0048146734183723</v>
      </c>
      <c r="N20" s="95">
        <v>0.20286722840028573</v>
      </c>
      <c r="O20" s="95">
        <v>2.0765187576546711</v>
      </c>
      <c r="P20" s="96">
        <v>1.1298056740244289</v>
      </c>
      <c r="Q20" s="72">
        <f t="shared" si="3"/>
        <v>22.732844868031794</v>
      </c>
      <c r="R20" s="66"/>
    </row>
    <row r="21" spans="3:18" ht="20.25" customHeight="1" x14ac:dyDescent="0.3">
      <c r="C21" s="467"/>
      <c r="D21" s="67" t="s">
        <v>72</v>
      </c>
      <c r="E21" s="84">
        <v>1.1697755901707649</v>
      </c>
      <c r="F21" s="84">
        <v>1.3420668651097596</v>
      </c>
      <c r="G21" s="85">
        <v>1.727731633777934</v>
      </c>
      <c r="H21" s="86">
        <v>0.98720332755028006</v>
      </c>
      <c r="I21" s="87">
        <v>1.9591738477709975</v>
      </c>
      <c r="J21" s="93">
        <v>1.1013078095310762</v>
      </c>
      <c r="K21" s="94">
        <v>2.044117996055677</v>
      </c>
      <c r="L21" s="95">
        <v>2.0300498478362718</v>
      </c>
      <c r="M21" s="96">
        <v>0.98549131431417281</v>
      </c>
      <c r="N21" s="95">
        <v>1.9707102187456329</v>
      </c>
      <c r="O21" s="95">
        <v>0.99479735831828431</v>
      </c>
      <c r="P21" s="96">
        <v>0.97530233398690025</v>
      </c>
      <c r="Q21" s="72">
        <f t="shared" si="3"/>
        <v>17.287728143167751</v>
      </c>
      <c r="R21" s="66"/>
    </row>
    <row r="22" spans="3:18" ht="20.25" customHeight="1" x14ac:dyDescent="0.3">
      <c r="C22" s="467"/>
      <c r="D22" s="67" t="s">
        <v>73</v>
      </c>
      <c r="E22" s="84">
        <v>3.8174073119868259</v>
      </c>
      <c r="F22" s="84">
        <v>4.2772186486406758</v>
      </c>
      <c r="G22" s="85">
        <v>2.8241989105354359</v>
      </c>
      <c r="H22" s="86">
        <v>18.265677565765706</v>
      </c>
      <c r="I22" s="87">
        <v>24.497694968864391</v>
      </c>
      <c r="J22" s="93">
        <v>25.365472130813036</v>
      </c>
      <c r="K22" s="94">
        <v>17.311293380884916</v>
      </c>
      <c r="L22" s="95">
        <v>13.844584852193663</v>
      </c>
      <c r="M22" s="96">
        <v>6.7767596218286279</v>
      </c>
      <c r="N22" s="95">
        <v>4.5309000324132667</v>
      </c>
      <c r="O22" s="95">
        <v>1.4743837476660511</v>
      </c>
      <c r="P22" s="96">
        <v>2.4256976125223395</v>
      </c>
      <c r="Q22" s="72">
        <f t="shared" si="3"/>
        <v>125.41128878411494</v>
      </c>
      <c r="R22" s="66"/>
    </row>
    <row r="23" spans="3:18" ht="20.25" customHeight="1" x14ac:dyDescent="0.3">
      <c r="C23" s="467"/>
      <c r="D23" s="67" t="s">
        <v>74</v>
      </c>
      <c r="E23" s="84">
        <v>0.59750302203820449</v>
      </c>
      <c r="F23" s="84">
        <v>0.67867391223248485</v>
      </c>
      <c r="G23" s="85">
        <v>1.7320294736629545</v>
      </c>
      <c r="H23" s="86">
        <v>0.9804350383310324</v>
      </c>
      <c r="I23" s="87">
        <v>0.97939342523386697</v>
      </c>
      <c r="J23" s="93">
        <v>1.9528892429535709</v>
      </c>
      <c r="K23" s="94">
        <v>0.9796302604264937</v>
      </c>
      <c r="L23" s="95">
        <v>0.98634699370469547</v>
      </c>
      <c r="M23" s="96">
        <v>0.99718194657221348</v>
      </c>
      <c r="N23" s="95">
        <v>0.97791664433147263</v>
      </c>
      <c r="O23" s="95">
        <v>0.98108267629098367</v>
      </c>
      <c r="P23" s="96">
        <v>0.97752331949993965</v>
      </c>
      <c r="Q23" s="72">
        <f t="shared" si="3"/>
        <v>12.820605955277911</v>
      </c>
      <c r="R23" s="66"/>
    </row>
    <row r="24" spans="3:18" ht="20.25" customHeight="1" thickBot="1" x14ac:dyDescent="0.35">
      <c r="C24" s="468"/>
      <c r="D24" s="73" t="s">
        <v>75</v>
      </c>
      <c r="E24" s="84">
        <v>0.59176882796873997</v>
      </c>
      <c r="F24" s="84">
        <v>1.335422969737929</v>
      </c>
      <c r="G24" s="85">
        <v>0.8801976084520422</v>
      </c>
      <c r="H24" s="97">
        <v>0.97560054603156965</v>
      </c>
      <c r="I24" s="98">
        <v>0.99767904781306294</v>
      </c>
      <c r="J24" s="88">
        <v>1.9504740942484589</v>
      </c>
      <c r="K24" s="99">
        <v>0.97595761343594445</v>
      </c>
      <c r="L24" s="89">
        <v>0.97910509213564478</v>
      </c>
      <c r="M24" s="90">
        <v>0.98684394945146681</v>
      </c>
      <c r="N24" s="89">
        <v>0.97907588563661718</v>
      </c>
      <c r="O24" s="89">
        <v>1.9606200362972008</v>
      </c>
      <c r="P24" s="90">
        <v>0.98829027100880495</v>
      </c>
      <c r="Q24" s="72">
        <f t="shared" si="3"/>
        <v>13.601035942217482</v>
      </c>
      <c r="R24" s="66"/>
    </row>
    <row r="25" spans="3:18" ht="20.25" customHeight="1" thickTop="1" thickBot="1" x14ac:dyDescent="0.35">
      <c r="C25" s="458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  <c r="O25" s="459"/>
      <c r="P25" s="459"/>
      <c r="Q25" s="460"/>
      <c r="R25" s="66"/>
    </row>
    <row r="26" spans="3:18" ht="20.25" customHeight="1" thickTop="1" x14ac:dyDescent="0.3">
      <c r="C26" s="466">
        <v>13</v>
      </c>
      <c r="D26" s="75" t="s">
        <v>76</v>
      </c>
      <c r="E26" s="76">
        <f>E27+E28+E32+E33+E34+E35</f>
        <v>2250.8870126410029</v>
      </c>
      <c r="F26" s="76">
        <f t="shared" ref="F26:P26" si="4">F27+F28+F32+F33+F34+F35</f>
        <v>2272.2462403593659</v>
      </c>
      <c r="G26" s="77">
        <f t="shared" si="4"/>
        <v>2144.2030423419287</v>
      </c>
      <c r="H26" s="100">
        <f t="shared" si="4"/>
        <v>2462.1471440307291</v>
      </c>
      <c r="I26" s="101">
        <f t="shared" si="4"/>
        <v>2087.6327315872804</v>
      </c>
      <c r="J26" s="102">
        <f t="shared" si="4"/>
        <v>2250.2563487909488</v>
      </c>
      <c r="K26" s="102">
        <f t="shared" si="4"/>
        <v>2161.4931411987104</v>
      </c>
      <c r="L26" s="102">
        <f t="shared" si="4"/>
        <v>2144.841982301296</v>
      </c>
      <c r="M26" s="102">
        <f t="shared" si="4"/>
        <v>2550.2023190824425</v>
      </c>
      <c r="N26" s="102">
        <f t="shared" si="4"/>
        <v>2014.132273334114</v>
      </c>
      <c r="O26" s="102">
        <f t="shared" si="4"/>
        <v>2079.0665384575786</v>
      </c>
      <c r="P26" s="103">
        <f t="shared" si="4"/>
        <v>2217.512615162861</v>
      </c>
      <c r="Q26" s="72">
        <f>SUM(E26:P26)</f>
        <v>26634.621389288262</v>
      </c>
      <c r="R26" s="66"/>
    </row>
    <row r="27" spans="3:18" ht="20.25" customHeight="1" x14ac:dyDescent="0.3">
      <c r="C27" s="467"/>
      <c r="D27" s="67" t="s">
        <v>77</v>
      </c>
      <c r="E27" s="84">
        <v>1996.9206819749402</v>
      </c>
      <c r="F27" s="84">
        <v>1706.7451637056602</v>
      </c>
      <c r="G27" s="85">
        <f>2161.88704308563-600</f>
        <v>1561.88704308563</v>
      </c>
      <c r="H27" s="86">
        <f>1996.36466456826-200</f>
        <v>1796.36466456826</v>
      </c>
      <c r="I27" s="87">
        <v>1699.9192477999302</v>
      </c>
      <c r="J27" s="104">
        <v>1667.8658335610701</v>
      </c>
      <c r="K27" s="95">
        <v>1638.6818095232802</v>
      </c>
      <c r="L27" s="95">
        <v>1619.1386739112902</v>
      </c>
      <c r="M27" s="95">
        <v>1917.7299366445702</v>
      </c>
      <c r="N27" s="95">
        <v>1585.3976067820302</v>
      </c>
      <c r="O27" s="95">
        <v>1168.2392056104002</v>
      </c>
      <c r="P27" s="94">
        <v>1751.5629925137803</v>
      </c>
      <c r="Q27" s="72">
        <f>SUM(E27:P27)</f>
        <v>20110.452859680841</v>
      </c>
      <c r="R27" s="66"/>
    </row>
    <row r="28" spans="3:18" ht="20.25" customHeight="1" x14ac:dyDescent="0.3">
      <c r="C28" s="467"/>
      <c r="D28" s="67" t="s">
        <v>78</v>
      </c>
      <c r="E28" s="105">
        <f>SUM(E29:E31)</f>
        <v>80.616869365964334</v>
      </c>
      <c r="F28" s="105">
        <f t="shared" ref="F28:P28" si="5">SUM(F29:F31)</f>
        <v>93.848283320751264</v>
      </c>
      <c r="G28" s="105">
        <f t="shared" si="5"/>
        <v>150.28211341709471</v>
      </c>
      <c r="H28" s="106">
        <f t="shared" si="5"/>
        <v>122.4368706253349</v>
      </c>
      <c r="I28" s="107">
        <f t="shared" si="5"/>
        <v>112.9879734149783</v>
      </c>
      <c r="J28" s="108">
        <f t="shared" si="5"/>
        <v>132.02637230787653</v>
      </c>
      <c r="K28" s="108">
        <f t="shared" si="5"/>
        <v>130.64452368922576</v>
      </c>
      <c r="L28" s="108">
        <f t="shared" si="5"/>
        <v>109.88604945695911</v>
      </c>
      <c r="M28" s="108">
        <f t="shared" si="5"/>
        <v>145.5992668268826</v>
      </c>
      <c r="N28" s="108">
        <f t="shared" si="5"/>
        <v>131.54164022758849</v>
      </c>
      <c r="O28" s="108">
        <f t="shared" si="5"/>
        <v>191.42591856755149</v>
      </c>
      <c r="P28" s="109">
        <f t="shared" si="5"/>
        <v>84.492594081674127</v>
      </c>
      <c r="Q28" s="72">
        <f t="shared" ref="Q28:Q35" si="6">SUM(E28:P28)</f>
        <v>1485.7884753018814</v>
      </c>
      <c r="R28" s="66"/>
    </row>
    <row r="29" spans="3:18" ht="20.25" customHeight="1" x14ac:dyDescent="0.3">
      <c r="C29" s="467"/>
      <c r="D29" s="110" t="s">
        <v>79</v>
      </c>
      <c r="E29" s="84">
        <v>39.326454828947092</v>
      </c>
      <c r="F29" s="84">
        <v>45.857123790341589</v>
      </c>
      <c r="G29" s="85">
        <v>73.444135963709186</v>
      </c>
      <c r="H29" s="86">
        <v>57.033605966239236</v>
      </c>
      <c r="I29" s="87">
        <f>39.4751356373871+10</f>
        <v>49.475135637387098</v>
      </c>
      <c r="J29" s="104">
        <v>75.464707270075863</v>
      </c>
      <c r="K29" s="95">
        <v>56.562188410381125</v>
      </c>
      <c r="L29" s="95">
        <f>35.6286588005722+20</f>
        <v>55.628658800572197</v>
      </c>
      <c r="M29" s="95">
        <v>52.667415480614999</v>
      </c>
      <c r="N29" s="95">
        <v>55.902616729358101</v>
      </c>
      <c r="O29" s="95">
        <v>100.72233750775412</v>
      </c>
      <c r="P29" s="94">
        <v>19.642939979594178</v>
      </c>
      <c r="Q29" s="72">
        <f t="shared" si="6"/>
        <v>681.72732036497473</v>
      </c>
      <c r="R29" s="66"/>
    </row>
    <row r="30" spans="3:18" ht="20.25" customHeight="1" x14ac:dyDescent="0.3">
      <c r="C30" s="467"/>
      <c r="D30" s="110" t="s">
        <v>80</v>
      </c>
      <c r="E30" s="84">
        <v>0.58047246565189481</v>
      </c>
      <c r="F30" s="84">
        <v>0.81283492723057549</v>
      </c>
      <c r="G30" s="85">
        <v>0.86816365677398699</v>
      </c>
      <c r="H30" s="86">
        <v>1.0007399059887756</v>
      </c>
      <c r="I30" s="87">
        <v>0.97958692388549873</v>
      </c>
      <c r="J30" s="104">
        <v>0.98842375905414093</v>
      </c>
      <c r="K30" s="95">
        <v>1.0009896021346878</v>
      </c>
      <c r="L30" s="95">
        <v>0.98835541440651209</v>
      </c>
      <c r="M30" s="95">
        <v>0.99723605197770526</v>
      </c>
      <c r="N30" s="95">
        <v>0.97914350804608397</v>
      </c>
      <c r="O30" s="95">
        <v>0.98664581491614223</v>
      </c>
      <c r="P30" s="94">
        <v>0.97757932696070338</v>
      </c>
      <c r="Q30" s="72">
        <f t="shared" si="6"/>
        <v>11.160171357026709</v>
      </c>
      <c r="R30" s="66"/>
    </row>
    <row r="31" spans="3:18" ht="20.25" customHeight="1" x14ac:dyDescent="0.3">
      <c r="C31" s="467"/>
      <c r="D31" s="110" t="s">
        <v>81</v>
      </c>
      <c r="E31" s="84">
        <v>40.709942071365354</v>
      </c>
      <c r="F31" s="84">
        <f>37.1783246031791+10</f>
        <v>47.178324603179099</v>
      </c>
      <c r="G31" s="85">
        <v>75.969813796611533</v>
      </c>
      <c r="H31" s="86">
        <v>64.402524753106889</v>
      </c>
      <c r="I31" s="87">
        <f>42.5332508537057+20</f>
        <v>62.533250853705702</v>
      </c>
      <c r="J31" s="104">
        <v>55.573241278746515</v>
      </c>
      <c r="K31" s="95">
        <v>73.081345676709958</v>
      </c>
      <c r="L31" s="95">
        <f>33.2690352419804+20</f>
        <v>53.269035241980397</v>
      </c>
      <c r="M31" s="95">
        <v>91.934615294289898</v>
      </c>
      <c r="N31" s="95">
        <v>74.659879990184294</v>
      </c>
      <c r="O31" s="95">
        <v>89.716935244881228</v>
      </c>
      <c r="P31" s="94">
        <v>63.872074775119252</v>
      </c>
      <c r="Q31" s="72">
        <f t="shared" si="6"/>
        <v>792.90098357988018</v>
      </c>
      <c r="R31" s="66"/>
    </row>
    <row r="32" spans="3:18" ht="20.25" customHeight="1" x14ac:dyDescent="0.3">
      <c r="C32" s="467"/>
      <c r="D32" s="67" t="s">
        <v>82</v>
      </c>
      <c r="E32" s="84">
        <v>20.981901112334935</v>
      </c>
      <c r="F32" s="84">
        <v>42.787299918568415</v>
      </c>
      <c r="G32" s="85">
        <v>4.4243768120310785</v>
      </c>
      <c r="H32" s="86">
        <v>6.7155897774974749</v>
      </c>
      <c r="I32" s="87">
        <f>4.10339937535203+20</f>
        <v>24.10339937535203</v>
      </c>
      <c r="J32" s="104">
        <v>74.543016977512451</v>
      </c>
      <c r="K32" s="95">
        <v>75.180700163589265</v>
      </c>
      <c r="L32" s="95">
        <v>65.224912047915339</v>
      </c>
      <c r="M32" s="95">
        <v>70.186424999246242</v>
      </c>
      <c r="N32" s="95">
        <v>42.456544478367796</v>
      </c>
      <c r="O32" s="95">
        <v>45.682726089924735</v>
      </c>
      <c r="P32" s="94">
        <v>53.14939461833125</v>
      </c>
      <c r="Q32" s="72">
        <f t="shared" si="6"/>
        <v>525.43628637067104</v>
      </c>
      <c r="R32" s="66"/>
    </row>
    <row r="33" spans="3:19" ht="20.25" customHeight="1" x14ac:dyDescent="0.3">
      <c r="C33" s="467"/>
      <c r="D33" s="67" t="s">
        <v>83</v>
      </c>
      <c r="E33" s="84">
        <v>106.08772853847648</v>
      </c>
      <c r="F33" s="84">
        <v>391.18877097887764</v>
      </c>
      <c r="G33" s="85">
        <v>405.42818081516492</v>
      </c>
      <c r="H33" s="86">
        <v>444.42991805984377</v>
      </c>
      <c r="I33" s="87">
        <v>229.93799824077192</v>
      </c>
      <c r="J33" s="104">
        <f>177.914205796208+100</f>
        <v>277.91420579620797</v>
      </c>
      <c r="K33" s="95">
        <f>87.7968895209704+125</f>
        <v>212.79688952097041</v>
      </c>
      <c r="L33" s="95">
        <f>91.3585514344304+125</f>
        <v>216.35855143443041</v>
      </c>
      <c r="M33" s="95">
        <f>188.580327205239+125</f>
        <v>313.58032720523897</v>
      </c>
      <c r="N33" s="95">
        <f>101.314371578419+125</f>
        <v>226.31437157841901</v>
      </c>
      <c r="O33" s="95">
        <v>531.84204204621381</v>
      </c>
      <c r="P33" s="94">
        <v>260.32016225172271</v>
      </c>
      <c r="Q33" s="72">
        <f t="shared" si="6"/>
        <v>3616.1991464663383</v>
      </c>
      <c r="R33" s="66"/>
    </row>
    <row r="34" spans="3:19" ht="20.25" customHeight="1" x14ac:dyDescent="0.3">
      <c r="C34" s="467"/>
      <c r="D34" s="67" t="s">
        <v>84</v>
      </c>
      <c r="E34" s="84">
        <v>45.681353000979534</v>
      </c>
      <c r="F34" s="84">
        <v>36.951346747629749</v>
      </c>
      <c r="G34" s="85">
        <v>21.295425935631133</v>
      </c>
      <c r="H34" s="86">
        <v>91.156739669367113</v>
      </c>
      <c r="I34" s="87">
        <v>19.64842890232201</v>
      </c>
      <c r="J34" s="104">
        <f>55.8709035370911+40</f>
        <v>95.870903537091095</v>
      </c>
      <c r="K34" s="95">
        <v>103.12974990851957</v>
      </c>
      <c r="L34" s="95">
        <v>133.21025071295389</v>
      </c>
      <c r="M34" s="95">
        <v>102.0445521099158</v>
      </c>
      <c r="N34" s="95">
        <v>27.37882362973998</v>
      </c>
      <c r="O34" s="95">
        <v>140.87918385488271</v>
      </c>
      <c r="P34" s="94">
        <v>66.960547772094472</v>
      </c>
      <c r="Q34" s="72">
        <f t="shared" si="6"/>
        <v>884.20730578112705</v>
      </c>
      <c r="R34" s="66"/>
    </row>
    <row r="35" spans="3:19" ht="20.25" customHeight="1" thickBot="1" x14ac:dyDescent="0.35">
      <c r="C35" s="468"/>
      <c r="D35" s="73" t="s">
        <v>85</v>
      </c>
      <c r="E35" s="84">
        <v>0.59847864830793707</v>
      </c>
      <c r="F35" s="84">
        <v>0.72537568787838858</v>
      </c>
      <c r="G35" s="85">
        <v>0.8859022763769322</v>
      </c>
      <c r="H35" s="86">
        <v>1.0433613304256175</v>
      </c>
      <c r="I35" s="87">
        <v>1.0356838539258939</v>
      </c>
      <c r="J35" s="111">
        <v>2.0360166111902798</v>
      </c>
      <c r="K35" s="112">
        <v>1.0594683931252822</v>
      </c>
      <c r="L35" s="112">
        <v>1.0235447377469742</v>
      </c>
      <c r="M35" s="112">
        <v>1.0618112965886068</v>
      </c>
      <c r="N35" s="112">
        <v>1.0432866379686323</v>
      </c>
      <c r="O35" s="112">
        <v>0.99746228860547703</v>
      </c>
      <c r="P35" s="113">
        <v>1.0269239252585454</v>
      </c>
      <c r="Q35" s="72">
        <f t="shared" si="6"/>
        <v>12.537315687398568</v>
      </c>
      <c r="R35" s="66"/>
    </row>
    <row r="36" spans="3:19" ht="20.25" customHeight="1" thickTop="1" thickBot="1" x14ac:dyDescent="0.35">
      <c r="C36" s="458"/>
      <c r="D36" s="459"/>
      <c r="E36" s="459"/>
      <c r="F36" s="459"/>
      <c r="G36" s="459"/>
      <c r="H36" s="459"/>
      <c r="I36" s="459"/>
      <c r="J36" s="459"/>
      <c r="K36" s="459"/>
      <c r="L36" s="459"/>
      <c r="M36" s="459"/>
      <c r="N36" s="459"/>
      <c r="O36" s="459"/>
      <c r="P36" s="459"/>
      <c r="Q36" s="460"/>
      <c r="R36" s="66"/>
    </row>
    <row r="37" spans="3:19" ht="20.25" customHeight="1" thickTop="1" x14ac:dyDescent="0.3">
      <c r="C37" s="466">
        <v>15</v>
      </c>
      <c r="D37" s="75" t="s">
        <v>86</v>
      </c>
      <c r="E37" s="76">
        <f>SUM(E38:E43)</f>
        <v>130.83349930215601</v>
      </c>
      <c r="F37" s="76">
        <f t="shared" ref="F37:P37" si="7">SUM(F38:F43)</f>
        <v>159.62451985630798</v>
      </c>
      <c r="G37" s="77">
        <f t="shared" si="7"/>
        <v>157.31116931874752</v>
      </c>
      <c r="H37" s="78">
        <f t="shared" si="7"/>
        <v>201.10978292079631</v>
      </c>
      <c r="I37" s="79">
        <f t="shared" si="7"/>
        <v>187.11817214462582</v>
      </c>
      <c r="J37" s="80">
        <f t="shared" si="7"/>
        <v>189.83512919705399</v>
      </c>
      <c r="K37" s="61">
        <f t="shared" si="7"/>
        <v>203.62254845832572</v>
      </c>
      <c r="L37" s="81">
        <f t="shared" si="7"/>
        <v>187.22827632380339</v>
      </c>
      <c r="M37" s="114">
        <f t="shared" si="7"/>
        <v>190.27054291607837</v>
      </c>
      <c r="N37" s="81">
        <f t="shared" si="7"/>
        <v>231.31553228731386</v>
      </c>
      <c r="O37" s="81">
        <f t="shared" si="7"/>
        <v>251.56975548232572</v>
      </c>
      <c r="P37" s="114">
        <f t="shared" si="7"/>
        <v>203.93790897952891</v>
      </c>
      <c r="Q37" s="72">
        <f t="shared" ref="Q37:Q43" si="8">SUM(E37:P37)</f>
        <v>2293.7768371870634</v>
      </c>
      <c r="R37" s="66"/>
    </row>
    <row r="38" spans="3:19" ht="20.25" customHeight="1" x14ac:dyDescent="0.3">
      <c r="C38" s="467"/>
      <c r="D38" s="67" t="s">
        <v>87</v>
      </c>
      <c r="E38" s="84">
        <v>29.886619490049153</v>
      </c>
      <c r="F38" s="84">
        <v>34.629682603094402</v>
      </c>
      <c r="G38" s="85">
        <v>14.413991740058142</v>
      </c>
      <c r="H38" s="86">
        <v>20.387398666828002</v>
      </c>
      <c r="I38" s="87">
        <v>14.97718868299053</v>
      </c>
      <c r="J38" s="93">
        <v>22.039621391419846</v>
      </c>
      <c r="K38" s="94">
        <v>25.586926710573227</v>
      </c>
      <c r="L38" s="95">
        <f>10.0598643833585+10</f>
        <v>20.059864383358502</v>
      </c>
      <c r="M38" s="96">
        <v>13.326288861247011</v>
      </c>
      <c r="N38" s="115">
        <v>12.259709982141354</v>
      </c>
      <c r="O38" s="95">
        <v>21.540413438832612</v>
      </c>
      <c r="P38" s="96">
        <v>12.975767841380749</v>
      </c>
      <c r="Q38" s="72">
        <f t="shared" si="8"/>
        <v>242.08347379197355</v>
      </c>
      <c r="R38" s="66"/>
    </row>
    <row r="39" spans="3:19" ht="20.25" customHeight="1" x14ac:dyDescent="0.3">
      <c r="C39" s="467"/>
      <c r="D39" s="67" t="s">
        <v>88</v>
      </c>
      <c r="E39" s="84">
        <v>69.515634704118554</v>
      </c>
      <c r="F39" s="84">
        <v>90.898048294335126</v>
      </c>
      <c r="G39" s="85">
        <v>103.85827477546719</v>
      </c>
      <c r="H39" s="86">
        <v>117.2302705785426</v>
      </c>
      <c r="I39" s="116">
        <v>122.77631018415639</v>
      </c>
      <c r="J39" s="117">
        <v>119.43602938557839</v>
      </c>
      <c r="K39" s="94">
        <v>124.87933498995116</v>
      </c>
      <c r="L39" s="115">
        <v>119.42433976594539</v>
      </c>
      <c r="M39" s="115">
        <v>128.33035150221352</v>
      </c>
      <c r="N39" s="115">
        <v>167.53116994392994</v>
      </c>
      <c r="O39" s="95">
        <v>173.34416551943178</v>
      </c>
      <c r="P39" s="96">
        <v>138.98207042067094</v>
      </c>
      <c r="Q39" s="72">
        <f t="shared" si="8"/>
        <v>1476.206000064341</v>
      </c>
      <c r="R39" s="66"/>
    </row>
    <row r="40" spans="3:19" ht="20.25" customHeight="1" x14ac:dyDescent="0.3">
      <c r="C40" s="467"/>
      <c r="D40" s="67" t="s">
        <v>89</v>
      </c>
      <c r="E40" s="84">
        <v>0.61201438322788582</v>
      </c>
      <c r="F40" s="84">
        <v>0.89606535889499894</v>
      </c>
      <c r="G40" s="85">
        <v>1.6665937948298648</v>
      </c>
      <c r="H40" s="86">
        <v>1.6643593329218196</v>
      </c>
      <c r="I40" s="116">
        <v>1.6031810227470367</v>
      </c>
      <c r="J40" s="118">
        <v>1.2654773553357201</v>
      </c>
      <c r="K40" s="94">
        <v>1.3165257307548648</v>
      </c>
      <c r="L40" s="95">
        <v>1.163292221796804</v>
      </c>
      <c r="M40" s="96">
        <v>1.220245404130043</v>
      </c>
      <c r="N40" s="115">
        <v>1.2766265168596662</v>
      </c>
      <c r="O40" s="95">
        <v>1.3994617526350317</v>
      </c>
      <c r="P40" s="96">
        <v>1.8809439950766822</v>
      </c>
      <c r="Q40" s="72">
        <f t="shared" si="8"/>
        <v>15.964786869210419</v>
      </c>
      <c r="R40" s="66"/>
    </row>
    <row r="41" spans="3:19" ht="20.25" customHeight="1" x14ac:dyDescent="0.3">
      <c r="C41" s="467"/>
      <c r="D41" s="67" t="s">
        <v>90</v>
      </c>
      <c r="E41" s="84">
        <v>24.525148035099814</v>
      </c>
      <c r="F41" s="84">
        <v>25.755110780128501</v>
      </c>
      <c r="G41" s="85">
        <v>31.780231419453354</v>
      </c>
      <c r="H41" s="86">
        <v>33.829673426809428</v>
      </c>
      <c r="I41" s="116">
        <v>36.420482607490769</v>
      </c>
      <c r="J41" s="117">
        <v>31.370619350327523</v>
      </c>
      <c r="K41" s="94">
        <v>30.447390354537664</v>
      </c>
      <c r="L41" s="95">
        <v>29.772668868888335</v>
      </c>
      <c r="M41" s="96">
        <v>36.054901858086282</v>
      </c>
      <c r="N41" s="115">
        <v>33.758067833633199</v>
      </c>
      <c r="O41" s="95">
        <v>30.514553839537431</v>
      </c>
      <c r="P41" s="96">
        <v>30.237979874011998</v>
      </c>
      <c r="Q41" s="72">
        <f t="shared" si="8"/>
        <v>374.46682824800439</v>
      </c>
      <c r="R41" s="66"/>
    </row>
    <row r="42" spans="3:19" ht="20.25" customHeight="1" x14ac:dyDescent="0.3">
      <c r="C42" s="467"/>
      <c r="D42" s="67" t="s">
        <v>91</v>
      </c>
      <c r="E42" s="84">
        <v>0.58578232936021901</v>
      </c>
      <c r="F42" s="84">
        <v>1.3369842851503093</v>
      </c>
      <c r="G42" s="85">
        <v>1.746776221876434</v>
      </c>
      <c r="H42" s="86">
        <v>0.97904270454878706</v>
      </c>
      <c r="I42" s="116">
        <v>0.98815891415278323</v>
      </c>
      <c r="J42" s="119">
        <v>0.97702425716601227</v>
      </c>
      <c r="K42" s="120">
        <v>0.99751025235416746</v>
      </c>
      <c r="L42" s="120">
        <v>0.98625043501710818</v>
      </c>
      <c r="M42" s="120">
        <v>0.97805182105905597</v>
      </c>
      <c r="N42" s="119">
        <v>0.97804222880619651</v>
      </c>
      <c r="O42" s="95">
        <v>0.98649128328766567</v>
      </c>
      <c r="P42" s="96">
        <v>0.97872072038523072</v>
      </c>
      <c r="Q42" s="72">
        <f t="shared" si="8"/>
        <v>12.518835453163971</v>
      </c>
      <c r="R42" s="66"/>
    </row>
    <row r="43" spans="3:19" ht="20.25" customHeight="1" x14ac:dyDescent="0.3">
      <c r="C43" s="467"/>
      <c r="D43" s="121" t="s">
        <v>92</v>
      </c>
      <c r="E43" s="84">
        <v>5.7083003603003775</v>
      </c>
      <c r="F43" s="84">
        <v>6.1086285347046312</v>
      </c>
      <c r="G43" s="85">
        <v>3.8453013670625045</v>
      </c>
      <c r="H43" s="86">
        <v>27.019038211145677</v>
      </c>
      <c r="I43" s="116">
        <v>10.352850733088308</v>
      </c>
      <c r="J43" s="117">
        <v>14.746357457226489</v>
      </c>
      <c r="K43" s="94">
        <v>20.394860420154604</v>
      </c>
      <c r="L43" s="95">
        <v>15.821860648797278</v>
      </c>
      <c r="M43" s="96">
        <v>10.360703469342448</v>
      </c>
      <c r="N43" s="115">
        <v>15.511915781943513</v>
      </c>
      <c r="O43" s="95">
        <v>23.78466964860117</v>
      </c>
      <c r="P43" s="96">
        <v>18.882426128003321</v>
      </c>
      <c r="Q43" s="72">
        <f t="shared" si="8"/>
        <v>172.53691276037034</v>
      </c>
      <c r="R43" s="66"/>
    </row>
    <row r="44" spans="3:19" ht="20.25" customHeight="1" thickBot="1" x14ac:dyDescent="0.35">
      <c r="C44" s="467"/>
      <c r="D44" s="122"/>
      <c r="E44" s="123"/>
      <c r="F44" s="123"/>
      <c r="G44" s="124"/>
      <c r="H44" s="97"/>
      <c r="I44" s="125"/>
      <c r="J44" s="126"/>
      <c r="K44" s="88"/>
      <c r="L44" s="127"/>
      <c r="M44" s="128"/>
      <c r="N44" s="129"/>
      <c r="O44" s="129"/>
      <c r="P44" s="128"/>
      <c r="Q44" s="92"/>
      <c r="R44" s="66"/>
    </row>
    <row r="45" spans="3:19" ht="20.25" customHeight="1" thickTop="1" thickBot="1" x14ac:dyDescent="0.35">
      <c r="C45" s="468"/>
      <c r="D45" s="174" t="s">
        <v>107</v>
      </c>
      <c r="E45" s="168">
        <f t="shared" ref="E45:P45" si="9">E10+E14+E17+E26+E37</f>
        <v>7431.1974644782031</v>
      </c>
      <c r="F45" s="168">
        <f t="shared" si="9"/>
        <v>5875.8187884831959</v>
      </c>
      <c r="G45" s="168">
        <f t="shared" si="9"/>
        <v>7877.6065639014687</v>
      </c>
      <c r="H45" s="168">
        <f>H10+H14+H17+H26+H37</f>
        <v>7262.5357632611149</v>
      </c>
      <c r="I45" s="168">
        <f t="shared" si="9"/>
        <v>7580.3806249100999</v>
      </c>
      <c r="J45" s="169">
        <f t="shared" si="9"/>
        <v>6669.6739650031013</v>
      </c>
      <c r="K45" s="169">
        <f t="shared" si="9"/>
        <v>6385.9977948291471</v>
      </c>
      <c r="L45" s="168">
        <f t="shared" si="9"/>
        <v>6439.3629692932645</v>
      </c>
      <c r="M45" s="170">
        <f t="shared" si="9"/>
        <v>6122.4682417368313</v>
      </c>
      <c r="N45" s="168">
        <f t="shared" si="9"/>
        <v>5861.933657280244</v>
      </c>
      <c r="O45" s="168">
        <f t="shared" si="9"/>
        <v>5916.5093479844909</v>
      </c>
      <c r="P45" s="169">
        <f t="shared" si="9"/>
        <v>5436.7442243740479</v>
      </c>
      <c r="Q45" s="19">
        <f>SUM(E45:P45)</f>
        <v>78860.229405535225</v>
      </c>
      <c r="R45" s="66"/>
    </row>
    <row r="46" spans="3:19" ht="20.25" customHeight="1" thickTop="1" x14ac:dyDescent="0.3">
      <c r="C46" s="130" t="s">
        <v>63</v>
      </c>
      <c r="D46" s="469" t="s">
        <v>93</v>
      </c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470"/>
      <c r="P46" s="470"/>
      <c r="Q46" s="471"/>
      <c r="R46" s="66"/>
    </row>
    <row r="47" spans="3:19" ht="22.5" customHeight="1" thickBot="1" x14ac:dyDescent="0.35">
      <c r="C47" s="131"/>
      <c r="D47" s="472"/>
      <c r="E47" s="473"/>
      <c r="F47" s="473"/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4"/>
      <c r="R47" s="66"/>
      <c r="S47" s="49">
        <v>2</v>
      </c>
    </row>
    <row r="48" spans="3:19" ht="20.25" customHeight="1" thickTop="1" x14ac:dyDescent="0.3">
      <c r="C48" s="475">
        <v>20</v>
      </c>
      <c r="D48" s="75" t="s">
        <v>94</v>
      </c>
      <c r="E48" s="76">
        <f>E49</f>
        <v>74.61958781513168</v>
      </c>
      <c r="F48" s="76">
        <f t="shared" ref="F48:P48" si="10">F49</f>
        <v>79.875293093641105</v>
      </c>
      <c r="G48" s="77">
        <f t="shared" si="10"/>
        <v>103.43255006493861</v>
      </c>
      <c r="H48" s="78">
        <f t="shared" si="10"/>
        <v>117.00552654159364</v>
      </c>
      <c r="I48" s="79">
        <f t="shared" si="10"/>
        <v>116.60443129635172</v>
      </c>
      <c r="J48" s="132">
        <f t="shared" si="10"/>
        <v>116.84360856847657</v>
      </c>
      <c r="K48" s="80">
        <f t="shared" si="10"/>
        <v>116.21907579159117</v>
      </c>
      <c r="L48" s="81">
        <f t="shared" si="10"/>
        <v>116.55262598667063</v>
      </c>
      <c r="M48" s="82">
        <f t="shared" si="10"/>
        <v>116.15490414596513</v>
      </c>
      <c r="N48" s="81">
        <f t="shared" si="10"/>
        <v>116.0668606450575</v>
      </c>
      <c r="O48" s="81">
        <f t="shared" si="10"/>
        <v>115.90447505798591</v>
      </c>
      <c r="P48" s="80">
        <f t="shared" si="10"/>
        <v>115.92221530908937</v>
      </c>
      <c r="Q48" s="83">
        <f>SUM(E48:P48)</f>
        <v>1305.2011543164929</v>
      </c>
      <c r="R48" s="66"/>
    </row>
    <row r="49" spans="3:20" ht="20.25" customHeight="1" thickBot="1" x14ac:dyDescent="0.35">
      <c r="C49" s="468"/>
      <c r="D49" s="73" t="s">
        <v>95</v>
      </c>
      <c r="E49" s="84">
        <v>74.61958781513168</v>
      </c>
      <c r="F49" s="84">
        <v>79.875293093641105</v>
      </c>
      <c r="G49" s="85">
        <v>103.43255006493861</v>
      </c>
      <c r="H49" s="86">
        <v>117.00552654159364</v>
      </c>
      <c r="I49" s="87">
        <v>116.60443129635172</v>
      </c>
      <c r="J49" s="133">
        <v>116.84360856847657</v>
      </c>
      <c r="K49" s="133">
        <v>116.21907579159117</v>
      </c>
      <c r="L49" s="129">
        <v>116.55262598667063</v>
      </c>
      <c r="M49" s="128">
        <v>116.15490414596513</v>
      </c>
      <c r="N49" s="91">
        <v>116.0668606450575</v>
      </c>
      <c r="O49" s="133">
        <v>115.90447505798591</v>
      </c>
      <c r="P49" s="133">
        <v>115.92221530908937</v>
      </c>
      <c r="Q49" s="92">
        <f>SUM(E49:P49)</f>
        <v>1305.2011543164929</v>
      </c>
      <c r="R49" s="66"/>
    </row>
    <row r="50" spans="3:20" ht="20.25" customHeight="1" thickTop="1" thickBot="1" x14ac:dyDescent="0.35">
      <c r="C50" s="458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60"/>
      <c r="R50" s="66"/>
    </row>
    <row r="51" spans="3:20" ht="20.25" customHeight="1" thickTop="1" x14ac:dyDescent="0.3">
      <c r="C51" s="134">
        <v>21</v>
      </c>
      <c r="D51" s="75" t="s">
        <v>96</v>
      </c>
      <c r="E51" s="57">
        <f t="shared" ref="E51:P51" si="11">E52+E55</f>
        <v>136.29077080945987</v>
      </c>
      <c r="F51" s="57">
        <f t="shared" si="11"/>
        <v>129.38656776274499</v>
      </c>
      <c r="G51" s="58">
        <f t="shared" si="11"/>
        <v>121.68344782810632</v>
      </c>
      <c r="H51" s="59">
        <f t="shared" si="11"/>
        <v>200.21204732940134</v>
      </c>
      <c r="I51" s="60">
        <f t="shared" si="11"/>
        <v>151.58849777333202</v>
      </c>
      <c r="J51" s="62">
        <f t="shared" si="11"/>
        <v>244.18694833421995</v>
      </c>
      <c r="K51" s="61">
        <f t="shared" si="11"/>
        <v>374.06860504848231</v>
      </c>
      <c r="L51" s="62">
        <f t="shared" si="11"/>
        <v>139.19326523176414</v>
      </c>
      <c r="M51" s="64">
        <f t="shared" si="11"/>
        <v>122.1849894055253</v>
      </c>
      <c r="N51" s="62">
        <f t="shared" si="11"/>
        <v>375.44234734976862</v>
      </c>
      <c r="O51" s="62">
        <f t="shared" si="11"/>
        <v>169.49031093631717</v>
      </c>
      <c r="P51" s="61">
        <f t="shared" si="11"/>
        <v>129.87739013324597</v>
      </c>
      <c r="Q51" s="65">
        <f t="shared" ref="Q51:Q57" si="12">SUM(E51:P51)</f>
        <v>2293.605187942368</v>
      </c>
      <c r="R51" s="66"/>
    </row>
    <row r="52" spans="3:20" ht="20.25" customHeight="1" x14ac:dyDescent="0.3">
      <c r="C52" s="462"/>
      <c r="D52" s="67" t="s">
        <v>97</v>
      </c>
      <c r="E52" s="84">
        <f>E53+E54</f>
        <v>128.71282231217376</v>
      </c>
      <c r="F52" s="84">
        <f>F53+F54</f>
        <v>121.27157380379019</v>
      </c>
      <c r="G52" s="84">
        <f>G53+G54</f>
        <v>115.62092828945539</v>
      </c>
      <c r="H52" s="86">
        <f t="shared" ref="H52:P52" si="13">H53+H54</f>
        <v>191.20737167096874</v>
      </c>
      <c r="I52" s="86">
        <f t="shared" si="13"/>
        <v>142.92676213738184</v>
      </c>
      <c r="J52" s="135">
        <f t="shared" si="13"/>
        <v>226.75581691166485</v>
      </c>
      <c r="K52" s="135">
        <f t="shared" si="13"/>
        <v>366.95525192853944</v>
      </c>
      <c r="L52" s="95">
        <f t="shared" si="13"/>
        <v>134.82184944155196</v>
      </c>
      <c r="M52" s="96">
        <f t="shared" si="13"/>
        <v>118.45501696913787</v>
      </c>
      <c r="N52" s="95">
        <f t="shared" si="13"/>
        <v>371.50750861710486</v>
      </c>
      <c r="O52" s="95">
        <f t="shared" si="13"/>
        <v>162.01507355968897</v>
      </c>
      <c r="P52" s="96">
        <f t="shared" si="13"/>
        <v>124.63651152261693</v>
      </c>
      <c r="Q52" s="72">
        <f t="shared" si="12"/>
        <v>2204.8864871640744</v>
      </c>
      <c r="R52" s="66"/>
    </row>
    <row r="53" spans="3:20" ht="20.25" customHeight="1" x14ac:dyDescent="0.3">
      <c r="C53" s="462"/>
      <c r="D53" s="136" t="s">
        <v>98</v>
      </c>
      <c r="E53" s="84">
        <v>124.70725262271469</v>
      </c>
      <c r="F53" s="84">
        <v>118.4944575993561</v>
      </c>
      <c r="G53" s="85">
        <v>112.68397934481224</v>
      </c>
      <c r="H53" s="86">
        <v>184.64750976361017</v>
      </c>
      <c r="I53" s="86">
        <f>114.598895043251+20</f>
        <v>134.59889504325099</v>
      </c>
      <c r="J53" s="135">
        <v>210.30056135042713</v>
      </c>
      <c r="K53" s="135">
        <v>359.76851585537156</v>
      </c>
      <c r="L53" s="95">
        <v>118.88726278659833</v>
      </c>
      <c r="M53" s="96">
        <v>109.00725737341702</v>
      </c>
      <c r="N53" s="95">
        <v>356.36261876156885</v>
      </c>
      <c r="O53" s="95">
        <v>143.41648355427725</v>
      </c>
      <c r="P53" s="96">
        <v>107.48401983225624</v>
      </c>
      <c r="Q53" s="72">
        <f t="shared" si="12"/>
        <v>2080.3588138876607</v>
      </c>
      <c r="R53" s="66"/>
    </row>
    <row r="54" spans="3:20" ht="20.25" customHeight="1" x14ac:dyDescent="0.3">
      <c r="C54" s="462"/>
      <c r="D54" s="137" t="s">
        <v>99</v>
      </c>
      <c r="E54" s="84">
        <v>4.0055696894590591</v>
      </c>
      <c r="F54" s="84">
        <v>2.7771162044340985</v>
      </c>
      <c r="G54" s="85">
        <v>2.9369489446431474</v>
      </c>
      <c r="H54" s="86">
        <v>6.5598619073585587</v>
      </c>
      <c r="I54" s="138">
        <v>8.327867094130859</v>
      </c>
      <c r="J54" s="115">
        <v>16.455255561237717</v>
      </c>
      <c r="K54" s="135">
        <v>7.1867360731678813</v>
      </c>
      <c r="L54" s="115">
        <v>15.934586654953625</v>
      </c>
      <c r="M54" s="118">
        <v>9.4477595957208518</v>
      </c>
      <c r="N54" s="95">
        <v>15.144889855536032</v>
      </c>
      <c r="O54" s="115">
        <v>18.598590005411712</v>
      </c>
      <c r="P54" s="118">
        <v>17.152491690360694</v>
      </c>
      <c r="Q54" s="72">
        <f t="shared" si="12"/>
        <v>124.52767327641423</v>
      </c>
      <c r="R54" s="66"/>
      <c r="S54" s="139"/>
    </row>
    <row r="55" spans="3:20" ht="20.25" customHeight="1" x14ac:dyDescent="0.3">
      <c r="C55" s="462"/>
      <c r="D55" s="140" t="s">
        <v>100</v>
      </c>
      <c r="E55" s="84">
        <f>E56+E57</f>
        <v>7.5779484972861058</v>
      </c>
      <c r="F55" s="84">
        <f t="shared" ref="F55:P55" si="14">F56+F57</f>
        <v>8.114993958954809</v>
      </c>
      <c r="G55" s="84">
        <f t="shared" si="14"/>
        <v>6.0625195386509265</v>
      </c>
      <c r="H55" s="138">
        <f t="shared" si="14"/>
        <v>9.0046756584326157</v>
      </c>
      <c r="I55" s="138">
        <f t="shared" si="14"/>
        <v>8.6617356359501674</v>
      </c>
      <c r="J55" s="115">
        <f t="shared" si="14"/>
        <v>17.431131422555087</v>
      </c>
      <c r="K55" s="115">
        <f t="shared" si="14"/>
        <v>7.1133531199428717</v>
      </c>
      <c r="L55" s="115">
        <f t="shared" si="14"/>
        <v>4.3714157902121888</v>
      </c>
      <c r="M55" s="115">
        <f t="shared" si="14"/>
        <v>3.7299724363874232</v>
      </c>
      <c r="N55" s="115">
        <f t="shared" si="14"/>
        <v>3.9348387326637404</v>
      </c>
      <c r="O55" s="115">
        <f t="shared" si="14"/>
        <v>7.475237376628197</v>
      </c>
      <c r="P55" s="135">
        <f t="shared" si="14"/>
        <v>5.2408786106290357</v>
      </c>
      <c r="Q55" s="72">
        <f t="shared" si="12"/>
        <v>88.718700778293169</v>
      </c>
      <c r="R55" s="66"/>
      <c r="S55" s="139"/>
    </row>
    <row r="56" spans="3:20" ht="20.25" customHeight="1" x14ac:dyDescent="0.3">
      <c r="C56" s="462"/>
      <c r="D56" s="141" t="s">
        <v>101</v>
      </c>
      <c r="E56" s="84">
        <v>0.58036351596457503</v>
      </c>
      <c r="F56" s="84">
        <v>0.67834171746389327</v>
      </c>
      <c r="G56" s="85">
        <v>0.86912637290823136</v>
      </c>
      <c r="H56" s="86">
        <v>1.9424990059241065</v>
      </c>
      <c r="I56" s="138">
        <v>0.98781061657984603</v>
      </c>
      <c r="J56" s="118">
        <v>0.97795167426877527</v>
      </c>
      <c r="K56" s="135">
        <v>0.97930165516944456</v>
      </c>
      <c r="L56" s="95">
        <v>0.98588351200427626</v>
      </c>
      <c r="M56" s="96">
        <v>0.98685554346692927</v>
      </c>
      <c r="N56" s="95">
        <v>0.97881505634295962</v>
      </c>
      <c r="O56" s="115">
        <v>0.99480701654506409</v>
      </c>
      <c r="P56" s="118">
        <v>0.97845033954016492</v>
      </c>
      <c r="Q56" s="72">
        <f t="shared" si="12"/>
        <v>11.940206026178265</v>
      </c>
      <c r="R56" s="66"/>
      <c r="S56" s="139"/>
    </row>
    <row r="57" spans="3:20" ht="20.25" customHeight="1" thickBot="1" x14ac:dyDescent="0.35">
      <c r="C57" s="463"/>
      <c r="D57" s="142" t="s">
        <v>102</v>
      </c>
      <c r="E57" s="143">
        <v>6.9975849813215305</v>
      </c>
      <c r="F57" s="143">
        <v>7.4366522414909166</v>
      </c>
      <c r="G57" s="144">
        <v>5.1933931657426955</v>
      </c>
      <c r="H57" s="145">
        <v>7.0621766525085086</v>
      </c>
      <c r="I57" s="146">
        <v>7.6739250193703219</v>
      </c>
      <c r="J57" s="147">
        <v>16.45317974828631</v>
      </c>
      <c r="K57" s="148">
        <v>6.1340514647734272</v>
      </c>
      <c r="L57" s="91">
        <v>3.3855322782079127</v>
      </c>
      <c r="M57" s="91">
        <v>2.7431168929204937</v>
      </c>
      <c r="N57" s="149">
        <v>2.9560236763207808</v>
      </c>
      <c r="O57" s="148">
        <v>6.4804303600831332</v>
      </c>
      <c r="P57" s="148">
        <v>4.2624282710888712</v>
      </c>
      <c r="Q57" s="150">
        <f t="shared" si="12"/>
        <v>76.778494752114895</v>
      </c>
      <c r="R57" s="66"/>
      <c r="S57" s="151"/>
    </row>
    <row r="58" spans="3:20" ht="20.25" customHeight="1" thickTop="1" thickBot="1" x14ac:dyDescent="0.35">
      <c r="C58" s="458"/>
      <c r="D58" s="459"/>
      <c r="E58" s="459"/>
      <c r="F58" s="459"/>
      <c r="G58" s="459"/>
      <c r="H58" s="459"/>
      <c r="I58" s="459"/>
      <c r="J58" s="459"/>
      <c r="K58" s="459"/>
      <c r="L58" s="459"/>
      <c r="M58" s="459"/>
      <c r="N58" s="459"/>
      <c r="O58" s="459"/>
      <c r="P58" s="459"/>
      <c r="Q58" s="460"/>
      <c r="R58" s="66"/>
    </row>
    <row r="59" spans="3:20" ht="20.25" customHeight="1" thickTop="1" x14ac:dyDescent="0.3">
      <c r="C59" s="134">
        <v>22</v>
      </c>
      <c r="D59" s="152" t="s">
        <v>103</v>
      </c>
      <c r="E59" s="76">
        <v>9.5368549937291522</v>
      </c>
      <c r="F59" s="76">
        <v>9.1541475534220194</v>
      </c>
      <c r="G59" s="153">
        <v>9.4536191612589899</v>
      </c>
      <c r="H59" s="79">
        <v>11.301198005676783</v>
      </c>
      <c r="I59" s="100">
        <v>10.342510111323456</v>
      </c>
      <c r="J59" s="154">
        <v>11.442960050835193</v>
      </c>
      <c r="K59" s="103">
        <v>9.7563272683400886</v>
      </c>
      <c r="L59" s="102">
        <v>9.2222254389644309</v>
      </c>
      <c r="M59" s="154">
        <v>10.239756598183062</v>
      </c>
      <c r="N59" s="103">
        <v>8.2392436185922513</v>
      </c>
      <c r="O59" s="103">
        <v>11.282939587028158</v>
      </c>
      <c r="P59" s="103">
        <v>10.553610013606598</v>
      </c>
      <c r="Q59" s="72">
        <f>SUM(E59:P59)</f>
        <v>120.52539240096019</v>
      </c>
      <c r="R59" s="66"/>
      <c r="T59" s="155"/>
    </row>
    <row r="60" spans="3:20" ht="20.25" customHeight="1" thickBot="1" x14ac:dyDescent="0.35">
      <c r="C60" s="134">
        <v>23</v>
      </c>
      <c r="D60" s="122" t="s">
        <v>104</v>
      </c>
      <c r="E60" s="156">
        <v>338.84399105504002</v>
      </c>
      <c r="F60" s="156">
        <v>198.49870372932054</v>
      </c>
      <c r="G60" s="156">
        <v>233.39032271780619</v>
      </c>
      <c r="H60" s="157">
        <v>185.19223594996799</v>
      </c>
      <c r="I60" s="158">
        <v>477.76456346044858</v>
      </c>
      <c r="J60" s="159">
        <v>266.86757733609033</v>
      </c>
      <c r="K60" s="160">
        <v>449.49882220313071</v>
      </c>
      <c r="L60" s="161">
        <v>659.28644972472455</v>
      </c>
      <c r="M60" s="159">
        <v>622.65586154398557</v>
      </c>
      <c r="N60" s="160">
        <v>742.65708908761894</v>
      </c>
      <c r="O60" s="160">
        <v>270.64248902087598</v>
      </c>
      <c r="P60" s="160">
        <v>640.14045048145306</v>
      </c>
      <c r="Q60" s="92">
        <f>SUM(E60:P60)</f>
        <v>5085.4385563104634</v>
      </c>
      <c r="R60" s="66"/>
    </row>
    <row r="61" spans="3:20" ht="20.25" customHeight="1" thickTop="1" thickBot="1" x14ac:dyDescent="0.35">
      <c r="C61" s="458"/>
      <c r="D61" s="459"/>
      <c r="E61" s="459"/>
      <c r="F61" s="459"/>
      <c r="G61" s="459"/>
      <c r="H61" s="459"/>
      <c r="I61" s="459"/>
      <c r="J61" s="459"/>
      <c r="K61" s="459"/>
      <c r="L61" s="459"/>
      <c r="M61" s="459"/>
      <c r="N61" s="459"/>
      <c r="O61" s="459"/>
      <c r="P61" s="459"/>
      <c r="Q61" s="460"/>
      <c r="R61" s="66"/>
    </row>
    <row r="62" spans="3:20" ht="20.25" customHeight="1" thickTop="1" thickBot="1" x14ac:dyDescent="0.35">
      <c r="C62" s="461"/>
      <c r="D62" s="173" t="s">
        <v>106</v>
      </c>
      <c r="E62" s="168">
        <f t="shared" ref="E62:P62" si="15">E48+E51+E59+E60</f>
        <v>559.29120467336065</v>
      </c>
      <c r="F62" s="168">
        <f t="shared" si="15"/>
        <v>416.9147121391286</v>
      </c>
      <c r="G62" s="170">
        <f>G48+G51+G59+G60</f>
        <v>467.95993977211015</v>
      </c>
      <c r="H62" s="168">
        <f t="shared" si="15"/>
        <v>513.71100782663984</v>
      </c>
      <c r="I62" s="168">
        <f t="shared" si="15"/>
        <v>756.30000264145576</v>
      </c>
      <c r="J62" s="168">
        <f t="shared" si="15"/>
        <v>639.34109428962211</v>
      </c>
      <c r="K62" s="169">
        <f t="shared" si="15"/>
        <v>949.54283031154432</v>
      </c>
      <c r="L62" s="168">
        <f t="shared" si="15"/>
        <v>924.25456638212381</v>
      </c>
      <c r="M62" s="170">
        <f t="shared" si="15"/>
        <v>871.23551169365908</v>
      </c>
      <c r="N62" s="168">
        <f t="shared" si="15"/>
        <v>1242.4055407010374</v>
      </c>
      <c r="O62" s="168">
        <f t="shared" si="15"/>
        <v>567.32021460220722</v>
      </c>
      <c r="P62" s="169">
        <f t="shared" si="15"/>
        <v>896.49366593739501</v>
      </c>
      <c r="Q62" s="19">
        <f>SUM(E62:P62)</f>
        <v>8804.7702909702821</v>
      </c>
      <c r="R62" s="66"/>
    </row>
    <row r="63" spans="3:20" ht="20.25" customHeight="1" thickTop="1" thickBot="1" x14ac:dyDescent="0.35">
      <c r="C63" s="462"/>
      <c r="D63" s="459"/>
      <c r="E63" s="459"/>
      <c r="F63" s="459"/>
      <c r="G63" s="459"/>
      <c r="H63" s="459"/>
      <c r="I63" s="459"/>
      <c r="J63" s="459"/>
      <c r="K63" s="459"/>
      <c r="L63" s="459"/>
      <c r="M63" s="459"/>
      <c r="N63" s="459"/>
      <c r="O63" s="459"/>
      <c r="P63" s="459"/>
      <c r="Q63" s="460"/>
      <c r="R63" s="66"/>
    </row>
    <row r="64" spans="3:20" ht="20.25" customHeight="1" thickTop="1" thickBot="1" x14ac:dyDescent="0.35">
      <c r="C64" s="463"/>
      <c r="D64" s="171" t="s">
        <v>105</v>
      </c>
      <c r="E64" s="168">
        <f t="shared" ref="E64:P64" si="16">E62+E45</f>
        <v>7990.488669151564</v>
      </c>
      <c r="F64" s="168">
        <f>F62+F45</f>
        <v>6292.7335006223248</v>
      </c>
      <c r="G64" s="170">
        <f>G62+G45</f>
        <v>8345.5665036735791</v>
      </c>
      <c r="H64" s="168">
        <f>H62+H45</f>
        <v>7776.2467710877545</v>
      </c>
      <c r="I64" s="168">
        <f t="shared" si="16"/>
        <v>8336.6806275515555</v>
      </c>
      <c r="J64" s="168">
        <f t="shared" si="16"/>
        <v>7309.0150592927239</v>
      </c>
      <c r="K64" s="169">
        <f t="shared" si="16"/>
        <v>7335.5406251406912</v>
      </c>
      <c r="L64" s="168">
        <f t="shared" si="16"/>
        <v>7363.6175356753884</v>
      </c>
      <c r="M64" s="170">
        <f t="shared" si="16"/>
        <v>6993.70375343049</v>
      </c>
      <c r="N64" s="168">
        <f t="shared" si="16"/>
        <v>7104.3391979812814</v>
      </c>
      <c r="O64" s="168">
        <f t="shared" si="16"/>
        <v>6483.8295625866976</v>
      </c>
      <c r="P64" s="168">
        <f t="shared" si="16"/>
        <v>6333.2378903114432</v>
      </c>
      <c r="Q64" s="172">
        <f>SUM(E64:P64)</f>
        <v>87664.999696505503</v>
      </c>
      <c r="R64" s="66"/>
    </row>
    <row r="65" spans="3:19" ht="20.25" customHeight="1" thickTop="1" thickBot="1" x14ac:dyDescent="0.35">
      <c r="C65" s="162" t="s">
        <v>108</v>
      </c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464">
        <v>45993</v>
      </c>
      <c r="Q65" s="465"/>
    </row>
    <row r="66" spans="3:19" ht="15" thickTop="1" x14ac:dyDescent="0.3">
      <c r="H66" s="164"/>
      <c r="I66" s="165"/>
      <c r="J66" s="164"/>
      <c r="K66" s="164"/>
      <c r="L66" s="166"/>
      <c r="M66" s="166"/>
      <c r="N66" s="166"/>
      <c r="O66" s="166"/>
      <c r="P66" s="166"/>
      <c r="Q66" s="167"/>
      <c r="S66" s="155"/>
    </row>
    <row r="69" spans="3:19" x14ac:dyDescent="0.3"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55"/>
    </row>
    <row r="70" spans="3:19" x14ac:dyDescent="0.3">
      <c r="H70" s="155"/>
      <c r="I70" s="155"/>
      <c r="J70" s="155"/>
      <c r="K70" s="155"/>
      <c r="L70" s="155"/>
      <c r="M70" s="155"/>
      <c r="N70" s="155"/>
      <c r="O70" s="155"/>
      <c r="P70" s="155"/>
    </row>
    <row r="71" spans="3:19" x14ac:dyDescent="0.3"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</row>
    <row r="72" spans="3:19" x14ac:dyDescent="0.3">
      <c r="I72" s="139"/>
      <c r="J72" s="139"/>
      <c r="K72" s="139"/>
      <c r="L72" s="139"/>
      <c r="M72" s="139"/>
      <c r="N72" s="139"/>
      <c r="O72" s="139"/>
      <c r="P72" s="139"/>
    </row>
    <row r="75" spans="3:19" x14ac:dyDescent="0.3">
      <c r="I75" s="155"/>
      <c r="J75" s="155"/>
      <c r="K75" s="155"/>
      <c r="L75" s="155"/>
      <c r="M75" s="155"/>
      <c r="N75" s="155"/>
      <c r="O75" s="155"/>
      <c r="P75" s="155"/>
    </row>
  </sheetData>
  <mergeCells count="22">
    <mergeCell ref="C36:Q36"/>
    <mergeCell ref="C1:Q5"/>
    <mergeCell ref="C6:Q6"/>
    <mergeCell ref="C7:Q7"/>
    <mergeCell ref="C8:Q8"/>
    <mergeCell ref="C10:C12"/>
    <mergeCell ref="C13:Q13"/>
    <mergeCell ref="C14:C15"/>
    <mergeCell ref="C16:Q16"/>
    <mergeCell ref="C17:C24"/>
    <mergeCell ref="C25:Q25"/>
    <mergeCell ref="C26:C35"/>
    <mergeCell ref="C61:Q61"/>
    <mergeCell ref="C62:C64"/>
    <mergeCell ref="D63:Q63"/>
    <mergeCell ref="P65:Q65"/>
    <mergeCell ref="C37:C45"/>
    <mergeCell ref="D46:Q47"/>
    <mergeCell ref="C48:C49"/>
    <mergeCell ref="C50:Q50"/>
    <mergeCell ref="C52:C57"/>
    <mergeCell ref="C58:Q58"/>
  </mergeCells>
  <printOptions horizontalCentered="1" verticalCentered="1"/>
  <pageMargins left="0" right="0" top="0.16" bottom="0" header="0" footer="0"/>
  <pageSetup scale="43" orientation="landscape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4</xdr:col>
                <xdr:colOff>0</xdr:colOff>
                <xdr:row>0</xdr:row>
                <xdr:rowOff>91440</xdr:rowOff>
              </from>
              <to>
                <xdr:col>4</xdr:col>
                <xdr:colOff>0</xdr:colOff>
                <xdr:row>4</xdr:row>
                <xdr:rowOff>22860</xdr:rowOff>
              </to>
            </anchor>
          </objectPr>
        </oleObject>
      </mc:Choice>
      <mc:Fallback>
        <oleObject progId="PBrush" shapeId="2049" r:id="rId4"/>
      </mc:Fallback>
    </mc:AlternateContent>
    <mc:AlternateContent xmlns:mc="http://schemas.openxmlformats.org/markup-compatibility/2006">
      <mc:Choice Requires="x14">
        <oleObject progId="PBrush" shapeId="2050" r:id="rId6">
          <objectPr defaultSize="0" autoPict="0" r:id="rId5">
            <anchor moveWithCells="1" sizeWithCells="1">
              <from>
                <xdr:col>4</xdr:col>
                <xdr:colOff>0</xdr:colOff>
                <xdr:row>66</xdr:row>
                <xdr:rowOff>0</xdr:rowOff>
              </from>
              <to>
                <xdr:col>4</xdr:col>
                <xdr:colOff>0</xdr:colOff>
                <xdr:row>66</xdr:row>
                <xdr:rowOff>0</xdr:rowOff>
              </to>
            </anchor>
          </objectPr>
        </oleObject>
      </mc:Choice>
      <mc:Fallback>
        <oleObject progId="PBrush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8"/>
  <sheetViews>
    <sheetView topLeftCell="C1" zoomScale="123" zoomScaleNormal="115" workbookViewId="0">
      <selection activeCell="N17" sqref="N17"/>
    </sheetView>
  </sheetViews>
  <sheetFormatPr defaultRowHeight="14.4" x14ac:dyDescent="0.3"/>
  <cols>
    <col min="2" max="2" width="39" customWidth="1"/>
    <col min="3" max="14" width="10.77734375" customWidth="1"/>
    <col min="15" max="15" width="11.77734375" bestFit="1" customWidth="1"/>
    <col min="16" max="16" width="13.21875" style="9" bestFit="1" customWidth="1"/>
    <col min="17" max="17" width="8.77734375" bestFit="1" customWidth="1"/>
    <col min="18" max="18" width="12.77734375" bestFit="1" customWidth="1"/>
    <col min="19" max="19" width="8.77734375" bestFit="1" customWidth="1"/>
    <col min="20" max="20" width="12.77734375" bestFit="1" customWidth="1"/>
  </cols>
  <sheetData>
    <row r="1" spans="2:18" ht="20.25" customHeight="1" thickTop="1" x14ac:dyDescent="0.3">
      <c r="B1" s="491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3"/>
    </row>
    <row r="2" spans="2:18" ht="37.5" customHeight="1" x14ac:dyDescent="0.3">
      <c r="B2" s="494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6"/>
    </row>
    <row r="3" spans="2:18" ht="20.25" customHeight="1" x14ac:dyDescent="0.3">
      <c r="B3" s="497" t="s">
        <v>0</v>
      </c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8"/>
      <c r="O3" s="498"/>
      <c r="P3" s="499"/>
    </row>
    <row r="4" spans="2:18" ht="20.25" customHeight="1" x14ac:dyDescent="0.3">
      <c r="B4" s="500" t="s">
        <v>1</v>
      </c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2"/>
    </row>
    <row r="5" spans="2:18" ht="20.25" customHeight="1" x14ac:dyDescent="0.3">
      <c r="B5" s="503" t="s">
        <v>2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5"/>
    </row>
    <row r="6" spans="2:18" ht="20.25" customHeight="1" thickBot="1" x14ac:dyDescent="0.35">
      <c r="B6" s="503" t="s">
        <v>3</v>
      </c>
      <c r="C6" s="504"/>
      <c r="D6" s="504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5"/>
    </row>
    <row r="7" spans="2:18" ht="20.25" customHeight="1" thickTop="1" thickBot="1" x14ac:dyDescent="0.35">
      <c r="B7" s="488" t="s">
        <v>4</v>
      </c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90"/>
    </row>
    <row r="8" spans="2:18" ht="15.6" thickTop="1" thickBot="1" x14ac:dyDescent="0.35">
      <c r="B8" s="175" t="s">
        <v>7</v>
      </c>
      <c r="C8" s="176" t="s">
        <v>56</v>
      </c>
      <c r="D8" s="177" t="s">
        <v>57</v>
      </c>
      <c r="E8" s="177" t="s">
        <v>58</v>
      </c>
      <c r="F8" s="178" t="s">
        <v>59</v>
      </c>
      <c r="G8" s="178" t="s">
        <v>60</v>
      </c>
      <c r="H8" s="178" t="s">
        <v>8</v>
      </c>
      <c r="I8" s="178" t="s">
        <v>9</v>
      </c>
      <c r="J8" s="178" t="s">
        <v>10</v>
      </c>
      <c r="K8" s="177" t="s">
        <v>11</v>
      </c>
      <c r="L8" s="177" t="s">
        <v>12</v>
      </c>
      <c r="M8" s="177" t="s">
        <v>13</v>
      </c>
      <c r="N8" s="179" t="s">
        <v>61</v>
      </c>
      <c r="O8" s="192" t="s">
        <v>5</v>
      </c>
      <c r="P8" s="193" t="s">
        <v>6</v>
      </c>
    </row>
    <row r="9" spans="2:18" ht="20.25" customHeight="1" thickTop="1" x14ac:dyDescent="0.3">
      <c r="B9" s="191" t="s">
        <v>14</v>
      </c>
      <c r="C9" s="21">
        <v>506.61530451411198</v>
      </c>
      <c r="D9" s="21">
        <v>457.39535196401602</v>
      </c>
      <c r="E9" s="21">
        <v>618.52547609154601</v>
      </c>
      <c r="F9" s="21">
        <v>634.06685194812599</v>
      </c>
      <c r="G9" s="21">
        <v>523.81695647261404</v>
      </c>
      <c r="H9" s="21">
        <v>542.76735697112099</v>
      </c>
      <c r="I9" s="21">
        <v>567.00224421881194</v>
      </c>
      <c r="J9" s="21">
        <v>551.07365547458596</v>
      </c>
      <c r="K9" s="21">
        <v>643.34527558303796</v>
      </c>
      <c r="L9" s="21">
        <v>483.11065983735199</v>
      </c>
      <c r="M9" s="21">
        <v>466.03476409487899</v>
      </c>
      <c r="N9" s="22">
        <v>474.55595252491599</v>
      </c>
      <c r="O9" s="23">
        <f t="shared" ref="O9:O44" si="0">SUM(C9:N9)</f>
        <v>6468.3098496951179</v>
      </c>
      <c r="P9" s="24">
        <f>O9/$O$44</f>
        <v>7.3784405088556201E-2</v>
      </c>
      <c r="Q9" s="3"/>
      <c r="R9" s="3"/>
    </row>
    <row r="10" spans="2:18" ht="20.25" customHeight="1" x14ac:dyDescent="0.3">
      <c r="B10" s="180" t="s">
        <v>15</v>
      </c>
      <c r="C10" s="4">
        <v>106.56841791565739</v>
      </c>
      <c r="D10" s="4">
        <v>95.546772730241329</v>
      </c>
      <c r="E10" s="4">
        <v>131.62805612863869</v>
      </c>
      <c r="F10" s="4">
        <v>80.768179970896995</v>
      </c>
      <c r="G10" s="4">
        <v>56.080321354546001</v>
      </c>
      <c r="H10" s="4">
        <v>60.323815701751997</v>
      </c>
      <c r="I10" s="4">
        <v>65.750645971056997</v>
      </c>
      <c r="J10" s="4">
        <v>62.183814953400002</v>
      </c>
      <c r="K10" s="4">
        <v>82.84586367203201</v>
      </c>
      <c r="L10" s="4">
        <v>46.965108212689998</v>
      </c>
      <c r="M10" s="4">
        <v>43.141364906453603</v>
      </c>
      <c r="N10" s="1">
        <v>45.042765887755294</v>
      </c>
      <c r="O10" s="2">
        <f t="shared" si="0"/>
        <v>876.84512740512037</v>
      </c>
      <c r="P10" s="5">
        <f t="shared" ref="P10:P44" si="1">O10/$O$44</f>
        <v>1.0002225864834778E-2</v>
      </c>
      <c r="Q10" s="6"/>
    </row>
    <row r="11" spans="2:18" ht="20.25" customHeight="1" x14ac:dyDescent="0.3">
      <c r="B11" s="180" t="s">
        <v>16</v>
      </c>
      <c r="C11" s="4">
        <v>725.25333537672395</v>
      </c>
      <c r="D11" s="4">
        <v>650.24532560793693</v>
      </c>
      <c r="E11" s="4">
        <v>895.7971658357892</v>
      </c>
      <c r="F11" s="4">
        <v>737.85521288732298</v>
      </c>
      <c r="G11" s="4">
        <v>569.84153533616904</v>
      </c>
      <c r="H11" s="4">
        <v>598.720714450934</v>
      </c>
      <c r="I11" s="4">
        <v>635.65310802790998</v>
      </c>
      <c r="J11" s="4">
        <v>611.37897369359007</v>
      </c>
      <c r="K11" s="4">
        <v>751.99492766941398</v>
      </c>
      <c r="L11" s="4">
        <v>507.80778403254408</v>
      </c>
      <c r="M11" s="4">
        <v>481.78522837569801</v>
      </c>
      <c r="N11" s="1">
        <v>494.72524785378607</v>
      </c>
      <c r="O11" s="2">
        <f t="shared" si="0"/>
        <v>7661.0585591478193</v>
      </c>
      <c r="P11" s="5">
        <f t="shared" si="1"/>
        <v>8.7390162387158535E-2</v>
      </c>
      <c r="Q11" s="6"/>
    </row>
    <row r="12" spans="2:18" ht="20.25" customHeight="1" x14ac:dyDescent="0.3">
      <c r="B12" s="180" t="s">
        <v>17</v>
      </c>
      <c r="C12" s="4">
        <v>5253.34929678341</v>
      </c>
      <c r="D12" s="4">
        <v>3758.76130080757</v>
      </c>
      <c r="E12" s="4">
        <v>5278.8442836415798</v>
      </c>
      <c r="F12" s="4">
        <v>4895.7367563071002</v>
      </c>
      <c r="G12" s="4">
        <v>5834.4715815790896</v>
      </c>
      <c r="H12" s="4">
        <v>4755.9774047233095</v>
      </c>
      <c r="I12" s="4">
        <v>4702.8564270836996</v>
      </c>
      <c r="J12" s="4">
        <v>4784.9007137438803</v>
      </c>
      <c r="K12" s="4">
        <v>4146.2846186952902</v>
      </c>
      <c r="L12" s="4">
        <v>4695.7925903122295</v>
      </c>
      <c r="M12" s="4">
        <v>4145.7678147574397</v>
      </c>
      <c r="N12" s="1">
        <v>3964.4610233834401</v>
      </c>
      <c r="O12" s="2">
        <f t="shared" si="0"/>
        <v>56217.203811818043</v>
      </c>
      <c r="P12" s="5">
        <f t="shared" si="1"/>
        <v>0.64127307370605025</v>
      </c>
      <c r="Q12" s="6"/>
    </row>
    <row r="13" spans="2:18" s="9" customFormat="1" ht="20.25" customHeight="1" x14ac:dyDescent="0.3">
      <c r="B13" s="181" t="s">
        <v>18</v>
      </c>
      <c r="C13" s="7">
        <f>SUM(C14:C22)</f>
        <v>1025.5155091512484</v>
      </c>
      <c r="D13" s="7">
        <f t="shared" ref="D13:O13" si="2">SUM(D14:D22)</f>
        <v>999.30510318142456</v>
      </c>
      <c r="E13" s="7">
        <f t="shared" si="2"/>
        <v>1034.0323469581476</v>
      </c>
      <c r="F13" s="7">
        <f t="shared" si="2"/>
        <v>1036.7523714654665</v>
      </c>
      <c r="G13" s="7">
        <f t="shared" si="2"/>
        <v>1007.673856101883</v>
      </c>
      <c r="H13" s="7">
        <f t="shared" si="2"/>
        <v>1007.1935982721163</v>
      </c>
      <c r="I13" s="7">
        <f t="shared" si="2"/>
        <v>1012.230727499037</v>
      </c>
      <c r="J13" s="7">
        <f t="shared" si="2"/>
        <v>1008.2952351826946</v>
      </c>
      <c r="K13" s="7">
        <f t="shared" si="2"/>
        <v>1014.1428852886465</v>
      </c>
      <c r="L13" s="7">
        <f t="shared" si="2"/>
        <v>1017.3932127866475</v>
      </c>
      <c r="M13" s="7">
        <f t="shared" si="2"/>
        <v>1008.3000272689844</v>
      </c>
      <c r="N13" s="7">
        <f t="shared" si="2"/>
        <v>1008.4574198831947</v>
      </c>
      <c r="O13" s="7">
        <f t="shared" si="2"/>
        <v>12179.292293039487</v>
      </c>
      <c r="P13" s="8">
        <f t="shared" si="1"/>
        <v>0.1389299302481487</v>
      </c>
    </row>
    <row r="14" spans="2:18" ht="20.25" customHeight="1" x14ac:dyDescent="0.3">
      <c r="B14" s="182" t="s">
        <v>19</v>
      </c>
      <c r="C14" s="4">
        <v>519.42558320866499</v>
      </c>
      <c r="D14" s="4">
        <v>519.42558320866499</v>
      </c>
      <c r="E14" s="4">
        <v>519.42558320866499</v>
      </c>
      <c r="F14" s="4">
        <v>519.42558320866499</v>
      </c>
      <c r="G14" s="4">
        <v>519.42558320866499</v>
      </c>
      <c r="H14" s="4">
        <v>519.42558320866499</v>
      </c>
      <c r="I14" s="4">
        <v>519.42558320866499</v>
      </c>
      <c r="J14" s="4">
        <v>519.42558320866499</v>
      </c>
      <c r="K14" s="4">
        <v>519.42558320866499</v>
      </c>
      <c r="L14" s="4">
        <v>519.42558320866499</v>
      </c>
      <c r="M14" s="4">
        <v>519.42558320866499</v>
      </c>
      <c r="N14" s="10">
        <v>519.42558320866499</v>
      </c>
      <c r="O14" s="2">
        <f t="shared" si="0"/>
        <v>6233.1069985039785</v>
      </c>
      <c r="P14" s="5">
        <f t="shared" si="1"/>
        <v>7.110143181523837E-2</v>
      </c>
      <c r="Q14" s="6"/>
    </row>
    <row r="15" spans="2:18" ht="20.25" customHeight="1" x14ac:dyDescent="0.3">
      <c r="B15" s="182" t="s">
        <v>20</v>
      </c>
      <c r="C15" s="4">
        <v>341.77625241242401</v>
      </c>
      <c r="D15" s="4">
        <v>330.66071609203402</v>
      </c>
      <c r="E15" s="4">
        <v>345.38814686710901</v>
      </c>
      <c r="F15" s="4">
        <v>346.54167845445903</v>
      </c>
      <c r="G15" s="4">
        <v>334.20980942354612</v>
      </c>
      <c r="H15" s="4">
        <v>334.00613751720221</v>
      </c>
      <c r="I15" s="4">
        <v>336.14232697328299</v>
      </c>
      <c r="J15" s="4">
        <v>334.47332925416003</v>
      </c>
      <c r="K15" s="4">
        <v>336.953251435315</v>
      </c>
      <c r="L15" s="4">
        <v>336.46810565351598</v>
      </c>
      <c r="M15" s="4">
        <v>332.61178866224179</v>
      </c>
      <c r="N15" s="1">
        <v>334.55938728855699</v>
      </c>
      <c r="O15" s="2">
        <f t="shared" si="0"/>
        <v>4043.7909300338474</v>
      </c>
      <c r="P15" s="5">
        <f t="shared" si="1"/>
        <v>4.6127769851518528E-2</v>
      </c>
      <c r="Q15" s="6"/>
    </row>
    <row r="16" spans="2:18" ht="20.25" customHeight="1" x14ac:dyDescent="0.3">
      <c r="B16" s="182" t="s">
        <v>21</v>
      </c>
      <c r="C16" s="4">
        <v>19.616292830874499</v>
      </c>
      <c r="D16" s="4">
        <v>16.521995989395101</v>
      </c>
      <c r="E16" s="4">
        <v>20.6217570100873</v>
      </c>
      <c r="F16" s="4">
        <v>20.942872343113102</v>
      </c>
      <c r="G16" s="4">
        <v>17.509977852732597</v>
      </c>
      <c r="H16" s="4">
        <v>17.4532805132311</v>
      </c>
      <c r="I16" s="4">
        <v>18.047944063079498</v>
      </c>
      <c r="J16" s="4">
        <v>17.583335408862297</v>
      </c>
      <c r="K16" s="4">
        <v>18.273685847301103</v>
      </c>
      <c r="L16" s="4">
        <v>18.138632979224496</v>
      </c>
      <c r="M16" s="4">
        <v>17.065127469287603</v>
      </c>
      <c r="N16" s="1">
        <v>17.598940611685997</v>
      </c>
      <c r="O16" s="2">
        <f t="shared" si="0"/>
        <v>219.37384291887471</v>
      </c>
      <c r="P16" s="5">
        <f t="shared" si="1"/>
        <v>2.5024108102246348E-3</v>
      </c>
      <c r="Q16" s="6"/>
    </row>
    <row r="17" spans="2:17" ht="20.25" customHeight="1" x14ac:dyDescent="0.3">
      <c r="B17" s="182" t="s">
        <v>22</v>
      </c>
      <c r="C17" s="4">
        <v>27.745752814111199</v>
      </c>
      <c r="D17" s="4">
        <v>25.0015372496966</v>
      </c>
      <c r="E17" s="4">
        <v>28.637461202611501</v>
      </c>
      <c r="F17" s="4">
        <v>28.9222463218182</v>
      </c>
      <c r="G17" s="4">
        <v>25.877741229348899</v>
      </c>
      <c r="H17" s="4">
        <v>25.827458490008901</v>
      </c>
      <c r="I17" s="4">
        <v>26.3548432409508</v>
      </c>
      <c r="J17" s="4">
        <v>25.942799288614601</v>
      </c>
      <c r="K17" s="4">
        <v>26.5550451444965</v>
      </c>
      <c r="L17" s="4">
        <v>26.4352718319861</v>
      </c>
      <c r="M17" s="4">
        <v>25.483220144713101</v>
      </c>
      <c r="N17" s="1">
        <v>25.956638956451499</v>
      </c>
      <c r="O17" s="2">
        <f t="shared" si="0"/>
        <v>318.74001591480788</v>
      </c>
      <c r="P17" s="5">
        <f t="shared" si="1"/>
        <v>3.6358868079425029E-3</v>
      </c>
      <c r="Q17" s="6"/>
    </row>
    <row r="18" spans="2:17" ht="20.25" customHeight="1" x14ac:dyDescent="0.3">
      <c r="B18" s="182" t="s">
        <v>23</v>
      </c>
      <c r="C18" s="4">
        <v>23.085736394411501</v>
      </c>
      <c r="D18" s="4">
        <v>21.152608513053401</v>
      </c>
      <c r="E18" s="4">
        <v>23.7138890695161</v>
      </c>
      <c r="F18" s="4">
        <v>23.914502338121302</v>
      </c>
      <c r="G18" s="4">
        <v>21.769839303807302</v>
      </c>
      <c r="H18" s="4">
        <v>21.734418265230801</v>
      </c>
      <c r="I18" s="4">
        <v>22.105927770340202</v>
      </c>
      <c r="J18" s="4">
        <v>21.815668629281802</v>
      </c>
      <c r="K18" s="4">
        <v>22.246957464458902</v>
      </c>
      <c r="L18" s="4">
        <v>22.162584672153901</v>
      </c>
      <c r="M18" s="4">
        <v>21.491923924861602</v>
      </c>
      <c r="N18" s="1">
        <v>21.825417807921802</v>
      </c>
      <c r="O18" s="2">
        <f t="shared" si="0"/>
        <v>267.01947415315863</v>
      </c>
      <c r="P18" s="5">
        <f t="shared" si="1"/>
        <v>3.0459074325851227E-3</v>
      </c>
      <c r="Q18" s="6"/>
    </row>
    <row r="19" spans="2:17" ht="20.25" customHeight="1" x14ac:dyDescent="0.3">
      <c r="B19" s="182" t="s">
        <v>24</v>
      </c>
      <c r="C19" s="4">
        <v>19.647297016678003</v>
      </c>
      <c r="D19" s="4">
        <v>17.940804432855501</v>
      </c>
      <c r="E19" s="4">
        <v>20.2018065718458</v>
      </c>
      <c r="F19" s="4">
        <v>20.3789004197968</v>
      </c>
      <c r="G19" s="4">
        <v>18.4856725593182</v>
      </c>
      <c r="H19" s="4">
        <v>18.454404198738001</v>
      </c>
      <c r="I19" s="4">
        <v>18.782358816434201</v>
      </c>
      <c r="J19" s="4">
        <v>18.526128964090002</v>
      </c>
      <c r="K19" s="4">
        <v>18.906854525917801</v>
      </c>
      <c r="L19" s="4">
        <v>23.226673398345604</v>
      </c>
      <c r="M19" s="4">
        <v>22.634639315886901</v>
      </c>
      <c r="N19" s="1">
        <v>18.534735172302</v>
      </c>
      <c r="O19" s="2">
        <f t="shared" si="0"/>
        <v>235.72027539220883</v>
      </c>
      <c r="P19" s="5">
        <f t="shared" si="1"/>
        <v>2.6888755627475932E-3</v>
      </c>
      <c r="Q19" s="6"/>
    </row>
    <row r="20" spans="2:17" ht="20.25" customHeight="1" x14ac:dyDescent="0.3">
      <c r="B20" s="180" t="s">
        <v>25</v>
      </c>
      <c r="C20" s="11">
        <v>16.752650760822299</v>
      </c>
      <c r="D20" s="11">
        <v>15.5491512781342</v>
      </c>
      <c r="E20" s="11">
        <v>17.1437171909472</v>
      </c>
      <c r="F20" s="11">
        <v>17.2686121693472</v>
      </c>
      <c r="G20" s="11">
        <v>15.9334181155923</v>
      </c>
      <c r="H20" s="11">
        <v>15.911366185135799</v>
      </c>
      <c r="I20" s="11">
        <v>16.142655331355499</v>
      </c>
      <c r="J20" s="11">
        <v>15.961949890459501</v>
      </c>
      <c r="K20" s="11">
        <v>16.230455608591299</v>
      </c>
      <c r="L20" s="11">
        <v>16.1779279859383</v>
      </c>
      <c r="M20" s="11">
        <v>15.7603974799594</v>
      </c>
      <c r="N20" s="12">
        <v>15.968019396550099</v>
      </c>
      <c r="O20" s="2">
        <f t="shared" si="0"/>
        <v>194.80032139283313</v>
      </c>
      <c r="P20" s="5">
        <f t="shared" si="1"/>
        <v>2.2220991509408314E-3</v>
      </c>
      <c r="Q20" s="6"/>
    </row>
    <row r="21" spans="2:17" ht="20.25" customHeight="1" x14ac:dyDescent="0.3">
      <c r="B21" s="180" t="s">
        <v>26</v>
      </c>
      <c r="C21" s="4">
        <v>34.202300741926898</v>
      </c>
      <c r="D21" s="4">
        <v>31.265216665554</v>
      </c>
      <c r="E21" s="4">
        <v>35.156680034353599</v>
      </c>
      <c r="F21" s="4">
        <v>35.461480374988803</v>
      </c>
      <c r="G21" s="4">
        <v>32.203001870791802</v>
      </c>
      <c r="H21" s="4">
        <v>32.149185168143802</v>
      </c>
      <c r="I21" s="4">
        <v>32.713635488373704</v>
      </c>
      <c r="J21" s="4">
        <v>32.2726323299973</v>
      </c>
      <c r="K21" s="4">
        <v>32.927907949542004</v>
      </c>
      <c r="L21" s="4">
        <v>32.799716748562602</v>
      </c>
      <c r="M21" s="4">
        <v>31.7807531194535</v>
      </c>
      <c r="N21" s="1">
        <v>32.287444675118103</v>
      </c>
      <c r="O21" s="2">
        <f t="shared" si="0"/>
        <v>395.21995516680607</v>
      </c>
      <c r="P21" s="5">
        <f t="shared" si="1"/>
        <v>4.5082981410488766E-3</v>
      </c>
      <c r="Q21" s="6"/>
    </row>
    <row r="22" spans="2:17" ht="20.25" customHeight="1" thickBot="1" x14ac:dyDescent="0.35">
      <c r="B22" s="183" t="s">
        <v>27</v>
      </c>
      <c r="C22" s="13">
        <v>23.2636429713348</v>
      </c>
      <c r="D22" s="13">
        <v>21.7874897520365</v>
      </c>
      <c r="E22" s="13">
        <v>23.743305803012198</v>
      </c>
      <c r="F22" s="13">
        <v>23.896495835157101</v>
      </c>
      <c r="G22" s="13">
        <v>22.258812538080701</v>
      </c>
      <c r="H22" s="13">
        <v>22.231764725760698</v>
      </c>
      <c r="I22" s="13">
        <v>22.515452606555101</v>
      </c>
      <c r="J22" s="13">
        <v>22.2938082085637</v>
      </c>
      <c r="K22" s="13">
        <v>22.623144104359</v>
      </c>
      <c r="L22" s="13">
        <v>22.558716308255498</v>
      </c>
      <c r="M22" s="13">
        <v>22.0465939439156</v>
      </c>
      <c r="N22" s="14">
        <v>22.3012527659433</v>
      </c>
      <c r="O22" s="15">
        <f t="shared" si="0"/>
        <v>271.52047956297417</v>
      </c>
      <c r="P22" s="16">
        <f t="shared" si="1"/>
        <v>3.0972506759022723E-3</v>
      </c>
      <c r="Q22" s="6"/>
    </row>
    <row r="23" spans="2:17" ht="20.25" customHeight="1" thickTop="1" thickBot="1" x14ac:dyDescent="0.35">
      <c r="B23" s="184" t="s">
        <v>28</v>
      </c>
      <c r="C23" s="17">
        <f>C13+C12+C11+C10+C9</f>
        <v>7617.3018637411506</v>
      </c>
      <c r="D23" s="17">
        <f t="shared" ref="D23:N23" si="3">D13+D12+D11+D10+D9</f>
        <v>5961.2538542911889</v>
      </c>
      <c r="E23" s="17">
        <f t="shared" si="3"/>
        <v>7958.8273286557005</v>
      </c>
      <c r="F23" s="17">
        <f t="shared" si="3"/>
        <v>7385.1793725789121</v>
      </c>
      <c r="G23" s="17">
        <f t="shared" si="3"/>
        <v>7991.8842508443013</v>
      </c>
      <c r="H23" s="17">
        <f t="shared" si="3"/>
        <v>6964.9828901192323</v>
      </c>
      <c r="I23" s="17">
        <f t="shared" si="3"/>
        <v>6983.4931528005154</v>
      </c>
      <c r="J23" s="17">
        <f t="shared" si="3"/>
        <v>7017.8323930481502</v>
      </c>
      <c r="K23" s="17">
        <f t="shared" si="3"/>
        <v>6638.6135709084201</v>
      </c>
      <c r="L23" s="17">
        <f t="shared" si="3"/>
        <v>6751.0693551814629</v>
      </c>
      <c r="M23" s="17">
        <f t="shared" si="3"/>
        <v>6145.0291994034551</v>
      </c>
      <c r="N23" s="18">
        <f t="shared" si="3"/>
        <v>5987.2424095330925</v>
      </c>
      <c r="O23" s="19">
        <f t="shared" si="0"/>
        <v>83402.709641105583</v>
      </c>
      <c r="P23" s="20">
        <f t="shared" si="1"/>
        <v>0.95137979729474842</v>
      </c>
    </row>
    <row r="24" spans="2:17" ht="20.25" customHeight="1" thickTop="1" thickBot="1" x14ac:dyDescent="0.35">
      <c r="B24" s="184" t="s">
        <v>29</v>
      </c>
      <c r="C24" s="17">
        <f>C25+C28+C29+C32+C35+C38+C39+C40+C41</f>
        <v>373.1868054104134</v>
      </c>
      <c r="D24" s="17">
        <f>D25+D28+D29+D32+D35+D38+D39+D40+D41</f>
        <v>331.47964633113548</v>
      </c>
      <c r="E24" s="17">
        <f t="shared" ref="E24:O24" si="4">E25+E28+E29+E32+E35+E38+E39+E40+E41</f>
        <v>386.73917501787935</v>
      </c>
      <c r="F24" s="17">
        <f t="shared" si="4"/>
        <v>391.06739850884219</v>
      </c>
      <c r="G24" s="17">
        <f t="shared" si="4"/>
        <v>344.79637670725356</v>
      </c>
      <c r="H24" s="17">
        <f t="shared" si="4"/>
        <v>344.03216917349005</v>
      </c>
      <c r="I24" s="17">
        <f t="shared" si="4"/>
        <v>352.04747234017555</v>
      </c>
      <c r="J24" s="17">
        <f t="shared" si="4"/>
        <v>345.78514262723826</v>
      </c>
      <c r="K24" s="17">
        <f t="shared" si="4"/>
        <v>355.09018252206999</v>
      </c>
      <c r="L24" s="17">
        <f t="shared" si="4"/>
        <v>353.26984279981838</v>
      </c>
      <c r="M24" s="17">
        <f t="shared" si="4"/>
        <v>338.80036318324187</v>
      </c>
      <c r="N24" s="18">
        <f t="shared" si="4"/>
        <v>345.99548077835192</v>
      </c>
      <c r="O24" s="19">
        <f t="shared" si="4"/>
        <v>4262.2900553999098</v>
      </c>
      <c r="P24" s="20">
        <f t="shared" si="1"/>
        <v>4.8620202705251511E-2</v>
      </c>
    </row>
    <row r="25" spans="2:17" ht="20.25" customHeight="1" thickTop="1" x14ac:dyDescent="0.3">
      <c r="B25" s="185" t="s">
        <v>30</v>
      </c>
      <c r="C25" s="21">
        <f t="shared" ref="C25:N25" si="5">C26+C27</f>
        <v>48.334228241521402</v>
      </c>
      <c r="D25" s="21">
        <f t="shared" si="5"/>
        <v>43.335828303024797</v>
      </c>
      <c r="E25" s="21">
        <f t="shared" si="5"/>
        <v>49.9584137508648</v>
      </c>
      <c r="F25" s="21">
        <f t="shared" si="5"/>
        <v>50.477130261617901</v>
      </c>
      <c r="G25" s="21">
        <f t="shared" si="5"/>
        <v>44.931773597846799</v>
      </c>
      <c r="H25" s="21">
        <f t="shared" si="5"/>
        <v>44.840187045943203</v>
      </c>
      <c r="I25" s="21">
        <f t="shared" si="5"/>
        <v>45.800782102999001</v>
      </c>
      <c r="J25" s="21">
        <f t="shared" si="5"/>
        <v>45.050272378937201</v>
      </c>
      <c r="K25" s="21">
        <f t="shared" si="5"/>
        <v>46.165436102978504</v>
      </c>
      <c r="L25" s="21">
        <f t="shared" si="5"/>
        <v>45.947277250718898</v>
      </c>
      <c r="M25" s="21">
        <f t="shared" si="5"/>
        <v>44.213180572302207</v>
      </c>
      <c r="N25" s="22">
        <f t="shared" si="5"/>
        <v>45.075480382186399</v>
      </c>
      <c r="O25" s="23">
        <f t="shared" si="0"/>
        <v>554.12998999094111</v>
      </c>
      <c r="P25" s="24">
        <f t="shared" si="1"/>
        <v>6.3209946034258621E-3</v>
      </c>
    </row>
    <row r="26" spans="2:17" ht="20.25" customHeight="1" x14ac:dyDescent="0.3">
      <c r="B26" s="186" t="s">
        <v>31</v>
      </c>
      <c r="C26" s="11">
        <v>30.134937480699101</v>
      </c>
      <c r="D26" s="11">
        <v>26.340037024890599</v>
      </c>
      <c r="E26" s="11">
        <v>31.368056559917598</v>
      </c>
      <c r="F26" s="11">
        <v>31.761878092270699</v>
      </c>
      <c r="G26" s="11">
        <v>27.551715482254501</v>
      </c>
      <c r="H26" s="11">
        <v>27.482180860807404</v>
      </c>
      <c r="I26" s="11">
        <v>28.2114867716435</v>
      </c>
      <c r="J26" s="11">
        <v>27.641682488477699</v>
      </c>
      <c r="K26" s="11">
        <v>28.488340494387202</v>
      </c>
      <c r="L26" s="11">
        <v>28.322709264780599</v>
      </c>
      <c r="M26" s="11">
        <v>27.006143092342803</v>
      </c>
      <c r="N26" s="12">
        <v>27.660820985636299</v>
      </c>
      <c r="O26" s="25">
        <f>SUM(C26:N26)</f>
        <v>341.96998859810805</v>
      </c>
      <c r="P26" s="26">
        <f t="shared" si="1"/>
        <v>3.9008725236069283E-3</v>
      </c>
      <c r="Q26" s="6"/>
    </row>
    <row r="27" spans="2:17" ht="20.25" customHeight="1" x14ac:dyDescent="0.3">
      <c r="B27" s="186" t="s">
        <v>32</v>
      </c>
      <c r="C27" s="11">
        <v>18.199290760822301</v>
      </c>
      <c r="D27" s="11">
        <v>16.995791278134199</v>
      </c>
      <c r="E27" s="11">
        <v>18.590357190947202</v>
      </c>
      <c r="F27" s="11">
        <v>18.715252169347202</v>
      </c>
      <c r="G27" s="11">
        <v>17.380058115592298</v>
      </c>
      <c r="H27" s="11">
        <v>17.3580061851358</v>
      </c>
      <c r="I27" s="11">
        <v>17.589295331355501</v>
      </c>
      <c r="J27" s="11">
        <v>17.408589890459503</v>
      </c>
      <c r="K27" s="11">
        <v>17.677095608591301</v>
      </c>
      <c r="L27" s="11">
        <v>17.624567985938299</v>
      </c>
      <c r="M27" s="11">
        <v>17.2070374799594</v>
      </c>
      <c r="N27" s="12">
        <v>17.4146593965501</v>
      </c>
      <c r="O27" s="25">
        <f>SUM(C27:N27)</f>
        <v>212.16000139283315</v>
      </c>
      <c r="P27" s="26">
        <f t="shared" si="1"/>
        <v>2.4201220798189343E-3</v>
      </c>
      <c r="Q27" s="6"/>
    </row>
    <row r="28" spans="2:17" ht="20.25" customHeight="1" x14ac:dyDescent="0.3">
      <c r="B28" s="187" t="s">
        <v>33</v>
      </c>
      <c r="C28" s="4">
        <v>148.95435121887402</v>
      </c>
      <c r="D28" s="4">
        <v>134.169662419096</v>
      </c>
      <c r="E28" s="4">
        <v>153.75850406863</v>
      </c>
      <c r="F28" s="4">
        <v>155.29280750196</v>
      </c>
      <c r="G28" s="4">
        <v>138.89028398114502</v>
      </c>
      <c r="H28" s="4">
        <v>138.61938155540901</v>
      </c>
      <c r="I28" s="4">
        <v>141.46071061189201</v>
      </c>
      <c r="J28" s="4">
        <v>139.240789667591</v>
      </c>
      <c r="K28" s="4">
        <v>142.53931496041002</v>
      </c>
      <c r="L28" s="4">
        <v>141.89402631219002</v>
      </c>
      <c r="M28" s="4">
        <v>136.76476893891302</v>
      </c>
      <c r="N28" s="1">
        <v>139.31535202512401</v>
      </c>
      <c r="O28" s="27">
        <f>SUM(C28:N28)</f>
        <v>1710.899953261234</v>
      </c>
      <c r="P28" s="5">
        <f t="shared" si="1"/>
        <v>1.9516340149253818E-2</v>
      </c>
      <c r="Q28" s="6"/>
    </row>
    <row r="29" spans="2:17" ht="20.25" customHeight="1" x14ac:dyDescent="0.3">
      <c r="B29" s="187" t="s">
        <v>34</v>
      </c>
      <c r="C29" s="28">
        <f t="shared" ref="C29:O29" si="6">C30+C31</f>
        <v>40.704983193938304</v>
      </c>
      <c r="D29" s="28">
        <f t="shared" si="6"/>
        <v>36.266923353380903</v>
      </c>
      <c r="E29" s="28">
        <f t="shared" si="6"/>
        <v>42.1470911827601</v>
      </c>
      <c r="F29" s="28">
        <f t="shared" si="6"/>
        <v>42.607657552665202</v>
      </c>
      <c r="G29" s="28">
        <f t="shared" si="6"/>
        <v>37.6839569657025</v>
      </c>
      <c r="H29" s="28">
        <f t="shared" si="6"/>
        <v>37.602637622924902</v>
      </c>
      <c r="I29" s="28">
        <f t="shared" si="6"/>
        <v>38.455546233323105</v>
      </c>
      <c r="J29" s="28">
        <f t="shared" si="6"/>
        <v>37.789171571973299</v>
      </c>
      <c r="K29" s="28">
        <f t="shared" si="6"/>
        <v>38.779321099864504</v>
      </c>
      <c r="L29" s="28">
        <f t="shared" si="6"/>
        <v>38.585618704500199</v>
      </c>
      <c r="M29" s="28">
        <f t="shared" si="6"/>
        <v>37.045921016675798</v>
      </c>
      <c r="N29" s="29">
        <f t="shared" si="6"/>
        <v>37.811553659892901</v>
      </c>
      <c r="O29" s="30">
        <f t="shared" si="6"/>
        <v>465.4803821576017</v>
      </c>
      <c r="P29" s="5">
        <f t="shared" si="1"/>
        <v>5.3097631183378268E-3</v>
      </c>
    </row>
    <row r="30" spans="2:17" ht="20.25" customHeight="1" x14ac:dyDescent="0.3">
      <c r="B30" s="186" t="s">
        <v>35</v>
      </c>
      <c r="C30" s="11">
        <v>27.837243550215902</v>
      </c>
      <c r="D30" s="11">
        <v>24.865611702733002</v>
      </c>
      <c r="E30" s="11">
        <v>28.802848832941002</v>
      </c>
      <c r="F30" s="11">
        <v>29.111234420756201</v>
      </c>
      <c r="G30" s="11">
        <v>25.8144277085126</v>
      </c>
      <c r="H30" s="11">
        <v>25.759977981042503</v>
      </c>
      <c r="I30" s="11">
        <v>26.331067709596802</v>
      </c>
      <c r="J30" s="11">
        <v>25.884877203572902</v>
      </c>
      <c r="K30" s="11">
        <v>26.547860573910302</v>
      </c>
      <c r="L30" s="11">
        <v>26.418161509977402</v>
      </c>
      <c r="M30" s="11">
        <v>25.387212210280701</v>
      </c>
      <c r="N30" s="12">
        <v>25.899863780515201</v>
      </c>
      <c r="O30" s="31">
        <f t="shared" si="0"/>
        <v>318.66038718405451</v>
      </c>
      <c r="P30" s="26">
        <f t="shared" si="1"/>
        <v>3.6349784781526317E-3</v>
      </c>
      <c r="Q30" s="6"/>
    </row>
    <row r="31" spans="2:17" ht="20.25" customHeight="1" x14ac:dyDescent="0.3">
      <c r="B31" s="186" t="s">
        <v>36</v>
      </c>
      <c r="C31" s="11">
        <v>12.8677396437224</v>
      </c>
      <c r="D31" s="11">
        <v>11.4013116506479</v>
      </c>
      <c r="E31" s="11">
        <v>13.344242349819099</v>
      </c>
      <c r="F31" s="11">
        <v>13.496423131908999</v>
      </c>
      <c r="G31" s="11">
        <v>11.8695292571899</v>
      </c>
      <c r="H31" s="11">
        <v>11.842659641882399</v>
      </c>
      <c r="I31" s="11">
        <v>12.1244785237263</v>
      </c>
      <c r="J31" s="11">
        <v>11.9042943684004</v>
      </c>
      <c r="K31" s="11">
        <v>12.2314605259542</v>
      </c>
      <c r="L31" s="11">
        <v>12.167457194522799</v>
      </c>
      <c r="M31" s="11">
        <v>11.658708806395099</v>
      </c>
      <c r="N31" s="12">
        <v>11.911689879377699</v>
      </c>
      <c r="O31" s="31">
        <f t="shared" si="0"/>
        <v>146.81999497354718</v>
      </c>
      <c r="P31" s="26">
        <f t="shared" si="1"/>
        <v>1.6747846401851949E-3</v>
      </c>
      <c r="Q31" s="6"/>
    </row>
    <row r="32" spans="2:17" ht="20.25" customHeight="1" x14ac:dyDescent="0.3">
      <c r="B32" s="188" t="s">
        <v>37</v>
      </c>
      <c r="C32" s="28">
        <f t="shared" ref="C32:O32" si="7">C33+C34</f>
        <v>42.9538036044802</v>
      </c>
      <c r="D32" s="28">
        <f t="shared" si="7"/>
        <v>35.513239386244997</v>
      </c>
      <c r="E32" s="28">
        <f t="shared" si="7"/>
        <v>45.371548629547497</v>
      </c>
      <c r="F32" s="28">
        <f t="shared" si="7"/>
        <v>46.143704430765396</v>
      </c>
      <c r="G32" s="28">
        <f t="shared" si="7"/>
        <v>37.888946332673299</v>
      </c>
      <c r="H32" s="28">
        <f t="shared" si="7"/>
        <v>37.752611579682402</v>
      </c>
      <c r="I32" s="28">
        <f t="shared" si="7"/>
        <v>39.182543017280096</v>
      </c>
      <c r="J32" s="28">
        <f t="shared" si="7"/>
        <v>38.0653423396626</v>
      </c>
      <c r="K32" s="28">
        <f t="shared" si="7"/>
        <v>39.725363027217199</v>
      </c>
      <c r="L32" s="28">
        <f t="shared" si="7"/>
        <v>39.4006141135673</v>
      </c>
      <c r="M32" s="28">
        <f t="shared" si="7"/>
        <v>36.819256508103493</v>
      </c>
      <c r="N32" s="32">
        <f t="shared" si="7"/>
        <v>38.102866701317794</v>
      </c>
      <c r="O32" s="30">
        <f t="shared" si="7"/>
        <v>476.91983967054233</v>
      </c>
      <c r="P32" s="5">
        <f t="shared" si="1"/>
        <v>5.4402537081118963E-3</v>
      </c>
    </row>
    <row r="33" spans="2:19" ht="20.25" customHeight="1" x14ac:dyDescent="0.3">
      <c r="B33" s="186" t="s">
        <v>38</v>
      </c>
      <c r="C33" s="11">
        <v>32.326793413624699</v>
      </c>
      <c r="D33" s="11">
        <v>27.554227806654197</v>
      </c>
      <c r="E33" s="11">
        <v>33.877596069797001</v>
      </c>
      <c r="F33" s="11">
        <v>34.3728762813546</v>
      </c>
      <c r="G33" s="11">
        <v>29.078066178612197</v>
      </c>
      <c r="H33" s="11">
        <v>28.990617628465401</v>
      </c>
      <c r="I33" s="11">
        <v>29.907811728165399</v>
      </c>
      <c r="J33" s="11">
        <v>29.1912110277758</v>
      </c>
      <c r="K33" s="11">
        <v>30.2559901773013</v>
      </c>
      <c r="L33" s="11">
        <v>30.047688031022098</v>
      </c>
      <c r="M33" s="11">
        <v>28.391940138014895</v>
      </c>
      <c r="N33" s="12">
        <v>29.215280100040495</v>
      </c>
      <c r="O33" s="33">
        <f t="shared" si="0"/>
        <v>363.21009858082812</v>
      </c>
      <c r="P33" s="26">
        <f t="shared" si="1"/>
        <v>4.1431597540438521E-3</v>
      </c>
      <c r="Q33" s="6"/>
    </row>
    <row r="34" spans="2:19" ht="20.25" customHeight="1" x14ac:dyDescent="0.3">
      <c r="B34" s="186" t="s">
        <v>39</v>
      </c>
      <c r="C34" s="11">
        <v>10.627010190855499</v>
      </c>
      <c r="D34" s="11">
        <v>7.9590115795907987</v>
      </c>
      <c r="E34" s="11">
        <v>11.493952559750499</v>
      </c>
      <c r="F34" s="11">
        <v>11.770828149410798</v>
      </c>
      <c r="G34" s="11">
        <v>8.8108801540611008</v>
      </c>
      <c r="H34" s="11">
        <v>8.7619939512169989</v>
      </c>
      <c r="I34" s="11">
        <v>9.2747312891146994</v>
      </c>
      <c r="J34" s="11">
        <v>8.874131311886801</v>
      </c>
      <c r="K34" s="11">
        <v>9.4693728499159011</v>
      </c>
      <c r="L34" s="11">
        <v>9.352926082545201</v>
      </c>
      <c r="M34" s="11">
        <v>8.4273163700885991</v>
      </c>
      <c r="N34" s="12">
        <v>8.8875866012773006</v>
      </c>
      <c r="O34" s="33">
        <f t="shared" si="0"/>
        <v>113.7097410897142</v>
      </c>
      <c r="P34" s="26">
        <f t="shared" si="1"/>
        <v>1.297093954068044E-3</v>
      </c>
      <c r="Q34" s="6"/>
    </row>
    <row r="35" spans="2:19" ht="20.25" customHeight="1" x14ac:dyDescent="0.3">
      <c r="B35" s="187" t="s">
        <v>40</v>
      </c>
      <c r="C35" s="28">
        <f t="shared" ref="C35:O35" si="8">C36+C37</f>
        <v>27.0632664933432</v>
      </c>
      <c r="D35" s="28">
        <f t="shared" si="8"/>
        <v>23.919229960789103</v>
      </c>
      <c r="E35" s="28">
        <f t="shared" si="8"/>
        <v>28.084893141841697</v>
      </c>
      <c r="F35" s="28">
        <f t="shared" si="8"/>
        <v>28.411170286510696</v>
      </c>
      <c r="G35" s="28">
        <f t="shared" si="8"/>
        <v>24.923093271572498</v>
      </c>
      <c r="H35" s="28">
        <f t="shared" si="8"/>
        <v>24.865484543055601</v>
      </c>
      <c r="I35" s="28">
        <f t="shared" si="8"/>
        <v>25.469707092178503</v>
      </c>
      <c r="J35" s="28">
        <f t="shared" si="8"/>
        <v>24.997630023612203</v>
      </c>
      <c r="K35" s="28">
        <f t="shared" si="8"/>
        <v>25.699077593095801</v>
      </c>
      <c r="L35" s="28">
        <f t="shared" si="8"/>
        <v>25.561853799512996</v>
      </c>
      <c r="M35" s="28">
        <f t="shared" si="8"/>
        <v>24.471092080761299</v>
      </c>
      <c r="N35" s="32">
        <f t="shared" si="8"/>
        <v>25.013486074369201</v>
      </c>
      <c r="O35" s="30">
        <f t="shared" si="8"/>
        <v>308.47998436064279</v>
      </c>
      <c r="P35" s="5">
        <f t="shared" si="1"/>
        <v>3.5188500020372371E-3</v>
      </c>
      <c r="Q35" s="6"/>
    </row>
    <row r="36" spans="2:19" ht="20.25" customHeight="1" x14ac:dyDescent="0.3">
      <c r="B36" s="186" t="s">
        <v>41</v>
      </c>
      <c r="C36" s="11">
        <v>16.807442318892498</v>
      </c>
      <c r="D36" s="11">
        <v>14.953502888982801</v>
      </c>
      <c r="E36" s="11">
        <v>17.409863412504698</v>
      </c>
      <c r="F36" s="11">
        <v>17.602258779834898</v>
      </c>
      <c r="G36" s="11">
        <v>15.545449501189999</v>
      </c>
      <c r="H36" s="11">
        <v>15.511479446389899</v>
      </c>
      <c r="I36" s="11">
        <v>15.8677704743919</v>
      </c>
      <c r="J36" s="11">
        <v>15.5894014788954</v>
      </c>
      <c r="K36" s="11">
        <v>16.003023042644699</v>
      </c>
      <c r="L36" s="11">
        <v>15.922106488714498</v>
      </c>
      <c r="M36" s="11">
        <v>15.278918619206198</v>
      </c>
      <c r="N36" s="12">
        <v>15.5987512931856</v>
      </c>
      <c r="O36" s="25">
        <f t="shared" si="0"/>
        <v>192.08996774483307</v>
      </c>
      <c r="P36" s="26">
        <f t="shared" si="1"/>
        <v>2.1911819815187902E-3</v>
      </c>
      <c r="Q36" s="6"/>
    </row>
    <row r="37" spans="2:19" ht="20.25" customHeight="1" x14ac:dyDescent="0.3">
      <c r="B37" s="186" t="s">
        <v>42</v>
      </c>
      <c r="C37" s="11">
        <v>10.2558241744507</v>
      </c>
      <c r="D37" s="11">
        <v>8.9657270718063007</v>
      </c>
      <c r="E37" s="11">
        <v>10.675029729337</v>
      </c>
      <c r="F37" s="11">
        <v>10.8089115066758</v>
      </c>
      <c r="G37" s="11">
        <v>9.3776437703825</v>
      </c>
      <c r="H37" s="11">
        <v>9.3540050966657002</v>
      </c>
      <c r="I37" s="11">
        <v>9.6019366177866008</v>
      </c>
      <c r="J37" s="11">
        <v>9.4082285447168008</v>
      </c>
      <c r="K37" s="11">
        <v>9.6960545504511</v>
      </c>
      <c r="L37" s="11">
        <v>9.6397473107984997</v>
      </c>
      <c r="M37" s="11">
        <v>9.1921734615551003</v>
      </c>
      <c r="N37" s="12">
        <v>9.4147347811836006</v>
      </c>
      <c r="O37" s="25">
        <f t="shared" si="0"/>
        <v>116.3900166158097</v>
      </c>
      <c r="P37" s="26">
        <f t="shared" si="1"/>
        <v>1.3276680205184467E-3</v>
      </c>
      <c r="Q37" s="6"/>
    </row>
    <row r="38" spans="2:19" ht="20.25" customHeight="1" x14ac:dyDescent="0.3">
      <c r="B38" s="187" t="s">
        <v>43</v>
      </c>
      <c r="C38" s="4">
        <v>15.198535665638941</v>
      </c>
      <c r="D38" s="4">
        <v>14.340561159717371</v>
      </c>
      <c r="E38" s="4">
        <v>15.477326834222991</v>
      </c>
      <c r="F38" s="4">
        <v>15.566364435756061</v>
      </c>
      <c r="G38" s="4">
        <v>14.61450490024459</v>
      </c>
      <c r="H38" s="4">
        <v>14.59878408406634</v>
      </c>
      <c r="I38" s="4">
        <v>14.763670063501589</v>
      </c>
      <c r="J38" s="4">
        <v>14.634845196021111</v>
      </c>
      <c r="K38" s="4">
        <v>14.826262861059689</v>
      </c>
      <c r="L38" s="4">
        <v>14.788815930885441</v>
      </c>
      <c r="M38" s="4">
        <v>14.49115852867838</v>
      </c>
      <c r="N38" s="1">
        <v>14.639172145524791</v>
      </c>
      <c r="O38" s="34">
        <f t="shared" si="0"/>
        <v>177.94000180531728</v>
      </c>
      <c r="P38" s="5">
        <f t="shared" si="1"/>
        <v>2.02977245675403E-3</v>
      </c>
      <c r="Q38" s="6"/>
    </row>
    <row r="39" spans="2:19" ht="20.25" customHeight="1" x14ac:dyDescent="0.3">
      <c r="B39" s="188" t="s">
        <v>44</v>
      </c>
      <c r="C39" s="4">
        <v>14.424538847460198</v>
      </c>
      <c r="D39" s="4">
        <v>12.5599451200736</v>
      </c>
      <c r="E39" s="4">
        <v>15.030421960075699</v>
      </c>
      <c r="F39" s="4">
        <v>15.223922993235</v>
      </c>
      <c r="G39" s="4">
        <v>13.155293556091799</v>
      </c>
      <c r="H39" s="4">
        <v>13.121128280744998</v>
      </c>
      <c r="I39" s="4">
        <v>13.479466857086098</v>
      </c>
      <c r="J39" s="4">
        <v>13.199498118880499</v>
      </c>
      <c r="K39" s="4">
        <v>13.6154967005149</v>
      </c>
      <c r="L39" s="4">
        <v>13.5341151319125</v>
      </c>
      <c r="M39" s="4">
        <v>12.887230963169898</v>
      </c>
      <c r="N39" s="1">
        <v>13.208901665078599</v>
      </c>
      <c r="O39" s="34">
        <f t="shared" si="0"/>
        <v>163.43996019432376</v>
      </c>
      <c r="P39" s="5">
        <f t="shared" si="1"/>
        <v>1.8643695974465257E-3</v>
      </c>
      <c r="Q39" s="6"/>
    </row>
    <row r="40" spans="2:19" ht="20.25" customHeight="1" x14ac:dyDescent="0.3">
      <c r="B40" s="189" t="s">
        <v>45</v>
      </c>
      <c r="C40" s="4">
        <v>12.9409096556907</v>
      </c>
      <c r="D40" s="4">
        <v>11.208332437481701</v>
      </c>
      <c r="E40" s="4">
        <v>13.503895180310401</v>
      </c>
      <c r="F40" s="4">
        <v>13.683696000632501</v>
      </c>
      <c r="G40" s="4">
        <v>11.761529159100601</v>
      </c>
      <c r="H40" s="4">
        <v>11.729782845225198</v>
      </c>
      <c r="I40" s="4">
        <v>12.0627504213011</v>
      </c>
      <c r="J40" s="4">
        <v>11.802603961243101</v>
      </c>
      <c r="K40" s="4">
        <v>12.189149113015901</v>
      </c>
      <c r="L40" s="4">
        <v>12.113529502335101</v>
      </c>
      <c r="M40" s="4">
        <v>11.512445868339199</v>
      </c>
      <c r="N40" s="1">
        <v>11.8113417198626</v>
      </c>
      <c r="O40" s="34">
        <f t="shared" si="0"/>
        <v>146.31996586453812</v>
      </c>
      <c r="P40" s="5">
        <f t="shared" si="1"/>
        <v>1.6690807776318366E-3</v>
      </c>
      <c r="Q40" s="6"/>
    </row>
    <row r="41" spans="2:19" ht="20.25" customHeight="1" x14ac:dyDescent="0.3">
      <c r="B41" s="187" t="s">
        <v>46</v>
      </c>
      <c r="C41" s="4">
        <f t="shared" ref="C41:N41" si="9">C42+C43</f>
        <v>22.612188489466448</v>
      </c>
      <c r="D41" s="4">
        <f t="shared" si="9"/>
        <v>20.165924191326987</v>
      </c>
      <c r="E41" s="4">
        <f t="shared" si="9"/>
        <v>23.407080269626185</v>
      </c>
      <c r="F41" s="4">
        <f t="shared" si="9"/>
        <v>23.660945045699421</v>
      </c>
      <c r="G41" s="4">
        <f t="shared" si="9"/>
        <v>20.946994942876557</v>
      </c>
      <c r="H41" s="4">
        <f t="shared" si="9"/>
        <v>20.90217161643848</v>
      </c>
      <c r="I41" s="4">
        <f t="shared" si="9"/>
        <v>21.372295940614038</v>
      </c>
      <c r="J41" s="4">
        <f t="shared" si="9"/>
        <v>21.004989369317236</v>
      </c>
      <c r="K41" s="4">
        <f t="shared" si="9"/>
        <v>21.550761063913448</v>
      </c>
      <c r="L41" s="4">
        <f t="shared" si="9"/>
        <v>21.443992054195867</v>
      </c>
      <c r="M41" s="4">
        <f t="shared" si="9"/>
        <v>20.595308706298532</v>
      </c>
      <c r="N41" s="1">
        <f t="shared" si="9"/>
        <v>21.017326404995647</v>
      </c>
      <c r="O41" s="34">
        <f t="shared" si="0"/>
        <v>258.67997809476884</v>
      </c>
      <c r="P41" s="5">
        <f t="shared" si="1"/>
        <v>2.9507782922524816E-3</v>
      </c>
    </row>
    <row r="42" spans="2:19" ht="20.25" customHeight="1" x14ac:dyDescent="0.3">
      <c r="B42" s="186" t="s">
        <v>47</v>
      </c>
      <c r="C42" s="11">
        <v>18.705008964379001</v>
      </c>
      <c r="D42" s="11">
        <v>16.323675761036</v>
      </c>
      <c r="E42" s="11">
        <v>19.4788019640146</v>
      </c>
      <c r="F42" s="11">
        <v>19.725928417555302</v>
      </c>
      <c r="G42" s="11">
        <v>17.0840145830675</v>
      </c>
      <c r="H42" s="11">
        <v>17.040381000378801</v>
      </c>
      <c r="I42" s="11">
        <v>17.498026833541601</v>
      </c>
      <c r="J42" s="11">
        <v>17.140469665781602</v>
      </c>
      <c r="K42" s="11">
        <v>17.671754964257001</v>
      </c>
      <c r="L42" s="11">
        <v>17.567819920066601</v>
      </c>
      <c r="M42" s="11">
        <v>16.7416631401106</v>
      </c>
      <c r="N42" s="12">
        <v>17.1524792400186</v>
      </c>
      <c r="O42" s="25">
        <f t="shared" si="0"/>
        <v>212.13002445420722</v>
      </c>
      <c r="P42" s="26">
        <f t="shared" si="1"/>
        <v>2.4197801310511286E-3</v>
      </c>
      <c r="Q42" s="6"/>
    </row>
    <row r="43" spans="2:19" ht="20.25" customHeight="1" thickBot="1" x14ac:dyDescent="0.35">
      <c r="B43" s="186" t="s">
        <v>48</v>
      </c>
      <c r="C43" s="11">
        <v>3.9071795250874448</v>
      </c>
      <c r="D43" s="11">
        <v>3.8422484302909852</v>
      </c>
      <c r="E43" s="11">
        <v>3.9282783056115842</v>
      </c>
      <c r="F43" s="11">
        <v>3.9350166281441208</v>
      </c>
      <c r="G43" s="11">
        <v>3.862980359809058</v>
      </c>
      <c r="H43" s="11">
        <v>3.861790616059678</v>
      </c>
      <c r="I43" s="11">
        <v>3.8742691070724362</v>
      </c>
      <c r="J43" s="11">
        <v>3.8645197035356351</v>
      </c>
      <c r="K43" s="11">
        <v>3.8790060996564462</v>
      </c>
      <c r="L43" s="11">
        <v>3.8761721341292672</v>
      </c>
      <c r="M43" s="11">
        <v>3.8536455661879332</v>
      </c>
      <c r="N43" s="12">
        <v>3.8648471649770459</v>
      </c>
      <c r="O43" s="25">
        <f t="shared" si="0"/>
        <v>46.54995364056164</v>
      </c>
      <c r="P43" s="35">
        <f t="shared" si="1"/>
        <v>5.3099816120135356E-4</v>
      </c>
      <c r="Q43" s="6"/>
    </row>
    <row r="44" spans="2:19" ht="20.25" customHeight="1" thickTop="1" thickBot="1" x14ac:dyDescent="0.35">
      <c r="B44" s="190" t="s">
        <v>49</v>
      </c>
      <c r="C44" s="17">
        <f>C23+C24</f>
        <v>7990.488669151564</v>
      </c>
      <c r="D44" s="17">
        <f>D23+D24</f>
        <v>6292.7335006223248</v>
      </c>
      <c r="E44" s="17">
        <f t="shared" ref="E44:N44" si="10">E23+E24</f>
        <v>8345.5665036735791</v>
      </c>
      <c r="F44" s="17">
        <f t="shared" si="10"/>
        <v>7776.2467710877545</v>
      </c>
      <c r="G44" s="17">
        <f t="shared" si="10"/>
        <v>8336.6806275515555</v>
      </c>
      <c r="H44" s="17">
        <f t="shared" si="10"/>
        <v>7309.0150592927221</v>
      </c>
      <c r="I44" s="17">
        <f t="shared" si="10"/>
        <v>7335.5406251406912</v>
      </c>
      <c r="J44" s="17">
        <f t="shared" si="10"/>
        <v>7363.6175356753884</v>
      </c>
      <c r="K44" s="17">
        <f t="shared" si="10"/>
        <v>6993.70375343049</v>
      </c>
      <c r="L44" s="17">
        <f t="shared" si="10"/>
        <v>7104.3391979812814</v>
      </c>
      <c r="M44" s="17">
        <f t="shared" si="10"/>
        <v>6483.8295625866967</v>
      </c>
      <c r="N44" s="36">
        <f t="shared" si="10"/>
        <v>6333.2378903114441</v>
      </c>
      <c r="O44" s="37">
        <f t="shared" si="0"/>
        <v>87664.999696505503</v>
      </c>
      <c r="P44" s="38">
        <f t="shared" si="1"/>
        <v>1</v>
      </c>
    </row>
    <row r="45" spans="2:19" s="44" customFormat="1" ht="9" customHeight="1" thickTop="1" thickBot="1" x14ac:dyDescent="0.35">
      <c r="B45" s="39"/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2"/>
      <c r="O45" s="43"/>
      <c r="P45" s="38"/>
    </row>
    <row r="46" spans="2:19" ht="17.399999999999999" thickTop="1" thickBot="1" x14ac:dyDescent="0.4">
      <c r="B46" s="45" t="s">
        <v>50</v>
      </c>
      <c r="C46" s="46"/>
      <c r="D46" s="46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6"/>
      <c r="P46" s="48"/>
    </row>
    <row r="47" spans="2:19" ht="15" thickTop="1" x14ac:dyDescent="0.3"/>
    <row r="48" spans="2:19" x14ac:dyDescent="0.3">
      <c r="O48" s="6"/>
      <c r="S48" s="6"/>
    </row>
  </sheetData>
  <mergeCells count="6">
    <mergeCell ref="B7:P7"/>
    <mergeCell ref="B1:P2"/>
    <mergeCell ref="B3:P3"/>
    <mergeCell ref="B4:P4"/>
    <mergeCell ref="B5:P5"/>
    <mergeCell ref="B6:P6"/>
  </mergeCells>
  <printOptions horizontalCentered="1" verticalCentered="1"/>
  <pageMargins left="0" right="0" top="0" bottom="0" header="0" footer="0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8"/>
  <sheetViews>
    <sheetView topLeftCell="H31" zoomScale="123" zoomScaleNormal="115" workbookViewId="0">
      <selection activeCell="L27" sqref="L27"/>
    </sheetView>
  </sheetViews>
  <sheetFormatPr defaultRowHeight="14.4" x14ac:dyDescent="0.3"/>
  <cols>
    <col min="2" max="2" width="39" customWidth="1"/>
    <col min="3" max="16" width="10.77734375" customWidth="1"/>
    <col min="17" max="17" width="11.77734375" bestFit="1" customWidth="1"/>
    <col min="18" max="18" width="13.21875" style="9" bestFit="1" customWidth="1"/>
    <col min="19" max="19" width="8.77734375" bestFit="1" customWidth="1"/>
    <col min="20" max="20" width="12.77734375" bestFit="1" customWidth="1"/>
    <col min="21" max="21" width="8.77734375" bestFit="1" customWidth="1"/>
    <col min="22" max="22" width="12.77734375" bestFit="1" customWidth="1"/>
  </cols>
  <sheetData>
    <row r="1" spans="2:20" ht="20.25" customHeight="1" thickTop="1" x14ac:dyDescent="0.3">
      <c r="B1" s="491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2"/>
      <c r="Q1" s="492"/>
      <c r="R1" s="493"/>
    </row>
    <row r="2" spans="2:20" ht="37.5" customHeight="1" x14ac:dyDescent="0.3">
      <c r="B2" s="494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6"/>
    </row>
    <row r="3" spans="2:20" ht="20.25" customHeight="1" x14ac:dyDescent="0.3">
      <c r="B3" s="497" t="s">
        <v>0</v>
      </c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8"/>
      <c r="O3" s="498"/>
      <c r="P3" s="498"/>
      <c r="Q3" s="498"/>
      <c r="R3" s="499"/>
    </row>
    <row r="4" spans="2:20" ht="20.25" customHeight="1" x14ac:dyDescent="0.3">
      <c r="B4" s="500" t="s">
        <v>1</v>
      </c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1"/>
      <c r="R4" s="502"/>
    </row>
    <row r="5" spans="2:20" ht="20.25" customHeight="1" x14ac:dyDescent="0.3">
      <c r="B5" s="503" t="s">
        <v>2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5"/>
    </row>
    <row r="6" spans="2:20" ht="20.25" customHeight="1" thickBot="1" x14ac:dyDescent="0.35">
      <c r="B6" s="503" t="s">
        <v>3</v>
      </c>
      <c r="C6" s="504"/>
      <c r="D6" s="504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5"/>
    </row>
    <row r="7" spans="2:20" ht="20.25" customHeight="1" thickTop="1" thickBot="1" x14ac:dyDescent="0.35">
      <c r="B7" s="205"/>
      <c r="C7" s="488" t="s">
        <v>109</v>
      </c>
      <c r="D7" s="489"/>
      <c r="E7" s="489"/>
      <c r="F7" s="489"/>
      <c r="G7" s="489"/>
      <c r="H7" s="489"/>
      <c r="I7" s="512"/>
      <c r="J7" s="516" t="s">
        <v>111</v>
      </c>
      <c r="K7" s="513" t="s">
        <v>110</v>
      </c>
      <c r="L7" s="513"/>
      <c r="M7" s="513"/>
      <c r="N7" s="513"/>
      <c r="O7" s="513"/>
      <c r="P7" s="516" t="s">
        <v>112</v>
      </c>
      <c r="Q7" s="514" t="s">
        <v>5</v>
      </c>
      <c r="R7" s="206"/>
    </row>
    <row r="8" spans="2:20" ht="15.6" thickTop="1" thickBot="1" x14ac:dyDescent="0.35">
      <c r="B8" s="175" t="s">
        <v>7</v>
      </c>
      <c r="C8" s="176" t="s">
        <v>56</v>
      </c>
      <c r="D8" s="177" t="s">
        <v>57</v>
      </c>
      <c r="E8" s="177" t="s">
        <v>58</v>
      </c>
      <c r="F8" s="178" t="s">
        <v>59</v>
      </c>
      <c r="G8" s="178" t="s">
        <v>60</v>
      </c>
      <c r="H8" s="178" t="s">
        <v>8</v>
      </c>
      <c r="I8" s="210" t="s">
        <v>9</v>
      </c>
      <c r="J8" s="517"/>
      <c r="K8" s="207" t="s">
        <v>10</v>
      </c>
      <c r="L8" s="194" t="s">
        <v>11</v>
      </c>
      <c r="M8" s="194" t="s">
        <v>12</v>
      </c>
      <c r="N8" s="194" t="s">
        <v>13</v>
      </c>
      <c r="O8" s="223" t="s">
        <v>61</v>
      </c>
      <c r="P8" s="517"/>
      <c r="Q8" s="515"/>
      <c r="R8" s="193" t="s">
        <v>6</v>
      </c>
    </row>
    <row r="9" spans="2:20" ht="20.25" customHeight="1" thickTop="1" x14ac:dyDescent="0.3">
      <c r="B9" s="191" t="s">
        <v>14</v>
      </c>
      <c r="C9" s="21">
        <v>506.61530451411198</v>
      </c>
      <c r="D9" s="21">
        <v>457.39535196401602</v>
      </c>
      <c r="E9" s="21">
        <v>618.52547609154601</v>
      </c>
      <c r="F9" s="21">
        <v>634.06685194812599</v>
      </c>
      <c r="G9" s="21">
        <v>523.81695647261404</v>
      </c>
      <c r="H9" s="21">
        <v>542.76735697112099</v>
      </c>
      <c r="I9" s="211">
        <v>567.00224421881194</v>
      </c>
      <c r="J9" s="225">
        <f>SUM(C9:I9)</f>
        <v>3850.189542180347</v>
      </c>
      <c r="K9" s="208">
        <v>551.07365547458596</v>
      </c>
      <c r="L9" s="195">
        <v>643.34527558303796</v>
      </c>
      <c r="M9" s="195">
        <v>483.11065983735199</v>
      </c>
      <c r="N9" s="195">
        <v>466.03476409487899</v>
      </c>
      <c r="O9" s="218">
        <v>474.55595252491599</v>
      </c>
      <c r="P9" s="225">
        <f>SUM(K9:O9)</f>
        <v>2618.120307514771</v>
      </c>
      <c r="Q9" s="231">
        <f>J9+P9</f>
        <v>6468.3098496951179</v>
      </c>
      <c r="R9" s="24">
        <f>Q9/$Q$44</f>
        <v>7.3784405088556201E-2</v>
      </c>
      <c r="S9" s="3"/>
      <c r="T9" s="3"/>
    </row>
    <row r="10" spans="2:20" ht="20.25" customHeight="1" x14ac:dyDescent="0.3">
      <c r="B10" s="180" t="s">
        <v>15</v>
      </c>
      <c r="C10" s="4">
        <v>106.56841791565739</v>
      </c>
      <c r="D10" s="4">
        <v>95.546772730241329</v>
      </c>
      <c r="E10" s="4">
        <v>131.62805612863869</v>
      </c>
      <c r="F10" s="4">
        <v>80.768179970896995</v>
      </c>
      <c r="G10" s="4">
        <v>56.080321354546001</v>
      </c>
      <c r="H10" s="4">
        <v>60.323815701751997</v>
      </c>
      <c r="I10" s="212">
        <v>65.750645971056997</v>
      </c>
      <c r="J10" s="225">
        <f t="shared" ref="J10:J12" si="0">SUM(C10:I10)</f>
        <v>596.66620977278944</v>
      </c>
      <c r="K10" s="229">
        <v>62.183814953400002</v>
      </c>
      <c r="L10" s="196">
        <v>82.84586367203201</v>
      </c>
      <c r="M10" s="196">
        <v>46.965108212689998</v>
      </c>
      <c r="N10" s="196">
        <v>43.141364906453603</v>
      </c>
      <c r="O10" s="219">
        <v>45.042765887755294</v>
      </c>
      <c r="P10" s="226">
        <f t="shared" ref="P10:P22" si="1">SUM(K10:O10)</f>
        <v>280.17891763233092</v>
      </c>
      <c r="Q10" s="231">
        <f t="shared" ref="Q10:Q22" si="2">J10+P10</f>
        <v>876.84512740512037</v>
      </c>
      <c r="R10" s="5">
        <f t="shared" ref="R10:R44" si="3">Q10/$Q$44</f>
        <v>1.000222586483478E-2</v>
      </c>
      <c r="S10" s="6"/>
    </row>
    <row r="11" spans="2:20" ht="20.25" customHeight="1" x14ac:dyDescent="0.3">
      <c r="B11" s="180" t="s">
        <v>16</v>
      </c>
      <c r="C11" s="4">
        <v>725.25333537672395</v>
      </c>
      <c r="D11" s="4">
        <v>650.24532560793693</v>
      </c>
      <c r="E11" s="4">
        <v>895.7971658357892</v>
      </c>
      <c r="F11" s="4">
        <v>737.85521288732298</v>
      </c>
      <c r="G11" s="4">
        <v>569.84153533616904</v>
      </c>
      <c r="H11" s="4">
        <v>598.720714450934</v>
      </c>
      <c r="I11" s="212">
        <v>635.65310802790998</v>
      </c>
      <c r="J11" s="225">
        <f t="shared" si="0"/>
        <v>4813.3663975227864</v>
      </c>
      <c r="K11" s="229">
        <v>611.37897369359007</v>
      </c>
      <c r="L11" s="196">
        <v>751.99492766941398</v>
      </c>
      <c r="M11" s="196">
        <v>507.80778403254408</v>
      </c>
      <c r="N11" s="196">
        <v>481.78522837569801</v>
      </c>
      <c r="O11" s="219">
        <v>494.72524785378607</v>
      </c>
      <c r="P11" s="226">
        <f t="shared" si="1"/>
        <v>2847.6921616250324</v>
      </c>
      <c r="Q11" s="231">
        <f t="shared" si="2"/>
        <v>7661.0585591478193</v>
      </c>
      <c r="R11" s="5">
        <f t="shared" si="3"/>
        <v>8.7390162387158549E-2</v>
      </c>
      <c r="S11" s="6"/>
    </row>
    <row r="12" spans="2:20" ht="20.25" customHeight="1" x14ac:dyDescent="0.3">
      <c r="B12" s="180" t="s">
        <v>17</v>
      </c>
      <c r="C12" s="4">
        <v>5253.34929678341</v>
      </c>
      <c r="D12" s="4">
        <v>3758.76130080757</v>
      </c>
      <c r="E12" s="4">
        <v>5278.8442836415798</v>
      </c>
      <c r="F12" s="4">
        <v>4895.7367563071002</v>
      </c>
      <c r="G12" s="4">
        <v>5834.4715815790896</v>
      </c>
      <c r="H12" s="4">
        <v>4755.9774047233095</v>
      </c>
      <c r="I12" s="212">
        <v>4702.8564270836996</v>
      </c>
      <c r="J12" s="225">
        <f t="shared" si="0"/>
        <v>34479.997050925762</v>
      </c>
      <c r="K12" s="229">
        <v>4784.9007137438803</v>
      </c>
      <c r="L12" s="196">
        <v>4146.2846186952902</v>
      </c>
      <c r="M12" s="196">
        <v>4695.7925903122295</v>
      </c>
      <c r="N12" s="196">
        <v>4145.7678147574397</v>
      </c>
      <c r="O12" s="219">
        <v>3964.4610233834401</v>
      </c>
      <c r="P12" s="226">
        <f t="shared" si="1"/>
        <v>21737.206760892281</v>
      </c>
      <c r="Q12" s="231">
        <f t="shared" si="2"/>
        <v>56217.203811818043</v>
      </c>
      <c r="R12" s="5">
        <f t="shared" si="3"/>
        <v>0.64127307370605036</v>
      </c>
      <c r="S12" s="6"/>
    </row>
    <row r="13" spans="2:20" s="9" customFormat="1" ht="20.25" customHeight="1" x14ac:dyDescent="0.3">
      <c r="B13" s="181" t="s">
        <v>18</v>
      </c>
      <c r="C13" s="7">
        <f>SUM(C14:C22)</f>
        <v>1025.5155091512484</v>
      </c>
      <c r="D13" s="7">
        <f t="shared" ref="D13:O13" si="4">SUM(D14:D22)</f>
        <v>999.30510318142456</v>
      </c>
      <c r="E13" s="7">
        <f t="shared" si="4"/>
        <v>1034.0323469581476</v>
      </c>
      <c r="F13" s="7">
        <f t="shared" si="4"/>
        <v>1036.7523714654665</v>
      </c>
      <c r="G13" s="7">
        <f t="shared" si="4"/>
        <v>1007.673856101883</v>
      </c>
      <c r="H13" s="7">
        <f t="shared" si="4"/>
        <v>1007.1935982721163</v>
      </c>
      <c r="I13" s="213">
        <f t="shared" si="4"/>
        <v>1012.230727499037</v>
      </c>
      <c r="J13" s="227">
        <f>SUM(C13:I13)</f>
        <v>7122.7035126293231</v>
      </c>
      <c r="K13" s="230">
        <f t="shared" si="4"/>
        <v>1008.2952351826946</v>
      </c>
      <c r="L13" s="197">
        <f t="shared" si="4"/>
        <v>1014.1428852886465</v>
      </c>
      <c r="M13" s="197">
        <f t="shared" si="4"/>
        <v>1017.3932127866475</v>
      </c>
      <c r="N13" s="197">
        <f t="shared" si="4"/>
        <v>1008.3000272689844</v>
      </c>
      <c r="O13" s="224">
        <f t="shared" si="4"/>
        <v>1008.4574198831947</v>
      </c>
      <c r="P13" s="226">
        <f t="shared" si="1"/>
        <v>5056.5887804101676</v>
      </c>
      <c r="Q13" s="231">
        <f t="shared" si="2"/>
        <v>12179.292293039491</v>
      </c>
      <c r="R13" s="8">
        <f t="shared" si="3"/>
        <v>0.13892993024814876</v>
      </c>
    </row>
    <row r="14" spans="2:20" ht="20.25" customHeight="1" x14ac:dyDescent="0.3">
      <c r="B14" s="182" t="s">
        <v>19</v>
      </c>
      <c r="C14" s="4">
        <v>519.42558320866499</v>
      </c>
      <c r="D14" s="4">
        <v>519.42558320866499</v>
      </c>
      <c r="E14" s="4">
        <v>519.42558320866499</v>
      </c>
      <c r="F14" s="4">
        <v>519.42558320866499</v>
      </c>
      <c r="G14" s="4">
        <v>519.42558320866499</v>
      </c>
      <c r="H14" s="4">
        <v>519.42558320866499</v>
      </c>
      <c r="I14" s="212">
        <v>519.42558320866499</v>
      </c>
      <c r="J14" s="226">
        <f>SUM(C14:I14)</f>
        <v>3635.9790824606553</v>
      </c>
      <c r="K14" s="229">
        <v>519.42558320866499</v>
      </c>
      <c r="L14" s="196">
        <v>519.42558320866499</v>
      </c>
      <c r="M14" s="196">
        <v>519.42558320866499</v>
      </c>
      <c r="N14" s="196">
        <v>519.42558320866499</v>
      </c>
      <c r="O14" s="219">
        <v>519.42558320866499</v>
      </c>
      <c r="P14" s="226">
        <f t="shared" si="1"/>
        <v>2597.1279160433251</v>
      </c>
      <c r="Q14" s="231">
        <f t="shared" si="2"/>
        <v>6233.1069985039803</v>
      </c>
      <c r="R14" s="5">
        <f t="shared" si="3"/>
        <v>7.1101431815238397E-2</v>
      </c>
      <c r="S14" s="6"/>
    </row>
    <row r="15" spans="2:20" ht="20.25" customHeight="1" x14ac:dyDescent="0.3">
      <c r="B15" s="182" t="s">
        <v>20</v>
      </c>
      <c r="C15" s="4">
        <v>341.77625241242401</v>
      </c>
      <c r="D15" s="4">
        <v>330.66071609203402</v>
      </c>
      <c r="E15" s="4">
        <v>345.38814686710901</v>
      </c>
      <c r="F15" s="4">
        <v>346.54167845445903</v>
      </c>
      <c r="G15" s="4">
        <v>334.20980942354612</v>
      </c>
      <c r="H15" s="4">
        <v>334.00613751720221</v>
      </c>
      <c r="I15" s="212">
        <v>336.14232697328299</v>
      </c>
      <c r="J15" s="226">
        <f t="shared" ref="J15:J22" si="5">SUM(C15:I15)</f>
        <v>2368.7250677400575</v>
      </c>
      <c r="K15" s="229">
        <v>334.47332925416003</v>
      </c>
      <c r="L15" s="196">
        <v>336.953251435315</v>
      </c>
      <c r="M15" s="196">
        <v>336.46810565351598</v>
      </c>
      <c r="N15" s="196">
        <v>332.61178866224179</v>
      </c>
      <c r="O15" s="219">
        <v>334.55938728855699</v>
      </c>
      <c r="P15" s="226">
        <f t="shared" si="1"/>
        <v>1675.0658622937899</v>
      </c>
      <c r="Q15" s="231">
        <f t="shared" si="2"/>
        <v>4043.7909300338474</v>
      </c>
      <c r="R15" s="5">
        <f t="shared" si="3"/>
        <v>4.6127769851518535E-2</v>
      </c>
      <c r="S15" s="6"/>
    </row>
    <row r="16" spans="2:20" ht="20.25" customHeight="1" x14ac:dyDescent="0.3">
      <c r="B16" s="182" t="s">
        <v>21</v>
      </c>
      <c r="C16" s="4">
        <v>19.616292830874499</v>
      </c>
      <c r="D16" s="4">
        <v>16.521995989395101</v>
      </c>
      <c r="E16" s="4">
        <v>20.6217570100873</v>
      </c>
      <c r="F16" s="4">
        <v>20.942872343113102</v>
      </c>
      <c r="G16" s="4">
        <v>17.509977852732597</v>
      </c>
      <c r="H16" s="4">
        <v>17.4532805132311</v>
      </c>
      <c r="I16" s="212">
        <v>18.047944063079498</v>
      </c>
      <c r="J16" s="226">
        <f t="shared" si="5"/>
        <v>130.71412060251322</v>
      </c>
      <c r="K16" s="229">
        <v>17.583335408862297</v>
      </c>
      <c r="L16" s="196">
        <v>18.273685847301103</v>
      </c>
      <c r="M16" s="196">
        <v>18.138632979224496</v>
      </c>
      <c r="N16" s="196">
        <v>17.065127469287603</v>
      </c>
      <c r="O16" s="219">
        <v>17.598940611685997</v>
      </c>
      <c r="P16" s="226">
        <f t="shared" si="1"/>
        <v>88.659722316361496</v>
      </c>
      <c r="Q16" s="231">
        <f t="shared" si="2"/>
        <v>219.37384291887471</v>
      </c>
      <c r="R16" s="5">
        <f t="shared" si="3"/>
        <v>2.5024108102246353E-3</v>
      </c>
      <c r="S16" s="6"/>
    </row>
    <row r="17" spans="2:19" ht="20.25" customHeight="1" x14ac:dyDescent="0.3">
      <c r="B17" s="182" t="s">
        <v>22</v>
      </c>
      <c r="C17" s="4">
        <v>27.745752814111199</v>
      </c>
      <c r="D17" s="4">
        <v>25.0015372496966</v>
      </c>
      <c r="E17" s="4">
        <v>28.637461202611501</v>
      </c>
      <c r="F17" s="4">
        <v>28.9222463218182</v>
      </c>
      <c r="G17" s="4">
        <v>25.877741229348899</v>
      </c>
      <c r="H17" s="4">
        <v>25.827458490008901</v>
      </c>
      <c r="I17" s="212">
        <v>26.3548432409508</v>
      </c>
      <c r="J17" s="226">
        <f t="shared" si="5"/>
        <v>188.36704054854607</v>
      </c>
      <c r="K17" s="229">
        <v>25.942799288614601</v>
      </c>
      <c r="L17" s="196">
        <v>26.5550451444965</v>
      </c>
      <c r="M17" s="196">
        <v>26.4352718319861</v>
      </c>
      <c r="N17" s="196">
        <v>25.483220144713101</v>
      </c>
      <c r="O17" s="219">
        <v>25.956638956451499</v>
      </c>
      <c r="P17" s="226">
        <f t="shared" si="1"/>
        <v>130.37297536626181</v>
      </c>
      <c r="Q17" s="231">
        <f t="shared" si="2"/>
        <v>318.74001591480788</v>
      </c>
      <c r="R17" s="5">
        <f t="shared" si="3"/>
        <v>3.6358868079425038E-3</v>
      </c>
      <c r="S17" s="6"/>
    </row>
    <row r="18" spans="2:19" ht="20.25" customHeight="1" x14ac:dyDescent="0.3">
      <c r="B18" s="182" t="s">
        <v>23</v>
      </c>
      <c r="C18" s="4">
        <v>23.085736394411501</v>
      </c>
      <c r="D18" s="4">
        <v>21.152608513053401</v>
      </c>
      <c r="E18" s="4">
        <v>23.7138890695161</v>
      </c>
      <c r="F18" s="4">
        <v>23.914502338121302</v>
      </c>
      <c r="G18" s="4">
        <v>21.769839303807302</v>
      </c>
      <c r="H18" s="4">
        <v>21.734418265230801</v>
      </c>
      <c r="I18" s="212">
        <v>22.105927770340202</v>
      </c>
      <c r="J18" s="226">
        <f t="shared" si="5"/>
        <v>157.47692165448063</v>
      </c>
      <c r="K18" s="229">
        <v>21.815668629281802</v>
      </c>
      <c r="L18" s="196">
        <v>22.246957464458902</v>
      </c>
      <c r="M18" s="196">
        <v>22.162584672153901</v>
      </c>
      <c r="N18" s="196">
        <v>21.491923924861602</v>
      </c>
      <c r="O18" s="219">
        <v>21.825417807921802</v>
      </c>
      <c r="P18" s="226">
        <f t="shared" si="1"/>
        <v>109.54255249867802</v>
      </c>
      <c r="Q18" s="231">
        <f t="shared" si="2"/>
        <v>267.01947415315863</v>
      </c>
      <c r="R18" s="5">
        <f t="shared" si="3"/>
        <v>3.0459074325851231E-3</v>
      </c>
      <c r="S18" s="6"/>
    </row>
    <row r="19" spans="2:19" ht="20.25" customHeight="1" x14ac:dyDescent="0.3">
      <c r="B19" s="182" t="s">
        <v>24</v>
      </c>
      <c r="C19" s="4">
        <v>19.647297016678003</v>
      </c>
      <c r="D19" s="4">
        <v>17.940804432855501</v>
      </c>
      <c r="E19" s="4">
        <v>20.2018065718458</v>
      </c>
      <c r="F19" s="4">
        <v>20.3789004197968</v>
      </c>
      <c r="G19" s="4">
        <v>18.4856725593182</v>
      </c>
      <c r="H19" s="4">
        <v>18.454404198738001</v>
      </c>
      <c r="I19" s="212">
        <v>18.782358816434201</v>
      </c>
      <c r="J19" s="226">
        <f t="shared" si="5"/>
        <v>133.89124401566653</v>
      </c>
      <c r="K19" s="229">
        <v>18.526128964090002</v>
      </c>
      <c r="L19" s="196">
        <v>18.906854525917801</v>
      </c>
      <c r="M19" s="196">
        <v>23.226673398345604</v>
      </c>
      <c r="N19" s="196">
        <v>22.634639315886901</v>
      </c>
      <c r="O19" s="219">
        <v>18.534735172302</v>
      </c>
      <c r="P19" s="226">
        <f t="shared" si="1"/>
        <v>101.8290313765423</v>
      </c>
      <c r="Q19" s="231">
        <f t="shared" si="2"/>
        <v>235.72027539220883</v>
      </c>
      <c r="R19" s="5">
        <f t="shared" si="3"/>
        <v>2.6888755627475936E-3</v>
      </c>
      <c r="S19" s="6"/>
    </row>
    <row r="20" spans="2:19" ht="20.25" customHeight="1" x14ac:dyDescent="0.3">
      <c r="B20" s="180" t="s">
        <v>25</v>
      </c>
      <c r="C20" s="11">
        <v>16.752650760822299</v>
      </c>
      <c r="D20" s="11">
        <v>15.5491512781342</v>
      </c>
      <c r="E20" s="11">
        <v>17.1437171909472</v>
      </c>
      <c r="F20" s="11">
        <v>17.2686121693472</v>
      </c>
      <c r="G20" s="11">
        <v>15.9334181155923</v>
      </c>
      <c r="H20" s="11">
        <v>15.911366185135799</v>
      </c>
      <c r="I20" s="214">
        <v>16.142655331355499</v>
      </c>
      <c r="J20" s="226">
        <f t="shared" si="5"/>
        <v>114.70157103133451</v>
      </c>
      <c r="K20" s="229">
        <v>15.961949890459501</v>
      </c>
      <c r="L20" s="196">
        <v>16.230455608591299</v>
      </c>
      <c r="M20" s="196">
        <v>16.1779279859383</v>
      </c>
      <c r="N20" s="196">
        <v>15.7603974799594</v>
      </c>
      <c r="O20" s="219">
        <v>15.968019396550099</v>
      </c>
      <c r="P20" s="226">
        <f t="shared" si="1"/>
        <v>80.098750361498603</v>
      </c>
      <c r="Q20" s="231">
        <f t="shared" si="2"/>
        <v>194.8003213928331</v>
      </c>
      <c r="R20" s="5">
        <f t="shared" si="3"/>
        <v>2.2220991509408314E-3</v>
      </c>
      <c r="S20" s="6"/>
    </row>
    <row r="21" spans="2:19" ht="20.25" customHeight="1" x14ac:dyDescent="0.3">
      <c r="B21" s="180" t="s">
        <v>26</v>
      </c>
      <c r="C21" s="4">
        <v>34.202300741926898</v>
      </c>
      <c r="D21" s="4">
        <v>31.265216665554</v>
      </c>
      <c r="E21" s="4">
        <v>35.156680034353599</v>
      </c>
      <c r="F21" s="4">
        <v>35.461480374988803</v>
      </c>
      <c r="G21" s="4">
        <v>32.203001870791802</v>
      </c>
      <c r="H21" s="4">
        <v>32.149185168143802</v>
      </c>
      <c r="I21" s="212">
        <v>32.713635488373704</v>
      </c>
      <c r="J21" s="226">
        <f t="shared" si="5"/>
        <v>233.15150034413261</v>
      </c>
      <c r="K21" s="229">
        <v>32.2726323299973</v>
      </c>
      <c r="L21" s="196">
        <v>32.927907949542004</v>
      </c>
      <c r="M21" s="196">
        <v>32.799716748562602</v>
      </c>
      <c r="N21" s="196">
        <v>31.7807531194535</v>
      </c>
      <c r="O21" s="219">
        <v>32.287444675118103</v>
      </c>
      <c r="P21" s="226">
        <f t="shared" si="1"/>
        <v>162.06845482267352</v>
      </c>
      <c r="Q21" s="231">
        <f t="shared" si="2"/>
        <v>395.21995516680613</v>
      </c>
      <c r="R21" s="5">
        <f t="shared" si="3"/>
        <v>4.5082981410488774E-3</v>
      </c>
      <c r="S21" s="6"/>
    </row>
    <row r="22" spans="2:19" ht="20.25" customHeight="1" thickBot="1" x14ac:dyDescent="0.35">
      <c r="B22" s="183" t="s">
        <v>27</v>
      </c>
      <c r="C22" s="13">
        <v>23.2636429713348</v>
      </c>
      <c r="D22" s="13">
        <v>21.7874897520365</v>
      </c>
      <c r="E22" s="13">
        <v>23.743305803012198</v>
      </c>
      <c r="F22" s="13">
        <v>23.896495835157101</v>
      </c>
      <c r="G22" s="13">
        <v>22.258812538080701</v>
      </c>
      <c r="H22" s="13">
        <v>22.231764725760698</v>
      </c>
      <c r="I22" s="215">
        <v>22.515452606555101</v>
      </c>
      <c r="J22" s="226">
        <f t="shared" si="5"/>
        <v>159.69696423193707</v>
      </c>
      <c r="K22" s="209">
        <v>22.2938082085637</v>
      </c>
      <c r="L22" s="199">
        <v>22.623144104359</v>
      </c>
      <c r="M22" s="199">
        <v>22.558716308255498</v>
      </c>
      <c r="N22" s="199">
        <v>22.0465939439156</v>
      </c>
      <c r="O22" s="220">
        <v>22.3012527659433</v>
      </c>
      <c r="P22" s="225">
        <f t="shared" si="1"/>
        <v>111.8235153310371</v>
      </c>
      <c r="Q22" s="231">
        <f t="shared" si="2"/>
        <v>271.52047956297417</v>
      </c>
      <c r="R22" s="16">
        <f t="shared" si="3"/>
        <v>3.0972506759022727E-3</v>
      </c>
      <c r="S22" s="6"/>
    </row>
    <row r="23" spans="2:19" ht="20.25" customHeight="1" thickTop="1" thickBot="1" x14ac:dyDescent="0.35">
      <c r="B23" s="184" t="s">
        <v>28</v>
      </c>
      <c r="C23" s="17">
        <f>C13+C12+C11+C10+C9</f>
        <v>7617.3018637411506</v>
      </c>
      <c r="D23" s="17">
        <f t="shared" ref="D23:O23" si="6">D13+D12+D11+D10+D9</f>
        <v>5961.2538542911889</v>
      </c>
      <c r="E23" s="17">
        <f t="shared" si="6"/>
        <v>7958.8273286557005</v>
      </c>
      <c r="F23" s="17">
        <f t="shared" si="6"/>
        <v>7385.1793725789121</v>
      </c>
      <c r="G23" s="17">
        <f t="shared" si="6"/>
        <v>7991.8842508443013</v>
      </c>
      <c r="H23" s="17">
        <f t="shared" si="6"/>
        <v>6964.9828901192323</v>
      </c>
      <c r="I23" s="216">
        <f t="shared" si="6"/>
        <v>6983.4931528005154</v>
      </c>
      <c r="J23" s="228">
        <f>SUM(C23:I23)</f>
        <v>50862.922713031003</v>
      </c>
      <c r="K23" s="204">
        <f t="shared" si="6"/>
        <v>7017.8323930481502</v>
      </c>
      <c r="L23" s="200">
        <f t="shared" si="6"/>
        <v>6638.6135709084201</v>
      </c>
      <c r="M23" s="200">
        <f t="shared" si="6"/>
        <v>6751.0693551814629</v>
      </c>
      <c r="N23" s="200">
        <f t="shared" si="6"/>
        <v>6145.0291994034551</v>
      </c>
      <c r="O23" s="201">
        <f t="shared" si="6"/>
        <v>5987.2424095330925</v>
      </c>
      <c r="P23" s="228">
        <f>SUM(K23:O23)</f>
        <v>32539.786928074584</v>
      </c>
      <c r="Q23" s="232">
        <f t="shared" ref="Q23:Q44" si="7">J23+P23</f>
        <v>83402.709641105583</v>
      </c>
      <c r="R23" s="20">
        <f t="shared" si="3"/>
        <v>0.95137979729474853</v>
      </c>
    </row>
    <row r="24" spans="2:19" ht="20.25" customHeight="1" thickTop="1" thickBot="1" x14ac:dyDescent="0.35">
      <c r="B24" s="184" t="s">
        <v>29</v>
      </c>
      <c r="C24" s="17">
        <f>C25+C28+C29+C32+C35+C38+C39+C40+C41</f>
        <v>373.1868054104134</v>
      </c>
      <c r="D24" s="17">
        <f>D25+D28+D29+D32+D35+D38+D39+D40+D41</f>
        <v>331.47964633113548</v>
      </c>
      <c r="E24" s="17">
        <f t="shared" ref="E24:O24" si="8">E25+E28+E29+E32+E35+E38+E39+E40+E41</f>
        <v>386.73917501787935</v>
      </c>
      <c r="F24" s="17">
        <f t="shared" si="8"/>
        <v>391.06739850884219</v>
      </c>
      <c r="G24" s="17">
        <f t="shared" si="8"/>
        <v>344.79637670725356</v>
      </c>
      <c r="H24" s="17">
        <f t="shared" si="8"/>
        <v>344.03216917349005</v>
      </c>
      <c r="I24" s="216">
        <f t="shared" si="8"/>
        <v>352.04747234017555</v>
      </c>
      <c r="J24" s="228">
        <f>SUM(C24:I24)</f>
        <v>2523.3490434891901</v>
      </c>
      <c r="K24" s="204">
        <f t="shared" si="8"/>
        <v>345.78514262723826</v>
      </c>
      <c r="L24" s="200">
        <f t="shared" si="8"/>
        <v>355.09018252206999</v>
      </c>
      <c r="M24" s="200">
        <f t="shared" si="8"/>
        <v>353.26984279981826</v>
      </c>
      <c r="N24" s="200">
        <f t="shared" si="8"/>
        <v>338.80036318324187</v>
      </c>
      <c r="O24" s="201">
        <f t="shared" si="8"/>
        <v>345.99548077835192</v>
      </c>
      <c r="P24" s="228">
        <f>SUM(K24:O24)</f>
        <v>1738.9410119107204</v>
      </c>
      <c r="Q24" s="232">
        <f t="shared" si="7"/>
        <v>4262.2900553999107</v>
      </c>
      <c r="R24" s="20">
        <f t="shared" si="3"/>
        <v>4.8620202705251532E-2</v>
      </c>
    </row>
    <row r="25" spans="2:19" ht="20.25" customHeight="1" thickTop="1" x14ac:dyDescent="0.3">
      <c r="B25" s="185" t="s">
        <v>30</v>
      </c>
      <c r="C25" s="21">
        <f t="shared" ref="C25:O25" si="9">C26+C27</f>
        <v>48.334228241521402</v>
      </c>
      <c r="D25" s="21">
        <f t="shared" si="9"/>
        <v>43.335828303024797</v>
      </c>
      <c r="E25" s="21">
        <f t="shared" si="9"/>
        <v>49.9584137508648</v>
      </c>
      <c r="F25" s="21">
        <f t="shared" si="9"/>
        <v>50.477130261617901</v>
      </c>
      <c r="G25" s="21">
        <f t="shared" si="9"/>
        <v>44.931773597846799</v>
      </c>
      <c r="H25" s="21">
        <f t="shared" si="9"/>
        <v>44.840187045943203</v>
      </c>
      <c r="I25" s="211">
        <f t="shared" si="9"/>
        <v>45.800782102999001</v>
      </c>
      <c r="J25" s="225">
        <f>SUM(C25:I25)</f>
        <v>327.67834330381788</v>
      </c>
      <c r="K25" s="208">
        <f t="shared" si="9"/>
        <v>45.050272378937201</v>
      </c>
      <c r="L25" s="195">
        <f t="shared" si="9"/>
        <v>46.165436102978504</v>
      </c>
      <c r="M25" s="195">
        <f t="shared" si="9"/>
        <v>45.947277250718898</v>
      </c>
      <c r="N25" s="195">
        <f t="shared" si="9"/>
        <v>44.213180572302207</v>
      </c>
      <c r="O25" s="218">
        <f t="shared" si="9"/>
        <v>45.075480382186399</v>
      </c>
      <c r="P25" s="225">
        <f>SUM(K25:O25)</f>
        <v>226.45164668712317</v>
      </c>
      <c r="Q25" s="231">
        <f t="shared" si="7"/>
        <v>554.12998999094111</v>
      </c>
      <c r="R25" s="24">
        <f t="shared" si="3"/>
        <v>6.320994603425863E-3</v>
      </c>
    </row>
    <row r="26" spans="2:19" ht="20.25" customHeight="1" x14ac:dyDescent="0.3">
      <c r="B26" s="186" t="s">
        <v>31</v>
      </c>
      <c r="C26" s="11">
        <v>30.134937480699101</v>
      </c>
      <c r="D26" s="11">
        <v>26.340037024890599</v>
      </c>
      <c r="E26" s="11">
        <v>31.368056559917598</v>
      </c>
      <c r="F26" s="11">
        <v>31.761878092270699</v>
      </c>
      <c r="G26" s="11">
        <v>27.551715482254501</v>
      </c>
      <c r="H26" s="11">
        <v>27.482180860807404</v>
      </c>
      <c r="I26" s="214">
        <v>28.2114867716435</v>
      </c>
      <c r="J26" s="225">
        <f t="shared" ref="J26:J43" si="10">SUM(C26:I26)</f>
        <v>202.85029227248341</v>
      </c>
      <c r="K26" s="198">
        <v>27.641682488477699</v>
      </c>
      <c r="L26" s="196">
        <v>28.488340494387202</v>
      </c>
      <c r="M26" s="196">
        <v>28.322709264780599</v>
      </c>
      <c r="N26" s="196">
        <v>27.006143092342803</v>
      </c>
      <c r="O26" s="219">
        <v>27.660820985636299</v>
      </c>
      <c r="P26" s="225">
        <f t="shared" ref="P26:P43" si="11">SUM(K26:O26)</f>
        <v>139.1196963256246</v>
      </c>
      <c r="Q26" s="233">
        <f t="shared" si="7"/>
        <v>341.96998859810799</v>
      </c>
      <c r="R26" s="26">
        <f t="shared" si="3"/>
        <v>3.9008725236069283E-3</v>
      </c>
      <c r="S26" s="6"/>
    </row>
    <row r="27" spans="2:19" ht="20.25" customHeight="1" x14ac:dyDescent="0.3">
      <c r="B27" s="186" t="s">
        <v>32</v>
      </c>
      <c r="C27" s="11">
        <v>18.199290760822301</v>
      </c>
      <c r="D27" s="11">
        <v>16.995791278134199</v>
      </c>
      <c r="E27" s="11">
        <v>18.590357190947202</v>
      </c>
      <c r="F27" s="11">
        <v>18.715252169347202</v>
      </c>
      <c r="G27" s="11">
        <v>17.380058115592298</v>
      </c>
      <c r="H27" s="11">
        <v>17.3580061851358</v>
      </c>
      <c r="I27" s="214">
        <v>17.589295331355501</v>
      </c>
      <c r="J27" s="225">
        <f t="shared" si="10"/>
        <v>124.82805103133451</v>
      </c>
      <c r="K27" s="198">
        <v>17.408589890459503</v>
      </c>
      <c r="L27" s="196">
        <v>17.677095608591301</v>
      </c>
      <c r="M27" s="196">
        <v>17.624567985938299</v>
      </c>
      <c r="N27" s="196">
        <v>17.2070374799594</v>
      </c>
      <c r="O27" s="219">
        <v>17.4146593965501</v>
      </c>
      <c r="P27" s="225">
        <f t="shared" si="11"/>
        <v>87.331950361498599</v>
      </c>
      <c r="Q27" s="233">
        <f t="shared" si="7"/>
        <v>212.16000139283312</v>
      </c>
      <c r="R27" s="26">
        <f t="shared" si="3"/>
        <v>2.4201220798189347E-3</v>
      </c>
      <c r="S27" s="6"/>
    </row>
    <row r="28" spans="2:19" ht="20.25" customHeight="1" x14ac:dyDescent="0.3">
      <c r="B28" s="187" t="s">
        <v>33</v>
      </c>
      <c r="C28" s="4">
        <v>148.95435121887402</v>
      </c>
      <c r="D28" s="4">
        <v>134.169662419096</v>
      </c>
      <c r="E28" s="4">
        <v>153.75850406863</v>
      </c>
      <c r="F28" s="4">
        <v>155.29280750196</v>
      </c>
      <c r="G28" s="4">
        <v>138.89028398114502</v>
      </c>
      <c r="H28" s="4">
        <v>138.61938155540901</v>
      </c>
      <c r="I28" s="212">
        <v>141.46071061189201</v>
      </c>
      <c r="J28" s="225">
        <f t="shared" si="10"/>
        <v>1011.1457013570059</v>
      </c>
      <c r="K28" s="198">
        <v>139.240789667591</v>
      </c>
      <c r="L28" s="196">
        <v>142.53931496041002</v>
      </c>
      <c r="M28" s="196">
        <v>141.89402631218999</v>
      </c>
      <c r="N28" s="196">
        <v>136.76476893891302</v>
      </c>
      <c r="O28" s="219">
        <v>139.31535202512401</v>
      </c>
      <c r="P28" s="225">
        <f t="shared" si="11"/>
        <v>699.75425190422811</v>
      </c>
      <c r="Q28" s="234">
        <f t="shared" si="7"/>
        <v>1710.899953261234</v>
      </c>
      <c r="R28" s="5">
        <f t="shared" si="3"/>
        <v>1.9516340149253821E-2</v>
      </c>
      <c r="S28" s="6"/>
    </row>
    <row r="29" spans="2:19" ht="20.25" customHeight="1" x14ac:dyDescent="0.3">
      <c r="B29" s="187" t="s">
        <v>34</v>
      </c>
      <c r="C29" s="28">
        <f t="shared" ref="C29:O29" si="12">C30+C31</f>
        <v>40.704983193938304</v>
      </c>
      <c r="D29" s="28">
        <f t="shared" si="12"/>
        <v>36.266923353380903</v>
      </c>
      <c r="E29" s="28">
        <f t="shared" si="12"/>
        <v>42.1470911827601</v>
      </c>
      <c r="F29" s="28">
        <f t="shared" si="12"/>
        <v>42.607657552665202</v>
      </c>
      <c r="G29" s="28">
        <f t="shared" si="12"/>
        <v>37.6839569657025</v>
      </c>
      <c r="H29" s="28">
        <f t="shared" si="12"/>
        <v>37.602637622924902</v>
      </c>
      <c r="I29" s="217">
        <f t="shared" si="12"/>
        <v>38.455546233323105</v>
      </c>
      <c r="J29" s="225">
        <f t="shared" si="10"/>
        <v>275.468796104695</v>
      </c>
      <c r="K29" s="203">
        <f t="shared" si="12"/>
        <v>37.789171571973299</v>
      </c>
      <c r="L29" s="202">
        <f t="shared" si="12"/>
        <v>38.779321099864504</v>
      </c>
      <c r="M29" s="202">
        <f t="shared" si="12"/>
        <v>38.585618704500199</v>
      </c>
      <c r="N29" s="202">
        <f t="shared" si="12"/>
        <v>37.045921016675798</v>
      </c>
      <c r="O29" s="221">
        <f t="shared" si="12"/>
        <v>37.811553659892901</v>
      </c>
      <c r="P29" s="225">
        <f t="shared" si="11"/>
        <v>190.01158605290669</v>
      </c>
      <c r="Q29" s="234">
        <f t="shared" si="7"/>
        <v>465.4803821576017</v>
      </c>
      <c r="R29" s="5">
        <f t="shared" si="3"/>
        <v>5.3097631183378277E-3</v>
      </c>
    </row>
    <row r="30" spans="2:19" ht="20.25" customHeight="1" x14ac:dyDescent="0.3">
      <c r="B30" s="186" t="s">
        <v>35</v>
      </c>
      <c r="C30" s="11">
        <v>27.837243550215902</v>
      </c>
      <c r="D30" s="11">
        <v>24.865611702733002</v>
      </c>
      <c r="E30" s="11">
        <v>28.802848832941002</v>
      </c>
      <c r="F30" s="11">
        <v>29.111234420756201</v>
      </c>
      <c r="G30" s="11">
        <v>25.8144277085126</v>
      </c>
      <c r="H30" s="11">
        <v>25.759977981042503</v>
      </c>
      <c r="I30" s="214">
        <v>26.331067709596802</v>
      </c>
      <c r="J30" s="225">
        <f t="shared" si="10"/>
        <v>188.52241190579801</v>
      </c>
      <c r="K30" s="198">
        <v>25.884877203572902</v>
      </c>
      <c r="L30" s="196">
        <v>26.547860573910302</v>
      </c>
      <c r="M30" s="196">
        <v>26.418161509977402</v>
      </c>
      <c r="N30" s="196">
        <v>25.387212210280701</v>
      </c>
      <c r="O30" s="219">
        <v>25.899863780515201</v>
      </c>
      <c r="P30" s="225">
        <f t="shared" si="11"/>
        <v>130.1379752782565</v>
      </c>
      <c r="Q30" s="233">
        <f t="shared" si="7"/>
        <v>318.66038718405451</v>
      </c>
      <c r="R30" s="26">
        <f t="shared" si="3"/>
        <v>3.6349784781526326E-3</v>
      </c>
      <c r="S30" s="6"/>
    </row>
    <row r="31" spans="2:19" ht="20.25" customHeight="1" x14ac:dyDescent="0.3">
      <c r="B31" s="186" t="s">
        <v>36</v>
      </c>
      <c r="C31" s="11">
        <v>12.8677396437224</v>
      </c>
      <c r="D31" s="11">
        <v>11.4013116506479</v>
      </c>
      <c r="E31" s="11">
        <v>13.344242349819099</v>
      </c>
      <c r="F31" s="11">
        <v>13.496423131908999</v>
      </c>
      <c r="G31" s="11">
        <v>11.8695292571899</v>
      </c>
      <c r="H31" s="11">
        <v>11.842659641882399</v>
      </c>
      <c r="I31" s="214">
        <v>12.1244785237263</v>
      </c>
      <c r="J31" s="225">
        <f t="shared" si="10"/>
        <v>86.946384198896979</v>
      </c>
      <c r="K31" s="198">
        <v>11.9042943684004</v>
      </c>
      <c r="L31" s="196">
        <v>12.2314605259542</v>
      </c>
      <c r="M31" s="196">
        <v>12.167457194522799</v>
      </c>
      <c r="N31" s="196">
        <v>11.658708806395099</v>
      </c>
      <c r="O31" s="219">
        <v>11.911689879377699</v>
      </c>
      <c r="P31" s="225">
        <f t="shared" si="11"/>
        <v>59.873610774650189</v>
      </c>
      <c r="Q31" s="233">
        <f t="shared" si="7"/>
        <v>146.81999497354718</v>
      </c>
      <c r="R31" s="26">
        <f t="shared" si="3"/>
        <v>1.6747846401851951E-3</v>
      </c>
      <c r="S31" s="6"/>
    </row>
    <row r="32" spans="2:19" ht="20.25" customHeight="1" x14ac:dyDescent="0.3">
      <c r="B32" s="188" t="s">
        <v>37</v>
      </c>
      <c r="C32" s="28">
        <f t="shared" ref="C32:O32" si="13">C33+C34</f>
        <v>42.9538036044802</v>
      </c>
      <c r="D32" s="28">
        <f t="shared" si="13"/>
        <v>35.513239386244997</v>
      </c>
      <c r="E32" s="28">
        <f t="shared" si="13"/>
        <v>45.371548629547497</v>
      </c>
      <c r="F32" s="28">
        <f t="shared" si="13"/>
        <v>46.143704430765396</v>
      </c>
      <c r="G32" s="28">
        <f t="shared" si="13"/>
        <v>37.888946332673299</v>
      </c>
      <c r="H32" s="28">
        <f t="shared" si="13"/>
        <v>37.752611579682402</v>
      </c>
      <c r="I32" s="217">
        <f t="shared" si="13"/>
        <v>39.182543017280096</v>
      </c>
      <c r="J32" s="225">
        <f t="shared" si="10"/>
        <v>284.80639698067387</v>
      </c>
      <c r="K32" s="203">
        <f t="shared" si="13"/>
        <v>38.0653423396626</v>
      </c>
      <c r="L32" s="202">
        <f t="shared" si="13"/>
        <v>39.725363027217199</v>
      </c>
      <c r="M32" s="202">
        <f t="shared" si="13"/>
        <v>39.4006141135673</v>
      </c>
      <c r="N32" s="202">
        <f t="shared" si="13"/>
        <v>36.819256508103493</v>
      </c>
      <c r="O32" s="222">
        <f t="shared" si="13"/>
        <v>38.102866701317794</v>
      </c>
      <c r="P32" s="225">
        <f t="shared" si="11"/>
        <v>192.11344268986838</v>
      </c>
      <c r="Q32" s="234">
        <f t="shared" si="7"/>
        <v>476.91983967054227</v>
      </c>
      <c r="R32" s="5">
        <f t="shared" si="3"/>
        <v>5.4402537081118963E-3</v>
      </c>
    </row>
    <row r="33" spans="2:21" ht="20.25" customHeight="1" x14ac:dyDescent="0.3">
      <c r="B33" s="186" t="s">
        <v>38</v>
      </c>
      <c r="C33" s="11">
        <v>32.326793413624699</v>
      </c>
      <c r="D33" s="11">
        <v>27.554227806654197</v>
      </c>
      <c r="E33" s="11">
        <v>33.877596069797001</v>
      </c>
      <c r="F33" s="11">
        <v>34.3728762813546</v>
      </c>
      <c r="G33" s="11">
        <v>29.078066178612197</v>
      </c>
      <c r="H33" s="11">
        <v>28.990617628465401</v>
      </c>
      <c r="I33" s="214">
        <v>29.907811728165399</v>
      </c>
      <c r="J33" s="225">
        <f t="shared" si="10"/>
        <v>216.1079891066735</v>
      </c>
      <c r="K33" s="198">
        <v>29.1912110277758</v>
      </c>
      <c r="L33" s="196">
        <v>30.2559901773013</v>
      </c>
      <c r="M33" s="196">
        <v>30.047688031022098</v>
      </c>
      <c r="N33" s="196">
        <v>28.391940138014895</v>
      </c>
      <c r="O33" s="219">
        <v>29.215280100040495</v>
      </c>
      <c r="P33" s="225">
        <f t="shared" si="11"/>
        <v>147.10210947415459</v>
      </c>
      <c r="Q33" s="233">
        <f t="shared" si="7"/>
        <v>363.21009858082812</v>
      </c>
      <c r="R33" s="26">
        <f t="shared" si="3"/>
        <v>4.143159754043853E-3</v>
      </c>
      <c r="S33" s="6"/>
    </row>
    <row r="34" spans="2:21" ht="20.25" customHeight="1" x14ac:dyDescent="0.3">
      <c r="B34" s="186" t="s">
        <v>39</v>
      </c>
      <c r="C34" s="11">
        <v>10.627010190855499</v>
      </c>
      <c r="D34" s="11">
        <v>7.9590115795907987</v>
      </c>
      <c r="E34" s="11">
        <v>11.493952559750499</v>
      </c>
      <c r="F34" s="11">
        <v>11.770828149410798</v>
      </c>
      <c r="G34" s="11">
        <v>8.8108801540611008</v>
      </c>
      <c r="H34" s="11">
        <v>8.7619939512169989</v>
      </c>
      <c r="I34" s="214">
        <v>9.2747312891146994</v>
      </c>
      <c r="J34" s="225">
        <f t="shared" si="10"/>
        <v>68.698407874000395</v>
      </c>
      <c r="K34" s="198">
        <v>8.874131311886801</v>
      </c>
      <c r="L34" s="196">
        <v>9.4693728499159011</v>
      </c>
      <c r="M34" s="196">
        <v>9.352926082545201</v>
      </c>
      <c r="N34" s="196">
        <v>8.4273163700885991</v>
      </c>
      <c r="O34" s="219">
        <v>8.8875866012773006</v>
      </c>
      <c r="P34" s="225">
        <f t="shared" si="11"/>
        <v>45.011333215713798</v>
      </c>
      <c r="Q34" s="233">
        <f t="shared" si="7"/>
        <v>113.70974108971419</v>
      </c>
      <c r="R34" s="26">
        <f t="shared" si="3"/>
        <v>1.297093954068044E-3</v>
      </c>
      <c r="S34" s="6"/>
    </row>
    <row r="35" spans="2:21" ht="20.25" customHeight="1" x14ac:dyDescent="0.3">
      <c r="B35" s="187" t="s">
        <v>40</v>
      </c>
      <c r="C35" s="28">
        <f t="shared" ref="C35:O35" si="14">C36+C37</f>
        <v>27.0632664933432</v>
      </c>
      <c r="D35" s="28">
        <f t="shared" si="14"/>
        <v>23.919229960789103</v>
      </c>
      <c r="E35" s="28">
        <f t="shared" si="14"/>
        <v>28.084893141841697</v>
      </c>
      <c r="F35" s="28">
        <f t="shared" si="14"/>
        <v>28.411170286510696</v>
      </c>
      <c r="G35" s="28">
        <f t="shared" si="14"/>
        <v>24.923093271572498</v>
      </c>
      <c r="H35" s="28">
        <f t="shared" si="14"/>
        <v>24.865484543055601</v>
      </c>
      <c r="I35" s="217">
        <f t="shared" si="14"/>
        <v>25.469707092178503</v>
      </c>
      <c r="J35" s="225">
        <f t="shared" si="10"/>
        <v>182.7368447892913</v>
      </c>
      <c r="K35" s="203">
        <f t="shared" si="14"/>
        <v>24.997630023612203</v>
      </c>
      <c r="L35" s="202">
        <f t="shared" si="14"/>
        <v>25.699077593095801</v>
      </c>
      <c r="M35" s="202">
        <f t="shared" si="14"/>
        <v>25.561853799512996</v>
      </c>
      <c r="N35" s="202">
        <f t="shared" si="14"/>
        <v>24.471092080761299</v>
      </c>
      <c r="O35" s="222">
        <f t="shared" si="14"/>
        <v>25.013486074369201</v>
      </c>
      <c r="P35" s="225">
        <f t="shared" si="11"/>
        <v>125.74313957135149</v>
      </c>
      <c r="Q35" s="234">
        <f t="shared" si="7"/>
        <v>308.47998436064279</v>
      </c>
      <c r="R35" s="5">
        <f t="shared" si="3"/>
        <v>3.5188500020372376E-3</v>
      </c>
      <c r="S35" s="6"/>
    </row>
    <row r="36" spans="2:21" ht="20.25" customHeight="1" x14ac:dyDescent="0.3">
      <c r="B36" s="186" t="s">
        <v>41</v>
      </c>
      <c r="C36" s="11">
        <v>16.807442318892498</v>
      </c>
      <c r="D36" s="11">
        <v>14.953502888982801</v>
      </c>
      <c r="E36" s="11">
        <v>17.409863412504698</v>
      </c>
      <c r="F36" s="11">
        <v>17.602258779834898</v>
      </c>
      <c r="G36" s="11">
        <v>15.545449501189999</v>
      </c>
      <c r="H36" s="11">
        <v>15.511479446389899</v>
      </c>
      <c r="I36" s="214">
        <v>15.8677704743919</v>
      </c>
      <c r="J36" s="225">
        <f t="shared" si="10"/>
        <v>113.69776682218671</v>
      </c>
      <c r="K36" s="198">
        <v>15.5894014788954</v>
      </c>
      <c r="L36" s="196">
        <v>16.003023042644699</v>
      </c>
      <c r="M36" s="196">
        <v>15.922106488714498</v>
      </c>
      <c r="N36" s="196">
        <v>15.278918619206198</v>
      </c>
      <c r="O36" s="219">
        <v>15.5987512931856</v>
      </c>
      <c r="P36" s="225">
        <f t="shared" si="11"/>
        <v>78.392200922646396</v>
      </c>
      <c r="Q36" s="233">
        <f t="shared" si="7"/>
        <v>192.0899677448331</v>
      </c>
      <c r="R36" s="26">
        <f t="shared" si="3"/>
        <v>2.1911819815187911E-3</v>
      </c>
      <c r="S36" s="6"/>
    </row>
    <row r="37" spans="2:21" ht="20.25" customHeight="1" x14ac:dyDescent="0.3">
      <c r="B37" s="186" t="s">
        <v>42</v>
      </c>
      <c r="C37" s="11">
        <v>10.2558241744507</v>
      </c>
      <c r="D37" s="11">
        <v>8.9657270718063007</v>
      </c>
      <c r="E37" s="11">
        <v>10.675029729337</v>
      </c>
      <c r="F37" s="11">
        <v>10.8089115066758</v>
      </c>
      <c r="G37" s="11">
        <v>9.3776437703825</v>
      </c>
      <c r="H37" s="11">
        <v>9.3540050966657002</v>
      </c>
      <c r="I37" s="214">
        <v>9.6019366177866008</v>
      </c>
      <c r="J37" s="225">
        <f t="shared" si="10"/>
        <v>69.039077967104603</v>
      </c>
      <c r="K37" s="198">
        <v>9.4082285447168008</v>
      </c>
      <c r="L37" s="196">
        <v>9.6960545504511</v>
      </c>
      <c r="M37" s="196">
        <v>9.6397473107984997</v>
      </c>
      <c r="N37" s="196">
        <v>9.1921734615551003</v>
      </c>
      <c r="O37" s="219">
        <v>9.4147347811836006</v>
      </c>
      <c r="P37" s="225">
        <f t="shared" si="11"/>
        <v>47.350938648705096</v>
      </c>
      <c r="Q37" s="233">
        <f t="shared" si="7"/>
        <v>116.3900166158097</v>
      </c>
      <c r="R37" s="26">
        <f t="shared" si="3"/>
        <v>1.3276680205184469E-3</v>
      </c>
      <c r="S37" s="6"/>
    </row>
    <row r="38" spans="2:21" ht="20.25" customHeight="1" x14ac:dyDescent="0.3">
      <c r="B38" s="187" t="s">
        <v>43</v>
      </c>
      <c r="C38" s="4">
        <v>15.198535665638941</v>
      </c>
      <c r="D38" s="4">
        <v>14.340561159717371</v>
      </c>
      <c r="E38" s="4">
        <v>15.477326834222991</v>
      </c>
      <c r="F38" s="4">
        <v>15.566364435756061</v>
      </c>
      <c r="G38" s="4">
        <v>14.61450490024459</v>
      </c>
      <c r="H38" s="4">
        <v>14.59878408406634</v>
      </c>
      <c r="I38" s="212">
        <v>14.763670063501589</v>
      </c>
      <c r="J38" s="225">
        <f t="shared" si="10"/>
        <v>104.55974714314787</v>
      </c>
      <c r="K38" s="198">
        <v>14.634845196021111</v>
      </c>
      <c r="L38" s="196">
        <v>14.826262861059689</v>
      </c>
      <c r="M38" s="196">
        <v>14.788815930885441</v>
      </c>
      <c r="N38" s="196">
        <v>14.49115852867838</v>
      </c>
      <c r="O38" s="219">
        <v>14.639172145524791</v>
      </c>
      <c r="P38" s="225">
        <f t="shared" si="11"/>
        <v>73.38025466216942</v>
      </c>
      <c r="Q38" s="234">
        <f t="shared" si="7"/>
        <v>177.94000180531731</v>
      </c>
      <c r="R38" s="5">
        <f t="shared" si="3"/>
        <v>2.0297724567540309E-3</v>
      </c>
      <c r="S38" s="6"/>
    </row>
    <row r="39" spans="2:21" ht="20.25" customHeight="1" x14ac:dyDescent="0.3">
      <c r="B39" s="188" t="s">
        <v>44</v>
      </c>
      <c r="C39" s="4">
        <v>14.424538847460198</v>
      </c>
      <c r="D39" s="4">
        <v>12.5599451200736</v>
      </c>
      <c r="E39" s="4">
        <v>15.030421960075699</v>
      </c>
      <c r="F39" s="4">
        <v>15.223922993235</v>
      </c>
      <c r="G39" s="4">
        <v>13.155293556091799</v>
      </c>
      <c r="H39" s="4">
        <v>13.121128280744998</v>
      </c>
      <c r="I39" s="212">
        <v>13.479466857086098</v>
      </c>
      <c r="J39" s="225">
        <f t="shared" si="10"/>
        <v>96.994717614767396</v>
      </c>
      <c r="K39" s="198">
        <v>13.199498118880499</v>
      </c>
      <c r="L39" s="196">
        <v>13.6154967005149</v>
      </c>
      <c r="M39" s="196">
        <v>13.5341151319125</v>
      </c>
      <c r="N39" s="196">
        <v>12.887230963169898</v>
      </c>
      <c r="O39" s="219">
        <v>13.208901665078599</v>
      </c>
      <c r="P39" s="225">
        <f t="shared" si="11"/>
        <v>66.445242579556393</v>
      </c>
      <c r="Q39" s="234">
        <f t="shared" si="7"/>
        <v>163.43996019432379</v>
      </c>
      <c r="R39" s="5">
        <f t="shared" si="3"/>
        <v>1.8643695974465263E-3</v>
      </c>
      <c r="S39" s="6"/>
    </row>
    <row r="40" spans="2:21" ht="20.25" customHeight="1" x14ac:dyDescent="0.3">
      <c r="B40" s="189" t="s">
        <v>45</v>
      </c>
      <c r="C40" s="4">
        <v>12.9409096556907</v>
      </c>
      <c r="D40" s="4">
        <v>11.208332437481701</v>
      </c>
      <c r="E40" s="4">
        <v>13.503895180310401</v>
      </c>
      <c r="F40" s="4">
        <v>13.683696000632501</v>
      </c>
      <c r="G40" s="4">
        <v>11.761529159100601</v>
      </c>
      <c r="H40" s="4">
        <v>11.729782845225198</v>
      </c>
      <c r="I40" s="212">
        <v>12.0627504213011</v>
      </c>
      <c r="J40" s="225">
        <f t="shared" si="10"/>
        <v>86.890895699742202</v>
      </c>
      <c r="K40" s="198">
        <v>11.802603961243101</v>
      </c>
      <c r="L40" s="196">
        <v>12.189149113015901</v>
      </c>
      <c r="M40" s="196">
        <v>12.113529502335101</v>
      </c>
      <c r="N40" s="196">
        <v>11.512445868339199</v>
      </c>
      <c r="O40" s="219">
        <v>11.8113417198626</v>
      </c>
      <c r="P40" s="225">
        <f t="shared" si="11"/>
        <v>59.429070164795903</v>
      </c>
      <c r="Q40" s="234">
        <f t="shared" si="7"/>
        <v>146.31996586453812</v>
      </c>
      <c r="R40" s="5">
        <f t="shared" si="3"/>
        <v>1.6690807776318368E-3</v>
      </c>
      <c r="S40" s="6"/>
    </row>
    <row r="41" spans="2:21" ht="20.25" customHeight="1" x14ac:dyDescent="0.3">
      <c r="B41" s="187" t="s">
        <v>46</v>
      </c>
      <c r="C41" s="4">
        <f t="shared" ref="C41:O41" si="15">C42+C43</f>
        <v>22.612188489466448</v>
      </c>
      <c r="D41" s="4">
        <f t="shared" si="15"/>
        <v>20.165924191326987</v>
      </c>
      <c r="E41" s="4">
        <f t="shared" si="15"/>
        <v>23.407080269626185</v>
      </c>
      <c r="F41" s="4">
        <f t="shared" si="15"/>
        <v>23.660945045699421</v>
      </c>
      <c r="G41" s="4">
        <f t="shared" si="15"/>
        <v>20.946994942876557</v>
      </c>
      <c r="H41" s="4">
        <f t="shared" si="15"/>
        <v>20.90217161643848</v>
      </c>
      <c r="I41" s="212">
        <f t="shared" si="15"/>
        <v>21.372295940614038</v>
      </c>
      <c r="J41" s="225">
        <f t="shared" si="10"/>
        <v>153.0676004960481</v>
      </c>
      <c r="K41" s="198">
        <f t="shared" si="15"/>
        <v>21.004989369317236</v>
      </c>
      <c r="L41" s="196">
        <f t="shared" si="15"/>
        <v>21.550761063913448</v>
      </c>
      <c r="M41" s="196">
        <f t="shared" si="15"/>
        <v>21.443992054195867</v>
      </c>
      <c r="N41" s="196">
        <f t="shared" si="15"/>
        <v>20.595308706298532</v>
      </c>
      <c r="O41" s="219">
        <f t="shared" si="15"/>
        <v>21.017326404995647</v>
      </c>
      <c r="P41" s="225">
        <f t="shared" si="11"/>
        <v>105.61237759872073</v>
      </c>
      <c r="Q41" s="234">
        <f t="shared" si="7"/>
        <v>258.67997809476884</v>
      </c>
      <c r="R41" s="5">
        <f t="shared" si="3"/>
        <v>2.9507782922524825E-3</v>
      </c>
    </row>
    <row r="42" spans="2:21" ht="20.25" customHeight="1" x14ac:dyDescent="0.3">
      <c r="B42" s="186" t="s">
        <v>47</v>
      </c>
      <c r="C42" s="11">
        <v>18.705008964379001</v>
      </c>
      <c r="D42" s="11">
        <v>16.323675761036</v>
      </c>
      <c r="E42" s="11">
        <v>19.4788019640146</v>
      </c>
      <c r="F42" s="11">
        <v>19.725928417555302</v>
      </c>
      <c r="G42" s="11">
        <v>17.0840145830675</v>
      </c>
      <c r="H42" s="11">
        <v>17.040381000378801</v>
      </c>
      <c r="I42" s="214">
        <v>17.498026833541601</v>
      </c>
      <c r="J42" s="225">
        <f t="shared" si="10"/>
        <v>125.85583752397281</v>
      </c>
      <c r="K42" s="198">
        <v>17.140469665781602</v>
      </c>
      <c r="L42" s="196">
        <v>17.671754964257001</v>
      </c>
      <c r="M42" s="196">
        <v>17.567819920066601</v>
      </c>
      <c r="N42" s="196">
        <v>16.7416631401106</v>
      </c>
      <c r="O42" s="219">
        <v>17.1524792400186</v>
      </c>
      <c r="P42" s="225">
        <f t="shared" si="11"/>
        <v>86.274186930234407</v>
      </c>
      <c r="Q42" s="233">
        <f t="shared" si="7"/>
        <v>212.13002445420722</v>
      </c>
      <c r="R42" s="26">
        <f t="shared" si="3"/>
        <v>2.4197801310511286E-3</v>
      </c>
      <c r="S42" s="6"/>
    </row>
    <row r="43" spans="2:21" ht="20.25" customHeight="1" thickBot="1" x14ac:dyDescent="0.35">
      <c r="B43" s="235" t="s">
        <v>48</v>
      </c>
      <c r="C43" s="236">
        <v>3.9071795250874448</v>
      </c>
      <c r="D43" s="236">
        <v>3.8422484302909852</v>
      </c>
      <c r="E43" s="236">
        <v>3.9282783056115842</v>
      </c>
      <c r="F43" s="236">
        <v>3.9350166281441208</v>
      </c>
      <c r="G43" s="236">
        <v>3.862980359809058</v>
      </c>
      <c r="H43" s="236">
        <v>3.861790616059678</v>
      </c>
      <c r="I43" s="237">
        <v>3.8742691070724362</v>
      </c>
      <c r="J43" s="238">
        <f t="shared" si="10"/>
        <v>27.211762972075309</v>
      </c>
      <c r="K43" s="209">
        <v>3.8645197035356351</v>
      </c>
      <c r="L43" s="199">
        <v>3.8790060996564462</v>
      </c>
      <c r="M43" s="199">
        <v>3.8761721341292672</v>
      </c>
      <c r="N43" s="199">
        <v>3.8536455661879332</v>
      </c>
      <c r="O43" s="220">
        <v>3.8648471649770459</v>
      </c>
      <c r="P43" s="238">
        <f t="shared" si="11"/>
        <v>19.338190668486327</v>
      </c>
      <c r="Q43" s="239">
        <f t="shared" si="7"/>
        <v>46.54995364056164</v>
      </c>
      <c r="R43" s="240">
        <f t="shared" si="3"/>
        <v>5.3099816120135367E-4</v>
      </c>
      <c r="S43" s="6"/>
    </row>
    <row r="44" spans="2:21" ht="20.25" customHeight="1" thickTop="1" thickBot="1" x14ac:dyDescent="0.35">
      <c r="B44" s="241" t="s">
        <v>49</v>
      </c>
      <c r="C44" s="242">
        <f>C23+C24</f>
        <v>7990.488669151564</v>
      </c>
      <c r="D44" s="242">
        <f>D23+D24</f>
        <v>6292.7335006223248</v>
      </c>
      <c r="E44" s="242">
        <f t="shared" ref="E44:O44" si="16">E23+E24</f>
        <v>8345.5665036735791</v>
      </c>
      <c r="F44" s="242">
        <f t="shared" si="16"/>
        <v>7776.2467710877545</v>
      </c>
      <c r="G44" s="242">
        <f t="shared" si="16"/>
        <v>8336.6806275515555</v>
      </c>
      <c r="H44" s="242">
        <f t="shared" si="16"/>
        <v>7309.0150592927221</v>
      </c>
      <c r="I44" s="243">
        <f t="shared" si="16"/>
        <v>7335.5406251406912</v>
      </c>
      <c r="J44" s="244">
        <f>SUM(C44:I44)</f>
        <v>53386.271756520189</v>
      </c>
      <c r="K44" s="245">
        <f t="shared" si="16"/>
        <v>7363.6175356753884</v>
      </c>
      <c r="L44" s="246">
        <f t="shared" si="16"/>
        <v>6993.70375343049</v>
      </c>
      <c r="M44" s="246">
        <f t="shared" si="16"/>
        <v>7104.3391979812814</v>
      </c>
      <c r="N44" s="246">
        <f t="shared" si="16"/>
        <v>6483.8295625866967</v>
      </c>
      <c r="O44" s="247">
        <f t="shared" si="16"/>
        <v>6333.2378903114441</v>
      </c>
      <c r="P44" s="244">
        <f>SUM(K44:O44)</f>
        <v>34278.7279399853</v>
      </c>
      <c r="Q44" s="248">
        <f t="shared" si="7"/>
        <v>87664.999696505489</v>
      </c>
      <c r="R44" s="249">
        <f t="shared" si="3"/>
        <v>1</v>
      </c>
    </row>
    <row r="45" spans="2:21" s="44" customFormat="1" ht="9" customHeight="1" thickTop="1" thickBot="1" x14ac:dyDescent="0.35">
      <c r="B45" s="506"/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  <c r="Q45" s="507"/>
      <c r="R45" s="508"/>
    </row>
    <row r="46" spans="2:21" ht="15.6" thickTop="1" thickBot="1" x14ac:dyDescent="0.35">
      <c r="B46" s="509" t="s">
        <v>50</v>
      </c>
      <c r="C46" s="510"/>
      <c r="D46" s="510"/>
      <c r="E46" s="510"/>
      <c r="F46" s="510"/>
      <c r="G46" s="510"/>
      <c r="H46" s="510"/>
      <c r="I46" s="510"/>
      <c r="J46" s="510"/>
      <c r="K46" s="510"/>
      <c r="L46" s="510"/>
      <c r="M46" s="510"/>
      <c r="N46" s="510"/>
      <c r="O46" s="510"/>
      <c r="P46" s="510"/>
      <c r="Q46" s="510"/>
      <c r="R46" s="511"/>
    </row>
    <row r="47" spans="2:21" ht="15" thickTop="1" x14ac:dyDescent="0.3"/>
    <row r="48" spans="2:21" x14ac:dyDescent="0.3">
      <c r="K48" s="3">
        <f>'Prévision_par_Point_Rectifiée '!K44</f>
        <v>6524.5525212225793</v>
      </c>
      <c r="L48" s="3">
        <f>'Prévision_par_Point_Rectifiée '!L44</f>
        <v>6148.6387389776792</v>
      </c>
      <c r="M48" s="3">
        <f>'Prévision_par_Point_Rectifiée '!M44</f>
        <v>6258.8890974794031</v>
      </c>
      <c r="N48" s="3">
        <f>'Prévision_par_Point_Rectifiée '!N44</f>
        <v>5644.7645481338877</v>
      </c>
      <c r="O48" s="3">
        <f>'Prévision_par_Point_Rectifiée '!O44</f>
        <v>5491.8808391855364</v>
      </c>
      <c r="P48" s="3">
        <f>'Prévision_par_Point_Rectifiée '!P44</f>
        <v>30068.725744999087</v>
      </c>
      <c r="Q48" s="3">
        <f>'Prévision_par_Point_Rectifiée '!Q44</f>
        <v>83454.997501519276</v>
      </c>
      <c r="R48" s="3">
        <f>'Prévision_par_Point_Rectifiée '!R44</f>
        <v>1</v>
      </c>
      <c r="U48" s="6"/>
    </row>
  </sheetData>
  <mergeCells count="12">
    <mergeCell ref="B45:R45"/>
    <mergeCell ref="B46:R46"/>
    <mergeCell ref="C7:I7"/>
    <mergeCell ref="K7:O7"/>
    <mergeCell ref="Q7:Q8"/>
    <mergeCell ref="J7:J8"/>
    <mergeCell ref="P7:P8"/>
    <mergeCell ref="B1:R2"/>
    <mergeCell ref="B3:R3"/>
    <mergeCell ref="B4:R4"/>
    <mergeCell ref="B5:R5"/>
    <mergeCell ref="B6:R6"/>
  </mergeCells>
  <printOptions horizontalCentered="1" verticalCentered="1"/>
  <pageMargins left="0" right="0" top="0" bottom="0" header="0" footer="0"/>
  <pageSetup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50"/>
  <sheetViews>
    <sheetView topLeftCell="B1" zoomScaleNormal="100" workbookViewId="0">
      <pane xSplit="1" ySplit="8" topLeftCell="D42" activePane="bottomRight" state="frozen"/>
      <selection activeCell="B1" sqref="B1"/>
      <selection pane="topRight" activeCell="C1" sqref="C1"/>
      <selection pane="bottomLeft" activeCell="B9" sqref="B9"/>
      <selection pane="bottomRight" activeCell="B46" sqref="B46:R46"/>
    </sheetView>
  </sheetViews>
  <sheetFormatPr defaultRowHeight="14.4" x14ac:dyDescent="0.3"/>
  <cols>
    <col min="2" max="2" width="39" customWidth="1"/>
    <col min="3" max="16" width="10.77734375" customWidth="1"/>
    <col min="17" max="17" width="11.77734375" bestFit="1" customWidth="1"/>
    <col min="18" max="18" width="13.21875" style="9" bestFit="1" customWidth="1"/>
    <col min="19" max="19" width="8.77734375" bestFit="1" customWidth="1"/>
    <col min="20" max="20" width="15.44140625" bestFit="1" customWidth="1"/>
    <col min="21" max="21" width="9.77734375" bestFit="1" customWidth="1"/>
    <col min="22" max="22" width="9.77734375" customWidth="1"/>
    <col min="23" max="23" width="12.77734375" bestFit="1" customWidth="1"/>
  </cols>
  <sheetData>
    <row r="1" spans="2:27" ht="20.25" customHeight="1" thickTop="1" x14ac:dyDescent="0.3">
      <c r="B1" s="491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2"/>
      <c r="Q1" s="492"/>
      <c r="R1" s="493"/>
    </row>
    <row r="2" spans="2:27" ht="37.5" customHeight="1" x14ac:dyDescent="0.3">
      <c r="B2" s="494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6"/>
    </row>
    <row r="3" spans="2:27" ht="20.25" customHeight="1" x14ac:dyDescent="0.3">
      <c r="B3" s="518" t="s">
        <v>0</v>
      </c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20"/>
      <c r="S3" s="253"/>
      <c r="T3" s="253"/>
      <c r="U3" s="253"/>
      <c r="V3" s="253"/>
      <c r="W3" s="253"/>
    </row>
    <row r="4" spans="2:27" ht="20.25" customHeight="1" x14ac:dyDescent="0.3">
      <c r="B4" s="500" t="s">
        <v>1</v>
      </c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1"/>
      <c r="R4" s="502"/>
      <c r="S4" s="253"/>
      <c r="T4" s="253"/>
      <c r="U4" s="253"/>
      <c r="V4" s="253"/>
      <c r="W4" s="253"/>
    </row>
    <row r="5" spans="2:27" ht="20.25" customHeight="1" x14ac:dyDescent="0.3">
      <c r="B5" s="503" t="s">
        <v>113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5"/>
      <c r="S5" s="253"/>
      <c r="T5" s="253"/>
      <c r="U5" s="253"/>
      <c r="V5" s="253"/>
      <c r="W5" s="253"/>
    </row>
    <row r="6" spans="2:27" ht="20.25" customHeight="1" thickBot="1" x14ac:dyDescent="0.35">
      <c r="B6" s="503" t="s">
        <v>3</v>
      </c>
      <c r="C6" s="504"/>
      <c r="D6" s="504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5"/>
      <c r="S6" s="253"/>
      <c r="T6" s="253"/>
      <c r="U6" s="253"/>
      <c r="V6" s="253"/>
      <c r="W6" s="253"/>
    </row>
    <row r="7" spans="2:27" ht="20.25" customHeight="1" thickTop="1" thickBot="1" x14ac:dyDescent="0.35">
      <c r="B7" s="254"/>
      <c r="C7" s="525" t="s">
        <v>109</v>
      </c>
      <c r="D7" s="526"/>
      <c r="E7" s="526"/>
      <c r="F7" s="526"/>
      <c r="G7" s="526"/>
      <c r="H7" s="526"/>
      <c r="I7" s="527"/>
      <c r="J7" s="528" t="s">
        <v>115</v>
      </c>
      <c r="K7" s="530" t="s">
        <v>110</v>
      </c>
      <c r="L7" s="530"/>
      <c r="M7" s="530"/>
      <c r="N7" s="530"/>
      <c r="O7" s="530"/>
      <c r="P7" s="528" t="s">
        <v>116</v>
      </c>
      <c r="Q7" s="531" t="s">
        <v>5</v>
      </c>
      <c r="R7" s="522" t="s">
        <v>6</v>
      </c>
      <c r="S7" s="253"/>
      <c r="T7" s="253"/>
      <c r="U7" s="253"/>
      <c r="V7" s="253"/>
      <c r="W7" s="253"/>
    </row>
    <row r="8" spans="2:27" ht="15.6" thickTop="1" thickBot="1" x14ac:dyDescent="0.35">
      <c r="B8" s="255" t="s">
        <v>7</v>
      </c>
      <c r="C8" s="256" t="s">
        <v>56</v>
      </c>
      <c r="D8" s="257" t="s">
        <v>57</v>
      </c>
      <c r="E8" s="257" t="s">
        <v>58</v>
      </c>
      <c r="F8" s="258" t="s">
        <v>59</v>
      </c>
      <c r="G8" s="258" t="s">
        <v>60</v>
      </c>
      <c r="H8" s="258" t="s">
        <v>8</v>
      </c>
      <c r="I8" s="259" t="s">
        <v>9</v>
      </c>
      <c r="J8" s="529"/>
      <c r="K8" s="260" t="s">
        <v>10</v>
      </c>
      <c r="L8" s="261" t="s">
        <v>11</v>
      </c>
      <c r="M8" s="261" t="s">
        <v>12</v>
      </c>
      <c r="N8" s="261" t="s">
        <v>13</v>
      </c>
      <c r="O8" s="262" t="s">
        <v>61</v>
      </c>
      <c r="P8" s="529"/>
      <c r="Q8" s="532"/>
      <c r="R8" s="523"/>
      <c r="S8" s="253"/>
      <c r="T8" s="253"/>
      <c r="U8" s="253"/>
      <c r="V8" s="253"/>
      <c r="W8" s="253"/>
    </row>
    <row r="9" spans="2:27" ht="20.25" customHeight="1" thickTop="1" x14ac:dyDescent="0.3">
      <c r="B9" s="263" t="s">
        <v>14</v>
      </c>
      <c r="C9" s="264">
        <v>506.61530451411198</v>
      </c>
      <c r="D9" s="264">
        <v>457.39535196401602</v>
      </c>
      <c r="E9" s="264">
        <v>618.52547609154601</v>
      </c>
      <c r="F9" s="264">
        <v>634.06685194812599</v>
      </c>
      <c r="G9" s="264">
        <v>523.81695647261404</v>
      </c>
      <c r="H9" s="264">
        <v>542.76735697112099</v>
      </c>
      <c r="I9" s="265">
        <v>567.00224421881194</v>
      </c>
      <c r="J9" s="266">
        <f>SUM(C9:I9)</f>
        <v>3850.189542180347</v>
      </c>
      <c r="K9" s="267">
        <v>430.11883897765603</v>
      </c>
      <c r="L9" s="268">
        <v>522.39045908610797</v>
      </c>
      <c r="M9" s="268">
        <v>362.155843340422</v>
      </c>
      <c r="N9" s="268">
        <v>345.079947597949</v>
      </c>
      <c r="O9" s="269">
        <v>353.601136027986</v>
      </c>
      <c r="P9" s="266">
        <f>SUM(K9:O9)</f>
        <v>2013.3462250301211</v>
      </c>
      <c r="Q9" s="270">
        <f>J9+P9</f>
        <v>5863.5357672104683</v>
      </c>
      <c r="R9" s="271">
        <f>Q9/$Q$44</f>
        <v>7.0259851929223585E-2</v>
      </c>
      <c r="S9" s="272"/>
      <c r="T9" s="524" t="s">
        <v>117</v>
      </c>
      <c r="U9" s="524"/>
      <c r="V9" s="524"/>
      <c r="W9" s="524"/>
      <c r="X9" s="3"/>
    </row>
    <row r="10" spans="2:27" ht="20.25" customHeight="1" x14ac:dyDescent="0.3">
      <c r="B10" s="273" t="s">
        <v>15</v>
      </c>
      <c r="C10" s="274">
        <v>106.56841791565739</v>
      </c>
      <c r="D10" s="274">
        <v>95.546772730241329</v>
      </c>
      <c r="E10" s="274">
        <v>131.62805612863869</v>
      </c>
      <c r="F10" s="274">
        <v>80.768179970896995</v>
      </c>
      <c r="G10" s="274">
        <v>56.080321354546001</v>
      </c>
      <c r="H10" s="274">
        <v>60.323815701751997</v>
      </c>
      <c r="I10" s="275">
        <v>65.750645971056997</v>
      </c>
      <c r="J10" s="266">
        <f t="shared" ref="J10:J12" si="0">SUM(C10:I10)</f>
        <v>596.66620977278944</v>
      </c>
      <c r="K10" s="276">
        <f>62.1838149534+60</f>
        <v>122.1838149534</v>
      </c>
      <c r="L10" s="277">
        <f>82.845863672032+60</f>
        <v>142.84586367203201</v>
      </c>
      <c r="M10" s="277">
        <f>46.96510821269+60</f>
        <v>106.96510821269</v>
      </c>
      <c r="N10" s="277">
        <f>43.1413649064536+60</f>
        <v>103.1413649064536</v>
      </c>
      <c r="O10" s="278">
        <f>45.0427658877553+60</f>
        <v>105.04276588775531</v>
      </c>
      <c r="P10" s="279">
        <f t="shared" ref="P10:P22" si="1">SUM(K10:O10)</f>
        <v>580.17891763233092</v>
      </c>
      <c r="Q10" s="270">
        <f t="shared" ref="Q10:Q22" si="2">J10+P10</f>
        <v>1176.8451274051204</v>
      </c>
      <c r="R10" s="280">
        <f t="shared" ref="R10:R44" si="3">Q10/$Q$44</f>
        <v>1.4101553683273385E-2</v>
      </c>
      <c r="S10" s="281">
        <v>1</v>
      </c>
      <c r="T10" s="253" t="str">
        <f>B12</f>
        <v xml:space="preserve">DGC </v>
      </c>
      <c r="U10" s="282">
        <f>Q12</f>
        <v>53517.444366138436</v>
      </c>
      <c r="V10" s="343">
        <f>R12</f>
        <v>0.64127309290452217</v>
      </c>
      <c r="W10" s="521">
        <f>U19/U21</f>
        <v>0.95974195988781041</v>
      </c>
    </row>
    <row r="11" spans="2:27" ht="20.25" customHeight="1" x14ac:dyDescent="0.3">
      <c r="B11" s="273" t="s">
        <v>16</v>
      </c>
      <c r="C11" s="274">
        <v>725.25333537672395</v>
      </c>
      <c r="D11" s="274">
        <v>650.24532560793693</v>
      </c>
      <c r="E11" s="274">
        <v>895.7971658357892</v>
      </c>
      <c r="F11" s="274">
        <v>737.85521288732298</v>
      </c>
      <c r="G11" s="274">
        <v>569.84153533616904</v>
      </c>
      <c r="H11" s="274">
        <v>598.720714450934</v>
      </c>
      <c r="I11" s="275">
        <v>635.65310802790998</v>
      </c>
      <c r="J11" s="266">
        <f t="shared" si="0"/>
        <v>4813.3663975227864</v>
      </c>
      <c r="K11" s="276">
        <f>522.134215183396-60</f>
        <v>462.13421518339601</v>
      </c>
      <c r="L11" s="277">
        <f>662.75016915922-60</f>
        <v>602.75016915922004</v>
      </c>
      <c r="M11" s="277">
        <f>418.563025522351-60</f>
        <v>358.56302552235098</v>
      </c>
      <c r="N11" s="277">
        <f>392.540469865505-60</f>
        <v>332.54046986550497</v>
      </c>
      <c r="O11" s="278">
        <f>405.460489343593-60</f>
        <v>345.460489343593</v>
      </c>
      <c r="P11" s="279">
        <f t="shared" si="1"/>
        <v>2101.4483690740649</v>
      </c>
      <c r="Q11" s="270">
        <f t="shared" si="2"/>
        <v>6914.8147665968518</v>
      </c>
      <c r="R11" s="280">
        <f t="shared" si="3"/>
        <v>8.2856808742591714E-2</v>
      </c>
      <c r="S11" s="281">
        <v>2</v>
      </c>
      <c r="T11" s="253" t="str">
        <f>B11</f>
        <v>DOEE</v>
      </c>
      <c r="U11" s="282">
        <f>Q11</f>
        <v>6914.8147665968518</v>
      </c>
      <c r="V11" s="343">
        <f>R11</f>
        <v>8.2856808742591714E-2</v>
      </c>
      <c r="W11" s="521"/>
      <c r="X11" s="3">
        <v>6914.8147665968509</v>
      </c>
      <c r="Y11" s="3">
        <v>2101.4483690740644</v>
      </c>
      <c r="Z11" s="3">
        <f>Q11/Q44</f>
        <v>8.2856808742591714E-2</v>
      </c>
      <c r="AA11" s="3">
        <f>Z11/5</f>
        <v>1.6571361748518344E-2</v>
      </c>
    </row>
    <row r="12" spans="2:27" ht="20.25" customHeight="1" x14ac:dyDescent="0.3">
      <c r="B12" s="273" t="s">
        <v>17</v>
      </c>
      <c r="C12" s="274">
        <v>5253.34929678341</v>
      </c>
      <c r="D12" s="274">
        <v>3758.76130080757</v>
      </c>
      <c r="E12" s="274">
        <v>5278.8442836415798</v>
      </c>
      <c r="F12" s="274">
        <v>4895.7367563071002</v>
      </c>
      <c r="G12" s="274">
        <v>5834.4715815790896</v>
      </c>
      <c r="H12" s="274">
        <v>4755.9774047233095</v>
      </c>
      <c r="I12" s="275">
        <v>4702.8564270836996</v>
      </c>
      <c r="J12" s="266">
        <f t="shared" si="0"/>
        <v>34479.997050925762</v>
      </c>
      <c r="K12" s="276">
        <v>4244.9488246079591</v>
      </c>
      <c r="L12" s="277">
        <v>3606.332729559369</v>
      </c>
      <c r="M12" s="277">
        <v>4155.8407011763084</v>
      </c>
      <c r="N12" s="277">
        <v>3605.8159256215185</v>
      </c>
      <c r="O12" s="278">
        <v>3424.5091342475189</v>
      </c>
      <c r="P12" s="279">
        <f t="shared" si="1"/>
        <v>19037.447315212674</v>
      </c>
      <c r="Q12" s="270">
        <f t="shared" si="2"/>
        <v>53517.444366138436</v>
      </c>
      <c r="R12" s="280">
        <f t="shared" si="3"/>
        <v>0.64127309290452217</v>
      </c>
      <c r="S12" s="281">
        <v>3</v>
      </c>
      <c r="T12" s="253" t="str">
        <f>B14</f>
        <v>Pétion-Ville</v>
      </c>
      <c r="U12" s="282">
        <f>Q14</f>
        <v>6139.7260451925695</v>
      </c>
      <c r="V12" s="343">
        <f>R14</f>
        <v>7.3569303564844007E-2</v>
      </c>
      <c r="W12" s="521"/>
      <c r="X12" s="3"/>
    </row>
    <row r="13" spans="2:27" s="9" customFormat="1" ht="20.25" customHeight="1" x14ac:dyDescent="0.3">
      <c r="B13" s="283" t="s">
        <v>18</v>
      </c>
      <c r="C13" s="284">
        <f>SUM(C14:C22)</f>
        <v>1025.5155091512484</v>
      </c>
      <c r="D13" s="284">
        <f t="shared" ref="D13:O13" si="4">SUM(D14:D22)</f>
        <v>999.30510318142456</v>
      </c>
      <c r="E13" s="284">
        <f t="shared" si="4"/>
        <v>1034.0323469581476</v>
      </c>
      <c r="F13" s="284">
        <f t="shared" si="4"/>
        <v>1036.7523714654665</v>
      </c>
      <c r="G13" s="284">
        <f t="shared" si="4"/>
        <v>1007.673856101883</v>
      </c>
      <c r="H13" s="284">
        <f t="shared" si="4"/>
        <v>1007.1935982721163</v>
      </c>
      <c r="I13" s="285">
        <f t="shared" si="4"/>
        <v>1012.230727499037</v>
      </c>
      <c r="J13" s="286">
        <f>SUM(C13:I13)</f>
        <v>7122.7035126293231</v>
      </c>
      <c r="K13" s="287">
        <f t="shared" si="4"/>
        <v>965.38168487292978</v>
      </c>
      <c r="L13" s="288">
        <f t="shared" si="4"/>
        <v>970.22933497888187</v>
      </c>
      <c r="M13" s="288">
        <f t="shared" si="4"/>
        <v>973.47966247688271</v>
      </c>
      <c r="N13" s="288">
        <f t="shared" si="4"/>
        <v>966.38647695921986</v>
      </c>
      <c r="O13" s="289">
        <f t="shared" si="4"/>
        <v>968.54386957343002</v>
      </c>
      <c r="P13" s="286">
        <f t="shared" si="1"/>
        <v>4844.0210288613443</v>
      </c>
      <c r="Q13" s="270">
        <f t="shared" si="2"/>
        <v>11966.724541490668</v>
      </c>
      <c r="R13" s="280">
        <f t="shared" si="3"/>
        <v>0.14339134742976678</v>
      </c>
      <c r="S13" s="290">
        <v>4</v>
      </c>
      <c r="T13" s="253" t="str">
        <f>B9</f>
        <v xml:space="preserve">Bureau Central </v>
      </c>
      <c r="U13" s="282">
        <f>Q9</f>
        <v>5863.5357672104683</v>
      </c>
      <c r="V13" s="343">
        <f>R9</f>
        <v>7.0259851929223585E-2</v>
      </c>
      <c r="W13" s="521"/>
    </row>
    <row r="14" spans="2:27" ht="20.25" customHeight="1" x14ac:dyDescent="0.3">
      <c r="B14" s="291" t="s">
        <v>19</v>
      </c>
      <c r="C14" s="274">
        <v>519.42558320866499</v>
      </c>
      <c r="D14" s="274">
        <v>519.42558320866499</v>
      </c>
      <c r="E14" s="274">
        <v>519.42558320866499</v>
      </c>
      <c r="F14" s="274">
        <v>519.42558320866499</v>
      </c>
      <c r="G14" s="274">
        <v>519.42558320866499</v>
      </c>
      <c r="H14" s="274">
        <v>519.42558320866499</v>
      </c>
      <c r="I14" s="275">
        <v>519.42558320866499</v>
      </c>
      <c r="J14" s="279">
        <f>SUM(C14:I14)</f>
        <v>3635.9790824606553</v>
      </c>
      <c r="K14" s="276">
        <v>500.74939254638281</v>
      </c>
      <c r="L14" s="277">
        <v>500.74939254638281</v>
      </c>
      <c r="M14" s="277">
        <v>500.74939254638281</v>
      </c>
      <c r="N14" s="277">
        <v>500.74939254638281</v>
      </c>
      <c r="O14" s="278">
        <v>500.74939254638281</v>
      </c>
      <c r="P14" s="279">
        <f t="shared" si="1"/>
        <v>2503.7469627319142</v>
      </c>
      <c r="Q14" s="270">
        <f t="shared" si="2"/>
        <v>6139.7260451925695</v>
      </c>
      <c r="R14" s="280">
        <f t="shared" si="3"/>
        <v>7.3569303564844007E-2</v>
      </c>
      <c r="S14" s="281">
        <v>5</v>
      </c>
      <c r="T14" s="253" t="str">
        <f>B15</f>
        <v>Delmas</v>
      </c>
      <c r="U14" s="282">
        <f>Q15</f>
        <v>3987.6041317964346</v>
      </c>
      <c r="V14" s="343">
        <f>R15</f>
        <v>4.778149003867433E-2</v>
      </c>
      <c r="W14" s="521"/>
      <c r="X14" s="3"/>
    </row>
    <row r="15" spans="2:27" ht="20.25" customHeight="1" x14ac:dyDescent="0.3">
      <c r="B15" s="291" t="s">
        <v>20</v>
      </c>
      <c r="C15" s="274">
        <v>341.77625241242401</v>
      </c>
      <c r="D15" s="274">
        <v>330.66071609203402</v>
      </c>
      <c r="E15" s="274">
        <v>345.38814686710901</v>
      </c>
      <c r="F15" s="274">
        <v>346.54167845445903</v>
      </c>
      <c r="G15" s="274">
        <v>334.20980942354612</v>
      </c>
      <c r="H15" s="274">
        <v>334.00613751720221</v>
      </c>
      <c r="I15" s="275">
        <v>336.14232697328299</v>
      </c>
      <c r="J15" s="279">
        <f t="shared" ref="J15:J22" si="5">SUM(C15:I15)</f>
        <v>2368.7250677400575</v>
      </c>
      <c r="K15" s="276">
        <v>323.23596960667743</v>
      </c>
      <c r="L15" s="277">
        <v>325.71589178783245</v>
      </c>
      <c r="M15" s="277">
        <v>325.23074600603343</v>
      </c>
      <c r="N15" s="277">
        <v>321.37442901475947</v>
      </c>
      <c r="O15" s="278">
        <v>323.32202764107444</v>
      </c>
      <c r="P15" s="279">
        <f t="shared" si="1"/>
        <v>1618.879064056377</v>
      </c>
      <c r="Q15" s="270">
        <f t="shared" si="2"/>
        <v>3987.6041317964346</v>
      </c>
      <c r="R15" s="280">
        <f t="shared" si="3"/>
        <v>4.778149003867433E-2</v>
      </c>
      <c r="S15" s="281">
        <v>6</v>
      </c>
      <c r="T15" s="253" t="str">
        <f>B28</f>
        <v>DDI du Nord</v>
      </c>
      <c r="U15" s="282">
        <f>Q28</f>
        <v>1464.2428305390658</v>
      </c>
      <c r="V15" s="343">
        <f>R28</f>
        <v>1.7545298356906783E-2</v>
      </c>
      <c r="W15" s="521"/>
      <c r="X15" s="3"/>
    </row>
    <row r="16" spans="2:27" ht="20.25" customHeight="1" x14ac:dyDescent="0.3">
      <c r="B16" s="291" t="s">
        <v>21</v>
      </c>
      <c r="C16" s="274">
        <v>19.616292830874499</v>
      </c>
      <c r="D16" s="274">
        <v>16.521995989395101</v>
      </c>
      <c r="E16" s="274">
        <v>20.6217570100873</v>
      </c>
      <c r="F16" s="274">
        <v>20.942872343113102</v>
      </c>
      <c r="G16" s="274">
        <v>17.509977852732597</v>
      </c>
      <c r="H16" s="274">
        <v>17.4532805132311</v>
      </c>
      <c r="I16" s="275">
        <v>18.047944063079498</v>
      </c>
      <c r="J16" s="279">
        <f t="shared" si="5"/>
        <v>130.71412060251322</v>
      </c>
      <c r="K16" s="276">
        <v>17.583335408862297</v>
      </c>
      <c r="L16" s="277">
        <v>18.273685847301103</v>
      </c>
      <c r="M16" s="277">
        <v>18.138632979224496</v>
      </c>
      <c r="N16" s="277">
        <v>17.065127469287603</v>
      </c>
      <c r="O16" s="278">
        <v>17.598940611685997</v>
      </c>
      <c r="P16" s="279">
        <f t="shared" si="1"/>
        <v>88.659722316361496</v>
      </c>
      <c r="Q16" s="270">
        <f t="shared" si="2"/>
        <v>219.37384291887471</v>
      </c>
      <c r="R16" s="280">
        <f t="shared" si="3"/>
        <v>2.62864836722188E-3</v>
      </c>
      <c r="S16" s="281">
        <v>7</v>
      </c>
      <c r="T16" s="253" t="str">
        <f>B10</f>
        <v>DMC</v>
      </c>
      <c r="U16" s="282">
        <f>Q10</f>
        <v>1176.8451274051204</v>
      </c>
      <c r="V16" s="343">
        <f>R10</f>
        <v>1.4101553683273385E-2</v>
      </c>
      <c r="W16" s="521"/>
    </row>
    <row r="17" spans="2:23" ht="20.25" customHeight="1" x14ac:dyDescent="0.3">
      <c r="B17" s="291" t="s">
        <v>22</v>
      </c>
      <c r="C17" s="274">
        <v>27.745752814111199</v>
      </c>
      <c r="D17" s="274">
        <v>25.0015372496966</v>
      </c>
      <c r="E17" s="274">
        <v>28.637461202611501</v>
      </c>
      <c r="F17" s="274">
        <v>28.9222463218182</v>
      </c>
      <c r="G17" s="274">
        <v>25.877741229348899</v>
      </c>
      <c r="H17" s="274">
        <v>25.827458490008901</v>
      </c>
      <c r="I17" s="275">
        <v>26.3548432409508</v>
      </c>
      <c r="J17" s="279">
        <f t="shared" si="5"/>
        <v>188.36704054854607</v>
      </c>
      <c r="K17" s="276">
        <v>25.942799288614601</v>
      </c>
      <c r="L17" s="277">
        <v>26.5550451444965</v>
      </c>
      <c r="M17" s="277">
        <v>26.4352718319861</v>
      </c>
      <c r="N17" s="277">
        <v>25.483220144713101</v>
      </c>
      <c r="O17" s="278">
        <v>25.956638956451499</v>
      </c>
      <c r="P17" s="279">
        <f t="shared" si="1"/>
        <v>130.37297536626181</v>
      </c>
      <c r="Q17" s="270">
        <f t="shared" si="2"/>
        <v>318.74001591480788</v>
      </c>
      <c r="R17" s="280">
        <f t="shared" si="3"/>
        <v>3.8193041214698415E-3</v>
      </c>
      <c r="S17" s="281">
        <v>8</v>
      </c>
      <c r="T17" s="253" t="str">
        <f>B25</f>
        <v>DDI du Sud</v>
      </c>
      <c r="U17" s="282">
        <f>Q25</f>
        <v>554.12998999094111</v>
      </c>
      <c r="V17" s="343">
        <f>R25</f>
        <v>6.6398658747890242E-3</v>
      </c>
      <c r="W17" s="521"/>
    </row>
    <row r="18" spans="2:23" ht="20.25" customHeight="1" x14ac:dyDescent="0.3">
      <c r="B18" s="291" t="s">
        <v>23</v>
      </c>
      <c r="C18" s="274">
        <v>23.085736394411501</v>
      </c>
      <c r="D18" s="274">
        <v>21.152608513053401</v>
      </c>
      <c r="E18" s="274">
        <v>23.7138890695161</v>
      </c>
      <c r="F18" s="274">
        <v>23.914502338121302</v>
      </c>
      <c r="G18" s="274">
        <v>21.769839303807302</v>
      </c>
      <c r="H18" s="274">
        <v>21.734418265230801</v>
      </c>
      <c r="I18" s="275">
        <v>22.105927770340202</v>
      </c>
      <c r="J18" s="279">
        <f t="shared" si="5"/>
        <v>157.47692165448063</v>
      </c>
      <c r="K18" s="276">
        <v>21.815668629281802</v>
      </c>
      <c r="L18" s="277">
        <v>22.246957464458902</v>
      </c>
      <c r="M18" s="277">
        <v>22.162584672153901</v>
      </c>
      <c r="N18" s="277">
        <v>21.491923924861602</v>
      </c>
      <c r="O18" s="278">
        <v>21.825417807921802</v>
      </c>
      <c r="P18" s="279">
        <f t="shared" si="1"/>
        <v>109.54255249867802</v>
      </c>
      <c r="Q18" s="270">
        <f t="shared" si="2"/>
        <v>267.01947415315863</v>
      </c>
      <c r="R18" s="280">
        <f t="shared" si="3"/>
        <v>3.1995624246264893E-3</v>
      </c>
      <c r="S18" s="281">
        <v>9</v>
      </c>
      <c r="T18" s="253" t="str">
        <f>B32</f>
        <v>DDI de l'Artibonite</v>
      </c>
      <c r="U18" s="292">
        <f>Q32</f>
        <v>476.91983967054227</v>
      </c>
      <c r="V18" s="296">
        <f>R32</f>
        <v>5.7146947929854058E-3</v>
      </c>
      <c r="W18" s="521"/>
    </row>
    <row r="19" spans="2:23" ht="20.25" customHeight="1" x14ac:dyDescent="0.3">
      <c r="B19" s="291" t="s">
        <v>24</v>
      </c>
      <c r="C19" s="274">
        <v>19.647297016678003</v>
      </c>
      <c r="D19" s="274">
        <v>17.940804432855501</v>
      </c>
      <c r="E19" s="274">
        <v>20.2018065718458</v>
      </c>
      <c r="F19" s="274">
        <v>20.3789004197968</v>
      </c>
      <c r="G19" s="274">
        <v>18.4856725593182</v>
      </c>
      <c r="H19" s="274">
        <v>18.454404198738001</v>
      </c>
      <c r="I19" s="275">
        <v>18.782358816434201</v>
      </c>
      <c r="J19" s="279">
        <f t="shared" si="5"/>
        <v>133.89124401566653</v>
      </c>
      <c r="K19" s="276">
        <v>18.526128964090002</v>
      </c>
      <c r="L19" s="277">
        <v>18.906854525917801</v>
      </c>
      <c r="M19" s="277">
        <v>23.226673398345604</v>
      </c>
      <c r="N19" s="277">
        <v>22.634639315886901</v>
      </c>
      <c r="O19" s="278">
        <v>18.534735172302</v>
      </c>
      <c r="P19" s="279">
        <f t="shared" si="1"/>
        <v>101.8290313765423</v>
      </c>
      <c r="Q19" s="270">
        <f t="shared" si="2"/>
        <v>235.72027539220883</v>
      </c>
      <c r="R19" s="280">
        <f t="shared" si="3"/>
        <v>2.8245195907880484E-3</v>
      </c>
      <c r="S19" s="293"/>
      <c r="T19" s="253"/>
      <c r="U19" s="272">
        <f>SUM(U10:U18)</f>
        <v>80095.262864540433</v>
      </c>
      <c r="V19" s="272"/>
      <c r="W19" s="253"/>
    </row>
    <row r="20" spans="2:23" ht="20.25" customHeight="1" x14ac:dyDescent="0.3">
      <c r="B20" s="273" t="s">
        <v>25</v>
      </c>
      <c r="C20" s="294">
        <v>16.752650760822299</v>
      </c>
      <c r="D20" s="294">
        <v>15.5491512781342</v>
      </c>
      <c r="E20" s="294">
        <v>17.1437171909472</v>
      </c>
      <c r="F20" s="294">
        <v>17.2686121693472</v>
      </c>
      <c r="G20" s="294">
        <v>15.9334181155923</v>
      </c>
      <c r="H20" s="294">
        <v>15.911366185135799</v>
      </c>
      <c r="I20" s="295">
        <v>16.142655331355499</v>
      </c>
      <c r="J20" s="279">
        <f t="shared" si="5"/>
        <v>114.70157103133451</v>
      </c>
      <c r="K20" s="276">
        <v>15.961949890459501</v>
      </c>
      <c r="L20" s="277">
        <v>16.230455608591299</v>
      </c>
      <c r="M20" s="277">
        <v>16.1779279859383</v>
      </c>
      <c r="N20" s="277">
        <v>15.7603974799594</v>
      </c>
      <c r="O20" s="278">
        <v>15.968019396550099</v>
      </c>
      <c r="P20" s="279">
        <f t="shared" si="1"/>
        <v>80.098750361498603</v>
      </c>
      <c r="Q20" s="270">
        <f t="shared" si="2"/>
        <v>194.8003213928331</v>
      </c>
      <c r="R20" s="280">
        <f t="shared" si="3"/>
        <v>2.3341960005365384E-3</v>
      </c>
      <c r="S20" s="293"/>
      <c r="T20" s="253" t="s">
        <v>114</v>
      </c>
      <c r="U20" s="282">
        <f>Q44-U19</f>
        <v>3359.7346369788429</v>
      </c>
      <c r="V20" s="282"/>
      <c r="W20" s="296">
        <f>U20/U21</f>
        <v>4.0258040112189565E-2</v>
      </c>
    </row>
    <row r="21" spans="2:23" ht="20.25" customHeight="1" x14ac:dyDescent="0.3">
      <c r="B21" s="273" t="s">
        <v>26</v>
      </c>
      <c r="C21" s="274">
        <v>34.202300741926898</v>
      </c>
      <c r="D21" s="274">
        <v>31.265216665554</v>
      </c>
      <c r="E21" s="274">
        <v>35.156680034353599</v>
      </c>
      <c r="F21" s="274">
        <v>35.461480374988803</v>
      </c>
      <c r="G21" s="274">
        <v>32.203001870791802</v>
      </c>
      <c r="H21" s="274">
        <v>32.149185168143802</v>
      </c>
      <c r="I21" s="275">
        <v>32.713635488373704</v>
      </c>
      <c r="J21" s="279">
        <f t="shared" si="5"/>
        <v>233.15150034413261</v>
      </c>
      <c r="K21" s="276">
        <v>19.2726323299973</v>
      </c>
      <c r="L21" s="277">
        <v>18.927907949542</v>
      </c>
      <c r="M21" s="277">
        <v>18.799716748562599</v>
      </c>
      <c r="N21" s="277">
        <v>19.7807531194535</v>
      </c>
      <c r="O21" s="278">
        <v>22.287444675118099</v>
      </c>
      <c r="P21" s="279">
        <f t="shared" si="1"/>
        <v>99.068454822673502</v>
      </c>
      <c r="Q21" s="270">
        <f t="shared" si="2"/>
        <v>332.21995516680613</v>
      </c>
      <c r="R21" s="280">
        <f t="shared" si="3"/>
        <v>3.9808275730972035E-3</v>
      </c>
      <c r="S21" s="293"/>
      <c r="T21" s="297" t="s">
        <v>5</v>
      </c>
      <c r="U21" s="272">
        <f>SUM(U19:U20)</f>
        <v>83454.997501519276</v>
      </c>
      <c r="V21" s="272"/>
      <c r="W21" s="253"/>
    </row>
    <row r="22" spans="2:23" ht="20.25" customHeight="1" thickBot="1" x14ac:dyDescent="0.35">
      <c r="B22" s="298" t="s">
        <v>27</v>
      </c>
      <c r="C22" s="299">
        <v>23.2636429713348</v>
      </c>
      <c r="D22" s="299">
        <v>21.7874897520365</v>
      </c>
      <c r="E22" s="299">
        <v>23.743305803012198</v>
      </c>
      <c r="F22" s="299">
        <v>23.896495835157101</v>
      </c>
      <c r="G22" s="299">
        <v>22.258812538080701</v>
      </c>
      <c r="H22" s="299">
        <v>22.231764725760698</v>
      </c>
      <c r="I22" s="300">
        <v>22.515452606555101</v>
      </c>
      <c r="J22" s="279">
        <f t="shared" si="5"/>
        <v>159.69696423193707</v>
      </c>
      <c r="K22" s="301">
        <v>22.2938082085637</v>
      </c>
      <c r="L22" s="302">
        <v>22.623144104359</v>
      </c>
      <c r="M22" s="302">
        <v>22.558716308255498</v>
      </c>
      <c r="N22" s="302">
        <v>22.0465939439156</v>
      </c>
      <c r="O22" s="303">
        <v>22.3012527659433</v>
      </c>
      <c r="P22" s="266">
        <f t="shared" si="1"/>
        <v>111.8235153310371</v>
      </c>
      <c r="Q22" s="270">
        <f t="shared" si="2"/>
        <v>271.52047956297417</v>
      </c>
      <c r="R22" s="304">
        <f t="shared" si="3"/>
        <v>3.2534957485084249E-3</v>
      </c>
      <c r="S22" s="293"/>
      <c r="T22" s="253"/>
      <c r="U22" s="253"/>
      <c r="V22" s="253"/>
      <c r="W22" s="253"/>
    </row>
    <row r="23" spans="2:23" ht="20.25" customHeight="1" thickTop="1" thickBot="1" x14ac:dyDescent="0.35">
      <c r="B23" s="305" t="s">
        <v>28</v>
      </c>
      <c r="C23" s="306">
        <f>C13+C12+C11+C10+C9</f>
        <v>7617.3018637411506</v>
      </c>
      <c r="D23" s="306">
        <f t="shared" ref="D23:O23" si="6">D13+D12+D11+D10+D9</f>
        <v>5961.2538542911889</v>
      </c>
      <c r="E23" s="306">
        <f t="shared" si="6"/>
        <v>7958.8273286557005</v>
      </c>
      <c r="F23" s="306">
        <f t="shared" si="6"/>
        <v>7385.1793725789121</v>
      </c>
      <c r="G23" s="306">
        <f t="shared" si="6"/>
        <v>7991.8842508443013</v>
      </c>
      <c r="H23" s="306">
        <f t="shared" si="6"/>
        <v>6964.9828901192323</v>
      </c>
      <c r="I23" s="307">
        <f t="shared" si="6"/>
        <v>6983.4931528005154</v>
      </c>
      <c r="J23" s="308">
        <f>SUM(C23:I23)</f>
        <v>50862.922713031003</v>
      </c>
      <c r="K23" s="309">
        <f t="shared" si="6"/>
        <v>6224.7673785953411</v>
      </c>
      <c r="L23" s="310">
        <f t="shared" si="6"/>
        <v>5844.5485564556093</v>
      </c>
      <c r="M23" s="310">
        <f t="shared" si="6"/>
        <v>5957.0043407286539</v>
      </c>
      <c r="N23" s="310">
        <f t="shared" si="6"/>
        <v>5352.9641849506461</v>
      </c>
      <c r="O23" s="311">
        <f t="shared" si="6"/>
        <v>5197.1573950802831</v>
      </c>
      <c r="P23" s="308">
        <f>SUM(K23:O23)</f>
        <v>28576.441855810532</v>
      </c>
      <c r="Q23" s="312">
        <f t="shared" ref="Q23:Q44" si="7">J23+P23</f>
        <v>79439.364568841527</v>
      </c>
      <c r="R23" s="313">
        <f t="shared" si="3"/>
        <v>0.95188265468937738</v>
      </c>
      <c r="S23" s="253"/>
      <c r="T23" s="253"/>
      <c r="U23" s="253"/>
      <c r="V23" s="253"/>
      <c r="W23" s="253"/>
    </row>
    <row r="24" spans="2:23" ht="20.25" customHeight="1" thickTop="1" thickBot="1" x14ac:dyDescent="0.35">
      <c r="B24" s="305" t="s">
        <v>29</v>
      </c>
      <c r="C24" s="306">
        <f>C25+C28+C29+C32+C35+C38+C39+C40+C41</f>
        <v>373.1868054104134</v>
      </c>
      <c r="D24" s="306">
        <f>D25+D28+D29+D32+D35+D38+D39+D40+D41</f>
        <v>331.47964633113548</v>
      </c>
      <c r="E24" s="306">
        <f t="shared" ref="E24:O24" si="8">E25+E28+E29+E32+E35+E38+E39+E40+E41</f>
        <v>386.73917501787935</v>
      </c>
      <c r="F24" s="306">
        <f t="shared" si="8"/>
        <v>391.06739850884219</v>
      </c>
      <c r="G24" s="306">
        <f t="shared" si="8"/>
        <v>344.79637670725356</v>
      </c>
      <c r="H24" s="306">
        <f t="shared" si="8"/>
        <v>344.03216917349005</v>
      </c>
      <c r="I24" s="307">
        <f t="shared" si="8"/>
        <v>352.04747234017555</v>
      </c>
      <c r="J24" s="308">
        <f>SUM(C24:I24)</f>
        <v>2523.3490434891901</v>
      </c>
      <c r="K24" s="309">
        <f t="shared" si="8"/>
        <v>299.78514262723826</v>
      </c>
      <c r="L24" s="310">
        <f t="shared" si="8"/>
        <v>304.09018252206999</v>
      </c>
      <c r="M24" s="310">
        <f t="shared" si="8"/>
        <v>301.88475675074932</v>
      </c>
      <c r="N24" s="310">
        <f t="shared" si="8"/>
        <v>291.80036318324176</v>
      </c>
      <c r="O24" s="311">
        <f t="shared" si="8"/>
        <v>294.7234441052529</v>
      </c>
      <c r="P24" s="308">
        <f>SUM(K24:O24)</f>
        <v>1492.2838891885522</v>
      </c>
      <c r="Q24" s="312">
        <f t="shared" si="7"/>
        <v>4015.6329326777422</v>
      </c>
      <c r="R24" s="313">
        <f t="shared" si="3"/>
        <v>4.8117345310622513E-2</v>
      </c>
      <c r="S24" s="253"/>
      <c r="T24" s="253"/>
      <c r="U24" s="253"/>
      <c r="V24" s="253"/>
      <c r="W24" s="253"/>
    </row>
    <row r="25" spans="2:23" ht="20.25" customHeight="1" thickTop="1" x14ac:dyDescent="0.3">
      <c r="B25" s="314" t="s">
        <v>30</v>
      </c>
      <c r="C25" s="264">
        <f t="shared" ref="C25:O25" si="9">C26+C27</f>
        <v>48.334228241521402</v>
      </c>
      <c r="D25" s="264">
        <f t="shared" si="9"/>
        <v>43.335828303024797</v>
      </c>
      <c r="E25" s="264">
        <f t="shared" si="9"/>
        <v>49.9584137508648</v>
      </c>
      <c r="F25" s="264">
        <f t="shared" si="9"/>
        <v>50.477130261617901</v>
      </c>
      <c r="G25" s="264">
        <f t="shared" si="9"/>
        <v>44.931773597846799</v>
      </c>
      <c r="H25" s="264">
        <f t="shared" si="9"/>
        <v>44.840187045943203</v>
      </c>
      <c r="I25" s="265">
        <f t="shared" si="9"/>
        <v>45.800782102999001</v>
      </c>
      <c r="J25" s="266">
        <f>SUM(C25:I25)</f>
        <v>327.67834330381788</v>
      </c>
      <c r="K25" s="267">
        <f t="shared" si="9"/>
        <v>45.050272378937201</v>
      </c>
      <c r="L25" s="268">
        <f t="shared" si="9"/>
        <v>46.165436102978504</v>
      </c>
      <c r="M25" s="268">
        <f t="shared" si="9"/>
        <v>45.947277250718898</v>
      </c>
      <c r="N25" s="268">
        <f t="shared" si="9"/>
        <v>44.213180572302207</v>
      </c>
      <c r="O25" s="269">
        <f t="shared" si="9"/>
        <v>45.075480382186399</v>
      </c>
      <c r="P25" s="266">
        <f>SUM(K25:O25)</f>
        <v>226.45164668712317</v>
      </c>
      <c r="Q25" s="270">
        <f t="shared" si="7"/>
        <v>554.12998999094111</v>
      </c>
      <c r="R25" s="271">
        <f t="shared" si="3"/>
        <v>6.6398658747890242E-3</v>
      </c>
      <c r="S25" s="253"/>
      <c r="T25" s="253"/>
      <c r="U25" s="253"/>
      <c r="V25" s="253"/>
      <c r="W25" s="253"/>
    </row>
    <row r="26" spans="2:23" ht="20.25" customHeight="1" x14ac:dyDescent="0.3">
      <c r="B26" s="315" t="s">
        <v>31</v>
      </c>
      <c r="C26" s="294">
        <v>30.134937480699101</v>
      </c>
      <c r="D26" s="294">
        <v>26.340037024890599</v>
      </c>
      <c r="E26" s="294">
        <v>31.368056559917598</v>
      </c>
      <c r="F26" s="294">
        <v>31.761878092270699</v>
      </c>
      <c r="G26" s="294">
        <v>27.551715482254501</v>
      </c>
      <c r="H26" s="294">
        <v>27.482180860807404</v>
      </c>
      <c r="I26" s="295">
        <v>28.2114867716435</v>
      </c>
      <c r="J26" s="266">
        <f t="shared" ref="J26:J43" si="10">SUM(C26:I26)</f>
        <v>202.85029227248341</v>
      </c>
      <c r="K26" s="316">
        <v>27.641682488477699</v>
      </c>
      <c r="L26" s="277">
        <v>28.488340494387202</v>
      </c>
      <c r="M26" s="277">
        <v>28.322709264780599</v>
      </c>
      <c r="N26" s="277">
        <v>27.006143092342803</v>
      </c>
      <c r="O26" s="278">
        <v>27.660820985636299</v>
      </c>
      <c r="P26" s="266">
        <f t="shared" ref="P26:P43" si="11">SUM(K26:O26)</f>
        <v>139.1196963256246</v>
      </c>
      <c r="Q26" s="317">
        <f t="shared" si="7"/>
        <v>341.96998859810799</v>
      </c>
      <c r="R26" s="280">
        <f t="shared" si="3"/>
        <v>4.0976574062192321E-3</v>
      </c>
      <c r="S26" s="293"/>
      <c r="T26" s="253"/>
      <c r="U26" s="253"/>
      <c r="V26" s="253"/>
      <c r="W26" s="253"/>
    </row>
    <row r="27" spans="2:23" ht="20.25" customHeight="1" x14ac:dyDescent="0.3">
      <c r="B27" s="315" t="s">
        <v>32</v>
      </c>
      <c r="C27" s="294">
        <v>18.199290760822301</v>
      </c>
      <c r="D27" s="294">
        <v>16.995791278134199</v>
      </c>
      <c r="E27" s="294">
        <v>18.590357190947202</v>
      </c>
      <c r="F27" s="294">
        <v>18.715252169347202</v>
      </c>
      <c r="G27" s="294">
        <v>17.380058115592298</v>
      </c>
      <c r="H27" s="294">
        <v>17.3580061851358</v>
      </c>
      <c r="I27" s="295">
        <v>17.589295331355501</v>
      </c>
      <c r="J27" s="266">
        <f t="shared" si="10"/>
        <v>124.82805103133451</v>
      </c>
      <c r="K27" s="316">
        <v>17.408589890459503</v>
      </c>
      <c r="L27" s="277">
        <v>17.677095608591301</v>
      </c>
      <c r="M27" s="277">
        <v>17.624567985938299</v>
      </c>
      <c r="N27" s="277">
        <v>17.2070374799594</v>
      </c>
      <c r="O27" s="278">
        <v>17.4146593965501</v>
      </c>
      <c r="P27" s="266">
        <f t="shared" si="11"/>
        <v>87.331950361498599</v>
      </c>
      <c r="Q27" s="317">
        <f t="shared" si="7"/>
        <v>212.16000139283312</v>
      </c>
      <c r="R27" s="280">
        <f t="shared" si="3"/>
        <v>2.5422084685697917E-3</v>
      </c>
      <c r="S27" s="293"/>
      <c r="T27" s="253"/>
      <c r="U27" s="253"/>
      <c r="V27" s="253"/>
      <c r="W27" s="253"/>
    </row>
    <row r="28" spans="2:23" ht="20.25" customHeight="1" x14ac:dyDescent="0.3">
      <c r="B28" s="318" t="s">
        <v>33</v>
      </c>
      <c r="C28" s="274">
        <v>148.95435121887402</v>
      </c>
      <c r="D28" s="274">
        <v>134.169662419096</v>
      </c>
      <c r="E28" s="274">
        <v>153.75850406863</v>
      </c>
      <c r="F28" s="274">
        <v>155.29280750196</v>
      </c>
      <c r="G28" s="274">
        <v>138.89028398114502</v>
      </c>
      <c r="H28" s="274">
        <v>138.61938155540901</v>
      </c>
      <c r="I28" s="275">
        <v>141.46071061189201</v>
      </c>
      <c r="J28" s="266">
        <f t="shared" si="10"/>
        <v>1011.1457013570059</v>
      </c>
      <c r="K28" s="316">
        <v>93.240789667591002</v>
      </c>
      <c r="L28" s="277">
        <v>91.539314960409996</v>
      </c>
      <c r="M28" s="277">
        <v>90.508940263121005</v>
      </c>
      <c r="N28" s="277">
        <v>89.764768938912994</v>
      </c>
      <c r="O28" s="278">
        <v>88.043315352025004</v>
      </c>
      <c r="P28" s="266">
        <f t="shared" si="11"/>
        <v>453.09712918205997</v>
      </c>
      <c r="Q28" s="319">
        <f t="shared" si="7"/>
        <v>1464.2428305390658</v>
      </c>
      <c r="R28" s="280">
        <f t="shared" si="3"/>
        <v>1.7545298356906783E-2</v>
      </c>
      <c r="S28" s="293"/>
      <c r="T28" s="253"/>
      <c r="U28" s="253"/>
      <c r="V28" s="253"/>
      <c r="W28" s="253"/>
    </row>
    <row r="29" spans="2:23" ht="20.25" customHeight="1" x14ac:dyDescent="0.3">
      <c r="B29" s="318" t="s">
        <v>34</v>
      </c>
      <c r="C29" s="320">
        <f t="shared" ref="C29:O29" si="12">C30+C31</f>
        <v>40.704983193938304</v>
      </c>
      <c r="D29" s="320">
        <f t="shared" si="12"/>
        <v>36.266923353380903</v>
      </c>
      <c r="E29" s="320">
        <f t="shared" si="12"/>
        <v>42.1470911827601</v>
      </c>
      <c r="F29" s="320">
        <f t="shared" si="12"/>
        <v>42.607657552665202</v>
      </c>
      <c r="G29" s="320">
        <f t="shared" si="12"/>
        <v>37.6839569657025</v>
      </c>
      <c r="H29" s="320">
        <f t="shared" si="12"/>
        <v>37.602637622924902</v>
      </c>
      <c r="I29" s="321">
        <f t="shared" si="12"/>
        <v>38.455546233323105</v>
      </c>
      <c r="J29" s="266">
        <f t="shared" si="10"/>
        <v>275.468796104695</v>
      </c>
      <c r="K29" s="322">
        <f t="shared" si="12"/>
        <v>37.789171571973299</v>
      </c>
      <c r="L29" s="323">
        <f t="shared" si="12"/>
        <v>38.779321099864504</v>
      </c>
      <c r="M29" s="323">
        <f t="shared" si="12"/>
        <v>38.585618704500199</v>
      </c>
      <c r="N29" s="323">
        <f t="shared" si="12"/>
        <v>37.045921016675798</v>
      </c>
      <c r="O29" s="324">
        <f t="shared" si="12"/>
        <v>37.811553659892901</v>
      </c>
      <c r="P29" s="266">
        <f t="shared" si="11"/>
        <v>190.01158605290669</v>
      </c>
      <c r="Q29" s="319">
        <f t="shared" si="7"/>
        <v>465.4803821576017</v>
      </c>
      <c r="R29" s="280">
        <f t="shared" si="3"/>
        <v>5.5776214258364543E-3</v>
      </c>
      <c r="S29" s="253"/>
      <c r="T29" s="253"/>
      <c r="U29" s="253"/>
      <c r="V29" s="253"/>
      <c r="W29" s="253"/>
    </row>
    <row r="30" spans="2:23" ht="20.25" customHeight="1" x14ac:dyDescent="0.3">
      <c r="B30" s="315" t="s">
        <v>35</v>
      </c>
      <c r="C30" s="294">
        <v>27.837243550215902</v>
      </c>
      <c r="D30" s="294">
        <v>24.865611702733002</v>
      </c>
      <c r="E30" s="294">
        <v>28.802848832941002</v>
      </c>
      <c r="F30" s="294">
        <v>29.111234420756201</v>
      </c>
      <c r="G30" s="294">
        <v>25.8144277085126</v>
      </c>
      <c r="H30" s="294">
        <v>25.759977981042503</v>
      </c>
      <c r="I30" s="295">
        <v>26.331067709596802</v>
      </c>
      <c r="J30" s="266">
        <f t="shared" si="10"/>
        <v>188.52241190579801</v>
      </c>
      <c r="K30" s="316">
        <v>25.884877203572902</v>
      </c>
      <c r="L30" s="277">
        <v>26.547860573910302</v>
      </c>
      <c r="M30" s="277">
        <v>26.418161509977402</v>
      </c>
      <c r="N30" s="277">
        <v>25.387212210280701</v>
      </c>
      <c r="O30" s="278">
        <v>25.899863780515201</v>
      </c>
      <c r="P30" s="266">
        <f t="shared" si="11"/>
        <v>130.1379752782565</v>
      </c>
      <c r="Q30" s="317">
        <f t="shared" si="7"/>
        <v>318.66038718405451</v>
      </c>
      <c r="R30" s="280">
        <f t="shared" si="3"/>
        <v>3.8183499697337286E-3</v>
      </c>
      <c r="S30" s="293"/>
      <c r="T30" s="253"/>
      <c r="U30" s="253"/>
      <c r="V30" s="253"/>
      <c r="W30" s="253"/>
    </row>
    <row r="31" spans="2:23" ht="20.25" customHeight="1" x14ac:dyDescent="0.3">
      <c r="B31" s="315" t="s">
        <v>36</v>
      </c>
      <c r="C31" s="294">
        <v>12.8677396437224</v>
      </c>
      <c r="D31" s="294">
        <v>11.4013116506479</v>
      </c>
      <c r="E31" s="294">
        <v>13.344242349819099</v>
      </c>
      <c r="F31" s="294">
        <v>13.496423131908999</v>
      </c>
      <c r="G31" s="294">
        <v>11.8695292571899</v>
      </c>
      <c r="H31" s="294">
        <v>11.842659641882399</v>
      </c>
      <c r="I31" s="295">
        <v>12.1244785237263</v>
      </c>
      <c r="J31" s="266">
        <f t="shared" si="10"/>
        <v>86.946384198896979</v>
      </c>
      <c r="K31" s="316">
        <v>11.9042943684004</v>
      </c>
      <c r="L31" s="277">
        <v>12.2314605259542</v>
      </c>
      <c r="M31" s="277">
        <v>12.167457194522799</v>
      </c>
      <c r="N31" s="277">
        <v>11.658708806395099</v>
      </c>
      <c r="O31" s="278">
        <v>11.911689879377699</v>
      </c>
      <c r="P31" s="266">
        <f t="shared" si="11"/>
        <v>59.873610774650189</v>
      </c>
      <c r="Q31" s="317">
        <f t="shared" si="7"/>
        <v>146.81999497354718</v>
      </c>
      <c r="R31" s="280">
        <f t="shared" si="3"/>
        <v>1.7592714561027261E-3</v>
      </c>
      <c r="S31" s="293"/>
      <c r="T31" s="253"/>
      <c r="U31" s="253"/>
      <c r="V31" s="253"/>
      <c r="W31" s="253"/>
    </row>
    <row r="32" spans="2:23" ht="20.25" customHeight="1" x14ac:dyDescent="0.3">
      <c r="B32" s="325" t="s">
        <v>37</v>
      </c>
      <c r="C32" s="320">
        <f t="shared" ref="C32:O32" si="13">C33+C34</f>
        <v>42.9538036044802</v>
      </c>
      <c r="D32" s="320">
        <f t="shared" si="13"/>
        <v>35.513239386244997</v>
      </c>
      <c r="E32" s="320">
        <f t="shared" si="13"/>
        <v>45.371548629547497</v>
      </c>
      <c r="F32" s="320">
        <f t="shared" si="13"/>
        <v>46.143704430765396</v>
      </c>
      <c r="G32" s="320">
        <f t="shared" si="13"/>
        <v>37.888946332673299</v>
      </c>
      <c r="H32" s="320">
        <f t="shared" si="13"/>
        <v>37.752611579682402</v>
      </c>
      <c r="I32" s="321">
        <f t="shared" si="13"/>
        <v>39.182543017280096</v>
      </c>
      <c r="J32" s="266">
        <f t="shared" si="10"/>
        <v>284.80639698067387</v>
      </c>
      <c r="K32" s="322">
        <f t="shared" si="13"/>
        <v>38.0653423396626</v>
      </c>
      <c r="L32" s="323">
        <f t="shared" si="13"/>
        <v>39.725363027217199</v>
      </c>
      <c r="M32" s="323">
        <f t="shared" si="13"/>
        <v>39.4006141135673</v>
      </c>
      <c r="N32" s="323">
        <f t="shared" si="13"/>
        <v>36.819256508103493</v>
      </c>
      <c r="O32" s="326">
        <f t="shared" si="13"/>
        <v>38.102866701317794</v>
      </c>
      <c r="P32" s="266">
        <f t="shared" si="11"/>
        <v>192.11344268986838</v>
      </c>
      <c r="Q32" s="319">
        <f t="shared" si="7"/>
        <v>476.91983967054227</v>
      </c>
      <c r="R32" s="280">
        <f t="shared" si="3"/>
        <v>5.7146947929854058E-3</v>
      </c>
      <c r="S32" s="253"/>
      <c r="T32" s="253"/>
      <c r="U32" s="253"/>
      <c r="V32" s="253"/>
      <c r="W32" s="253"/>
    </row>
    <row r="33" spans="2:23" ht="20.25" customHeight="1" x14ac:dyDescent="0.3">
      <c r="B33" s="315" t="s">
        <v>38</v>
      </c>
      <c r="C33" s="294">
        <v>32.326793413624699</v>
      </c>
      <c r="D33" s="294">
        <v>27.554227806654197</v>
      </c>
      <c r="E33" s="294">
        <v>33.877596069797001</v>
      </c>
      <c r="F33" s="294">
        <v>34.3728762813546</v>
      </c>
      <c r="G33" s="294">
        <v>29.078066178612197</v>
      </c>
      <c r="H33" s="294">
        <v>28.990617628465401</v>
      </c>
      <c r="I33" s="295">
        <v>29.907811728165399</v>
      </c>
      <c r="J33" s="266">
        <f t="shared" si="10"/>
        <v>216.1079891066735</v>
      </c>
      <c r="K33" s="316">
        <v>29.1912110277758</v>
      </c>
      <c r="L33" s="277">
        <v>30.2559901773013</v>
      </c>
      <c r="M33" s="277">
        <v>30.047688031022098</v>
      </c>
      <c r="N33" s="277">
        <v>28.391940138014895</v>
      </c>
      <c r="O33" s="278">
        <v>29.215280100040495</v>
      </c>
      <c r="P33" s="266">
        <f t="shared" si="11"/>
        <v>147.10210947415459</v>
      </c>
      <c r="Q33" s="317">
        <f t="shared" si="7"/>
        <v>363.21009858082812</v>
      </c>
      <c r="R33" s="280">
        <f t="shared" si="3"/>
        <v>4.3521671494174564E-3</v>
      </c>
      <c r="S33" s="293"/>
      <c r="T33" s="253"/>
      <c r="U33" s="253"/>
      <c r="V33" s="253"/>
      <c r="W33" s="253"/>
    </row>
    <row r="34" spans="2:23" ht="20.25" customHeight="1" x14ac:dyDescent="0.3">
      <c r="B34" s="315" t="s">
        <v>39</v>
      </c>
      <c r="C34" s="294">
        <v>10.627010190855499</v>
      </c>
      <c r="D34" s="294">
        <v>7.9590115795907987</v>
      </c>
      <c r="E34" s="294">
        <v>11.493952559750499</v>
      </c>
      <c r="F34" s="294">
        <v>11.770828149410798</v>
      </c>
      <c r="G34" s="294">
        <v>8.8108801540611008</v>
      </c>
      <c r="H34" s="294">
        <v>8.7619939512169989</v>
      </c>
      <c r="I34" s="295">
        <v>9.2747312891146994</v>
      </c>
      <c r="J34" s="266">
        <f t="shared" si="10"/>
        <v>68.698407874000395</v>
      </c>
      <c r="K34" s="316">
        <v>8.874131311886801</v>
      </c>
      <c r="L34" s="277">
        <v>9.4693728499159011</v>
      </c>
      <c r="M34" s="277">
        <v>9.352926082545201</v>
      </c>
      <c r="N34" s="277">
        <v>8.4273163700885991</v>
      </c>
      <c r="O34" s="278">
        <v>8.8875866012773006</v>
      </c>
      <c r="P34" s="266">
        <f t="shared" si="11"/>
        <v>45.011333215713798</v>
      </c>
      <c r="Q34" s="317">
        <f t="shared" si="7"/>
        <v>113.70974108971419</v>
      </c>
      <c r="R34" s="280">
        <f t="shared" si="3"/>
        <v>1.3625276435679497E-3</v>
      </c>
      <c r="S34" s="293"/>
      <c r="T34" s="253"/>
      <c r="U34" s="253"/>
      <c r="V34" s="253"/>
      <c r="W34" s="253"/>
    </row>
    <row r="35" spans="2:23" ht="20.25" customHeight="1" x14ac:dyDescent="0.3">
      <c r="B35" s="318" t="s">
        <v>40</v>
      </c>
      <c r="C35" s="320">
        <f t="shared" ref="C35:O35" si="14">C36+C37</f>
        <v>27.0632664933432</v>
      </c>
      <c r="D35" s="320">
        <f t="shared" si="14"/>
        <v>23.919229960789103</v>
      </c>
      <c r="E35" s="320">
        <f t="shared" si="14"/>
        <v>28.084893141841697</v>
      </c>
      <c r="F35" s="320">
        <f t="shared" si="14"/>
        <v>28.411170286510696</v>
      </c>
      <c r="G35" s="320">
        <f t="shared" si="14"/>
        <v>24.923093271572498</v>
      </c>
      <c r="H35" s="320">
        <f t="shared" si="14"/>
        <v>24.865484543055601</v>
      </c>
      <c r="I35" s="321">
        <f t="shared" si="14"/>
        <v>25.469707092178503</v>
      </c>
      <c r="J35" s="266">
        <f t="shared" si="10"/>
        <v>182.7368447892913</v>
      </c>
      <c r="K35" s="322">
        <f t="shared" si="14"/>
        <v>24.997630023612203</v>
      </c>
      <c r="L35" s="323">
        <f t="shared" si="14"/>
        <v>25.699077593095801</v>
      </c>
      <c r="M35" s="323">
        <f t="shared" si="14"/>
        <v>25.561853799512996</v>
      </c>
      <c r="N35" s="323">
        <f t="shared" si="14"/>
        <v>24.471092080761299</v>
      </c>
      <c r="O35" s="326">
        <f t="shared" si="14"/>
        <v>25.013486074369201</v>
      </c>
      <c r="P35" s="266">
        <f t="shared" si="11"/>
        <v>125.74313957135149</v>
      </c>
      <c r="Q35" s="319">
        <f t="shared" si="7"/>
        <v>308.47998436064279</v>
      </c>
      <c r="R35" s="280">
        <f t="shared" si="3"/>
        <v>3.6963632328312871E-3</v>
      </c>
      <c r="S35" s="293"/>
      <c r="T35" s="253"/>
      <c r="U35" s="253"/>
      <c r="V35" s="253"/>
      <c r="W35" s="253"/>
    </row>
    <row r="36" spans="2:23" ht="20.25" customHeight="1" x14ac:dyDescent="0.3">
      <c r="B36" s="315" t="s">
        <v>41</v>
      </c>
      <c r="C36" s="294">
        <v>16.807442318892498</v>
      </c>
      <c r="D36" s="294">
        <v>14.953502888982801</v>
      </c>
      <c r="E36" s="294">
        <v>17.409863412504698</v>
      </c>
      <c r="F36" s="294">
        <v>17.602258779834898</v>
      </c>
      <c r="G36" s="294">
        <v>15.545449501189999</v>
      </c>
      <c r="H36" s="294">
        <v>15.511479446389899</v>
      </c>
      <c r="I36" s="295">
        <v>15.8677704743919</v>
      </c>
      <c r="J36" s="266">
        <f t="shared" si="10"/>
        <v>113.69776682218671</v>
      </c>
      <c r="K36" s="316">
        <v>15.5894014788954</v>
      </c>
      <c r="L36" s="277">
        <v>16.003023042644699</v>
      </c>
      <c r="M36" s="277">
        <v>15.922106488714498</v>
      </c>
      <c r="N36" s="277">
        <v>15.278918619206198</v>
      </c>
      <c r="O36" s="278">
        <v>15.5987512931856</v>
      </c>
      <c r="P36" s="266">
        <f t="shared" si="11"/>
        <v>78.392200922646396</v>
      </c>
      <c r="Q36" s="317">
        <f t="shared" si="7"/>
        <v>192.0899677448331</v>
      </c>
      <c r="R36" s="280">
        <f t="shared" si="3"/>
        <v>2.3017191719565525E-3</v>
      </c>
      <c r="S36" s="293"/>
      <c r="T36" s="253"/>
      <c r="U36" s="253"/>
      <c r="V36" s="253"/>
      <c r="W36" s="253"/>
    </row>
    <row r="37" spans="2:23" ht="20.25" customHeight="1" x14ac:dyDescent="0.3">
      <c r="B37" s="315" t="s">
        <v>42</v>
      </c>
      <c r="C37" s="294">
        <v>10.2558241744507</v>
      </c>
      <c r="D37" s="294">
        <v>8.9657270718063007</v>
      </c>
      <c r="E37" s="294">
        <v>10.675029729337</v>
      </c>
      <c r="F37" s="294">
        <v>10.8089115066758</v>
      </c>
      <c r="G37" s="294">
        <v>9.3776437703825</v>
      </c>
      <c r="H37" s="294">
        <v>9.3540050966657002</v>
      </c>
      <c r="I37" s="295">
        <v>9.6019366177866008</v>
      </c>
      <c r="J37" s="266">
        <f t="shared" si="10"/>
        <v>69.039077967104603</v>
      </c>
      <c r="K37" s="316">
        <v>9.4082285447168008</v>
      </c>
      <c r="L37" s="277">
        <v>9.6960545504511</v>
      </c>
      <c r="M37" s="277">
        <v>9.6397473107984997</v>
      </c>
      <c r="N37" s="277">
        <v>9.1921734615551003</v>
      </c>
      <c r="O37" s="278">
        <v>9.4147347811836006</v>
      </c>
      <c r="P37" s="266">
        <f t="shared" si="11"/>
        <v>47.350938648705096</v>
      </c>
      <c r="Q37" s="317">
        <f t="shared" si="7"/>
        <v>116.3900166158097</v>
      </c>
      <c r="R37" s="280">
        <f t="shared" si="3"/>
        <v>1.3946440608747349E-3</v>
      </c>
      <c r="S37" s="293"/>
      <c r="T37" s="253"/>
      <c r="U37" s="253"/>
      <c r="V37" s="253"/>
      <c r="W37" s="253"/>
    </row>
    <row r="38" spans="2:23" ht="20.25" customHeight="1" x14ac:dyDescent="0.3">
      <c r="B38" s="318" t="s">
        <v>43</v>
      </c>
      <c r="C38" s="274">
        <v>15.198535665638941</v>
      </c>
      <c r="D38" s="274">
        <v>14.340561159717371</v>
      </c>
      <c r="E38" s="274">
        <v>15.477326834222991</v>
      </c>
      <c r="F38" s="274">
        <v>15.566364435756061</v>
      </c>
      <c r="G38" s="274">
        <v>14.61450490024459</v>
      </c>
      <c r="H38" s="274">
        <v>14.59878408406634</v>
      </c>
      <c r="I38" s="275">
        <v>14.763670063501589</v>
      </c>
      <c r="J38" s="266">
        <f t="shared" si="10"/>
        <v>104.55974714314787</v>
      </c>
      <c r="K38" s="316">
        <v>14.634845196021111</v>
      </c>
      <c r="L38" s="277">
        <v>14.826262861059689</v>
      </c>
      <c r="M38" s="277">
        <v>14.788815930885441</v>
      </c>
      <c r="N38" s="277">
        <v>14.49115852867838</v>
      </c>
      <c r="O38" s="278">
        <v>14.639172145524791</v>
      </c>
      <c r="P38" s="266">
        <f t="shared" si="11"/>
        <v>73.38025466216942</v>
      </c>
      <c r="Q38" s="319">
        <f t="shared" si="7"/>
        <v>177.94000180531731</v>
      </c>
      <c r="R38" s="280">
        <f t="shared" si="3"/>
        <v>2.1321671215924244E-3</v>
      </c>
      <c r="S38" s="293"/>
      <c r="T38" s="253"/>
      <c r="U38" s="253"/>
      <c r="V38" s="253"/>
      <c r="W38" s="253"/>
    </row>
    <row r="39" spans="2:23" ht="20.25" customHeight="1" x14ac:dyDescent="0.3">
      <c r="B39" s="325" t="s">
        <v>44</v>
      </c>
      <c r="C39" s="274">
        <v>14.424538847460198</v>
      </c>
      <c r="D39" s="274">
        <v>12.5599451200736</v>
      </c>
      <c r="E39" s="274">
        <v>15.030421960075699</v>
      </c>
      <c r="F39" s="274">
        <v>15.223922993235</v>
      </c>
      <c r="G39" s="274">
        <v>13.155293556091799</v>
      </c>
      <c r="H39" s="274">
        <v>13.121128280744998</v>
      </c>
      <c r="I39" s="275">
        <v>13.479466857086098</v>
      </c>
      <c r="J39" s="266">
        <f t="shared" si="10"/>
        <v>96.994717614767396</v>
      </c>
      <c r="K39" s="316">
        <v>13.199498118880499</v>
      </c>
      <c r="L39" s="277">
        <v>13.6154967005149</v>
      </c>
      <c r="M39" s="277">
        <v>13.5341151319125</v>
      </c>
      <c r="N39" s="277">
        <v>12.887230963169898</v>
      </c>
      <c r="O39" s="278">
        <v>13.208901665078599</v>
      </c>
      <c r="P39" s="266">
        <f t="shared" si="11"/>
        <v>66.445242579556393</v>
      </c>
      <c r="Q39" s="319">
        <f t="shared" si="7"/>
        <v>163.43996019432379</v>
      </c>
      <c r="R39" s="280">
        <f t="shared" si="3"/>
        <v>1.9584202874291428E-3</v>
      </c>
      <c r="S39" s="293"/>
      <c r="T39" s="253"/>
      <c r="U39" s="253"/>
      <c r="V39" s="253"/>
      <c r="W39" s="253"/>
    </row>
    <row r="40" spans="2:23" ht="20.25" customHeight="1" x14ac:dyDescent="0.3">
      <c r="B40" s="327" t="s">
        <v>45</v>
      </c>
      <c r="C40" s="274">
        <v>12.9409096556907</v>
      </c>
      <c r="D40" s="274">
        <v>11.208332437481701</v>
      </c>
      <c r="E40" s="274">
        <v>13.503895180310401</v>
      </c>
      <c r="F40" s="274">
        <v>13.683696000632501</v>
      </c>
      <c r="G40" s="274">
        <v>11.761529159100601</v>
      </c>
      <c r="H40" s="274">
        <v>11.729782845225198</v>
      </c>
      <c r="I40" s="275">
        <v>12.0627504213011</v>
      </c>
      <c r="J40" s="266">
        <f t="shared" si="10"/>
        <v>86.890895699742202</v>
      </c>
      <c r="K40" s="316">
        <v>11.802603961243101</v>
      </c>
      <c r="L40" s="277">
        <v>12.189149113015901</v>
      </c>
      <c r="M40" s="277">
        <v>12.113529502335101</v>
      </c>
      <c r="N40" s="277">
        <v>11.512445868339199</v>
      </c>
      <c r="O40" s="278">
        <v>11.8113417198626</v>
      </c>
      <c r="P40" s="266">
        <f t="shared" si="11"/>
        <v>59.429070164795903</v>
      </c>
      <c r="Q40" s="319">
        <f t="shared" si="7"/>
        <v>146.31996586453812</v>
      </c>
      <c r="R40" s="280">
        <f t="shared" si="3"/>
        <v>1.7532798543535323E-3</v>
      </c>
      <c r="S40" s="293"/>
      <c r="T40" s="253"/>
      <c r="U40" s="253"/>
      <c r="V40" s="253"/>
      <c r="W40" s="253"/>
    </row>
    <row r="41" spans="2:23" ht="20.25" customHeight="1" x14ac:dyDescent="0.3">
      <c r="B41" s="318" t="s">
        <v>46</v>
      </c>
      <c r="C41" s="274">
        <f t="shared" ref="C41:O41" si="15">C42+C43</f>
        <v>22.612188489466448</v>
      </c>
      <c r="D41" s="274">
        <f t="shared" si="15"/>
        <v>20.165924191326987</v>
      </c>
      <c r="E41" s="274">
        <f t="shared" si="15"/>
        <v>23.407080269626185</v>
      </c>
      <c r="F41" s="274">
        <f t="shared" si="15"/>
        <v>23.660945045699421</v>
      </c>
      <c r="G41" s="274">
        <f t="shared" si="15"/>
        <v>20.946994942876557</v>
      </c>
      <c r="H41" s="274">
        <f t="shared" si="15"/>
        <v>20.90217161643848</v>
      </c>
      <c r="I41" s="275">
        <f t="shared" si="15"/>
        <v>21.372295940614038</v>
      </c>
      <c r="J41" s="266">
        <f t="shared" si="10"/>
        <v>153.0676004960481</v>
      </c>
      <c r="K41" s="316">
        <f t="shared" si="15"/>
        <v>21.004989369317236</v>
      </c>
      <c r="L41" s="277">
        <f t="shared" si="15"/>
        <v>21.550761063913448</v>
      </c>
      <c r="M41" s="277">
        <f t="shared" si="15"/>
        <v>21.443992054195867</v>
      </c>
      <c r="N41" s="277">
        <f t="shared" si="15"/>
        <v>20.595308706298532</v>
      </c>
      <c r="O41" s="278">
        <f t="shared" si="15"/>
        <v>21.017326404995647</v>
      </c>
      <c r="P41" s="266">
        <f t="shared" si="11"/>
        <v>105.61237759872073</v>
      </c>
      <c r="Q41" s="319">
        <f t="shared" si="7"/>
        <v>258.67997809476884</v>
      </c>
      <c r="R41" s="280">
        <f t="shared" si="3"/>
        <v>3.0996343638984548E-3</v>
      </c>
      <c r="S41" s="253"/>
      <c r="T41" s="253"/>
      <c r="U41" s="253"/>
      <c r="V41" s="253"/>
      <c r="W41" s="253"/>
    </row>
    <row r="42" spans="2:23" ht="20.25" customHeight="1" x14ac:dyDescent="0.3">
      <c r="B42" s="315" t="s">
        <v>47</v>
      </c>
      <c r="C42" s="294">
        <v>18.705008964379001</v>
      </c>
      <c r="D42" s="294">
        <v>16.323675761036</v>
      </c>
      <c r="E42" s="294">
        <v>19.4788019640146</v>
      </c>
      <c r="F42" s="294">
        <v>19.725928417555302</v>
      </c>
      <c r="G42" s="294">
        <v>17.0840145830675</v>
      </c>
      <c r="H42" s="294">
        <v>17.040381000378801</v>
      </c>
      <c r="I42" s="295">
        <v>17.498026833541601</v>
      </c>
      <c r="J42" s="266">
        <f t="shared" si="10"/>
        <v>125.85583752397281</v>
      </c>
      <c r="K42" s="316">
        <v>17.140469665781602</v>
      </c>
      <c r="L42" s="277">
        <v>17.671754964257001</v>
      </c>
      <c r="M42" s="277">
        <v>17.567819920066601</v>
      </c>
      <c r="N42" s="277">
        <v>16.7416631401106</v>
      </c>
      <c r="O42" s="278">
        <v>17.1524792400186</v>
      </c>
      <c r="P42" s="266">
        <f t="shared" si="11"/>
        <v>86.274186930234407</v>
      </c>
      <c r="Q42" s="317">
        <f t="shared" si="7"/>
        <v>212.13002445420722</v>
      </c>
      <c r="R42" s="280">
        <f t="shared" si="3"/>
        <v>2.5418492697258238E-3</v>
      </c>
      <c r="S42" s="293"/>
      <c r="T42" s="253"/>
      <c r="U42" s="253"/>
      <c r="V42" s="253"/>
      <c r="W42" s="253"/>
    </row>
    <row r="43" spans="2:23" ht="20.25" customHeight="1" thickBot="1" x14ac:dyDescent="0.35">
      <c r="B43" s="328" t="s">
        <v>48</v>
      </c>
      <c r="C43" s="329">
        <v>3.9071795250874448</v>
      </c>
      <c r="D43" s="329">
        <v>3.8422484302909852</v>
      </c>
      <c r="E43" s="329">
        <v>3.9282783056115842</v>
      </c>
      <c r="F43" s="329">
        <v>3.9350166281441208</v>
      </c>
      <c r="G43" s="329">
        <v>3.862980359809058</v>
      </c>
      <c r="H43" s="329">
        <v>3.861790616059678</v>
      </c>
      <c r="I43" s="330">
        <v>3.8742691070724362</v>
      </c>
      <c r="J43" s="331">
        <f t="shared" si="10"/>
        <v>27.211762972075309</v>
      </c>
      <c r="K43" s="301">
        <v>3.8645197035356351</v>
      </c>
      <c r="L43" s="302">
        <v>3.8790060996564462</v>
      </c>
      <c r="M43" s="302">
        <v>3.8761721341292672</v>
      </c>
      <c r="N43" s="302">
        <v>3.8536455661879332</v>
      </c>
      <c r="O43" s="303">
        <v>3.8648471649770459</v>
      </c>
      <c r="P43" s="331">
        <f t="shared" si="11"/>
        <v>19.338190668486327</v>
      </c>
      <c r="Q43" s="332">
        <f t="shared" si="7"/>
        <v>46.54995364056164</v>
      </c>
      <c r="R43" s="304">
        <f t="shared" si="3"/>
        <v>5.5778509417263127E-4</v>
      </c>
      <c r="S43" s="293"/>
      <c r="T43" s="253"/>
      <c r="U43" s="253"/>
      <c r="V43" s="253"/>
      <c r="W43" s="253"/>
    </row>
    <row r="44" spans="2:23" ht="20.25" customHeight="1" thickTop="1" thickBot="1" x14ac:dyDescent="0.35">
      <c r="B44" s="333" t="s">
        <v>49</v>
      </c>
      <c r="C44" s="334">
        <f>C23+C24</f>
        <v>7990.488669151564</v>
      </c>
      <c r="D44" s="334">
        <f>D23+D24</f>
        <v>6292.7335006223248</v>
      </c>
      <c r="E44" s="334">
        <f t="shared" ref="E44:O44" si="16">E23+E24</f>
        <v>8345.5665036735791</v>
      </c>
      <c r="F44" s="334">
        <f t="shared" si="16"/>
        <v>7776.2467710877545</v>
      </c>
      <c r="G44" s="334">
        <f t="shared" si="16"/>
        <v>8336.6806275515555</v>
      </c>
      <c r="H44" s="334">
        <f t="shared" si="16"/>
        <v>7309.0150592927221</v>
      </c>
      <c r="I44" s="335">
        <f t="shared" si="16"/>
        <v>7335.5406251406912</v>
      </c>
      <c r="J44" s="336">
        <f>SUM(C44:I44)</f>
        <v>53386.271756520189</v>
      </c>
      <c r="K44" s="337">
        <f t="shared" si="16"/>
        <v>6524.5525212225793</v>
      </c>
      <c r="L44" s="338">
        <f t="shared" si="16"/>
        <v>6148.6387389776792</v>
      </c>
      <c r="M44" s="338">
        <f t="shared" si="16"/>
        <v>6258.8890974794031</v>
      </c>
      <c r="N44" s="338">
        <f t="shared" si="16"/>
        <v>5644.7645481338877</v>
      </c>
      <c r="O44" s="339">
        <f t="shared" si="16"/>
        <v>5491.8808391855364</v>
      </c>
      <c r="P44" s="336">
        <f>SUM(K44:O44)</f>
        <v>30068.725744999087</v>
      </c>
      <c r="Q44" s="340">
        <f t="shared" si="7"/>
        <v>83454.997501519276</v>
      </c>
      <c r="R44" s="341">
        <f t="shared" si="3"/>
        <v>1</v>
      </c>
      <c r="S44" s="253"/>
      <c r="T44" s="253"/>
      <c r="U44" s="253"/>
      <c r="V44" s="253"/>
      <c r="W44" s="253"/>
    </row>
    <row r="45" spans="2:23" s="44" customFormat="1" ht="9" customHeight="1" thickTop="1" thickBot="1" x14ac:dyDescent="0.35">
      <c r="B45" s="506"/>
      <c r="C45" s="507"/>
      <c r="D45" s="507"/>
      <c r="E45" s="507"/>
      <c r="F45" s="507"/>
      <c r="G45" s="507"/>
      <c r="H45" s="507"/>
      <c r="I45" s="507"/>
      <c r="J45" s="507"/>
      <c r="K45" s="507"/>
      <c r="L45" s="507"/>
      <c r="M45" s="507"/>
      <c r="N45" s="507"/>
      <c r="O45" s="507"/>
      <c r="P45" s="507"/>
      <c r="Q45" s="507"/>
      <c r="R45" s="508"/>
    </row>
    <row r="46" spans="2:23" ht="15.6" thickTop="1" thickBot="1" x14ac:dyDescent="0.35">
      <c r="B46" s="509" t="s">
        <v>50</v>
      </c>
      <c r="C46" s="510"/>
      <c r="D46" s="510"/>
      <c r="E46" s="510"/>
      <c r="F46" s="510"/>
      <c r="G46" s="510"/>
      <c r="H46" s="510"/>
      <c r="I46" s="510"/>
      <c r="J46" s="510"/>
      <c r="K46" s="510"/>
      <c r="L46" s="510"/>
      <c r="M46" s="510"/>
      <c r="N46" s="510"/>
      <c r="O46" s="510"/>
      <c r="P46" s="510"/>
      <c r="Q46" s="510"/>
      <c r="R46" s="511"/>
    </row>
    <row r="47" spans="2:23" ht="15" thickTop="1" x14ac:dyDescent="0.3"/>
    <row r="48" spans="2:23" x14ac:dyDescent="0.3">
      <c r="J48" s="3"/>
      <c r="P48" s="3"/>
      <c r="Q48" s="342"/>
      <c r="R48" s="250"/>
      <c r="U48" s="6"/>
      <c r="V48" s="6"/>
    </row>
    <row r="49" spans="13:18" x14ac:dyDescent="0.3">
      <c r="M49" s="3"/>
      <c r="Q49" s="165"/>
      <c r="R49" s="250"/>
    </row>
    <row r="50" spans="13:18" x14ac:dyDescent="0.3">
      <c r="Q50" s="251"/>
      <c r="R50" s="252"/>
    </row>
  </sheetData>
  <mergeCells count="15">
    <mergeCell ref="B45:R45"/>
    <mergeCell ref="B46:R46"/>
    <mergeCell ref="W10:W18"/>
    <mergeCell ref="R7:R8"/>
    <mergeCell ref="T9:W9"/>
    <mergeCell ref="C7:I7"/>
    <mergeCell ref="J7:J8"/>
    <mergeCell ref="K7:O7"/>
    <mergeCell ref="P7:P8"/>
    <mergeCell ref="Q7:Q8"/>
    <mergeCell ref="B1:R2"/>
    <mergeCell ref="B3:R3"/>
    <mergeCell ref="B4:R4"/>
    <mergeCell ref="B5:R5"/>
    <mergeCell ref="B6:R6"/>
  </mergeCells>
  <printOptions horizontalCentered="1" verticalCentered="1"/>
  <pageMargins left="0" right="0" top="0" bottom="0" header="0" footer="0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76"/>
  <sheetViews>
    <sheetView topLeftCell="B52" zoomScale="81" zoomScaleNormal="81" workbookViewId="0">
      <selection activeCell="L74" sqref="L74"/>
    </sheetView>
  </sheetViews>
  <sheetFormatPr defaultColWidth="11.44140625" defaultRowHeight="14.4" x14ac:dyDescent="0.3"/>
  <cols>
    <col min="1" max="1" width="1.44140625" style="49" hidden="1" customWidth="1"/>
    <col min="2" max="2" width="0.21875" style="49" customWidth="1"/>
    <col min="3" max="3" width="6.77734375" style="49" customWidth="1"/>
    <col min="4" max="4" width="49.21875" style="49" bestFit="1" customWidth="1"/>
    <col min="5" max="11" width="12.5546875" style="49" customWidth="1"/>
    <col min="12" max="12" width="22.33203125" style="49" customWidth="1"/>
    <col min="13" max="18" width="12.5546875" style="49" customWidth="1"/>
    <col min="19" max="19" width="17.21875" style="49" customWidth="1"/>
    <col min="20" max="20" width="11.44140625" style="49"/>
    <col min="21" max="21" width="13.77734375" style="49" bestFit="1" customWidth="1"/>
    <col min="22" max="16384" width="11.44140625" style="49"/>
  </cols>
  <sheetData>
    <row r="1" spans="2:27" ht="20.25" customHeight="1" thickTop="1" x14ac:dyDescent="0.3">
      <c r="C1" s="476" t="s">
        <v>0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8"/>
    </row>
    <row r="2" spans="2:27" ht="20.25" customHeight="1" x14ac:dyDescent="0.3">
      <c r="C2" s="479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1"/>
    </row>
    <row r="3" spans="2:27" ht="20.25" customHeight="1" x14ac:dyDescent="0.3">
      <c r="C3" s="479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1"/>
    </row>
    <row r="4" spans="2:27" ht="20.25" customHeight="1" x14ac:dyDescent="0.3">
      <c r="C4" s="479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1"/>
    </row>
    <row r="5" spans="2:27" ht="20.25" customHeight="1" x14ac:dyDescent="0.3">
      <c r="C5" s="479"/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0"/>
      <c r="O5" s="480"/>
      <c r="P5" s="480"/>
      <c r="Q5" s="480"/>
      <c r="R5" s="480"/>
      <c r="S5" s="481"/>
    </row>
    <row r="6" spans="2:27" ht="20.25" customHeight="1" x14ac:dyDescent="0.3">
      <c r="C6" s="482" t="s">
        <v>51</v>
      </c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484"/>
    </row>
    <row r="7" spans="2:27" ht="20.25" customHeight="1" x14ac:dyDescent="0.3">
      <c r="C7" s="482" t="s">
        <v>52</v>
      </c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4"/>
      <c r="U7" s="155">
        <f>U11+U15+U18+U27</f>
        <v>11093.307250649341</v>
      </c>
    </row>
    <row r="8" spans="2:27" ht="20.25" customHeight="1" thickBot="1" x14ac:dyDescent="0.35">
      <c r="C8" s="485" t="s">
        <v>53</v>
      </c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6"/>
      <c r="S8" s="487"/>
    </row>
    <row r="9" spans="2:27" ht="20.25" customHeight="1" thickTop="1" thickBot="1" x14ac:dyDescent="0.35">
      <c r="C9" s="344"/>
      <c r="D9" s="345"/>
      <c r="E9" s="533" t="s">
        <v>109</v>
      </c>
      <c r="F9" s="534"/>
      <c r="G9" s="534"/>
      <c r="H9" s="534"/>
      <c r="I9" s="534"/>
      <c r="J9" s="534"/>
      <c r="K9" s="534"/>
      <c r="L9" s="535"/>
      <c r="M9" s="536" t="s">
        <v>118</v>
      </c>
      <c r="N9" s="537"/>
      <c r="O9" s="537"/>
      <c r="P9" s="537"/>
      <c r="Q9" s="537"/>
      <c r="R9" s="537"/>
      <c r="S9" s="538" t="s">
        <v>5</v>
      </c>
    </row>
    <row r="10" spans="2:27" ht="20.25" customHeight="1" thickTop="1" thickBot="1" x14ac:dyDescent="0.35">
      <c r="C10" s="50" t="s">
        <v>54</v>
      </c>
      <c r="D10" s="51" t="s">
        <v>55</v>
      </c>
      <c r="E10" s="347" t="s">
        <v>56</v>
      </c>
      <c r="F10" s="346" t="s">
        <v>57</v>
      </c>
      <c r="G10" s="348" t="s">
        <v>58</v>
      </c>
      <c r="H10" s="346" t="s">
        <v>59</v>
      </c>
      <c r="I10" s="346" t="s">
        <v>60</v>
      </c>
      <c r="J10" s="346" t="s">
        <v>8</v>
      </c>
      <c r="K10" s="346" t="s">
        <v>9</v>
      </c>
      <c r="L10" s="348" t="s">
        <v>111</v>
      </c>
      <c r="M10" s="437" t="s">
        <v>10</v>
      </c>
      <c r="N10" s="438" t="s">
        <v>11</v>
      </c>
      <c r="O10" s="438" t="s">
        <v>12</v>
      </c>
      <c r="P10" s="438" t="s">
        <v>13</v>
      </c>
      <c r="Q10" s="438" t="s">
        <v>61</v>
      </c>
      <c r="R10" s="439" t="s">
        <v>112</v>
      </c>
      <c r="S10" s="539"/>
      <c r="U10" s="439"/>
    </row>
    <row r="11" spans="2:27" ht="20.25" customHeight="1" thickTop="1" x14ac:dyDescent="0.3">
      <c r="C11" s="466">
        <v>10</v>
      </c>
      <c r="D11" s="56" t="s">
        <v>62</v>
      </c>
      <c r="E11" s="349">
        <f>E12+E13</f>
        <v>4917.286503357579</v>
      </c>
      <c r="F11" s="349">
        <f t="shared" ref="F11:Q11" si="0">F12+F13</f>
        <v>3300.3615269144211</v>
      </c>
      <c r="G11" s="350">
        <f t="shared" si="0"/>
        <v>5419.0326373428043</v>
      </c>
      <c r="H11" s="349">
        <f t="shared" si="0"/>
        <v>4362.6366235916339</v>
      </c>
      <c r="I11" s="351">
        <f t="shared" si="0"/>
        <v>5075.0981460113526</v>
      </c>
      <c r="J11" s="351">
        <f t="shared" si="0"/>
        <v>3983.4205534936791</v>
      </c>
      <c r="K11" s="349">
        <f t="shared" si="0"/>
        <v>3786.6268549341839</v>
      </c>
      <c r="L11" s="349">
        <f t="shared" si="0"/>
        <v>30844.462845645648</v>
      </c>
      <c r="M11" s="394">
        <f t="shared" si="0"/>
        <v>3442.8723931379504</v>
      </c>
      <c r="N11" s="395">
        <f t="shared" si="0"/>
        <v>2742.8968854825744</v>
      </c>
      <c r="O11" s="396">
        <f t="shared" si="0"/>
        <v>2997.0309720214245</v>
      </c>
      <c r="P11" s="396">
        <f t="shared" si="0"/>
        <v>2903.4301395658549</v>
      </c>
      <c r="Q11" s="394">
        <f t="shared" si="0"/>
        <v>2449.949253579488</v>
      </c>
      <c r="R11" s="395">
        <f>SUM(M11:Q11)</f>
        <v>14536.179643787291</v>
      </c>
      <c r="S11" s="440">
        <f>L11+R11</f>
        <v>45380.642489432939</v>
      </c>
      <c r="T11" s="66"/>
      <c r="U11" s="395">
        <f>SUM(N11:Q11)</f>
        <v>11093.307250649341</v>
      </c>
      <c r="W11" s="155"/>
      <c r="X11" s="155"/>
      <c r="Y11" s="155"/>
      <c r="Z11" s="155"/>
      <c r="AA11" s="155"/>
    </row>
    <row r="12" spans="2:27" ht="20.25" customHeight="1" x14ac:dyDescent="0.3">
      <c r="B12" s="49" t="s">
        <v>63</v>
      </c>
      <c r="C12" s="467"/>
      <c r="D12" s="67" t="s">
        <v>64</v>
      </c>
      <c r="E12" s="352">
        <v>1743.2807853330157</v>
      </c>
      <c r="F12" s="353">
        <v>1472.6429908485768</v>
      </c>
      <c r="G12" s="353">
        <v>1897.1398441585409</v>
      </c>
      <c r="H12" s="353">
        <v>1742.7622049733209</v>
      </c>
      <c r="I12" s="353">
        <v>1466.2766687098938</v>
      </c>
      <c r="J12" s="353">
        <v>1436.3534535436886</v>
      </c>
      <c r="K12" s="354">
        <v>1409.1623906552904</v>
      </c>
      <c r="L12" s="390">
        <f>SUM(E12:K12)</f>
        <v>11167.618338222326</v>
      </c>
      <c r="M12" s="397">
        <v>1232.4416801123912</v>
      </c>
      <c r="N12" s="398">
        <v>1467.7019786663359</v>
      </c>
      <c r="O12" s="399">
        <v>1197.6829592396291</v>
      </c>
      <c r="P12" s="400">
        <v>844.81730464625321</v>
      </c>
      <c r="Q12" s="401">
        <v>1313.2526765710252</v>
      </c>
      <c r="R12" s="402">
        <f>SUM(M12:Q12)</f>
        <v>6055.8965992356352</v>
      </c>
      <c r="S12" s="441">
        <f>L12+R12</f>
        <v>17223.514937457963</v>
      </c>
      <c r="T12" s="66"/>
      <c r="U12" s="402"/>
      <c r="W12" s="155"/>
      <c r="X12" s="155"/>
      <c r="Y12" s="155"/>
      <c r="Z12" s="155"/>
      <c r="AA12" s="155"/>
    </row>
    <row r="13" spans="2:27" ht="20.25" customHeight="1" thickBot="1" x14ac:dyDescent="0.35">
      <c r="C13" s="468"/>
      <c r="D13" s="73" t="s">
        <v>65</v>
      </c>
      <c r="E13" s="355">
        <v>3174.0057180245631</v>
      </c>
      <c r="F13" s="356">
        <v>1827.7185360658445</v>
      </c>
      <c r="G13" s="356">
        <v>3521.8927931842636</v>
      </c>
      <c r="H13" s="356">
        <v>2619.8744186183126</v>
      </c>
      <c r="I13" s="356">
        <v>3608.8214773014588</v>
      </c>
      <c r="J13" s="356">
        <v>2547.0670999499903</v>
      </c>
      <c r="K13" s="357">
        <v>2377.4644642788935</v>
      </c>
      <c r="L13" s="390">
        <f>SUM(E13:K13)</f>
        <v>19676.844507423324</v>
      </c>
      <c r="M13" s="397">
        <v>2210.4307130255593</v>
      </c>
      <c r="N13" s="398">
        <v>1275.1949068162387</v>
      </c>
      <c r="O13" s="399">
        <v>1799.3480127817957</v>
      </c>
      <c r="P13" s="400">
        <v>2058.6128349196015</v>
      </c>
      <c r="Q13" s="401">
        <v>1136.6965770084628</v>
      </c>
      <c r="R13" s="403">
        <f>SUM(M13:Q13)</f>
        <v>8480.2830445516574</v>
      </c>
      <c r="S13" s="441">
        <f>L13+R13</f>
        <v>28157.127551974983</v>
      </c>
      <c r="T13" s="66"/>
      <c r="U13" s="403"/>
      <c r="W13" s="155"/>
      <c r="X13" s="155"/>
      <c r="Y13" s="155"/>
      <c r="Z13" s="155"/>
      <c r="AA13" s="155"/>
    </row>
    <row r="14" spans="2:27" ht="20.25" customHeight="1" thickTop="1" thickBot="1" x14ac:dyDescent="0.35">
      <c r="C14" s="458"/>
      <c r="D14" s="459"/>
      <c r="E14" s="459"/>
      <c r="F14" s="459"/>
      <c r="G14" s="459"/>
      <c r="H14" s="459"/>
      <c r="I14" s="459"/>
      <c r="J14" s="459"/>
      <c r="K14" s="459"/>
      <c r="L14" s="459"/>
      <c r="M14" s="459"/>
      <c r="N14" s="459"/>
      <c r="O14" s="459"/>
      <c r="P14" s="459"/>
      <c r="Q14" s="459"/>
      <c r="R14" s="459"/>
      <c r="S14" s="460"/>
      <c r="T14" s="66"/>
      <c r="U14" s="403"/>
      <c r="W14" s="155"/>
      <c r="X14" s="155"/>
      <c r="Y14" s="155"/>
      <c r="Z14" s="155"/>
      <c r="AA14" s="155"/>
    </row>
    <row r="15" spans="2:27" ht="20.25" customHeight="1" thickTop="1" x14ac:dyDescent="0.3">
      <c r="C15" s="466">
        <v>11</v>
      </c>
      <c r="D15" s="75" t="s">
        <v>66</v>
      </c>
      <c r="E15" s="227">
        <f>E16</f>
        <v>71.769172973418108</v>
      </c>
      <c r="F15" s="227">
        <f t="shared" ref="F15:Q15" si="1">F16</f>
        <v>79.381261902630726</v>
      </c>
      <c r="G15" s="358">
        <f t="shared" si="1"/>
        <v>102.14493472764404</v>
      </c>
      <c r="H15" s="227">
        <f t="shared" si="1"/>
        <v>144.93042896780219</v>
      </c>
      <c r="I15" s="359">
        <f t="shared" si="1"/>
        <v>131.12387101725176</v>
      </c>
      <c r="J15" s="359">
        <f t="shared" si="1"/>
        <v>141.91393789596125</v>
      </c>
      <c r="K15" s="359">
        <f t="shared" si="1"/>
        <v>138.69046949961844</v>
      </c>
      <c r="L15" s="349">
        <f t="shared" ref="L15" si="2">L16+L17</f>
        <v>809.95407698432643</v>
      </c>
      <c r="M15" s="404">
        <f t="shared" si="1"/>
        <v>123.84997887516532</v>
      </c>
      <c r="N15" s="405">
        <f t="shared" si="1"/>
        <v>118.42550006651965</v>
      </c>
      <c r="O15" s="404">
        <f t="shared" si="1"/>
        <v>108.38452834276191</v>
      </c>
      <c r="P15" s="404">
        <f t="shared" si="1"/>
        <v>102.89233845045688</v>
      </c>
      <c r="Q15" s="396">
        <f t="shared" si="1"/>
        <v>94.10333809000042</v>
      </c>
      <c r="R15" s="406">
        <f>SUM(M15:Q15)</f>
        <v>547.65568382490414</v>
      </c>
      <c r="S15" s="442">
        <f>S16</f>
        <v>1357.6097608092305</v>
      </c>
      <c r="T15" s="66"/>
      <c r="U15" s="395"/>
      <c r="W15" s="155"/>
      <c r="X15" s="155"/>
      <c r="Y15" s="155"/>
      <c r="Z15" s="155"/>
      <c r="AA15" s="155"/>
    </row>
    <row r="16" spans="2:27" ht="20.25" customHeight="1" thickBot="1" x14ac:dyDescent="0.35">
      <c r="C16" s="468"/>
      <c r="D16" s="73" t="s">
        <v>67</v>
      </c>
      <c r="E16" s="226">
        <v>71.769172973418108</v>
      </c>
      <c r="F16" s="226">
        <v>79.381261902630726</v>
      </c>
      <c r="G16" s="360">
        <v>102.14493472764404</v>
      </c>
      <c r="H16" s="361">
        <v>144.93042896780219</v>
      </c>
      <c r="I16" s="362">
        <v>131.12387101725176</v>
      </c>
      <c r="J16" s="363">
        <v>141.91393789596125</v>
      </c>
      <c r="K16" s="363">
        <v>138.69046949961844</v>
      </c>
      <c r="L16" s="391">
        <f>SUM(E16:K16)</f>
        <v>809.95407698432643</v>
      </c>
      <c r="M16" s="407">
        <v>123.84997887516532</v>
      </c>
      <c r="N16" s="408">
        <v>118.42550006651965</v>
      </c>
      <c r="O16" s="409">
        <v>108.38452834276191</v>
      </c>
      <c r="P16" s="409">
        <v>102.89233845045688</v>
      </c>
      <c r="Q16" s="410">
        <v>94.10333809000042</v>
      </c>
      <c r="R16" s="408">
        <f>SUM(M16:Q16)</f>
        <v>547.65568382490414</v>
      </c>
      <c r="S16" s="443">
        <f>L16+R16</f>
        <v>1357.6097608092305</v>
      </c>
      <c r="T16" s="66"/>
      <c r="U16" s="403"/>
      <c r="W16" s="155"/>
      <c r="X16" s="155"/>
      <c r="Y16" s="155"/>
      <c r="Z16" s="155"/>
      <c r="AA16" s="155"/>
    </row>
    <row r="17" spans="3:27" ht="20.25" customHeight="1" thickTop="1" thickBot="1" x14ac:dyDescent="0.35">
      <c r="C17" s="458"/>
      <c r="D17" s="459"/>
      <c r="E17" s="459"/>
      <c r="F17" s="459"/>
      <c r="G17" s="459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60"/>
      <c r="T17" s="66"/>
      <c r="U17" s="403"/>
      <c r="W17" s="155"/>
      <c r="X17" s="155"/>
      <c r="Y17" s="155"/>
      <c r="Z17" s="155"/>
      <c r="AA17" s="155"/>
    </row>
    <row r="18" spans="3:27" ht="20.25" customHeight="1" thickTop="1" x14ac:dyDescent="0.3">
      <c r="C18" s="466">
        <v>12</v>
      </c>
      <c r="D18" s="75" t="s">
        <v>68</v>
      </c>
      <c r="E18" s="227">
        <f>SUM(E19:E25)</f>
        <v>60.421276204047395</v>
      </c>
      <c r="F18" s="227">
        <f t="shared" ref="F18:Q18" si="3">SUM(F19:F25)</f>
        <v>64.205239450469762</v>
      </c>
      <c r="G18" s="358">
        <f t="shared" si="3"/>
        <v>54.914780170343917</v>
      </c>
      <c r="H18" s="227">
        <f t="shared" si="3"/>
        <v>91.711783750153558</v>
      </c>
      <c r="I18" s="359">
        <f t="shared" si="3"/>
        <v>99.40770414958952</v>
      </c>
      <c r="J18" s="359">
        <f t="shared" si="3"/>
        <v>104.24799562545707</v>
      </c>
      <c r="K18" s="359">
        <f t="shared" si="3"/>
        <v>95.56478073830877</v>
      </c>
      <c r="L18" s="359">
        <f t="shared" si="3"/>
        <v>570.47356008837005</v>
      </c>
      <c r="M18" s="404">
        <f t="shared" si="3"/>
        <v>72.555045771887194</v>
      </c>
      <c r="N18" s="405">
        <f t="shared" si="3"/>
        <v>112.0188568080018</v>
      </c>
      <c r="O18" s="404">
        <f t="shared" si="3"/>
        <v>80.691361561512153</v>
      </c>
      <c r="P18" s="404">
        <f t="shared" si="3"/>
        <v>115.50681965329628</v>
      </c>
      <c r="Q18" s="396">
        <f t="shared" si="3"/>
        <v>70.665816769257844</v>
      </c>
      <c r="R18" s="411">
        <f>SUM(M18:Q18)</f>
        <v>451.43790056395528</v>
      </c>
      <c r="S18" s="441">
        <f t="shared" ref="S18:S25" si="4">L18+R18</f>
        <v>1021.9114606523253</v>
      </c>
      <c r="T18" s="66"/>
      <c r="U18" s="395"/>
      <c r="W18" s="155"/>
      <c r="X18" s="155"/>
      <c r="Y18" s="155"/>
      <c r="Z18" s="155"/>
      <c r="AA18" s="155"/>
    </row>
    <row r="19" spans="3:27" ht="20.25" customHeight="1" x14ac:dyDescent="0.3">
      <c r="C19" s="467"/>
      <c r="D19" s="67" t="s">
        <v>69</v>
      </c>
      <c r="E19" s="226">
        <v>10.28895165717462</v>
      </c>
      <c r="F19" s="226">
        <v>9.7536615290559112</v>
      </c>
      <c r="G19" s="360">
        <v>13.452360130230286</v>
      </c>
      <c r="H19" s="361">
        <v>16.135116174384564</v>
      </c>
      <c r="I19" s="362">
        <v>10.938563764692617</v>
      </c>
      <c r="J19" s="362">
        <v>13.104289806660768</v>
      </c>
      <c r="K19" s="364">
        <v>11.67633329808144</v>
      </c>
      <c r="L19" s="392">
        <f>SUM(E19:K19)</f>
        <v>85.349276360280214</v>
      </c>
      <c r="M19" s="412">
        <v>9.1337698676300398</v>
      </c>
      <c r="N19" s="413">
        <v>11.429856243925693</v>
      </c>
      <c r="O19" s="412">
        <v>12.767549131020466</v>
      </c>
      <c r="P19" s="412">
        <v>13.762012871862957</v>
      </c>
      <c r="Q19" s="412">
        <v>11.480111315694115</v>
      </c>
      <c r="R19" s="413">
        <f>SUM(M19:Q19)</f>
        <v>58.573299430133275</v>
      </c>
      <c r="S19" s="441">
        <f t="shared" si="4"/>
        <v>143.92257579041348</v>
      </c>
      <c r="T19" s="66"/>
      <c r="U19" s="447"/>
      <c r="W19" s="155"/>
      <c r="X19" s="155"/>
      <c r="Y19" s="155"/>
      <c r="Z19" s="155"/>
      <c r="AA19" s="155"/>
    </row>
    <row r="20" spans="3:27" ht="20.25" customHeight="1" x14ac:dyDescent="0.3">
      <c r="C20" s="467"/>
      <c r="D20" s="67" t="s">
        <v>70</v>
      </c>
      <c r="E20" s="226">
        <v>42.36352134384358</v>
      </c>
      <c r="F20" s="226">
        <v>44.677707047403402</v>
      </c>
      <c r="G20" s="360">
        <v>32.267232932765239</v>
      </c>
      <c r="H20" s="361">
        <v>51.439678178385343</v>
      </c>
      <c r="I20" s="362">
        <f>26.0417805343354+30</f>
        <v>56.041780534335402</v>
      </c>
      <c r="J20" s="362">
        <v>57.689704543083963</v>
      </c>
      <c r="K20" s="364">
        <v>61.186529794763047</v>
      </c>
      <c r="L20" s="392">
        <f t="shared" ref="L20:L25" si="5">SUM(E20:K20)</f>
        <v>345.66615437457995</v>
      </c>
      <c r="M20" s="412">
        <v>46.587347558637667</v>
      </c>
      <c r="N20" s="413">
        <v>91.136987718220581</v>
      </c>
      <c r="O20" s="412">
        <v>60.293098482292365</v>
      </c>
      <c r="P20" s="412">
        <v>95.226340462736275</v>
      </c>
      <c r="Q20" s="412">
        <v>53.552148151194039</v>
      </c>
      <c r="R20" s="413">
        <f t="shared" ref="R20:R25" si="6">SUM(M20:Q20)</f>
        <v>346.79592237308094</v>
      </c>
      <c r="S20" s="441">
        <f t="shared" si="4"/>
        <v>692.46207674766083</v>
      </c>
      <c r="T20" s="66"/>
      <c r="U20" s="447"/>
      <c r="W20" s="155"/>
      <c r="X20" s="155"/>
      <c r="Y20" s="155"/>
      <c r="Z20" s="155"/>
      <c r="AA20" s="155"/>
    </row>
    <row r="21" spans="3:27" ht="20.25" customHeight="1" x14ac:dyDescent="0.3">
      <c r="C21" s="467"/>
      <c r="D21" s="67" t="s">
        <v>71</v>
      </c>
      <c r="E21" s="226">
        <v>1.5923484508646544</v>
      </c>
      <c r="F21" s="226">
        <v>2.1404884782895972</v>
      </c>
      <c r="G21" s="360">
        <v>2.0310294809200196</v>
      </c>
      <c r="H21" s="361">
        <v>2.9280729197050412</v>
      </c>
      <c r="I21" s="362">
        <v>3.9934185608791846</v>
      </c>
      <c r="J21" s="362">
        <v>3.0838579981661849</v>
      </c>
      <c r="K21" s="364">
        <v>1.3909183946612513</v>
      </c>
      <c r="L21" s="392">
        <f t="shared" si="5"/>
        <v>17.160134283485935</v>
      </c>
      <c r="M21" s="412">
        <v>1.0266729234510412</v>
      </c>
      <c r="N21" s="413">
        <v>0.88340064782453953</v>
      </c>
      <c r="O21" s="412">
        <v>0.17872506487742137</v>
      </c>
      <c r="P21" s="412">
        <v>1.8077988253084003</v>
      </c>
      <c r="Q21" s="412">
        <v>0.97971341684004476</v>
      </c>
      <c r="R21" s="413">
        <f t="shared" si="6"/>
        <v>4.8763108783014468</v>
      </c>
      <c r="S21" s="441">
        <f t="shared" si="4"/>
        <v>22.03644516178738</v>
      </c>
      <c r="T21" s="66"/>
      <c r="U21" s="447"/>
      <c r="W21" s="155"/>
      <c r="X21" s="155"/>
      <c r="Y21" s="155"/>
      <c r="Z21" s="155"/>
      <c r="AA21" s="155"/>
    </row>
    <row r="22" spans="3:27" ht="20.25" customHeight="1" x14ac:dyDescent="0.3">
      <c r="C22" s="467"/>
      <c r="D22" s="67" t="s">
        <v>72</v>
      </c>
      <c r="E22" s="226">
        <v>1.1697755901707649</v>
      </c>
      <c r="F22" s="226">
        <v>1.3420668651097596</v>
      </c>
      <c r="G22" s="360">
        <v>1.727731633777934</v>
      </c>
      <c r="H22" s="361">
        <v>0.98720332755028006</v>
      </c>
      <c r="I22" s="362">
        <v>1.9591738477709975</v>
      </c>
      <c r="J22" s="362">
        <v>1.1013078095310762</v>
      </c>
      <c r="K22" s="364">
        <v>2.044117996055677</v>
      </c>
      <c r="L22" s="392">
        <f t="shared" si="5"/>
        <v>10.331377069966489</v>
      </c>
      <c r="M22" s="412">
        <v>1.7987309618862244</v>
      </c>
      <c r="N22" s="413">
        <v>0.8664121738279138</v>
      </c>
      <c r="O22" s="412">
        <v>1.7361863445235219</v>
      </c>
      <c r="P22" s="412">
        <v>0.86606176282216396</v>
      </c>
      <c r="Q22" s="412">
        <v>0.84573551368243194</v>
      </c>
      <c r="R22" s="413">
        <f t="shared" si="6"/>
        <v>6.1131267567422558</v>
      </c>
      <c r="S22" s="441">
        <f t="shared" si="4"/>
        <v>16.444503826708747</v>
      </c>
      <c r="T22" s="66"/>
      <c r="U22" s="447"/>
      <c r="W22" s="155"/>
      <c r="X22" s="155"/>
      <c r="Y22" s="155"/>
      <c r="Z22" s="155"/>
      <c r="AA22" s="155"/>
    </row>
    <row r="23" spans="3:27" ht="20.25" customHeight="1" x14ac:dyDescent="0.3">
      <c r="C23" s="467"/>
      <c r="D23" s="67" t="s">
        <v>73</v>
      </c>
      <c r="E23" s="226">
        <v>3.8174073119868259</v>
      </c>
      <c r="F23" s="226">
        <v>4.2772186486406758</v>
      </c>
      <c r="G23" s="360">
        <v>2.8241989105354359</v>
      </c>
      <c r="H23" s="361">
        <v>18.265677565765706</v>
      </c>
      <c r="I23" s="362">
        <v>24.497694968864391</v>
      </c>
      <c r="J23" s="362">
        <v>25.365472130813036</v>
      </c>
      <c r="K23" s="364">
        <v>17.311293380884916</v>
      </c>
      <c r="L23" s="392">
        <f t="shared" si="5"/>
        <v>96.358962917490985</v>
      </c>
      <c r="M23" s="412">
        <v>12.267030513878405</v>
      </c>
      <c r="N23" s="413">
        <v>5.9579084565995064</v>
      </c>
      <c r="O23" s="412">
        <v>3.9917014129475397</v>
      </c>
      <c r="P23" s="412">
        <v>1.283585422601679</v>
      </c>
      <c r="Q23" s="412">
        <v>2.103448894640279</v>
      </c>
      <c r="R23" s="413">
        <f t="shared" si="6"/>
        <v>25.603674700667408</v>
      </c>
      <c r="S23" s="441">
        <f t="shared" si="4"/>
        <v>121.9626376181584</v>
      </c>
      <c r="T23" s="66"/>
      <c r="U23" s="447"/>
      <c r="W23" s="155"/>
      <c r="X23" s="155"/>
      <c r="Y23" s="155"/>
      <c r="Z23" s="155"/>
      <c r="AA23" s="155"/>
    </row>
    <row r="24" spans="3:27" ht="20.25" customHeight="1" x14ac:dyDescent="0.3">
      <c r="C24" s="467"/>
      <c r="D24" s="67" t="s">
        <v>74</v>
      </c>
      <c r="E24" s="226">
        <v>0.59750302203820449</v>
      </c>
      <c r="F24" s="226">
        <v>0.67867391223248485</v>
      </c>
      <c r="G24" s="360">
        <v>1.7320294736629545</v>
      </c>
      <c r="H24" s="361">
        <v>0.9804350383310324</v>
      </c>
      <c r="I24" s="362">
        <v>0.97939342523386697</v>
      </c>
      <c r="J24" s="362">
        <v>1.9528892429535709</v>
      </c>
      <c r="K24" s="364">
        <v>0.9796302604264937</v>
      </c>
      <c r="L24" s="392">
        <f t="shared" si="5"/>
        <v>7.9005543748786078</v>
      </c>
      <c r="M24" s="412">
        <v>0.87395532608769899</v>
      </c>
      <c r="N24" s="413">
        <v>0.87669020059587244</v>
      </c>
      <c r="O24" s="412">
        <v>0.86153991988292222</v>
      </c>
      <c r="P24" s="412">
        <v>0.85412188220849905</v>
      </c>
      <c r="Q24" s="412">
        <v>0.84766144604032256</v>
      </c>
      <c r="R24" s="413">
        <f t="shared" si="6"/>
        <v>4.313968774815315</v>
      </c>
      <c r="S24" s="441">
        <f t="shared" si="4"/>
        <v>12.214523149693923</v>
      </c>
      <c r="T24" s="66"/>
      <c r="U24" s="447"/>
      <c r="W24" s="155"/>
      <c r="X24" s="155"/>
      <c r="Y24" s="155"/>
      <c r="Z24" s="155"/>
      <c r="AA24" s="155"/>
    </row>
    <row r="25" spans="3:27" ht="20.25" customHeight="1" thickBot="1" x14ac:dyDescent="0.35">
      <c r="C25" s="468"/>
      <c r="D25" s="73" t="s">
        <v>75</v>
      </c>
      <c r="E25" s="226">
        <v>0.59176882796873997</v>
      </c>
      <c r="F25" s="226">
        <v>1.335422969737929</v>
      </c>
      <c r="G25" s="360">
        <v>0.8801976084520422</v>
      </c>
      <c r="H25" s="365">
        <v>0.97560054603156965</v>
      </c>
      <c r="I25" s="363">
        <v>0.99767904781306294</v>
      </c>
      <c r="J25" s="363">
        <v>1.9504740942484589</v>
      </c>
      <c r="K25" s="366">
        <v>0.97595761343594445</v>
      </c>
      <c r="L25" s="392">
        <f t="shared" si="5"/>
        <v>7.7071007076877471</v>
      </c>
      <c r="M25" s="407">
        <v>0.86753862031612983</v>
      </c>
      <c r="N25" s="408">
        <v>0.86760136700767776</v>
      </c>
      <c r="O25" s="407">
        <v>0.86256120596793606</v>
      </c>
      <c r="P25" s="407">
        <v>1.7068984257563034</v>
      </c>
      <c r="Q25" s="410">
        <v>0.85699803116661866</v>
      </c>
      <c r="R25" s="408">
        <f t="shared" si="6"/>
        <v>5.1615976502146657</v>
      </c>
      <c r="S25" s="441">
        <f t="shared" si="4"/>
        <v>12.868698357902414</v>
      </c>
      <c r="T25" s="66"/>
      <c r="U25" s="447"/>
      <c r="W25" s="155"/>
      <c r="X25" s="155"/>
      <c r="Y25" s="155"/>
      <c r="Z25" s="155"/>
      <c r="AA25" s="155"/>
    </row>
    <row r="26" spans="3:27" ht="20.25" customHeight="1" thickTop="1" thickBot="1" x14ac:dyDescent="0.35">
      <c r="C26" s="458"/>
      <c r="D26" s="459"/>
      <c r="E26" s="459"/>
      <c r="F26" s="459"/>
      <c r="G26" s="459"/>
      <c r="H26" s="459"/>
      <c r="I26" s="459"/>
      <c r="J26" s="459"/>
      <c r="K26" s="459"/>
      <c r="L26" s="459"/>
      <c r="M26" s="459"/>
      <c r="N26" s="459"/>
      <c r="O26" s="459"/>
      <c r="P26" s="459"/>
      <c r="Q26" s="459"/>
      <c r="R26" s="459"/>
      <c r="S26" s="460"/>
      <c r="T26" s="66"/>
      <c r="U26" s="447"/>
      <c r="W26" s="155"/>
      <c r="X26" s="155"/>
      <c r="Y26" s="155"/>
      <c r="Z26" s="155"/>
      <c r="AA26" s="155"/>
    </row>
    <row r="27" spans="3:27" ht="20.25" customHeight="1" thickTop="1" thickBot="1" x14ac:dyDescent="0.35">
      <c r="C27" s="466">
        <v>13</v>
      </c>
      <c r="D27" s="75" t="s">
        <v>76</v>
      </c>
      <c r="E27" s="227">
        <f>E28+E29+E33+E34+E35+E36</f>
        <v>2250.8870126410029</v>
      </c>
      <c r="F27" s="227">
        <f t="shared" ref="F27:Q27" si="7">F28+F29+F33+F34+F35+F36</f>
        <v>2272.2462403593659</v>
      </c>
      <c r="G27" s="358">
        <f t="shared" si="7"/>
        <v>2144.2030423419287</v>
      </c>
      <c r="H27" s="367">
        <f t="shared" si="7"/>
        <v>2462.1471440307291</v>
      </c>
      <c r="I27" s="368">
        <f t="shared" si="7"/>
        <v>2087.6327315872804</v>
      </c>
      <c r="J27" s="367">
        <f t="shared" si="7"/>
        <v>2250.2563487909488</v>
      </c>
      <c r="K27" s="367">
        <f t="shared" si="7"/>
        <v>2161.4931411987104</v>
      </c>
      <c r="L27" s="367">
        <f t="shared" si="7"/>
        <v>15628.865660949967</v>
      </c>
      <c r="M27" s="414">
        <f t="shared" si="7"/>
        <v>1900.4428319978488</v>
      </c>
      <c r="N27" s="414">
        <f t="shared" si="7"/>
        <v>2242.0556151881142</v>
      </c>
      <c r="O27" s="414">
        <f t="shared" si="7"/>
        <v>1774.4409684203129</v>
      </c>
      <c r="P27" s="414">
        <f t="shared" si="7"/>
        <v>1810.0169006933015</v>
      </c>
      <c r="Q27" s="415">
        <f t="shared" si="7"/>
        <v>1922.9208270378497</v>
      </c>
      <c r="R27" s="415">
        <f>SUM(M27:Q27)</f>
        <v>9649.8771433374259</v>
      </c>
      <c r="S27" s="441">
        <f>L27+R27</f>
        <v>25278.742804287394</v>
      </c>
      <c r="T27" s="66"/>
      <c r="U27" s="395"/>
      <c r="W27" s="155"/>
      <c r="X27" s="155"/>
      <c r="Y27" s="155"/>
      <c r="Z27" s="155"/>
      <c r="AA27" s="155"/>
    </row>
    <row r="28" spans="3:27" ht="20.25" customHeight="1" thickTop="1" thickBot="1" x14ac:dyDescent="0.35">
      <c r="C28" s="467"/>
      <c r="D28" s="67" t="s">
        <v>77</v>
      </c>
      <c r="E28" s="226">
        <v>1996.9206819749402</v>
      </c>
      <c r="F28" s="226">
        <v>1706.7451637056602</v>
      </c>
      <c r="G28" s="360">
        <f>2161.88704308563-600</f>
        <v>1561.88704308563</v>
      </c>
      <c r="H28" s="361">
        <f>1996.36466456826-200</f>
        <v>1796.36466456826</v>
      </c>
      <c r="I28" s="362">
        <v>1699.9192477999302</v>
      </c>
      <c r="J28" s="225">
        <v>1667.8658335610701</v>
      </c>
      <c r="K28" s="369">
        <v>1638.6818095232802</v>
      </c>
      <c r="L28" s="393">
        <f>SUM(E28:K28)</f>
        <v>12068.384444218773</v>
      </c>
      <c r="M28" s="412">
        <v>1434.6420446058585</v>
      </c>
      <c r="N28" s="412">
        <v>1686.0062986748883</v>
      </c>
      <c r="O28" s="412">
        <v>1396.72776309408</v>
      </c>
      <c r="P28" s="412">
        <v>1017.0586977827436</v>
      </c>
      <c r="Q28" s="416">
        <v>1518.8716109856828</v>
      </c>
      <c r="R28" s="416">
        <f>SUM(M28:Q28)</f>
        <v>7053.3064151432536</v>
      </c>
      <c r="S28" s="441">
        <f>L28+R28</f>
        <v>19121.690859362025</v>
      </c>
      <c r="T28" s="66"/>
      <c r="U28" s="395">
        <f>SUM(N28:Q28)</f>
        <v>5618.6643705373954</v>
      </c>
      <c r="W28" s="155"/>
      <c r="X28" s="155"/>
      <c r="Y28" s="155"/>
      <c r="Z28" s="155"/>
      <c r="AA28" s="155"/>
    </row>
    <row r="29" spans="3:27" ht="20.25" customHeight="1" thickTop="1" x14ac:dyDescent="0.3">
      <c r="C29" s="467"/>
      <c r="D29" s="67" t="s">
        <v>78</v>
      </c>
      <c r="E29" s="370">
        <f>SUM(E30:E32)</f>
        <v>80.616869365964334</v>
      </c>
      <c r="F29" s="370">
        <f t="shared" ref="F29:Q29" si="8">SUM(F30:F32)</f>
        <v>93.848283320751264</v>
      </c>
      <c r="G29" s="370">
        <f t="shared" si="8"/>
        <v>150.28211341709471</v>
      </c>
      <c r="H29" s="370">
        <f t="shared" si="8"/>
        <v>122.4368706253349</v>
      </c>
      <c r="I29" s="371">
        <f t="shared" si="8"/>
        <v>112.9879734149783</v>
      </c>
      <c r="J29" s="370">
        <f t="shared" si="8"/>
        <v>132.02637230787653</v>
      </c>
      <c r="K29" s="370">
        <f t="shared" si="8"/>
        <v>130.64452368922576</v>
      </c>
      <c r="L29" s="370">
        <f t="shared" si="8"/>
        <v>822.84300614122571</v>
      </c>
      <c r="M29" s="417">
        <f t="shared" si="8"/>
        <v>97.364820695543159</v>
      </c>
      <c r="N29" s="417">
        <f t="shared" si="8"/>
        <v>128.00617869171168</v>
      </c>
      <c r="O29" s="417">
        <f t="shared" si="8"/>
        <v>115.88756039674399</v>
      </c>
      <c r="P29" s="417">
        <f t="shared" si="8"/>
        <v>166.65370801218228</v>
      </c>
      <c r="Q29" s="418">
        <f t="shared" si="8"/>
        <v>73.267934432099565</v>
      </c>
      <c r="R29" s="418">
        <f>SUM(M29:Q29)</f>
        <v>581.18020222828068</v>
      </c>
      <c r="S29" s="441">
        <f>L29+R29</f>
        <v>1404.0232083695064</v>
      </c>
      <c r="T29" s="66"/>
      <c r="U29" s="395">
        <f>SUM(N29:Q29)</f>
        <v>483.81538153273755</v>
      </c>
      <c r="W29" s="155"/>
      <c r="X29" s="155"/>
      <c r="Y29" s="155"/>
      <c r="Z29" s="155"/>
      <c r="AA29" s="155"/>
    </row>
    <row r="30" spans="3:27" ht="20.25" customHeight="1" x14ac:dyDescent="0.3">
      <c r="C30" s="467"/>
      <c r="D30" s="110" t="s">
        <v>79</v>
      </c>
      <c r="E30" s="226">
        <v>39.326454828947092</v>
      </c>
      <c r="F30" s="226">
        <v>45.857123790341589</v>
      </c>
      <c r="G30" s="360">
        <v>73.444135963709186</v>
      </c>
      <c r="H30" s="361">
        <v>57.033605966239236</v>
      </c>
      <c r="I30" s="362">
        <f>39.4751356373871+10</f>
        <v>49.475135637387098</v>
      </c>
      <c r="J30" s="225">
        <v>75.464707270075863</v>
      </c>
      <c r="K30" s="369">
        <v>56.562188410381125</v>
      </c>
      <c r="L30" s="393">
        <f>SUM(E30:K30)</f>
        <v>397.16335186708113</v>
      </c>
      <c r="M30" s="412">
        <v>49.289918205429188</v>
      </c>
      <c r="N30" s="412">
        <v>46.303492759054663</v>
      </c>
      <c r="O30" s="412">
        <v>49.249939877219099</v>
      </c>
      <c r="P30" s="412">
        <v>87.687974287548101</v>
      </c>
      <c r="Q30" s="416">
        <v>17.033417592639942</v>
      </c>
      <c r="R30" s="416">
        <f>SUM(M30:Q30)</f>
        <v>249.56474272189101</v>
      </c>
      <c r="S30" s="441">
        <f>L30+R30</f>
        <v>646.72809458897211</v>
      </c>
      <c r="T30" s="66"/>
      <c r="U30" s="447"/>
      <c r="W30" s="155"/>
      <c r="X30" s="155"/>
      <c r="Y30" s="155"/>
      <c r="Z30" s="155"/>
      <c r="AA30" s="155"/>
    </row>
    <row r="31" spans="3:27" ht="20.25" customHeight="1" x14ac:dyDescent="0.3">
      <c r="C31" s="467"/>
      <c r="D31" s="110" t="s">
        <v>80</v>
      </c>
      <c r="E31" s="226">
        <v>0.58047246565189481</v>
      </c>
      <c r="F31" s="226">
        <v>0.81283492723057549</v>
      </c>
      <c r="G31" s="360">
        <v>0.86816365677398699</v>
      </c>
      <c r="H31" s="361">
        <v>1.0007399059887756</v>
      </c>
      <c r="I31" s="362">
        <v>0.97958692388549873</v>
      </c>
      <c r="J31" s="225">
        <v>0.98842375905414093</v>
      </c>
      <c r="K31" s="369">
        <v>1.0009896021346878</v>
      </c>
      <c r="L31" s="393">
        <f t="shared" ref="L31:L32" si="9">SUM(E31:K31)</f>
        <v>6.2312112407195599</v>
      </c>
      <c r="M31" s="412">
        <v>0.87573489248834746</v>
      </c>
      <c r="N31" s="412">
        <v>0.87673776832306305</v>
      </c>
      <c r="O31" s="412">
        <v>0.86262078098956196</v>
      </c>
      <c r="P31" s="412">
        <v>0.85896510138699977</v>
      </c>
      <c r="Q31" s="416">
        <v>0.84771001303021731</v>
      </c>
      <c r="R31" s="416">
        <f>SUM(M31:Q31)</f>
        <v>4.3217685562181893</v>
      </c>
      <c r="S31" s="441">
        <f>L31+R31</f>
        <v>10.552979796937748</v>
      </c>
      <c r="T31" s="66"/>
      <c r="U31" s="447" t="s">
        <v>119</v>
      </c>
      <c r="V31" s="155">
        <f>U11+U28+U29</f>
        <v>17195.787002719473</v>
      </c>
      <c r="W31" s="155"/>
      <c r="X31" s="155"/>
      <c r="Y31" s="155"/>
      <c r="Z31" s="155"/>
      <c r="AA31" s="155"/>
    </row>
    <row r="32" spans="3:27" ht="20.25" customHeight="1" x14ac:dyDescent="0.3">
      <c r="C32" s="467"/>
      <c r="D32" s="110" t="s">
        <v>81</v>
      </c>
      <c r="E32" s="226">
        <v>40.709942071365354</v>
      </c>
      <c r="F32" s="226">
        <f>37.1783246031791+10</f>
        <v>47.178324603179099</v>
      </c>
      <c r="G32" s="360">
        <v>75.969813796611533</v>
      </c>
      <c r="H32" s="361">
        <v>64.402524753106889</v>
      </c>
      <c r="I32" s="362">
        <f>42.5332508537057+20</f>
        <v>62.533250853705702</v>
      </c>
      <c r="J32" s="225">
        <v>55.573241278746515</v>
      </c>
      <c r="K32" s="369">
        <v>73.081345676709958</v>
      </c>
      <c r="L32" s="393">
        <f t="shared" si="9"/>
        <v>419.44844303342506</v>
      </c>
      <c r="M32" s="412">
        <v>47.199167597625625</v>
      </c>
      <c r="N32" s="412">
        <v>80.825948164333965</v>
      </c>
      <c r="O32" s="412">
        <v>65.774999738535328</v>
      </c>
      <c r="P32" s="412">
        <v>78.106768623247191</v>
      </c>
      <c r="Q32" s="416">
        <v>55.386806826429407</v>
      </c>
      <c r="R32" s="416">
        <f t="shared" ref="R32:R36" si="10">SUM(M32:Q32)</f>
        <v>327.29369095017154</v>
      </c>
      <c r="S32" s="441">
        <f t="shared" ref="S32:S36" si="11">L32+R32</f>
        <v>746.74213398359666</v>
      </c>
      <c r="T32" s="66"/>
      <c r="U32" s="447"/>
      <c r="W32" s="155"/>
      <c r="X32" s="155"/>
      <c r="Y32" s="155"/>
      <c r="Z32" s="155"/>
      <c r="AA32" s="155"/>
    </row>
    <row r="33" spans="3:27" ht="20.25" customHeight="1" x14ac:dyDescent="0.3">
      <c r="C33" s="467"/>
      <c r="D33" s="67" t="s">
        <v>82</v>
      </c>
      <c r="E33" s="226">
        <v>20.981901112334935</v>
      </c>
      <c r="F33" s="226">
        <v>42.787299918568415</v>
      </c>
      <c r="G33" s="360">
        <v>4.4243768120310785</v>
      </c>
      <c r="H33" s="361">
        <v>6.7155897774974749</v>
      </c>
      <c r="I33" s="362">
        <f>4.10339937535203+20</f>
        <v>24.10339937535203</v>
      </c>
      <c r="J33" s="225">
        <v>74.543016977512451</v>
      </c>
      <c r="K33" s="369">
        <v>75.180700163589265</v>
      </c>
      <c r="L33" s="393">
        <f>SUM(E33:K33)</f>
        <v>248.73628413688567</v>
      </c>
      <c r="M33" s="412">
        <v>57.792703421513934</v>
      </c>
      <c r="N33" s="412">
        <v>61.705640804278609</v>
      </c>
      <c r="O33" s="412">
        <v>37.404014074639583</v>
      </c>
      <c r="P33" s="412">
        <v>39.770976427647284</v>
      </c>
      <c r="Q33" s="416">
        <v>46.088611698173601</v>
      </c>
      <c r="R33" s="416">
        <f t="shared" si="10"/>
        <v>242.76194642625299</v>
      </c>
      <c r="S33" s="441">
        <f t="shared" si="11"/>
        <v>491.49823056313869</v>
      </c>
      <c r="T33" s="66"/>
      <c r="U33" s="447" t="s">
        <v>120</v>
      </c>
      <c r="V33" s="155">
        <f>V31+(V31*0.12)</f>
        <v>19259.281443045809</v>
      </c>
      <c r="W33" s="155"/>
      <c r="X33" s="155"/>
      <c r="Y33" s="155"/>
      <c r="Z33" s="155"/>
      <c r="AA33" s="155"/>
    </row>
    <row r="34" spans="3:27" ht="20.25" customHeight="1" x14ac:dyDescent="0.3">
      <c r="C34" s="467"/>
      <c r="D34" s="67" t="s">
        <v>83</v>
      </c>
      <c r="E34" s="226">
        <v>106.08772853847648</v>
      </c>
      <c r="F34" s="226">
        <v>391.18877097887764</v>
      </c>
      <c r="G34" s="360">
        <v>405.42818081516492</v>
      </c>
      <c r="H34" s="361">
        <v>444.42991805984377</v>
      </c>
      <c r="I34" s="362">
        <v>229.93799824077192</v>
      </c>
      <c r="J34" s="225">
        <f>177.914205796208+100</f>
        <v>277.91420579620797</v>
      </c>
      <c r="K34" s="369">
        <f>87.7968895209704+125</f>
        <v>212.79688952097041</v>
      </c>
      <c r="L34" s="393">
        <f t="shared" ref="L34:L36" si="12">SUM(E34:K34)</f>
        <v>2067.7836919503134</v>
      </c>
      <c r="M34" s="412">
        <v>191.70505874462188</v>
      </c>
      <c r="N34" s="412">
        <v>275.68970828792652</v>
      </c>
      <c r="O34" s="412">
        <v>199.38188667533854</v>
      </c>
      <c r="P34" s="412">
        <v>463.01696785378107</v>
      </c>
      <c r="Q34" s="416">
        <v>225.73718781525221</v>
      </c>
      <c r="R34" s="416">
        <f t="shared" si="10"/>
        <v>1355.5308093769202</v>
      </c>
      <c r="S34" s="441">
        <f t="shared" si="11"/>
        <v>3423.3145013272333</v>
      </c>
      <c r="T34" s="66"/>
      <c r="U34" s="447"/>
      <c r="W34" s="155"/>
      <c r="X34" s="155"/>
      <c r="Y34" s="155"/>
      <c r="Z34" s="155"/>
      <c r="AA34" s="155"/>
    </row>
    <row r="35" spans="3:27" ht="20.25" customHeight="1" x14ac:dyDescent="0.3">
      <c r="C35" s="467"/>
      <c r="D35" s="67" t="s">
        <v>84</v>
      </c>
      <c r="E35" s="226">
        <v>45.681353000979534</v>
      </c>
      <c r="F35" s="226">
        <v>36.951346747629749</v>
      </c>
      <c r="G35" s="360">
        <v>21.295425935631133</v>
      </c>
      <c r="H35" s="361">
        <v>91.156739669367113</v>
      </c>
      <c r="I35" s="362">
        <v>19.64842890232201</v>
      </c>
      <c r="J35" s="225">
        <f>55.8709035370911+40</f>
        <v>95.870903537091095</v>
      </c>
      <c r="K35" s="369">
        <v>103.12974990851957</v>
      </c>
      <c r="L35" s="393">
        <f t="shared" si="12"/>
        <v>413.73394770154016</v>
      </c>
      <c r="M35" s="412">
        <v>118.03129004610616</v>
      </c>
      <c r="N35" s="412">
        <v>89.714278488975296</v>
      </c>
      <c r="O35" s="412">
        <v>24.120613605651563</v>
      </c>
      <c r="P35" s="412">
        <v>122.64816878943749</v>
      </c>
      <c r="Q35" s="416">
        <v>58.064982819214677</v>
      </c>
      <c r="R35" s="416">
        <f t="shared" si="10"/>
        <v>412.57933374938517</v>
      </c>
      <c r="S35" s="441">
        <f t="shared" si="11"/>
        <v>826.31328145092539</v>
      </c>
      <c r="T35" s="66"/>
      <c r="U35" s="447"/>
      <c r="W35" s="155"/>
      <c r="X35" s="155"/>
      <c r="Y35" s="155"/>
      <c r="Z35" s="155"/>
      <c r="AA35" s="155"/>
    </row>
    <row r="36" spans="3:27" ht="20.25" customHeight="1" thickBot="1" x14ac:dyDescent="0.35">
      <c r="C36" s="468"/>
      <c r="D36" s="73" t="s">
        <v>85</v>
      </c>
      <c r="E36" s="226">
        <v>0.59847864830793707</v>
      </c>
      <c r="F36" s="226">
        <v>0.72537568787838858</v>
      </c>
      <c r="G36" s="360">
        <v>0.8859022763769322</v>
      </c>
      <c r="H36" s="361">
        <v>1.0433613304256175</v>
      </c>
      <c r="I36" s="362">
        <v>1.0356838539258939</v>
      </c>
      <c r="J36" s="372">
        <v>2.0360166111902798</v>
      </c>
      <c r="K36" s="373">
        <v>1.0594683931252822</v>
      </c>
      <c r="L36" s="393">
        <f t="shared" si="12"/>
        <v>7.3842868012303313</v>
      </c>
      <c r="M36" s="410">
        <v>0.90691448420516108</v>
      </c>
      <c r="N36" s="410">
        <v>0.93351024033387575</v>
      </c>
      <c r="O36" s="410">
        <v>0.9191305738587594</v>
      </c>
      <c r="P36" s="410">
        <v>0.86838182750973603</v>
      </c>
      <c r="Q36" s="419">
        <v>0.89049928742709283</v>
      </c>
      <c r="R36" s="416">
        <f t="shared" si="10"/>
        <v>4.5184364133346246</v>
      </c>
      <c r="S36" s="441">
        <f t="shared" si="11"/>
        <v>11.902723214564956</v>
      </c>
      <c r="T36" s="66"/>
      <c r="U36" s="447"/>
      <c r="W36" s="155"/>
      <c r="X36" s="155"/>
      <c r="Y36" s="155"/>
      <c r="Z36" s="155"/>
      <c r="AA36" s="155"/>
    </row>
    <row r="37" spans="3:27" ht="20.25" customHeight="1" thickTop="1" thickBot="1" x14ac:dyDescent="0.35">
      <c r="C37" s="458"/>
      <c r="D37" s="459"/>
      <c r="E37" s="459"/>
      <c r="F37" s="459"/>
      <c r="G37" s="459"/>
      <c r="H37" s="459"/>
      <c r="I37" s="459"/>
      <c r="J37" s="459"/>
      <c r="K37" s="459"/>
      <c r="L37" s="459"/>
      <c r="M37" s="459"/>
      <c r="N37" s="459"/>
      <c r="O37" s="459"/>
      <c r="P37" s="459"/>
      <c r="Q37" s="459"/>
      <c r="R37" s="459"/>
      <c r="S37" s="460"/>
      <c r="T37" s="66"/>
      <c r="U37" s="447"/>
      <c r="W37" s="155"/>
      <c r="X37" s="155"/>
      <c r="Y37" s="155"/>
      <c r="Z37" s="155"/>
      <c r="AA37" s="155"/>
    </row>
    <row r="38" spans="3:27" ht="20.25" customHeight="1" thickTop="1" x14ac:dyDescent="0.3">
      <c r="C38" s="466">
        <v>15</v>
      </c>
      <c r="D38" s="75" t="s">
        <v>86</v>
      </c>
      <c r="E38" s="227">
        <f>SUM(E39:E44)</f>
        <v>130.83349930215601</v>
      </c>
      <c r="F38" s="227">
        <f t="shared" ref="F38:Q38" si="13">SUM(F39:F44)</f>
        <v>159.62451985630798</v>
      </c>
      <c r="G38" s="358">
        <f t="shared" si="13"/>
        <v>157.31116931874752</v>
      </c>
      <c r="H38" s="227">
        <f t="shared" si="13"/>
        <v>201.10978292079631</v>
      </c>
      <c r="I38" s="359">
        <f t="shared" si="13"/>
        <v>187.11817214462582</v>
      </c>
      <c r="J38" s="359">
        <f t="shared" si="13"/>
        <v>189.83512919705399</v>
      </c>
      <c r="K38" s="351">
        <f t="shared" si="13"/>
        <v>203.62254845832572</v>
      </c>
      <c r="L38" s="351">
        <f t="shared" si="13"/>
        <v>1229.4548211980134</v>
      </c>
      <c r="M38" s="404">
        <f t="shared" si="13"/>
        <v>165.89410251337642</v>
      </c>
      <c r="N38" s="411">
        <f t="shared" si="13"/>
        <v>167.27972363517156</v>
      </c>
      <c r="O38" s="404">
        <f t="shared" si="13"/>
        <v>203.78788551116818</v>
      </c>
      <c r="P38" s="404">
        <f t="shared" si="13"/>
        <v>219.01439934871127</v>
      </c>
      <c r="Q38" s="396">
        <f t="shared" si="13"/>
        <v>176.84519579181031</v>
      </c>
      <c r="R38" s="411">
        <f>SUM(M38:Q38)</f>
        <v>932.82130680023761</v>
      </c>
      <c r="S38" s="441">
        <f>L38+R38</f>
        <v>2162.276127998251</v>
      </c>
      <c r="T38" s="66"/>
      <c r="U38" s="447"/>
      <c r="W38" s="155"/>
      <c r="X38" s="155"/>
      <c r="Y38" s="155"/>
      <c r="Z38" s="155"/>
      <c r="AA38" s="155"/>
    </row>
    <row r="39" spans="3:27" ht="20.25" customHeight="1" x14ac:dyDescent="0.3">
      <c r="C39" s="467"/>
      <c r="D39" s="67" t="s">
        <v>87</v>
      </c>
      <c r="E39" s="226">
        <v>29.886619490049153</v>
      </c>
      <c r="F39" s="226">
        <v>34.629682603094402</v>
      </c>
      <c r="G39" s="360">
        <v>14.413991740058142</v>
      </c>
      <c r="H39" s="361">
        <v>20.387398666828002</v>
      </c>
      <c r="I39" s="362">
        <v>14.97718868299053</v>
      </c>
      <c r="J39" s="362">
        <v>22.039621391419846</v>
      </c>
      <c r="K39" s="364">
        <v>25.586926710573227</v>
      </c>
      <c r="L39" s="392">
        <f>SUM(E39:K39)</f>
        <v>161.92142928501332</v>
      </c>
      <c r="M39" s="412">
        <v>17.774095151428899</v>
      </c>
      <c r="N39" s="413">
        <v>11.71604329092126</v>
      </c>
      <c r="O39" s="420">
        <v>10.800746277329718</v>
      </c>
      <c r="P39" s="412">
        <v>18.752893017619826</v>
      </c>
      <c r="Q39" s="412">
        <v>11.251964953158337</v>
      </c>
      <c r="R39" s="413">
        <f>SUM(M39:Q39)</f>
        <v>70.295742690458042</v>
      </c>
      <c r="S39" s="441">
        <f>L39+R39</f>
        <v>232.21717197547136</v>
      </c>
      <c r="T39" s="66"/>
      <c r="U39" s="447"/>
      <c r="W39" s="155"/>
      <c r="X39" s="155"/>
      <c r="Y39" s="155"/>
      <c r="Z39" s="155"/>
      <c r="AA39" s="155"/>
    </row>
    <row r="40" spans="3:27" ht="20.25" customHeight="1" x14ac:dyDescent="0.3">
      <c r="C40" s="467"/>
      <c r="D40" s="67" t="s">
        <v>88</v>
      </c>
      <c r="E40" s="226">
        <v>69.515634704118554</v>
      </c>
      <c r="F40" s="226">
        <v>90.898048294335126</v>
      </c>
      <c r="G40" s="360">
        <v>103.85827477546719</v>
      </c>
      <c r="H40" s="361">
        <v>117.2302705785426</v>
      </c>
      <c r="I40" s="225">
        <v>122.77631018415639</v>
      </c>
      <c r="J40" s="374">
        <v>119.43602938557839</v>
      </c>
      <c r="K40" s="364">
        <v>124.87933498995116</v>
      </c>
      <c r="L40" s="392">
        <f t="shared" ref="L40:L44" si="14">SUM(E40:K40)</f>
        <v>748.59390291214947</v>
      </c>
      <c r="M40" s="420">
        <v>105.81624769893401</v>
      </c>
      <c r="N40" s="420">
        <v>112.82390539434719</v>
      </c>
      <c r="O40" s="420">
        <v>147.59416517555684</v>
      </c>
      <c r="P40" s="412">
        <v>150.91189407507773</v>
      </c>
      <c r="Q40" s="412">
        <v>120.51860087259139</v>
      </c>
      <c r="R40" s="413">
        <f t="shared" ref="R40:R44" si="15">SUM(M40:Q40)</f>
        <v>637.66481321650713</v>
      </c>
      <c r="S40" s="441">
        <f t="shared" ref="S40:S44" si="16">L40+R40</f>
        <v>1386.2587161286565</v>
      </c>
      <c r="T40" s="66"/>
      <c r="U40" s="447"/>
      <c r="W40" s="155"/>
      <c r="X40" s="155"/>
      <c r="Y40" s="155"/>
      <c r="Z40" s="155"/>
      <c r="AA40" s="155"/>
    </row>
    <row r="41" spans="3:27" ht="20.25" customHeight="1" x14ac:dyDescent="0.3">
      <c r="C41" s="467"/>
      <c r="D41" s="67" t="s">
        <v>89</v>
      </c>
      <c r="E41" s="226">
        <v>0.61201438322788582</v>
      </c>
      <c r="F41" s="226">
        <v>0.89606535889499894</v>
      </c>
      <c r="G41" s="360">
        <v>1.6665937948298648</v>
      </c>
      <c r="H41" s="361">
        <v>1.6643593329218196</v>
      </c>
      <c r="I41" s="225">
        <v>1.6031810227470367</v>
      </c>
      <c r="J41" s="360">
        <v>1.2654773553357201</v>
      </c>
      <c r="K41" s="364">
        <v>1.3165257307548648</v>
      </c>
      <c r="L41" s="392">
        <f t="shared" si="14"/>
        <v>9.0242169787121913</v>
      </c>
      <c r="M41" s="412">
        <v>1.0307381068979984</v>
      </c>
      <c r="N41" s="413">
        <v>1.0728003969589397</v>
      </c>
      <c r="O41" s="420">
        <v>1.1247018991149138</v>
      </c>
      <c r="P41" s="412">
        <v>1.2183589977945097</v>
      </c>
      <c r="Q41" s="412">
        <v>1.6310646252441248</v>
      </c>
      <c r="R41" s="413">
        <f t="shared" si="15"/>
        <v>6.0776640260104866</v>
      </c>
      <c r="S41" s="441">
        <f t="shared" si="16"/>
        <v>15.101881004722678</v>
      </c>
      <c r="T41" s="66"/>
      <c r="U41" s="447"/>
      <c r="W41" s="155"/>
      <c r="X41" s="155"/>
      <c r="Y41" s="155"/>
      <c r="Z41" s="155"/>
      <c r="AA41" s="155"/>
    </row>
    <row r="42" spans="3:27" ht="20.25" customHeight="1" x14ac:dyDescent="0.3">
      <c r="C42" s="467"/>
      <c r="D42" s="67" t="s">
        <v>90</v>
      </c>
      <c r="E42" s="226">
        <v>24.525148035099814</v>
      </c>
      <c r="F42" s="226">
        <v>25.755110780128501</v>
      </c>
      <c r="G42" s="360">
        <v>31.780231419453354</v>
      </c>
      <c r="H42" s="361">
        <v>33.829673426809428</v>
      </c>
      <c r="I42" s="225">
        <v>36.420482607490769</v>
      </c>
      <c r="J42" s="374">
        <v>31.370619350327523</v>
      </c>
      <c r="K42" s="364">
        <v>30.447390354537664</v>
      </c>
      <c r="L42" s="392">
        <f t="shared" si="14"/>
        <v>214.12865597384709</v>
      </c>
      <c r="M42" s="412">
        <v>26.380150896065452</v>
      </c>
      <c r="N42" s="413">
        <v>31.698306664180176</v>
      </c>
      <c r="O42" s="420">
        <v>29.740697456553743</v>
      </c>
      <c r="P42" s="412">
        <v>26.56570010869105</v>
      </c>
      <c r="Q42" s="412">
        <v>26.220929193234213</v>
      </c>
      <c r="R42" s="413">
        <f t="shared" si="15"/>
        <v>140.60578431872463</v>
      </c>
      <c r="S42" s="441">
        <f t="shared" si="16"/>
        <v>354.73444029257172</v>
      </c>
      <c r="T42" s="66"/>
      <c r="U42" s="447"/>
      <c r="W42" s="155"/>
      <c r="X42" s="155"/>
      <c r="Y42" s="155"/>
      <c r="Z42" s="155"/>
      <c r="AA42" s="155"/>
    </row>
    <row r="43" spans="3:27" ht="20.25" customHeight="1" x14ac:dyDescent="0.3">
      <c r="C43" s="467"/>
      <c r="D43" s="67" t="s">
        <v>91</v>
      </c>
      <c r="E43" s="226">
        <v>0.58578232936021901</v>
      </c>
      <c r="F43" s="226">
        <v>1.3369842851503093</v>
      </c>
      <c r="G43" s="360">
        <v>1.746776221876434</v>
      </c>
      <c r="H43" s="361">
        <v>0.97904270454878706</v>
      </c>
      <c r="I43" s="225">
        <v>0.98815891415278323</v>
      </c>
      <c r="J43" s="375">
        <v>0.97702425716601227</v>
      </c>
      <c r="K43" s="376">
        <v>0.99751025235416746</v>
      </c>
      <c r="L43" s="392">
        <f t="shared" si="14"/>
        <v>7.6112789646087116</v>
      </c>
      <c r="M43" s="421">
        <v>0.87386977001074473</v>
      </c>
      <c r="N43" s="421">
        <v>0.85987161133921297</v>
      </c>
      <c r="O43" s="422">
        <v>0.86165055920879863</v>
      </c>
      <c r="P43" s="412">
        <v>0.85883056752093034</v>
      </c>
      <c r="Q43" s="412">
        <v>0.8486997747897943</v>
      </c>
      <c r="R43" s="413">
        <f t="shared" si="15"/>
        <v>4.3029222828694813</v>
      </c>
      <c r="S43" s="441">
        <f t="shared" si="16"/>
        <v>11.914201247478193</v>
      </c>
      <c r="T43" s="66"/>
      <c r="U43" s="447"/>
      <c r="W43" s="155"/>
      <c r="X43" s="155"/>
      <c r="Y43" s="155"/>
      <c r="Z43" s="155"/>
      <c r="AA43" s="155"/>
    </row>
    <row r="44" spans="3:27" ht="20.25" customHeight="1" x14ac:dyDescent="0.3">
      <c r="C44" s="467"/>
      <c r="D44" s="121" t="s">
        <v>92</v>
      </c>
      <c r="E44" s="226">
        <v>5.7083003603003775</v>
      </c>
      <c r="F44" s="226">
        <v>6.1086285347046312</v>
      </c>
      <c r="G44" s="360">
        <v>3.8453013670625045</v>
      </c>
      <c r="H44" s="361">
        <v>27.019038211145677</v>
      </c>
      <c r="I44" s="225">
        <v>10.352850733088308</v>
      </c>
      <c r="J44" s="374">
        <v>14.746357457226489</v>
      </c>
      <c r="K44" s="364">
        <v>20.394860420154604</v>
      </c>
      <c r="L44" s="392">
        <f t="shared" si="14"/>
        <v>88.175337083682592</v>
      </c>
      <c r="M44" s="412">
        <v>14.019000890039345</v>
      </c>
      <c r="N44" s="413">
        <v>9.1087962774247888</v>
      </c>
      <c r="O44" s="420">
        <v>13.665924143404158</v>
      </c>
      <c r="P44" s="412">
        <v>20.706722582007224</v>
      </c>
      <c r="Q44" s="412">
        <v>16.373936372792436</v>
      </c>
      <c r="R44" s="413">
        <f t="shared" si="15"/>
        <v>73.874380265667952</v>
      </c>
      <c r="S44" s="441">
        <f t="shared" si="16"/>
        <v>162.04971734935054</v>
      </c>
      <c r="T44" s="66"/>
      <c r="U44" s="447"/>
      <c r="W44" s="155"/>
      <c r="X44" s="155"/>
      <c r="Y44" s="155"/>
      <c r="Z44" s="155"/>
      <c r="AA44" s="155"/>
    </row>
    <row r="45" spans="3:27" ht="20.25" customHeight="1" thickBot="1" x14ac:dyDescent="0.35">
      <c r="C45" s="467"/>
      <c r="D45" s="122"/>
      <c r="E45" s="377"/>
      <c r="F45" s="377"/>
      <c r="G45" s="378"/>
      <c r="H45" s="365"/>
      <c r="I45" s="238"/>
      <c r="J45" s="379"/>
      <c r="K45" s="363"/>
      <c r="L45" s="363"/>
      <c r="M45" s="423"/>
      <c r="N45" s="220"/>
      <c r="O45" s="424"/>
      <c r="P45" s="424"/>
      <c r="Q45" s="425"/>
      <c r="R45" s="220"/>
      <c r="S45" s="443"/>
      <c r="T45" s="66"/>
      <c r="U45" s="447"/>
      <c r="W45" s="155"/>
      <c r="X45" s="155"/>
      <c r="Y45" s="155"/>
      <c r="Z45" s="155"/>
      <c r="AA45" s="155"/>
    </row>
    <row r="46" spans="3:27" ht="20.25" customHeight="1" thickTop="1" thickBot="1" x14ac:dyDescent="0.35">
      <c r="C46" s="468"/>
      <c r="D46" s="174" t="s">
        <v>107</v>
      </c>
      <c r="E46" s="168">
        <f t="shared" ref="E46:Q46" si="17">E11+E15+E18+E27+E38</f>
        <v>7431.1974644782031</v>
      </c>
      <c r="F46" s="168">
        <f t="shared" si="17"/>
        <v>5875.8187884831959</v>
      </c>
      <c r="G46" s="168">
        <f t="shared" si="17"/>
        <v>7877.6065639014687</v>
      </c>
      <c r="H46" s="168">
        <f>H11+H15+H18+H27+H38</f>
        <v>7262.5357632611149</v>
      </c>
      <c r="I46" s="168">
        <f t="shared" si="17"/>
        <v>7580.3806249100999</v>
      </c>
      <c r="J46" s="169">
        <f t="shared" si="17"/>
        <v>6669.6739650031013</v>
      </c>
      <c r="K46" s="169">
        <f t="shared" si="17"/>
        <v>6385.9977948291471</v>
      </c>
      <c r="L46" s="169">
        <f t="shared" si="17"/>
        <v>49083.210964866325</v>
      </c>
      <c r="M46" s="426">
        <f t="shared" si="17"/>
        <v>5705.6143522962275</v>
      </c>
      <c r="N46" s="427">
        <f t="shared" si="17"/>
        <v>5382.6765811803816</v>
      </c>
      <c r="O46" s="426">
        <f t="shared" si="17"/>
        <v>5164.3357158571798</v>
      </c>
      <c r="P46" s="426">
        <f t="shared" si="17"/>
        <v>5150.8605977116204</v>
      </c>
      <c r="Q46" s="428">
        <f t="shared" si="17"/>
        <v>4714.4844312684063</v>
      </c>
      <c r="R46" s="428">
        <f>SUM(M46:Q46)</f>
        <v>26117.971678313814</v>
      </c>
      <c r="S46" s="444">
        <f>L46+R46</f>
        <v>75201.182643180131</v>
      </c>
      <c r="T46" s="66"/>
      <c r="U46" s="447"/>
      <c r="W46" s="155"/>
      <c r="X46" s="155"/>
      <c r="Y46" s="155"/>
      <c r="Z46" s="155"/>
      <c r="AA46" s="155"/>
    </row>
    <row r="47" spans="3:27" ht="20.25" customHeight="1" thickTop="1" x14ac:dyDescent="0.3">
      <c r="C47" s="130" t="s">
        <v>63</v>
      </c>
      <c r="D47" s="469" t="s">
        <v>93</v>
      </c>
      <c r="E47" s="470"/>
      <c r="F47" s="470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1"/>
      <c r="T47" s="66"/>
      <c r="W47" s="155"/>
      <c r="X47" s="155"/>
      <c r="Y47" s="155"/>
      <c r="Z47" s="155"/>
      <c r="AA47" s="155"/>
    </row>
    <row r="48" spans="3:27" ht="22.5" customHeight="1" thickBot="1" x14ac:dyDescent="0.35">
      <c r="C48" s="131"/>
      <c r="D48" s="472"/>
      <c r="E48" s="473"/>
      <c r="F48" s="473"/>
      <c r="G48" s="473"/>
      <c r="H48" s="473"/>
      <c r="I48" s="473"/>
      <c r="J48" s="473"/>
      <c r="K48" s="473"/>
      <c r="L48" s="473"/>
      <c r="M48" s="473"/>
      <c r="N48" s="473"/>
      <c r="O48" s="473"/>
      <c r="P48" s="473"/>
      <c r="Q48" s="473"/>
      <c r="R48" s="473"/>
      <c r="S48" s="474"/>
      <c r="T48" s="66"/>
      <c r="W48" s="155"/>
      <c r="X48" s="155"/>
      <c r="Y48" s="155"/>
      <c r="Z48" s="155"/>
      <c r="AA48" s="155"/>
    </row>
    <row r="49" spans="3:27" ht="20.25" customHeight="1" thickTop="1" thickBot="1" x14ac:dyDescent="0.35">
      <c r="C49" s="475">
        <v>20</v>
      </c>
      <c r="D49" s="75" t="s">
        <v>94</v>
      </c>
      <c r="E49" s="227">
        <f>E50</f>
        <v>74.61958781513168</v>
      </c>
      <c r="F49" s="227">
        <f t="shared" ref="F49:Q49" si="18">F50</f>
        <v>79.875293093641105</v>
      </c>
      <c r="G49" s="358">
        <f t="shared" si="18"/>
        <v>103.43255006493861</v>
      </c>
      <c r="H49" s="227">
        <f t="shared" si="18"/>
        <v>117.00552654159364</v>
      </c>
      <c r="I49" s="359">
        <f t="shared" si="18"/>
        <v>116.60443129635172</v>
      </c>
      <c r="J49" s="380">
        <f t="shared" si="18"/>
        <v>116.84360856847657</v>
      </c>
      <c r="K49" s="359">
        <f t="shared" si="18"/>
        <v>116.21907579159117</v>
      </c>
      <c r="L49" s="359">
        <f t="shared" si="18"/>
        <v>724.60007317172449</v>
      </c>
      <c r="M49" s="404">
        <f t="shared" si="18"/>
        <v>103.27175821560316</v>
      </c>
      <c r="N49" s="405">
        <f t="shared" si="18"/>
        <v>102.11964483108106</v>
      </c>
      <c r="O49" s="404">
        <f t="shared" si="18"/>
        <v>102.25435306867588</v>
      </c>
      <c r="P49" s="404">
        <f t="shared" si="18"/>
        <v>100.9054086727683</v>
      </c>
      <c r="Q49" s="429">
        <f t="shared" si="18"/>
        <v>100.52219798435854</v>
      </c>
      <c r="R49" s="415">
        <f>SUM(M49:Q49)</f>
        <v>509.07336277248692</v>
      </c>
      <c r="S49" s="442">
        <f>S50</f>
        <v>1233.6734359442114</v>
      </c>
      <c r="T49" s="66"/>
      <c r="U49" s="447"/>
      <c r="W49" s="155"/>
      <c r="X49" s="155"/>
      <c r="Y49" s="155"/>
      <c r="Z49" s="155"/>
      <c r="AA49" s="155"/>
    </row>
    <row r="50" spans="3:27" ht="20.25" customHeight="1" thickTop="1" thickBot="1" x14ac:dyDescent="0.35">
      <c r="C50" s="468"/>
      <c r="D50" s="73" t="s">
        <v>95</v>
      </c>
      <c r="E50" s="226">
        <v>74.61958781513168</v>
      </c>
      <c r="F50" s="226">
        <v>79.875293093641105</v>
      </c>
      <c r="G50" s="360">
        <v>103.43255006493861</v>
      </c>
      <c r="H50" s="361">
        <v>117.00552654159364</v>
      </c>
      <c r="I50" s="362">
        <v>116.60443129635172</v>
      </c>
      <c r="J50" s="365">
        <v>116.84360856847657</v>
      </c>
      <c r="K50" s="365">
        <v>116.21907579159117</v>
      </c>
      <c r="L50" s="365">
        <f>SUM(E50:K50)</f>
        <v>724.60007317172449</v>
      </c>
      <c r="M50" s="424">
        <v>103.27175821560316</v>
      </c>
      <c r="N50" s="220">
        <v>102.11964483108106</v>
      </c>
      <c r="O50" s="409">
        <v>102.25435306867588</v>
      </c>
      <c r="P50" s="430">
        <v>100.9054086727683</v>
      </c>
      <c r="Q50" s="430">
        <v>100.52219798435854</v>
      </c>
      <c r="R50" s="430">
        <f>SUM(M50:Q50)</f>
        <v>509.07336277248692</v>
      </c>
      <c r="S50" s="443">
        <f>L50+R50</f>
        <v>1233.6734359442114</v>
      </c>
      <c r="T50" s="66"/>
      <c r="U50" s="395">
        <f>SUM(N50:Q50)</f>
        <v>405.80160455688383</v>
      </c>
      <c r="W50" s="155"/>
      <c r="X50" s="155"/>
      <c r="Y50" s="155"/>
      <c r="Z50" s="155"/>
      <c r="AA50" s="155"/>
    </row>
    <row r="51" spans="3:27" ht="20.25" customHeight="1" thickTop="1" thickBot="1" x14ac:dyDescent="0.35">
      <c r="C51" s="458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60"/>
      <c r="T51" s="66"/>
      <c r="U51" s="447"/>
      <c r="W51" s="155"/>
      <c r="X51" s="155"/>
      <c r="Y51" s="155"/>
      <c r="Z51" s="155"/>
      <c r="AA51" s="155"/>
    </row>
    <row r="52" spans="3:27" ht="20.25" customHeight="1" thickTop="1" x14ac:dyDescent="0.3">
      <c r="C52" s="134">
        <v>21</v>
      </c>
      <c r="D52" s="75" t="s">
        <v>96</v>
      </c>
      <c r="E52" s="349">
        <f t="shared" ref="E52:Q52" si="19">E53+E56</f>
        <v>136.29077080945987</v>
      </c>
      <c r="F52" s="349">
        <f t="shared" si="19"/>
        <v>129.38656776274499</v>
      </c>
      <c r="G52" s="350">
        <f t="shared" si="19"/>
        <v>121.68344782810632</v>
      </c>
      <c r="H52" s="349">
        <f t="shared" si="19"/>
        <v>200.21204732940134</v>
      </c>
      <c r="I52" s="351">
        <f t="shared" si="19"/>
        <v>151.58849777333202</v>
      </c>
      <c r="J52" s="349">
        <f t="shared" si="19"/>
        <v>244.18694833421995</v>
      </c>
      <c r="K52" s="351">
        <f t="shared" si="19"/>
        <v>374.06860504848231</v>
      </c>
      <c r="L52" s="351">
        <f t="shared" si="19"/>
        <v>1357.4168848857466</v>
      </c>
      <c r="M52" s="396">
        <f t="shared" si="19"/>
        <v>123.33255566373091</v>
      </c>
      <c r="N52" s="394">
        <f t="shared" si="19"/>
        <v>107.42110127439744</v>
      </c>
      <c r="O52" s="396">
        <f t="shared" si="19"/>
        <v>330.76292517497745</v>
      </c>
      <c r="P52" s="396">
        <f t="shared" si="19"/>
        <v>147.55676243343876</v>
      </c>
      <c r="Q52" s="396">
        <f t="shared" si="19"/>
        <v>112.62345780621267</v>
      </c>
      <c r="R52" s="395">
        <f>SUM(M52:Q52)</f>
        <v>821.69680235275723</v>
      </c>
      <c r="S52" s="441">
        <f>L52+R52</f>
        <v>2179.1136872385041</v>
      </c>
      <c r="T52" s="66"/>
      <c r="U52" s="448">
        <v>0.15</v>
      </c>
      <c r="V52" s="447">
        <f>U50*1.15</f>
        <v>466.67184524041636</v>
      </c>
      <c r="W52" s="155"/>
      <c r="X52" s="155"/>
      <c r="Y52" s="155"/>
      <c r="Z52" s="155"/>
      <c r="AA52" s="155"/>
    </row>
    <row r="53" spans="3:27" ht="20.25" customHeight="1" x14ac:dyDescent="0.3">
      <c r="C53" s="462"/>
      <c r="D53" s="67" t="s">
        <v>97</v>
      </c>
      <c r="E53" s="226">
        <f>E54+E55</f>
        <v>128.71282231217376</v>
      </c>
      <c r="F53" s="226">
        <f>F54+F55</f>
        <v>121.27157380379019</v>
      </c>
      <c r="G53" s="226">
        <f>G54+G55</f>
        <v>115.62092828945539</v>
      </c>
      <c r="H53" s="361">
        <f t="shared" ref="H53:Q53" si="20">H54+H55</f>
        <v>191.20737167096874</v>
      </c>
      <c r="I53" s="361">
        <f t="shared" si="20"/>
        <v>142.92676213738184</v>
      </c>
      <c r="J53" s="361">
        <f t="shared" si="20"/>
        <v>226.75581691166485</v>
      </c>
      <c r="K53" s="361">
        <f t="shared" si="20"/>
        <v>366.95525192853944</v>
      </c>
      <c r="L53" s="359">
        <f t="shared" si="20"/>
        <v>1293.4505270539742</v>
      </c>
      <c r="M53" s="412">
        <f t="shared" si="20"/>
        <v>119.45925130250365</v>
      </c>
      <c r="N53" s="413">
        <f t="shared" si="20"/>
        <v>104.14182982878593</v>
      </c>
      <c r="O53" s="412">
        <f t="shared" si="20"/>
        <v>327.29635093662932</v>
      </c>
      <c r="P53" s="412">
        <f t="shared" si="20"/>
        <v>141.04888702968705</v>
      </c>
      <c r="Q53" s="412">
        <f t="shared" si="20"/>
        <v>108.07881866258569</v>
      </c>
      <c r="R53" s="413">
        <f>SUM(M53:Q53)</f>
        <v>800.02513776019168</v>
      </c>
      <c r="S53" s="441">
        <f>L53+R53</f>
        <v>2093.4756648141656</v>
      </c>
      <c r="T53" s="66"/>
      <c r="U53" s="447"/>
      <c r="W53" s="155"/>
      <c r="X53" s="155"/>
      <c r="Y53" s="155"/>
      <c r="Z53" s="155"/>
      <c r="AA53" s="155"/>
    </row>
    <row r="54" spans="3:27" ht="20.25" customHeight="1" x14ac:dyDescent="0.3">
      <c r="C54" s="462"/>
      <c r="D54" s="136" t="s">
        <v>98</v>
      </c>
      <c r="E54" s="226">
        <v>124.70725262271469</v>
      </c>
      <c r="F54" s="226">
        <v>118.4944575993561</v>
      </c>
      <c r="G54" s="360">
        <v>112.68397934481224</v>
      </c>
      <c r="H54" s="361">
        <v>184.64750976361017</v>
      </c>
      <c r="I54" s="361">
        <f>114.598895043251+20</f>
        <v>134.59889504325099</v>
      </c>
      <c r="J54" s="361">
        <v>210.30056135042713</v>
      </c>
      <c r="K54" s="361">
        <v>359.76851585537156</v>
      </c>
      <c r="L54" s="359">
        <f>SUM(E54:K54)</f>
        <v>1245.2011715795429</v>
      </c>
      <c r="M54" s="412">
        <v>105.34036924072888</v>
      </c>
      <c r="N54" s="413">
        <v>95.835664355548218</v>
      </c>
      <c r="O54" s="412">
        <v>313.9537748915165</v>
      </c>
      <c r="P54" s="412">
        <v>124.85711941851898</v>
      </c>
      <c r="Q54" s="412">
        <v>93.204998652968357</v>
      </c>
      <c r="R54" s="413">
        <f t="shared" ref="R54:R58" si="21">SUM(M54:Q54)</f>
        <v>733.19192655928089</v>
      </c>
      <c r="S54" s="441">
        <f t="shared" ref="S54:S58" si="22">L54+R54</f>
        <v>1978.3930981388239</v>
      </c>
      <c r="T54" s="66"/>
      <c r="U54" s="447"/>
      <c r="W54" s="155"/>
      <c r="X54" s="155"/>
      <c r="Y54" s="155"/>
      <c r="Z54" s="155"/>
      <c r="AA54" s="155"/>
    </row>
    <row r="55" spans="3:27" ht="20.25" customHeight="1" x14ac:dyDescent="0.3">
      <c r="C55" s="462"/>
      <c r="D55" s="137" t="s">
        <v>99</v>
      </c>
      <c r="E55" s="226">
        <v>4.0055696894590591</v>
      </c>
      <c r="F55" s="226">
        <v>2.7771162044340985</v>
      </c>
      <c r="G55" s="360">
        <v>2.9369489446431474</v>
      </c>
      <c r="H55" s="361">
        <v>6.5598619073585587</v>
      </c>
      <c r="I55" s="226">
        <v>8.327867094130859</v>
      </c>
      <c r="J55" s="226">
        <v>16.455255561237717</v>
      </c>
      <c r="K55" s="361">
        <v>7.1867360731678813</v>
      </c>
      <c r="L55" s="359">
        <f>SUM(E55:K55)</f>
        <v>48.249355474431319</v>
      </c>
      <c r="M55" s="420">
        <v>14.118882061774764</v>
      </c>
      <c r="N55" s="219">
        <v>8.3061654732377121</v>
      </c>
      <c r="O55" s="412">
        <v>13.342576045112793</v>
      </c>
      <c r="P55" s="420">
        <v>16.191767611168064</v>
      </c>
      <c r="Q55" s="420">
        <v>14.873820009617337</v>
      </c>
      <c r="R55" s="219">
        <f t="shared" si="21"/>
        <v>66.833211200910668</v>
      </c>
      <c r="S55" s="441">
        <f t="shared" si="22"/>
        <v>115.08256667534198</v>
      </c>
      <c r="T55" s="66"/>
      <c r="U55" s="447"/>
      <c r="W55" s="155"/>
      <c r="X55" s="155"/>
      <c r="Y55" s="155"/>
      <c r="Z55" s="155"/>
      <c r="AA55" s="155"/>
    </row>
    <row r="56" spans="3:27" ht="20.25" customHeight="1" x14ac:dyDescent="0.3">
      <c r="C56" s="462"/>
      <c r="D56" s="140" t="s">
        <v>100</v>
      </c>
      <c r="E56" s="226">
        <f>E57+E58</f>
        <v>7.5779484972861058</v>
      </c>
      <c r="F56" s="226">
        <f t="shared" ref="F56:Q56" si="23">F57+F58</f>
        <v>8.114993958954809</v>
      </c>
      <c r="G56" s="226">
        <f t="shared" si="23"/>
        <v>6.0625195386509265</v>
      </c>
      <c r="H56" s="226">
        <f t="shared" si="23"/>
        <v>9.0046756584326157</v>
      </c>
      <c r="I56" s="226">
        <f t="shared" si="23"/>
        <v>8.6617356359501674</v>
      </c>
      <c r="J56" s="226">
        <f t="shared" si="23"/>
        <v>17.431131422555087</v>
      </c>
      <c r="K56" s="226">
        <f t="shared" si="23"/>
        <v>7.1133531199428717</v>
      </c>
      <c r="L56" s="227">
        <f t="shared" si="23"/>
        <v>63.966357831772584</v>
      </c>
      <c r="M56" s="420">
        <f t="shared" si="23"/>
        <v>3.8733043612272766</v>
      </c>
      <c r="N56" s="420">
        <f t="shared" si="23"/>
        <v>3.2792714456115126</v>
      </c>
      <c r="O56" s="420">
        <f t="shared" si="23"/>
        <v>3.4665742383481342</v>
      </c>
      <c r="P56" s="420">
        <f t="shared" si="23"/>
        <v>6.5078754037517159</v>
      </c>
      <c r="Q56" s="420">
        <f t="shared" si="23"/>
        <v>4.5446391436269771</v>
      </c>
      <c r="R56" s="219">
        <f t="shared" si="21"/>
        <v>21.671664592565616</v>
      </c>
      <c r="S56" s="441">
        <f t="shared" si="22"/>
        <v>85.638022424338203</v>
      </c>
      <c r="T56" s="66"/>
      <c r="U56" s="447"/>
      <c r="W56" s="155"/>
      <c r="X56" s="155"/>
      <c r="Y56" s="155"/>
      <c r="Z56" s="155"/>
      <c r="AA56" s="155"/>
    </row>
    <row r="57" spans="3:27" ht="20.25" customHeight="1" x14ac:dyDescent="0.3">
      <c r="C57" s="462"/>
      <c r="D57" s="141" t="s">
        <v>101</v>
      </c>
      <c r="E57" s="226">
        <v>0.58036351596457503</v>
      </c>
      <c r="F57" s="226">
        <v>0.67834171746389327</v>
      </c>
      <c r="G57" s="360">
        <v>0.86912637290823136</v>
      </c>
      <c r="H57" s="361">
        <v>1.9424990059241065</v>
      </c>
      <c r="I57" s="226">
        <v>0.98781061657984603</v>
      </c>
      <c r="J57" s="360">
        <v>0.97795167426877527</v>
      </c>
      <c r="K57" s="361">
        <v>0.97930165516944456</v>
      </c>
      <c r="L57" s="359">
        <f>SUM(E57:K57)</f>
        <v>7.0153945582788717</v>
      </c>
      <c r="M57" s="412">
        <v>0.87354465691831851</v>
      </c>
      <c r="N57" s="413">
        <v>0.86761156009207552</v>
      </c>
      <c r="O57" s="412">
        <v>0.86233141659880796</v>
      </c>
      <c r="P57" s="420">
        <v>0.86607017118879326</v>
      </c>
      <c r="Q57" s="420">
        <v>0.84846531345926834</v>
      </c>
      <c r="R57" s="219">
        <f t="shared" si="21"/>
        <v>4.3180231182572637</v>
      </c>
      <c r="S57" s="441">
        <f t="shared" si="22"/>
        <v>11.333417676536136</v>
      </c>
      <c r="T57" s="66"/>
      <c r="U57" s="447"/>
      <c r="W57" s="155"/>
      <c r="X57" s="155"/>
      <c r="Y57" s="155"/>
      <c r="Z57" s="155"/>
      <c r="AA57" s="155"/>
    </row>
    <row r="58" spans="3:27" ht="20.25" customHeight="1" thickBot="1" x14ac:dyDescent="0.35">
      <c r="C58" s="463"/>
      <c r="D58" s="142" t="s">
        <v>102</v>
      </c>
      <c r="E58" s="381">
        <v>6.9975849813215305</v>
      </c>
      <c r="F58" s="381">
        <v>7.4366522414909166</v>
      </c>
      <c r="G58" s="382">
        <v>5.1933931657426955</v>
      </c>
      <c r="H58" s="383">
        <v>7.0621766525085086</v>
      </c>
      <c r="I58" s="381">
        <v>7.6739250193703219</v>
      </c>
      <c r="J58" s="382">
        <v>16.45317974828631</v>
      </c>
      <c r="K58" s="383">
        <v>6.1340514647734272</v>
      </c>
      <c r="L58" s="359">
        <f>SUM(E58:K58)</f>
        <v>56.950963273493713</v>
      </c>
      <c r="M58" s="409">
        <v>2.9997597043089579</v>
      </c>
      <c r="N58" s="409">
        <v>2.4116598855194371</v>
      </c>
      <c r="O58" s="431">
        <v>2.6042428217493261</v>
      </c>
      <c r="P58" s="432">
        <v>5.6418052325629224</v>
      </c>
      <c r="Q58" s="425">
        <v>3.6961738301677083</v>
      </c>
      <c r="R58" s="433">
        <f t="shared" si="21"/>
        <v>17.35364147430835</v>
      </c>
      <c r="S58" s="441">
        <f t="shared" si="22"/>
        <v>74.30460474780206</v>
      </c>
      <c r="T58" s="66"/>
      <c r="U58" s="447"/>
      <c r="W58" s="155"/>
      <c r="X58" s="155"/>
      <c r="Y58" s="155"/>
      <c r="Z58" s="155"/>
      <c r="AA58" s="155"/>
    </row>
    <row r="59" spans="3:27" ht="20.25" customHeight="1" thickTop="1" thickBot="1" x14ac:dyDescent="0.35">
      <c r="C59" s="458"/>
      <c r="D59" s="459"/>
      <c r="E59" s="459"/>
      <c r="F59" s="459"/>
      <c r="G59" s="459"/>
      <c r="H59" s="459"/>
      <c r="I59" s="459"/>
      <c r="J59" s="459"/>
      <c r="K59" s="459"/>
      <c r="L59" s="459"/>
      <c r="M59" s="459"/>
      <c r="N59" s="459"/>
      <c r="O59" s="459"/>
      <c r="P59" s="459"/>
      <c r="Q59" s="459"/>
      <c r="R59" s="459"/>
      <c r="S59" s="460"/>
      <c r="T59" s="66"/>
      <c r="U59" s="447"/>
      <c r="W59" s="155"/>
      <c r="X59" s="155"/>
      <c r="Y59" s="155"/>
      <c r="Z59" s="155"/>
      <c r="AA59" s="155"/>
    </row>
    <row r="60" spans="3:27" ht="20.25" customHeight="1" thickTop="1" x14ac:dyDescent="0.3">
      <c r="C60" s="134">
        <v>22</v>
      </c>
      <c r="D60" s="152" t="s">
        <v>103</v>
      </c>
      <c r="E60" s="227">
        <v>9.5368549937291522</v>
      </c>
      <c r="F60" s="227">
        <v>9.1541475534220194</v>
      </c>
      <c r="G60" s="384">
        <v>9.4536191612589899</v>
      </c>
      <c r="H60" s="359">
        <v>11.301198005676783</v>
      </c>
      <c r="I60" s="367">
        <v>10.342510111323456</v>
      </c>
      <c r="J60" s="385">
        <v>11.442960050835193</v>
      </c>
      <c r="K60" s="368">
        <v>9.7563272683400886</v>
      </c>
      <c r="L60" s="368">
        <f>SUM(E60:K60)</f>
        <v>70.987617144585684</v>
      </c>
      <c r="M60" s="414">
        <v>8.1713769010355772</v>
      </c>
      <c r="N60" s="406">
        <v>9.0024636897735064</v>
      </c>
      <c r="O60" s="415">
        <v>7.2587345027862877</v>
      </c>
      <c r="P60" s="415">
        <v>9.8228271987742186</v>
      </c>
      <c r="Q60" s="415">
        <v>9.1515855904652401</v>
      </c>
      <c r="R60" s="415">
        <f>SUM(M60:Q60)</f>
        <v>43.406987882834834</v>
      </c>
      <c r="S60" s="441">
        <f>L60+R60</f>
        <v>114.39460502742051</v>
      </c>
      <c r="T60" s="66"/>
      <c r="U60" s="395">
        <f>SUM(N60:Q60)</f>
        <v>35.235610981799255</v>
      </c>
      <c r="W60" s="155"/>
      <c r="X60" s="155"/>
      <c r="Y60" s="155"/>
      <c r="Z60" s="155"/>
      <c r="AA60" s="155"/>
    </row>
    <row r="61" spans="3:27" ht="20.25" customHeight="1" thickBot="1" x14ac:dyDescent="0.35">
      <c r="C61" s="134">
        <v>23</v>
      </c>
      <c r="D61" s="122" t="s">
        <v>104</v>
      </c>
      <c r="E61" s="386">
        <v>338.84399105504002</v>
      </c>
      <c r="F61" s="386">
        <v>198.49870372932054</v>
      </c>
      <c r="G61" s="386">
        <v>233.39032271780619</v>
      </c>
      <c r="H61" s="387">
        <v>185.19223594996799</v>
      </c>
      <c r="I61" s="388">
        <v>477.76456346044858</v>
      </c>
      <c r="J61" s="389">
        <v>266.86757733609033</v>
      </c>
      <c r="K61" s="387">
        <v>449.49882220313071</v>
      </c>
      <c r="L61" s="368">
        <f>SUM(E61:K61)</f>
        <v>2150.0562164518046</v>
      </c>
      <c r="M61" s="434">
        <v>584.1624781459808</v>
      </c>
      <c r="N61" s="435">
        <v>547.41894800204489</v>
      </c>
      <c r="O61" s="436">
        <v>654.27736887578374</v>
      </c>
      <c r="P61" s="436">
        <v>235.61895211728555</v>
      </c>
      <c r="Q61" s="436">
        <v>555.09916653609355</v>
      </c>
      <c r="R61" s="436">
        <f>SUM(M61:Q61)</f>
        <v>2576.5769136771883</v>
      </c>
      <c r="S61" s="443">
        <f>L61+R61</f>
        <v>4726.6331301289929</v>
      </c>
      <c r="T61" s="66"/>
      <c r="U61" s="447">
        <v>0.35</v>
      </c>
      <c r="V61" s="155">
        <f>U60*1.35</f>
        <v>47.568074825428994</v>
      </c>
      <c r="W61" s="155"/>
      <c r="X61" s="155"/>
      <c r="Y61" s="155"/>
      <c r="Z61" s="155"/>
      <c r="AA61" s="155"/>
    </row>
    <row r="62" spans="3:27" ht="20.25" customHeight="1" thickTop="1" thickBot="1" x14ac:dyDescent="0.35">
      <c r="C62" s="458"/>
      <c r="D62" s="459"/>
      <c r="E62" s="459"/>
      <c r="F62" s="459"/>
      <c r="G62" s="459"/>
      <c r="H62" s="459"/>
      <c r="I62" s="459"/>
      <c r="J62" s="459"/>
      <c r="K62" s="459"/>
      <c r="L62" s="459"/>
      <c r="M62" s="459"/>
      <c r="N62" s="459"/>
      <c r="O62" s="459"/>
      <c r="P62" s="459"/>
      <c r="Q62" s="459"/>
      <c r="R62" s="459"/>
      <c r="S62" s="460"/>
      <c r="T62" s="66"/>
      <c r="U62" s="447"/>
      <c r="W62" s="155"/>
      <c r="X62" s="155"/>
      <c r="Y62" s="155"/>
      <c r="Z62" s="155"/>
      <c r="AA62" s="155"/>
    </row>
    <row r="63" spans="3:27" ht="20.25" customHeight="1" thickTop="1" thickBot="1" x14ac:dyDescent="0.35">
      <c r="C63" s="461"/>
      <c r="D63" s="173" t="s">
        <v>106</v>
      </c>
      <c r="E63" s="168">
        <f t="shared" ref="E63:Q63" si="24">E49+E52+E60+E61</f>
        <v>559.29120467336065</v>
      </c>
      <c r="F63" s="168">
        <f t="shared" si="24"/>
        <v>416.9147121391286</v>
      </c>
      <c r="G63" s="170">
        <f>G49+G52+G60+G61</f>
        <v>467.95993977211015</v>
      </c>
      <c r="H63" s="168">
        <f t="shared" si="24"/>
        <v>513.71100782663984</v>
      </c>
      <c r="I63" s="168">
        <f t="shared" si="24"/>
        <v>756.30000264145576</v>
      </c>
      <c r="J63" s="168">
        <f t="shared" si="24"/>
        <v>639.34109428962211</v>
      </c>
      <c r="K63" s="169">
        <f t="shared" si="24"/>
        <v>949.54283031154432</v>
      </c>
      <c r="L63" s="169">
        <f t="shared" si="24"/>
        <v>4303.0607916538611</v>
      </c>
      <c r="M63" s="426">
        <f t="shared" si="24"/>
        <v>818.9381689263505</v>
      </c>
      <c r="N63" s="427">
        <f t="shared" si="24"/>
        <v>765.96215779729687</v>
      </c>
      <c r="O63" s="426">
        <f t="shared" si="24"/>
        <v>1094.5533816222232</v>
      </c>
      <c r="P63" s="426">
        <f t="shared" si="24"/>
        <v>493.9039504222668</v>
      </c>
      <c r="Q63" s="428">
        <f t="shared" si="24"/>
        <v>777.39640791712998</v>
      </c>
      <c r="R63" s="428">
        <f>SUM(M63:Q63)</f>
        <v>3950.7540666852678</v>
      </c>
      <c r="S63" s="444">
        <f>L63+R63</f>
        <v>8253.8148583391285</v>
      </c>
      <c r="T63" s="66"/>
      <c r="U63" s="447"/>
      <c r="W63" s="155"/>
      <c r="X63" s="155"/>
      <c r="Y63" s="155"/>
      <c r="Z63" s="155"/>
      <c r="AA63" s="155"/>
    </row>
    <row r="64" spans="3:27" ht="20.25" customHeight="1" thickTop="1" thickBot="1" x14ac:dyDescent="0.35">
      <c r="C64" s="462"/>
      <c r="D64" s="459"/>
      <c r="E64" s="459"/>
      <c r="F64" s="459"/>
      <c r="G64" s="459"/>
      <c r="H64" s="459"/>
      <c r="I64" s="459"/>
      <c r="J64" s="459"/>
      <c r="K64" s="459"/>
      <c r="L64" s="459"/>
      <c r="M64" s="459"/>
      <c r="N64" s="459"/>
      <c r="O64" s="459"/>
      <c r="P64" s="459"/>
      <c r="Q64" s="459"/>
      <c r="R64" s="459"/>
      <c r="S64" s="460"/>
      <c r="T64" s="66"/>
      <c r="U64" s="447"/>
      <c r="W64" s="155">
        <v>17636.82</v>
      </c>
      <c r="X64" s="155"/>
      <c r="Y64" s="155"/>
      <c r="Z64" s="155"/>
      <c r="AA64" s="155"/>
    </row>
    <row r="65" spans="3:27" ht="20.25" customHeight="1" thickTop="1" thickBot="1" x14ac:dyDescent="0.35">
      <c r="C65" s="463"/>
      <c r="D65" s="171" t="s">
        <v>105</v>
      </c>
      <c r="E65" s="168">
        <f t="shared" ref="E65:Q65" si="25">E63+E46</f>
        <v>7990.488669151564</v>
      </c>
      <c r="F65" s="168">
        <f>F63+F46</f>
        <v>6292.7335006223248</v>
      </c>
      <c r="G65" s="170">
        <f>G63+G46</f>
        <v>8345.5665036735791</v>
      </c>
      <c r="H65" s="168">
        <f>H63+H46</f>
        <v>7776.2467710877545</v>
      </c>
      <c r="I65" s="168">
        <f t="shared" si="25"/>
        <v>8336.6806275515555</v>
      </c>
      <c r="J65" s="168">
        <f t="shared" si="25"/>
        <v>7309.0150592927239</v>
      </c>
      <c r="K65" s="169">
        <f t="shared" si="25"/>
        <v>7335.5406251406912</v>
      </c>
      <c r="L65" s="169">
        <f t="shared" si="25"/>
        <v>53386.271756520189</v>
      </c>
      <c r="M65" s="426">
        <f t="shared" si="25"/>
        <v>6524.5525212225784</v>
      </c>
      <c r="N65" s="427">
        <f t="shared" si="25"/>
        <v>6148.6387389776783</v>
      </c>
      <c r="O65" s="426">
        <f t="shared" si="25"/>
        <v>6258.8890974794031</v>
      </c>
      <c r="P65" s="426">
        <f t="shared" si="25"/>
        <v>5644.7645481338868</v>
      </c>
      <c r="Q65" s="426">
        <f t="shared" si="25"/>
        <v>5491.8808391855364</v>
      </c>
      <c r="R65" s="428">
        <f>SUM(M65:Q65)</f>
        <v>30068.725744999087</v>
      </c>
      <c r="S65" s="445">
        <f>S46+S63</f>
        <v>83454.997501519261</v>
      </c>
      <c r="T65" s="66"/>
      <c r="U65" s="447"/>
      <c r="W65" s="155">
        <f>V61+V52+V33</f>
        <v>19773.521363111653</v>
      </c>
      <c r="X65" s="155"/>
      <c r="Y65" s="155"/>
      <c r="Z65" s="155"/>
      <c r="AA65" s="155"/>
    </row>
    <row r="66" spans="3:27" ht="20.25" customHeight="1" thickTop="1" thickBot="1" x14ac:dyDescent="0.35">
      <c r="C66" s="162" t="s">
        <v>108</v>
      </c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464">
        <v>45993</v>
      </c>
      <c r="R66" s="464"/>
      <c r="S66" s="465"/>
    </row>
    <row r="67" spans="3:27" ht="15" thickTop="1" x14ac:dyDescent="0.3">
      <c r="H67" s="164"/>
      <c r="I67" s="165"/>
      <c r="J67" s="164"/>
      <c r="K67" s="164"/>
      <c r="L67" s="164"/>
      <c r="M67" s="166"/>
      <c r="N67" s="166"/>
      <c r="O67" s="166"/>
      <c r="P67" s="166"/>
      <c r="Q67" s="166"/>
      <c r="R67" s="166"/>
      <c r="S67" s="167"/>
      <c r="W67" s="155">
        <f>W65-W64</f>
        <v>2136.7013631116533</v>
      </c>
    </row>
    <row r="68" spans="3:27" x14ac:dyDescent="0.3">
      <c r="M68" s="446">
        <v>6524.5525212225793</v>
      </c>
      <c r="N68" s="446">
        <v>6148.6387389776792</v>
      </c>
      <c r="O68" s="446">
        <v>6258.8890974794031</v>
      </c>
      <c r="P68" s="446">
        <v>5644.7645481338877</v>
      </c>
      <c r="Q68" s="446">
        <v>5491.8808391855364</v>
      </c>
      <c r="R68" s="446">
        <v>30068.725744999087</v>
      </c>
      <c r="S68" s="446">
        <v>83454.997501519276</v>
      </c>
      <c r="U68" s="446"/>
    </row>
    <row r="70" spans="3:27" x14ac:dyDescent="0.3"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155"/>
    </row>
    <row r="71" spans="3:27" x14ac:dyDescent="0.3"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</row>
    <row r="72" spans="3:27" x14ac:dyDescent="0.3"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</row>
    <row r="73" spans="3:27" x14ac:dyDescent="0.3">
      <c r="I73" s="139"/>
      <c r="J73" s="139"/>
      <c r="K73" s="139"/>
      <c r="L73" s="139"/>
      <c r="M73" s="139"/>
      <c r="N73" s="139"/>
      <c r="O73" s="139"/>
      <c r="P73" s="139"/>
      <c r="Q73" s="139"/>
      <c r="R73" s="139"/>
    </row>
    <row r="74" spans="3:27" x14ac:dyDescent="0.3">
      <c r="L74" s="139">
        <f>200000*3624</f>
        <v>724800000</v>
      </c>
    </row>
    <row r="76" spans="3:27" x14ac:dyDescent="0.3">
      <c r="I76" s="155"/>
      <c r="J76" s="155"/>
      <c r="K76" s="155"/>
      <c r="L76" s="155"/>
      <c r="M76" s="155"/>
      <c r="N76" s="155"/>
      <c r="O76" s="155"/>
      <c r="P76" s="155"/>
      <c r="Q76" s="155"/>
      <c r="R76" s="155"/>
    </row>
  </sheetData>
  <mergeCells count="25">
    <mergeCell ref="C62:S62"/>
    <mergeCell ref="C63:C65"/>
    <mergeCell ref="D64:S64"/>
    <mergeCell ref="Q66:S66"/>
    <mergeCell ref="E9:L9"/>
    <mergeCell ref="M9:R9"/>
    <mergeCell ref="S9:S10"/>
    <mergeCell ref="C38:C46"/>
    <mergeCell ref="D47:S48"/>
    <mergeCell ref="C49:C50"/>
    <mergeCell ref="C51:S51"/>
    <mergeCell ref="C53:C58"/>
    <mergeCell ref="C59:S59"/>
    <mergeCell ref="C15:C16"/>
    <mergeCell ref="C17:S17"/>
    <mergeCell ref="C18:C25"/>
    <mergeCell ref="C26:S26"/>
    <mergeCell ref="C27:C36"/>
    <mergeCell ref="C37:S37"/>
    <mergeCell ref="C1:S5"/>
    <mergeCell ref="C6:S6"/>
    <mergeCell ref="C7:S7"/>
    <mergeCell ref="C8:S8"/>
    <mergeCell ref="C11:C13"/>
    <mergeCell ref="C14:S14"/>
  </mergeCells>
  <printOptions horizontalCentered="1" verticalCentered="1"/>
  <pageMargins left="0" right="0" top="0.16" bottom="0" header="0" footer="0"/>
  <pageSetup scale="43" orientation="landscape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Brush" shapeId="6145" r:id="rId4">
          <objectPr defaultSize="0" autoPict="0" r:id="rId5">
            <anchor moveWithCells="1" sizeWithCells="1">
              <from>
                <xdr:col>4</xdr:col>
                <xdr:colOff>0</xdr:colOff>
                <xdr:row>0</xdr:row>
                <xdr:rowOff>91440</xdr:rowOff>
              </from>
              <to>
                <xdr:col>4</xdr:col>
                <xdr:colOff>0</xdr:colOff>
                <xdr:row>4</xdr:row>
                <xdr:rowOff>22860</xdr:rowOff>
              </to>
            </anchor>
          </objectPr>
        </oleObject>
      </mc:Choice>
      <mc:Fallback>
        <oleObject progId="PBrush" shapeId="6145" r:id="rId4"/>
      </mc:Fallback>
    </mc:AlternateContent>
    <mc:AlternateContent xmlns:mc="http://schemas.openxmlformats.org/markup-compatibility/2006">
      <mc:Choice Requires="x14">
        <oleObject progId="PBrush" shapeId="6146" r:id="rId6">
          <objectPr defaultSize="0" autoPict="0" r:id="rId5">
            <anchor moveWithCells="1" sizeWithCells="1">
              <from>
                <xdr:col>4</xdr:col>
                <xdr:colOff>0</xdr:colOff>
                <xdr:row>67</xdr:row>
                <xdr:rowOff>0</xdr:rowOff>
              </from>
              <to>
                <xdr:col>4</xdr:col>
                <xdr:colOff>0</xdr:colOff>
                <xdr:row>67</xdr:row>
                <xdr:rowOff>0</xdr:rowOff>
              </to>
            </anchor>
          </objectPr>
        </oleObject>
      </mc:Choice>
      <mc:Fallback>
        <oleObject progId="PBrush" shapeId="614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abSelected="1" workbookViewId="0">
      <selection activeCell="D5" sqref="D5:D9"/>
    </sheetView>
  </sheetViews>
  <sheetFormatPr defaultRowHeight="14.4" x14ac:dyDescent="0.3"/>
  <cols>
    <col min="1" max="1" width="10.109375" customWidth="1"/>
    <col min="2" max="2" width="4.5546875" customWidth="1"/>
    <col min="3" max="3" width="44" customWidth="1"/>
    <col min="4" max="4" width="32.44140625" customWidth="1"/>
    <col min="5" max="9" width="20.77734375" customWidth="1"/>
  </cols>
  <sheetData>
    <row r="1" spans="2:9" ht="15" thickBot="1" x14ac:dyDescent="0.35"/>
    <row r="2" spans="2:9" ht="16.2" thickBot="1" x14ac:dyDescent="0.35">
      <c r="B2" s="549"/>
      <c r="C2" s="550"/>
      <c r="D2" s="550"/>
      <c r="E2" s="550"/>
      <c r="F2" s="550"/>
      <c r="G2" s="550"/>
      <c r="H2" s="550"/>
      <c r="I2" s="551"/>
    </row>
    <row r="3" spans="2:9" ht="15" thickBot="1" x14ac:dyDescent="0.35">
      <c r="B3" s="555" t="s">
        <v>137</v>
      </c>
      <c r="C3" s="555" t="s">
        <v>140</v>
      </c>
      <c r="D3" s="555" t="s">
        <v>121</v>
      </c>
      <c r="E3" s="557" t="s">
        <v>139</v>
      </c>
      <c r="F3" s="558"/>
      <c r="G3" s="558"/>
      <c r="H3" s="558"/>
      <c r="I3" s="559"/>
    </row>
    <row r="4" spans="2:9" ht="15" thickBot="1" x14ac:dyDescent="0.35">
      <c r="B4" s="556"/>
      <c r="C4" s="556"/>
      <c r="D4" s="556"/>
      <c r="E4" s="452" t="s">
        <v>11</v>
      </c>
      <c r="F4" s="452" t="s">
        <v>12</v>
      </c>
      <c r="G4" s="452" t="s">
        <v>138</v>
      </c>
      <c r="H4" s="452" t="s">
        <v>122</v>
      </c>
      <c r="I4" s="452" t="s">
        <v>142</v>
      </c>
    </row>
    <row r="5" spans="2:9" ht="72" customHeight="1" thickBot="1" x14ac:dyDescent="0.35">
      <c r="B5" s="453">
        <v>1</v>
      </c>
      <c r="C5" s="450" t="s">
        <v>123</v>
      </c>
      <c r="D5" s="552" t="s">
        <v>134</v>
      </c>
      <c r="E5" s="449"/>
      <c r="F5" s="449"/>
      <c r="G5" s="449"/>
      <c r="H5" s="449"/>
      <c r="I5" s="455">
        <f>SUM(E5:H5)</f>
        <v>0</v>
      </c>
    </row>
    <row r="6" spans="2:9" ht="15" thickBot="1" x14ac:dyDescent="0.35">
      <c r="B6" s="453">
        <v>2</v>
      </c>
      <c r="C6" s="450" t="s">
        <v>124</v>
      </c>
      <c r="D6" s="553"/>
      <c r="E6" s="449"/>
      <c r="F6" s="449"/>
      <c r="G6" s="449"/>
      <c r="H6" s="449"/>
      <c r="I6" s="455">
        <f t="shared" ref="I6:I9" si="0">SUM(E6:H6)</f>
        <v>0</v>
      </c>
    </row>
    <row r="7" spans="2:9" ht="43.8" thickBot="1" x14ac:dyDescent="0.35">
      <c r="B7" s="453">
        <v>3</v>
      </c>
      <c r="C7" s="450" t="s">
        <v>125</v>
      </c>
      <c r="D7" s="553"/>
      <c r="E7" s="449"/>
      <c r="F7" s="449"/>
      <c r="G7" s="449"/>
      <c r="H7" s="449"/>
      <c r="I7" s="455">
        <f t="shared" si="0"/>
        <v>0</v>
      </c>
    </row>
    <row r="8" spans="2:9" ht="15" thickBot="1" x14ac:dyDescent="0.35">
      <c r="B8" s="453">
        <v>4</v>
      </c>
      <c r="C8" s="450" t="s">
        <v>126</v>
      </c>
      <c r="D8" s="553"/>
      <c r="E8" s="449"/>
      <c r="F8" s="449"/>
      <c r="G8" s="449"/>
      <c r="H8" s="449"/>
      <c r="I8" s="455">
        <f t="shared" si="0"/>
        <v>0</v>
      </c>
    </row>
    <row r="9" spans="2:9" ht="29.4" thickBot="1" x14ac:dyDescent="0.35">
      <c r="B9" s="453">
        <v>5</v>
      </c>
      <c r="C9" s="450" t="s">
        <v>127</v>
      </c>
      <c r="D9" s="554"/>
      <c r="E9" s="449"/>
      <c r="F9" s="449"/>
      <c r="G9" s="449"/>
      <c r="H9" s="449"/>
      <c r="I9" s="455">
        <f t="shared" si="0"/>
        <v>0</v>
      </c>
    </row>
    <row r="10" spans="2:9" ht="16.2" thickBot="1" x14ac:dyDescent="0.35">
      <c r="B10" s="540" t="s">
        <v>141</v>
      </c>
      <c r="C10" s="541"/>
      <c r="D10" s="542"/>
      <c r="E10" s="455">
        <f>SUM(E5:E9)</f>
        <v>0</v>
      </c>
      <c r="F10" s="455">
        <f t="shared" ref="F10:I10" si="1">SUM(F5:F9)</f>
        <v>0</v>
      </c>
      <c r="G10" s="455">
        <f t="shared" si="1"/>
        <v>0</v>
      </c>
      <c r="H10" s="455">
        <f t="shared" si="1"/>
        <v>0</v>
      </c>
      <c r="I10" s="455">
        <f t="shared" si="1"/>
        <v>0</v>
      </c>
    </row>
    <row r="11" spans="2:9" ht="15" thickBot="1" x14ac:dyDescent="0.35">
      <c r="B11" s="454"/>
      <c r="C11" s="451"/>
      <c r="D11" s="451"/>
      <c r="E11" s="451"/>
      <c r="F11" s="451"/>
      <c r="G11" s="451"/>
      <c r="H11" s="451"/>
      <c r="I11" s="451"/>
    </row>
    <row r="12" spans="2:9" ht="43.8" thickBot="1" x14ac:dyDescent="0.35">
      <c r="B12" s="453">
        <v>6</v>
      </c>
      <c r="C12" s="450" t="s">
        <v>128</v>
      </c>
      <c r="D12" s="552" t="s">
        <v>135</v>
      </c>
      <c r="E12" s="449"/>
      <c r="F12" s="449"/>
      <c r="G12" s="449"/>
      <c r="H12" s="449"/>
      <c r="I12" s="455">
        <f>SUM(E12:H12)</f>
        <v>0</v>
      </c>
    </row>
    <row r="13" spans="2:9" ht="43.8" thickBot="1" x14ac:dyDescent="0.35">
      <c r="B13" s="453">
        <v>7</v>
      </c>
      <c r="C13" s="450" t="s">
        <v>129</v>
      </c>
      <c r="D13" s="553"/>
      <c r="E13" s="449"/>
      <c r="F13" s="449"/>
      <c r="G13" s="449"/>
      <c r="H13" s="449"/>
      <c r="I13" s="455">
        <f t="shared" ref="I13:I14" si="2">SUM(E13:H13)</f>
        <v>0</v>
      </c>
    </row>
    <row r="14" spans="2:9" ht="29.4" thickBot="1" x14ac:dyDescent="0.35">
      <c r="B14" s="453">
        <v>8</v>
      </c>
      <c r="C14" s="450" t="s">
        <v>130</v>
      </c>
      <c r="D14" s="554"/>
      <c r="E14" s="449"/>
      <c r="F14" s="449"/>
      <c r="G14" s="449"/>
      <c r="H14" s="449"/>
      <c r="I14" s="455">
        <f t="shared" si="2"/>
        <v>0</v>
      </c>
    </row>
    <row r="15" spans="2:9" ht="16.2" thickBot="1" x14ac:dyDescent="0.35">
      <c r="B15" s="540" t="s">
        <v>141</v>
      </c>
      <c r="C15" s="541"/>
      <c r="D15" s="542"/>
      <c r="E15" s="455">
        <f>SUM(E12:E14)</f>
        <v>0</v>
      </c>
      <c r="F15" s="455">
        <f t="shared" ref="F15:G15" si="3">SUM(F12:F14)</f>
        <v>0</v>
      </c>
      <c r="G15" s="455">
        <f t="shared" si="3"/>
        <v>0</v>
      </c>
      <c r="H15" s="455">
        <f>SUM(H12:H14)</f>
        <v>0</v>
      </c>
      <c r="I15" s="455">
        <f t="shared" ref="I15" si="4">SUM(I12:I14)</f>
        <v>0</v>
      </c>
    </row>
    <row r="16" spans="2:9" ht="16.2" thickBot="1" x14ac:dyDescent="0.35">
      <c r="B16" s="546"/>
      <c r="C16" s="547"/>
      <c r="D16" s="547"/>
      <c r="E16" s="547"/>
      <c r="F16" s="547"/>
      <c r="G16" s="547"/>
      <c r="H16" s="547"/>
      <c r="I16" s="548"/>
    </row>
    <row r="17" spans="2:9" ht="40.799999999999997" customHeight="1" thickBot="1" x14ac:dyDescent="0.35">
      <c r="B17" s="453">
        <v>9</v>
      </c>
      <c r="C17" s="450" t="s">
        <v>131</v>
      </c>
      <c r="D17" s="552" t="s">
        <v>136</v>
      </c>
      <c r="E17" s="449"/>
      <c r="F17" s="449"/>
      <c r="G17" s="449"/>
      <c r="H17" s="449"/>
      <c r="I17" s="455">
        <f>SUM(E17:H17)</f>
        <v>0</v>
      </c>
    </row>
    <row r="18" spans="2:9" ht="58.8" customHeight="1" thickBot="1" x14ac:dyDescent="0.35">
      <c r="B18" s="453">
        <v>10</v>
      </c>
      <c r="C18" s="450" t="s">
        <v>132</v>
      </c>
      <c r="D18" s="553"/>
      <c r="E18" s="449"/>
      <c r="F18" s="449"/>
      <c r="G18" s="449"/>
      <c r="H18" s="449"/>
      <c r="I18" s="455">
        <f t="shared" ref="I18:I19" si="5">SUM(E18:H18)</f>
        <v>0</v>
      </c>
    </row>
    <row r="19" spans="2:9" ht="34.799999999999997" customHeight="1" thickBot="1" x14ac:dyDescent="0.35">
      <c r="B19" s="453">
        <v>11</v>
      </c>
      <c r="C19" s="450" t="s">
        <v>133</v>
      </c>
      <c r="D19" s="554"/>
      <c r="E19" s="449"/>
      <c r="F19" s="449"/>
      <c r="G19" s="449"/>
      <c r="H19" s="449"/>
      <c r="I19" s="455">
        <f t="shared" si="5"/>
        <v>0</v>
      </c>
    </row>
    <row r="20" spans="2:9" ht="16.2" thickBot="1" x14ac:dyDescent="0.35">
      <c r="B20" s="540" t="s">
        <v>141</v>
      </c>
      <c r="C20" s="541"/>
      <c r="D20" s="542"/>
      <c r="E20" s="455">
        <f>SUM(E17:E19)</f>
        <v>0</v>
      </c>
      <c r="F20" s="455">
        <f t="shared" ref="F20:I20" si="6">SUM(F17:F19)</f>
        <v>0</v>
      </c>
      <c r="G20" s="455">
        <f t="shared" si="6"/>
        <v>0</v>
      </c>
      <c r="H20" s="455">
        <f t="shared" si="6"/>
        <v>0</v>
      </c>
      <c r="I20" s="455">
        <f t="shared" si="6"/>
        <v>0</v>
      </c>
    </row>
    <row r="21" spans="2:9" ht="15" thickBot="1" x14ac:dyDescent="0.35">
      <c r="B21" s="543"/>
      <c r="C21" s="544"/>
      <c r="D21" s="544"/>
      <c r="E21" s="544"/>
      <c r="F21" s="544"/>
      <c r="G21" s="544"/>
      <c r="H21" s="544"/>
      <c r="I21" s="545"/>
    </row>
    <row r="22" spans="2:9" ht="16.2" thickBot="1" x14ac:dyDescent="0.35">
      <c r="B22" s="540" t="s">
        <v>142</v>
      </c>
      <c r="C22" s="541"/>
      <c r="D22" s="542"/>
      <c r="E22" s="456">
        <f>E20+E15+E10</f>
        <v>0</v>
      </c>
      <c r="F22" s="457">
        <f t="shared" ref="F22:I22" si="7">F20+F15+F10</f>
        <v>0</v>
      </c>
      <c r="G22" s="457">
        <f t="shared" si="7"/>
        <v>0</v>
      </c>
      <c r="H22" s="457">
        <f t="shared" si="7"/>
        <v>0</v>
      </c>
      <c r="I22" s="457">
        <f t="shared" si="7"/>
        <v>0</v>
      </c>
    </row>
  </sheetData>
  <mergeCells count="14">
    <mergeCell ref="B22:D22"/>
    <mergeCell ref="B21:I21"/>
    <mergeCell ref="B16:I16"/>
    <mergeCell ref="B2:I2"/>
    <mergeCell ref="D17:D19"/>
    <mergeCell ref="B3:B4"/>
    <mergeCell ref="B10:D10"/>
    <mergeCell ref="B15:D15"/>
    <mergeCell ref="B20:D20"/>
    <mergeCell ref="E3:I3"/>
    <mergeCell ref="C3:C4"/>
    <mergeCell ref="D3:D4"/>
    <mergeCell ref="D5:D9"/>
    <mergeCell ref="D12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Prévision_par_Champ</vt:lpstr>
      <vt:lpstr>Prévision_par_Point </vt:lpstr>
      <vt:lpstr>Prévision_par_Point__Modifiée</vt:lpstr>
      <vt:lpstr>Prévision_par_Point_Rectifiée </vt:lpstr>
      <vt:lpstr>Prévision_par_Champ_Rectifiée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</dc:creator>
  <cp:lastModifiedBy>Kens-Cador PIERRE</cp:lastModifiedBy>
  <dcterms:created xsi:type="dcterms:W3CDTF">2025-02-12T19:20:04Z</dcterms:created>
  <dcterms:modified xsi:type="dcterms:W3CDTF">2025-06-02T02:55:33Z</dcterms:modified>
</cp:coreProperties>
</file>