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Magnetics/Magnetism_code/"/>
    </mc:Choice>
  </mc:AlternateContent>
  <xr:revisionPtr revIDLastSave="687" documentId="13_ncr:1_{8ABC0D2B-C8E5-44D1-926B-ADB09F951735}" xr6:coauthVersionLast="47" xr6:coauthVersionMax="47" xr10:uidLastSave="{2513B038-4A4A-47CE-9FB9-A1D27500426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7" i="1" l="1"/>
  <c r="N113" i="1"/>
  <c r="F113" i="1"/>
  <c r="N126" i="1"/>
  <c r="F126" i="1"/>
  <c r="N157" i="1"/>
  <c r="F157" i="1"/>
  <c r="N139" i="1"/>
  <c r="F139" i="1"/>
  <c r="N87" i="1"/>
  <c r="F87" i="1"/>
  <c r="N119" i="1"/>
  <c r="F119" i="1"/>
  <c r="N171" i="1"/>
  <c r="N170" i="1"/>
  <c r="F170" i="1"/>
  <c r="N88" i="1"/>
  <c r="F88" i="1"/>
  <c r="N111" i="1"/>
  <c r="N110" i="1"/>
  <c r="F110" i="1"/>
  <c r="N78" i="1"/>
  <c r="N77" i="1"/>
  <c r="F77" i="1"/>
  <c r="N145" i="1"/>
  <c r="F145" i="1"/>
  <c r="N137" i="1"/>
  <c r="F137" i="1"/>
  <c r="N84" i="1"/>
  <c r="F84" i="1"/>
  <c r="N142" i="1"/>
  <c r="F142" i="1"/>
  <c r="N174" i="1"/>
  <c r="F174" i="1"/>
  <c r="N136" i="1"/>
  <c r="F136" i="1"/>
  <c r="N74" i="1"/>
  <c r="F74" i="1"/>
  <c r="N173" i="1"/>
  <c r="F173" i="1"/>
  <c r="N109" i="1"/>
  <c r="F109" i="1"/>
  <c r="N167" i="1"/>
  <c r="F167" i="1"/>
  <c r="N130" i="1"/>
  <c r="F130" i="1"/>
  <c r="N93" i="1"/>
  <c r="F93" i="1"/>
  <c r="N104" i="1"/>
  <c r="N103" i="1"/>
  <c r="F103" i="1"/>
  <c r="N117" i="1"/>
  <c r="F117" i="1"/>
  <c r="N79" i="1"/>
  <c r="F79" i="1"/>
  <c r="N141" i="1"/>
  <c r="F141" i="1"/>
  <c r="N82" i="1"/>
  <c r="F82" i="1"/>
  <c r="N90" i="1"/>
  <c r="F90" i="1"/>
  <c r="F78" i="1"/>
  <c r="N169" i="1"/>
  <c r="F169" i="1"/>
  <c r="N105" i="1"/>
  <c r="F105" i="1"/>
  <c r="N150" i="1"/>
  <c r="F150" i="1"/>
  <c r="N160" i="1"/>
  <c r="F160" i="1"/>
  <c r="N73" i="1"/>
  <c r="F73" i="1"/>
  <c r="N108" i="1"/>
  <c r="F108" i="1"/>
  <c r="N120" i="1"/>
  <c r="F120" i="1"/>
  <c r="N138" i="1"/>
  <c r="F138" i="1"/>
  <c r="N134" i="1"/>
  <c r="F134" i="1"/>
  <c r="N144" i="1"/>
  <c r="F144" i="1"/>
  <c r="N123" i="1"/>
  <c r="F123" i="1"/>
  <c r="N156" i="1"/>
  <c r="F156" i="1"/>
  <c r="N107" i="1"/>
  <c r="N106" i="1"/>
  <c r="F106" i="1"/>
  <c r="N95" i="1"/>
  <c r="F95" i="1"/>
  <c r="N168" i="1"/>
  <c r="F168" i="1"/>
  <c r="N83" i="1"/>
  <c r="F83" i="1"/>
  <c r="N92" i="1"/>
  <c r="F92" i="1"/>
  <c r="N135" i="1"/>
  <c r="F135" i="1"/>
  <c r="N143" i="1"/>
  <c r="F143" i="1"/>
  <c r="N80" i="1"/>
  <c r="F80" i="1"/>
  <c r="N147" i="1"/>
  <c r="F147" i="1"/>
  <c r="N100" i="1"/>
  <c r="F100" i="1"/>
  <c r="N112" i="1"/>
  <c r="F112" i="1"/>
  <c r="N85" i="1"/>
  <c r="F85" i="1"/>
  <c r="N128" i="1"/>
  <c r="N127" i="1"/>
  <c r="F127" i="1"/>
  <c r="N81" i="1"/>
  <c r="F81" i="1"/>
  <c r="N140" i="1"/>
  <c r="F140" i="1"/>
  <c r="N76" i="1"/>
  <c r="N75" i="1"/>
  <c r="F75" i="1"/>
  <c r="F76" i="1"/>
  <c r="N163" i="1"/>
  <c r="F163" i="1"/>
  <c r="N118" i="1"/>
  <c r="F118" i="1"/>
  <c r="N89" i="1"/>
  <c r="F89" i="1"/>
  <c r="N172" i="1"/>
  <c r="F171" i="1"/>
  <c r="N96" i="1"/>
  <c r="F96" i="1"/>
  <c r="N148" i="1"/>
  <c r="F148" i="1"/>
  <c r="F172" i="1"/>
  <c r="F107" i="1"/>
  <c r="N72" i="1"/>
  <c r="F72" i="1"/>
  <c r="N151" i="1"/>
  <c r="N152" i="1"/>
  <c r="F151" i="1"/>
  <c r="N133" i="1"/>
  <c r="F133" i="1"/>
  <c r="N155" i="1"/>
  <c r="F155" i="1"/>
  <c r="N146" i="1"/>
  <c r="F146" i="1"/>
  <c r="F152" i="1"/>
  <c r="N162" i="1"/>
  <c r="F162" i="1"/>
  <c r="N153" i="1"/>
  <c r="F153" i="1"/>
  <c r="N99" i="1"/>
  <c r="F97" i="1"/>
  <c r="N102" i="1"/>
  <c r="F102" i="1"/>
  <c r="N158" i="1"/>
  <c r="F158" i="1"/>
  <c r="N129" i="1"/>
  <c r="F129" i="1"/>
  <c r="N166" i="1"/>
  <c r="F166" i="1"/>
  <c r="N98" i="1"/>
  <c r="F98" i="1"/>
  <c r="N159" i="1"/>
  <c r="F159" i="1"/>
  <c r="N131" i="1"/>
  <c r="F131" i="1"/>
  <c r="N125" i="1"/>
  <c r="F125" i="1"/>
  <c r="N149" i="1"/>
  <c r="F149" i="1"/>
  <c r="N132" i="1"/>
  <c r="F132" i="1"/>
  <c r="N154" i="1"/>
  <c r="F154" i="1"/>
  <c r="N124" i="1"/>
  <c r="F124" i="1"/>
  <c r="N91" i="1"/>
  <c r="F91" i="1"/>
  <c r="U71" i="1"/>
  <c r="N116" i="1"/>
  <c r="F116" i="1"/>
  <c r="F104" i="1"/>
  <c r="N122" i="1"/>
  <c r="F122" i="1"/>
  <c r="N121" i="1"/>
  <c r="F121" i="1"/>
  <c r="N94" i="1"/>
  <c r="F94" i="1"/>
  <c r="F128" i="1"/>
  <c r="N115" i="1"/>
  <c r="F115" i="1"/>
  <c r="F99" i="1"/>
  <c r="N161" i="1"/>
  <c r="F161" i="1"/>
  <c r="N165" i="1"/>
  <c r="F165" i="1"/>
  <c r="N114" i="1"/>
  <c r="F114" i="1"/>
  <c r="F111" i="1"/>
  <c r="N101" i="1"/>
  <c r="F101" i="1"/>
  <c r="N86" i="1"/>
  <c r="F86" i="1"/>
  <c r="N164" i="1"/>
  <c r="F164" i="1"/>
  <c r="F71" i="1"/>
  <c r="N71" i="1"/>
  <c r="V58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3" i="1"/>
  <c r="V2" i="1"/>
  <c r="N70" i="1"/>
  <c r="N69" i="1"/>
  <c r="N68" i="1"/>
  <c r="N67" i="1"/>
  <c r="N66" i="1"/>
  <c r="N65" i="1"/>
  <c r="N64" i="1"/>
  <c r="N63" i="1"/>
  <c r="N62" i="1"/>
  <c r="N61" i="1"/>
  <c r="N60" i="1"/>
  <c r="F70" i="1"/>
  <c r="F69" i="1"/>
  <c r="F68" i="1"/>
  <c r="F67" i="1"/>
  <c r="F66" i="1"/>
  <c r="F65" i="1"/>
  <c r="F64" i="1"/>
  <c r="F63" i="1"/>
  <c r="F62" i="1"/>
  <c r="F61" i="1"/>
  <c r="F60" i="1"/>
  <c r="N59" i="1"/>
  <c r="F59" i="1"/>
  <c r="N58" i="1"/>
  <c r="F5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U76" i="1"/>
  <c r="U77" i="1"/>
  <c r="U85" i="1"/>
  <c r="U95" i="1"/>
  <c r="U109" i="1"/>
  <c r="U121" i="1"/>
  <c r="U125" i="1"/>
  <c r="U126" i="1"/>
  <c r="U131" i="1"/>
  <c r="U133" i="1"/>
  <c r="U173" i="1"/>
  <c r="U176" i="1"/>
  <c r="U181" i="1"/>
  <c r="U79" i="1"/>
  <c r="U102" i="1"/>
  <c r="U113" i="1"/>
  <c r="U127" i="1"/>
  <c r="U138" i="1"/>
  <c r="U139" i="1"/>
  <c r="U162" i="1"/>
  <c r="U163" i="1"/>
  <c r="U182" i="1"/>
  <c r="U73" i="1"/>
  <c r="U74" i="1"/>
  <c r="U110" i="1"/>
  <c r="U145" i="1"/>
  <c r="U167" i="1"/>
  <c r="U169" i="1"/>
  <c r="U90" i="1"/>
  <c r="U91" i="1"/>
  <c r="U92" i="1"/>
  <c r="U150" i="1"/>
  <c r="U151" i="1"/>
  <c r="U152" i="1"/>
  <c r="U174" i="1"/>
  <c r="U175" i="1"/>
  <c r="U75" i="1"/>
  <c r="U87" i="1"/>
  <c r="U88" i="1"/>
  <c r="U89" i="1"/>
  <c r="U97" i="1"/>
  <c r="U99" i="1"/>
  <c r="U111" i="1"/>
  <c r="U112" i="1"/>
  <c r="U123" i="1"/>
  <c r="U124" i="1"/>
  <c r="U135" i="1"/>
  <c r="U136" i="1"/>
  <c r="U137" i="1"/>
  <c r="U146" i="1"/>
  <c r="U147" i="1"/>
  <c r="U148" i="1"/>
  <c r="U149" i="1"/>
  <c r="U159" i="1"/>
  <c r="U160" i="1"/>
  <c r="U171" i="1"/>
  <c r="U172" i="1"/>
  <c r="U183" i="1"/>
  <c r="U94" i="1" l="1"/>
  <c r="U164" i="1"/>
  <c r="U140" i="1"/>
  <c r="U128" i="1"/>
  <c r="U116" i="1"/>
  <c r="U115" i="1"/>
  <c r="U114" i="1"/>
  <c r="U80" i="1"/>
  <c r="U104" i="1"/>
  <c r="U103" i="1"/>
  <c r="U161" i="1"/>
  <c r="U101" i="1"/>
  <c r="U166" i="1"/>
  <c r="U78" i="1"/>
  <c r="U100" i="1"/>
  <c r="U154" i="1"/>
  <c r="U142" i="1"/>
  <c r="U118" i="1"/>
  <c r="U106" i="1"/>
  <c r="U82" i="1"/>
  <c r="U130" i="1"/>
  <c r="U177" i="1"/>
  <c r="U165" i="1"/>
  <c r="U153" i="1"/>
  <c r="U141" i="1"/>
  <c r="U129" i="1"/>
  <c r="U117" i="1"/>
  <c r="U105" i="1"/>
  <c r="U93" i="1"/>
  <c r="U81" i="1"/>
  <c r="U180" i="1"/>
  <c r="U144" i="1"/>
  <c r="U108" i="1"/>
  <c r="U72" i="1"/>
  <c r="U179" i="1"/>
  <c r="U143" i="1"/>
  <c r="U107" i="1"/>
  <c r="U178" i="1"/>
  <c r="U158" i="1"/>
  <c r="U122" i="1"/>
  <c r="U86" i="1"/>
  <c r="U157" i="1"/>
  <c r="U156" i="1"/>
  <c r="U120" i="1"/>
  <c r="U84" i="1"/>
  <c r="U155" i="1"/>
  <c r="U119" i="1"/>
  <c r="U83" i="1"/>
  <c r="U170" i="1"/>
  <c r="U134" i="1"/>
  <c r="U98" i="1"/>
  <c r="U168" i="1"/>
  <c r="U132" i="1"/>
  <c r="U96" i="1"/>
  <c r="U58" i="1" l="1"/>
  <c r="U59" i="1"/>
  <c r="U63" i="1"/>
  <c r="U67" i="1"/>
  <c r="U70" i="1"/>
  <c r="U60" i="1"/>
  <c r="U64" i="1"/>
  <c r="U68" i="1"/>
  <c r="U66" i="1"/>
  <c r="U61" i="1"/>
  <c r="U65" i="1"/>
  <c r="U69" i="1"/>
  <c r="U6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</calcChain>
</file>

<file path=xl/sharedStrings.xml><?xml version="1.0" encoding="utf-8"?>
<sst xmlns="http://schemas.openxmlformats.org/spreadsheetml/2006/main" count="631" uniqueCount="502">
  <si>
    <t>NUMBER</t>
  </si>
  <si>
    <t>SAMPLE</t>
  </si>
  <si>
    <t>Time</t>
  </si>
  <si>
    <t>Duration</t>
  </si>
  <si>
    <t>Depth</t>
  </si>
  <si>
    <t>Ph_F1</t>
  </si>
  <si>
    <t>Time_F1</t>
  </si>
  <si>
    <t>Date_F1</t>
  </si>
  <si>
    <t>Mass</t>
  </si>
  <si>
    <t>#_y</t>
  </si>
  <si>
    <t>Rg_F3</t>
  </si>
  <si>
    <t>Ph_F3</t>
  </si>
  <si>
    <t>Time_F3</t>
  </si>
  <si>
    <t>Date_F3</t>
  </si>
  <si>
    <t>SiO2</t>
  </si>
  <si>
    <t>SiO2 Error</t>
  </si>
  <si>
    <t>MgO</t>
  </si>
  <si>
    <t>MgO Error</t>
  </si>
  <si>
    <t>Al2O3</t>
  </si>
  <si>
    <t>Al2O3 Error</t>
  </si>
  <si>
    <t>Mo</t>
  </si>
  <si>
    <t>Mo Error</t>
  </si>
  <si>
    <t>Zr</t>
  </si>
  <si>
    <t>Zr Error</t>
  </si>
  <si>
    <t>Sr</t>
  </si>
  <si>
    <t>Sr Error</t>
  </si>
  <si>
    <t>U</t>
  </si>
  <si>
    <t>U Error</t>
  </si>
  <si>
    <t>Rb</t>
  </si>
  <si>
    <t>Rb Error</t>
  </si>
  <si>
    <t>Th</t>
  </si>
  <si>
    <t>Th Error</t>
  </si>
  <si>
    <t>Pb</t>
  </si>
  <si>
    <t>Pb Error</t>
  </si>
  <si>
    <t>Au</t>
  </si>
  <si>
    <t>Au Error</t>
  </si>
  <si>
    <t>Se</t>
  </si>
  <si>
    <t>Se Error</t>
  </si>
  <si>
    <t>As</t>
  </si>
  <si>
    <t>As Error</t>
  </si>
  <si>
    <t>Hg</t>
  </si>
  <si>
    <t>Hg Error</t>
  </si>
  <si>
    <t>Zn</t>
  </si>
  <si>
    <t>Zn Error</t>
  </si>
  <si>
    <t>W</t>
  </si>
  <si>
    <t>W Error</t>
  </si>
  <si>
    <t>Cu</t>
  </si>
  <si>
    <t>Cu Error</t>
  </si>
  <si>
    <t>Ni</t>
  </si>
  <si>
    <t>Ni Error</t>
  </si>
  <si>
    <t>Co</t>
  </si>
  <si>
    <t>Co Error</t>
  </si>
  <si>
    <t>Fe</t>
  </si>
  <si>
    <t>Fe Error</t>
  </si>
  <si>
    <t>Mn</t>
  </si>
  <si>
    <t>Mn Error</t>
  </si>
  <si>
    <t>Cr</t>
  </si>
  <si>
    <t>Cr Error</t>
  </si>
  <si>
    <t>V</t>
  </si>
  <si>
    <t>V Error</t>
  </si>
  <si>
    <t>Ti</t>
  </si>
  <si>
    <t>Ti Error</t>
  </si>
  <si>
    <t>Ca</t>
  </si>
  <si>
    <t>Ca Error</t>
  </si>
  <si>
    <t>K</t>
  </si>
  <si>
    <t>K Error</t>
  </si>
  <si>
    <t>S</t>
  </si>
  <si>
    <t>S Error</t>
  </si>
  <si>
    <t>Ba</t>
  </si>
  <si>
    <t>Ba Error</t>
  </si>
  <si>
    <t>Sb</t>
  </si>
  <si>
    <t>Sb Error</t>
  </si>
  <si>
    <t>Sn</t>
  </si>
  <si>
    <t>Sn Error</t>
  </si>
  <si>
    <t>Cd</t>
  </si>
  <si>
    <t>Cd Error</t>
  </si>
  <si>
    <t>Ag</t>
  </si>
  <si>
    <t>Ag Error</t>
  </si>
  <si>
    <t>Pd</t>
  </si>
  <si>
    <t>Pd Error</t>
  </si>
  <si>
    <t>Bal</t>
  </si>
  <si>
    <t>Bal Error</t>
  </si>
  <si>
    <t>Nb</t>
  </si>
  <si>
    <t>Nb Error</t>
  </si>
  <si>
    <t>Bi</t>
  </si>
  <si>
    <t>Bi Error</t>
  </si>
  <si>
    <t>Re</t>
  </si>
  <si>
    <t>Re Error</t>
  </si>
  <si>
    <t>Ta</t>
  </si>
  <si>
    <t>Ta Error</t>
  </si>
  <si>
    <t>Hf</t>
  </si>
  <si>
    <t>Hf Error</t>
  </si>
  <si>
    <t>Al</t>
  </si>
  <si>
    <t>Al Error</t>
  </si>
  <si>
    <t>P</t>
  </si>
  <si>
    <t>P Error</t>
  </si>
  <si>
    <t>Si</t>
  </si>
  <si>
    <t>Si Error</t>
  </si>
  <si>
    <t>Cl</t>
  </si>
  <si>
    <t>Cl Error</t>
  </si>
  <si>
    <t>Mg</t>
  </si>
  <si>
    <t>Mg Error</t>
  </si>
  <si>
    <t>Sc</t>
  </si>
  <si>
    <t>Sc Error</t>
  </si>
  <si>
    <t>Cs</t>
  </si>
  <si>
    <t>Cs Error</t>
  </si>
  <si>
    <t>Te</t>
  </si>
  <si>
    <t>Te Error</t>
  </si>
  <si>
    <t>HOEKE8</t>
  </si>
  <si>
    <t>14:17:38</t>
  </si>
  <si>
    <t>06-04-2022</t>
  </si>
  <si>
    <t>15:54:01</t>
  </si>
  <si>
    <t>HOEKE2</t>
  </si>
  <si>
    <t>13:59:00</t>
  </si>
  <si>
    <t>15:57:02</t>
  </si>
  <si>
    <t>HOEKE3</t>
  </si>
  <si>
    <t>14:15:25</t>
  </si>
  <si>
    <t>15:53:29</t>
  </si>
  <si>
    <t>HOEKE47</t>
  </si>
  <si>
    <t>14:09:47</t>
  </si>
  <si>
    <t>15:52:07</t>
  </si>
  <si>
    <t>HOEKE23</t>
  </si>
  <si>
    <t>14:25:28</t>
  </si>
  <si>
    <t>15:48:53</t>
  </si>
  <si>
    <t>HOEKE49</t>
  </si>
  <si>
    <t>14:23:02</t>
  </si>
  <si>
    <t>15:55:04</t>
  </si>
  <si>
    <t>HOEKE5</t>
  </si>
  <si>
    <t>13:54:30</t>
  </si>
  <si>
    <t>15:58:05</t>
  </si>
  <si>
    <t>HOEKE10</t>
  </si>
  <si>
    <t>13:51:44</t>
  </si>
  <si>
    <t>15:58:36</t>
  </si>
  <si>
    <t>HOEKE6</t>
  </si>
  <si>
    <t>14:03:16</t>
  </si>
  <si>
    <t>15:56:36</t>
  </si>
  <si>
    <t>HOEKE19</t>
  </si>
  <si>
    <t>14:05:11</t>
  </si>
  <si>
    <t>15:56:04</t>
  </si>
  <si>
    <t>HOEKE7</t>
  </si>
  <si>
    <t>14:42:01</t>
  </si>
  <si>
    <t>15:48:22</t>
  </si>
  <si>
    <t>HOEKE1</t>
  </si>
  <si>
    <t>14:46:49</t>
  </si>
  <si>
    <t>15:46:16</t>
  </si>
  <si>
    <t>DREN10</t>
  </si>
  <si>
    <t>14:35:12</t>
  </si>
  <si>
    <t>15:50:40</t>
  </si>
  <si>
    <t>DREN8</t>
  </si>
  <si>
    <t>14:13:02</t>
  </si>
  <si>
    <t>15:52:36</t>
  </si>
  <si>
    <t>DREN49</t>
  </si>
  <si>
    <t>14:44:37</t>
  </si>
  <si>
    <t>15:47:42</t>
  </si>
  <si>
    <t>DREN47</t>
  </si>
  <si>
    <t>14:28:03</t>
  </si>
  <si>
    <t>15:49:18</t>
  </si>
  <si>
    <t>DREN6</t>
  </si>
  <si>
    <t>14:39:15</t>
  </si>
  <si>
    <t>15:51:35</t>
  </si>
  <si>
    <t>VALTHEN1</t>
  </si>
  <si>
    <t>14:37:06</t>
  </si>
  <si>
    <t>15:51:08</t>
  </si>
  <si>
    <t>VALTHEA12</t>
  </si>
  <si>
    <t>14:07:48</t>
  </si>
  <si>
    <t>15:55:37</t>
  </si>
  <si>
    <t>VALTHEN5</t>
  </si>
  <si>
    <t>17:21:12</t>
  </si>
  <si>
    <t>08-04-2022</t>
  </si>
  <si>
    <t>18:02:50</t>
  </si>
  <si>
    <t>VALTHEA11</t>
  </si>
  <si>
    <t>17:20:29</t>
  </si>
  <si>
    <t>18:01:54</t>
  </si>
  <si>
    <t>VALTHEA18</t>
  </si>
  <si>
    <t>14:33:05</t>
  </si>
  <si>
    <t>15:50:16</t>
  </si>
  <si>
    <t>VALTHEN7</t>
  </si>
  <si>
    <t>14:49:12</t>
  </si>
  <si>
    <t>15:42:51</t>
  </si>
  <si>
    <t>05-04-2022</t>
  </si>
  <si>
    <t>07-04-2022</t>
  </si>
  <si>
    <t>A2</t>
  </si>
  <si>
    <t>10:22:21</t>
  </si>
  <si>
    <t>11:35:32</t>
  </si>
  <si>
    <t>10:43:07</t>
  </si>
  <si>
    <t>11:49:18</t>
  </si>
  <si>
    <t>10:20:55</t>
  </si>
  <si>
    <t>11:34:37</t>
  </si>
  <si>
    <t>11:06:47</t>
  </si>
  <si>
    <t>11:51:38</t>
  </si>
  <si>
    <t>10:27:44</t>
  </si>
  <si>
    <t>11:36:55</t>
  </si>
  <si>
    <t>11:47:28</t>
  </si>
  <si>
    <t>11-04-2022</t>
  </si>
  <si>
    <t>L10</t>
  </si>
  <si>
    <t>16:31:28</t>
  </si>
  <si>
    <t>17:37:50</t>
  </si>
  <si>
    <t>L20</t>
  </si>
  <si>
    <t>16:29:57</t>
  </si>
  <si>
    <t>17:36:23</t>
  </si>
  <si>
    <t>L50</t>
  </si>
  <si>
    <t>16:38:39</t>
  </si>
  <si>
    <t>17:43:04</t>
  </si>
  <si>
    <t>L70</t>
  </si>
  <si>
    <t>16:42:22</t>
  </si>
  <si>
    <t>17:45:21</t>
  </si>
  <si>
    <t>L78</t>
  </si>
  <si>
    <t>16:32:48</t>
  </si>
  <si>
    <t>17:38:38</t>
  </si>
  <si>
    <t>L114</t>
  </si>
  <si>
    <t>10:57:16</t>
  </si>
  <si>
    <t>11:14:53</t>
  </si>
  <si>
    <t>E2</t>
  </si>
  <si>
    <t>17:20:38</t>
  </si>
  <si>
    <t>16:33:32</t>
  </si>
  <si>
    <t>17:30:09</t>
  </si>
  <si>
    <t>16:44:42</t>
  </si>
  <si>
    <t>17:21:06</t>
  </si>
  <si>
    <t>16:32:42</t>
  </si>
  <si>
    <t>17:18:19</t>
  </si>
  <si>
    <t>16:33:56</t>
  </si>
  <si>
    <t>17:23:22</t>
  </si>
  <si>
    <t>16:38:32</t>
  </si>
  <si>
    <t>11:05:42</t>
  </si>
  <si>
    <t>11:38:22</t>
  </si>
  <si>
    <t>11:13:00</t>
  </si>
  <si>
    <t>11:21:40</t>
  </si>
  <si>
    <t>11:21:30</t>
  </si>
  <si>
    <t>11:26:26</t>
  </si>
  <si>
    <t>11:17:02</t>
  </si>
  <si>
    <t>11:15:24</t>
  </si>
  <si>
    <t>11:22:53</t>
  </si>
  <si>
    <t>P32</t>
  </si>
  <si>
    <t>16:29:54</t>
  </si>
  <si>
    <t>10:03:25</t>
  </si>
  <si>
    <t>P58</t>
  </si>
  <si>
    <t>16:53:41</t>
  </si>
  <si>
    <t>9:47:17</t>
  </si>
  <si>
    <t>P78</t>
  </si>
  <si>
    <t>16:31:00</t>
  </si>
  <si>
    <t>10:04:16</t>
  </si>
  <si>
    <t>P92</t>
  </si>
  <si>
    <t>17:16:53</t>
  </si>
  <si>
    <t>17:58:37</t>
  </si>
  <si>
    <t>P110</t>
  </si>
  <si>
    <t>16:59:15</t>
  </si>
  <si>
    <t>9:35:28</t>
  </si>
  <si>
    <t>P122</t>
  </si>
  <si>
    <t>16:42:19</t>
  </si>
  <si>
    <t>9:57:29</t>
  </si>
  <si>
    <t>P144</t>
  </si>
  <si>
    <t>16:42:50</t>
  </si>
  <si>
    <t>9:54:25</t>
  </si>
  <si>
    <t>S28</t>
  </si>
  <si>
    <t>17:18:17</t>
  </si>
  <si>
    <t>17:59:35</t>
  </si>
  <si>
    <t>S48</t>
  </si>
  <si>
    <t>10:47:30</t>
  </si>
  <si>
    <t>16:27:18</t>
  </si>
  <si>
    <t>S64</t>
  </si>
  <si>
    <t>12:24:25</t>
  </si>
  <si>
    <t>16:01:30</t>
  </si>
  <si>
    <t>S110</t>
  </si>
  <si>
    <t>12:22:51</t>
  </si>
  <si>
    <t>16:00:04</t>
  </si>
  <si>
    <t>S130</t>
  </si>
  <si>
    <t>12:19:38</t>
  </si>
  <si>
    <t>16:02:53</t>
  </si>
  <si>
    <t>copeky</t>
  </si>
  <si>
    <t>horizon</t>
  </si>
  <si>
    <t>Carbone</t>
  </si>
  <si>
    <t>Humus</t>
  </si>
  <si>
    <t>pH_eau</t>
  </si>
  <si>
    <t>Granulom</t>
  </si>
  <si>
    <t>Clay</t>
  </si>
  <si>
    <t>Silt_fine</t>
  </si>
  <si>
    <t>Silt_coarse</t>
  </si>
  <si>
    <t>Silt</t>
  </si>
  <si>
    <t>Sand_finr</t>
  </si>
  <si>
    <t>Sand_coarse</t>
  </si>
  <si>
    <t>Sand</t>
  </si>
  <si>
    <t>Battance</t>
  </si>
  <si>
    <t>CaCO</t>
  </si>
  <si>
    <t>Bulk_density</t>
  </si>
  <si>
    <t>CEC</t>
  </si>
  <si>
    <t>Ap</t>
  </si>
  <si>
    <t>G22/0061</t>
  </si>
  <si>
    <t>copeky_depth</t>
  </si>
  <si>
    <t>G22/0062</t>
  </si>
  <si>
    <t>Ape</t>
  </si>
  <si>
    <t>G22/0059</t>
  </si>
  <si>
    <t>G22/0060</t>
  </si>
  <si>
    <t>Ebt</t>
  </si>
  <si>
    <t>Bt</t>
  </si>
  <si>
    <t>Bic</t>
  </si>
  <si>
    <t>G22/0058</t>
  </si>
  <si>
    <t>G22/0075</t>
  </si>
  <si>
    <t>G22/0076</t>
  </si>
  <si>
    <t>G22/0044</t>
  </si>
  <si>
    <t>G22/0045</t>
  </si>
  <si>
    <t>G22/0046</t>
  </si>
  <si>
    <t>G22/0047</t>
  </si>
  <si>
    <t>G22/0048</t>
  </si>
  <si>
    <t>G22/0049</t>
  </si>
  <si>
    <t>G22/0050</t>
  </si>
  <si>
    <t>G22/0051</t>
  </si>
  <si>
    <t>G22/0052</t>
  </si>
  <si>
    <t>Bs</t>
  </si>
  <si>
    <t>G22/0043</t>
  </si>
  <si>
    <t>G22/0042</t>
  </si>
  <si>
    <t>G22/0041</t>
  </si>
  <si>
    <t>Cglay</t>
  </si>
  <si>
    <t>C</t>
  </si>
  <si>
    <t>G22/0078</t>
  </si>
  <si>
    <t>G22/0079</t>
  </si>
  <si>
    <t>Ap2</t>
  </si>
  <si>
    <t>E</t>
  </si>
  <si>
    <t>Br</t>
  </si>
  <si>
    <t>G22/0036</t>
  </si>
  <si>
    <t>C2</t>
  </si>
  <si>
    <t>E3</t>
  </si>
  <si>
    <t>Bs3</t>
  </si>
  <si>
    <t>C3</t>
  </si>
  <si>
    <t>G22/0040</t>
  </si>
  <si>
    <t>G22/0037</t>
  </si>
  <si>
    <t>G22/0039</t>
  </si>
  <si>
    <t>G22/0038</t>
  </si>
  <si>
    <t>Bijzer</t>
  </si>
  <si>
    <t>BC</t>
  </si>
  <si>
    <t>AE</t>
  </si>
  <si>
    <t>B2</t>
  </si>
  <si>
    <t>G22/0035</t>
  </si>
  <si>
    <t>G22/0034</t>
  </si>
  <si>
    <t>G22/0033</t>
  </si>
  <si>
    <t>G22/0032</t>
  </si>
  <si>
    <t>G22/0030</t>
  </si>
  <si>
    <t>G22/0031</t>
  </si>
  <si>
    <t>G22/0056</t>
  </si>
  <si>
    <t>G22/0053</t>
  </si>
  <si>
    <t>G22/0057</t>
  </si>
  <si>
    <t>G22/0054</t>
  </si>
  <si>
    <t>G22/0055</t>
  </si>
  <si>
    <t>G22/0074</t>
  </si>
  <si>
    <t>G22/0073</t>
  </si>
  <si>
    <t>G22/0072</t>
  </si>
  <si>
    <t>G22/0063</t>
  </si>
  <si>
    <t>G22/0064</t>
  </si>
  <si>
    <t>G22/0065</t>
  </si>
  <si>
    <t>G22/0066</t>
  </si>
  <si>
    <t>G22/0067</t>
  </si>
  <si>
    <t>G22/0068</t>
  </si>
  <si>
    <t>G22/0069</t>
  </si>
  <si>
    <t>G22/0070</t>
  </si>
  <si>
    <t>G22/0071</t>
  </si>
  <si>
    <t>G22/0084</t>
  </si>
  <si>
    <t>G22/0094</t>
  </si>
  <si>
    <t>G22/0098</t>
  </si>
  <si>
    <t>G22/0116</t>
  </si>
  <si>
    <t>HE20</t>
  </si>
  <si>
    <t>HE48</t>
  </si>
  <si>
    <t>HE64</t>
  </si>
  <si>
    <t>HE86</t>
  </si>
  <si>
    <t>HE94</t>
  </si>
  <si>
    <t>EHBH01</t>
  </si>
  <si>
    <t>EHBH02</t>
  </si>
  <si>
    <t>EHBH101 A</t>
  </si>
  <si>
    <t>EHBH 101 B</t>
  </si>
  <si>
    <t>EHBH03</t>
  </si>
  <si>
    <t>EHBH04</t>
  </si>
  <si>
    <t>EHBH05</t>
  </si>
  <si>
    <t>EHBH06</t>
  </si>
  <si>
    <t>EHBH07</t>
  </si>
  <si>
    <t>EHBH08</t>
  </si>
  <si>
    <t>EHBH102</t>
  </si>
  <si>
    <t>EHBH09</t>
  </si>
  <si>
    <t>EHBH10</t>
  </si>
  <si>
    <t>avelang21 bh529</t>
  </si>
  <si>
    <t>EK21 bh524</t>
  </si>
  <si>
    <t>AN1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</si>
  <si>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</si>
  <si>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</si>
  <si>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</si>
  <si>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</si>
  <si>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</si>
  <si>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</si>
  <si>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</si>
  <si>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</si>
  <si>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</si>
  <si>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</si>
  <si>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</si>
  <si>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</si>
  <si>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</si>
  <si>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</si>
  <si>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</si>
  <si>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</si>
  <si>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</si>
  <si>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</si>
  <si>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</si>
  <si>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</si>
  <si>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</si>
  <si>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</si>
  <si>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</si>
  <si>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</si>
  <si>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</si>
  <si>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AN27</t>
  </si>
  <si>
    <t>AN28</t>
  </si>
  <si>
    <t>AN29</t>
  </si>
  <si>
    <t>AN30</t>
  </si>
  <si>
    <t>AN31</t>
  </si>
  <si>
    <t>AN32</t>
  </si>
  <si>
    <t>AN33</t>
  </si>
  <si>
    <t>AN34</t>
  </si>
  <si>
    <t>AN35</t>
  </si>
  <si>
    <t>AN36</t>
  </si>
  <si>
    <t>AN37</t>
  </si>
  <si>
    <t>AN38</t>
  </si>
  <si>
    <t>AN39</t>
  </si>
  <si>
    <t>AN40</t>
  </si>
  <si>
    <t>AN41</t>
  </si>
  <si>
    <t>AN42</t>
  </si>
  <si>
    <t>AN43</t>
  </si>
  <si>
    <t>AN44</t>
  </si>
  <si>
    <t>AN45</t>
  </si>
  <si>
    <t>AN46</t>
  </si>
  <si>
    <t>AN47</t>
  </si>
  <si>
    <t>AN48</t>
  </si>
  <si>
    <t>AN49</t>
  </si>
  <si>
    <t>AN50</t>
  </si>
  <si>
    <t>AN51</t>
  </si>
  <si>
    <t>AN52</t>
  </si>
  <si>
    <t>AN53</t>
  </si>
  <si>
    <t>AN54</t>
  </si>
  <si>
    <t>AN55</t>
  </si>
  <si>
    <t>AN56</t>
  </si>
  <si>
    <t>AN57</t>
  </si>
  <si>
    <t>AN58</t>
  </si>
  <si>
    <t>AN59</t>
  </si>
  <si>
    <t>AN60</t>
  </si>
  <si>
    <t>AN61</t>
  </si>
  <si>
    <t>AN62</t>
  </si>
  <si>
    <t>AN63</t>
  </si>
  <si>
    <t>AN64</t>
  </si>
  <si>
    <t>AN65</t>
  </si>
  <si>
    <t>AN66</t>
  </si>
  <si>
    <t>AN67</t>
  </si>
  <si>
    <t>AN68</t>
  </si>
  <si>
    <t>AN69</t>
  </si>
  <si>
    <t>AN70</t>
  </si>
  <si>
    <t>AN71</t>
  </si>
  <si>
    <t>AN72</t>
  </si>
  <si>
    <t>AN73</t>
  </si>
  <si>
    <t>AN74</t>
  </si>
  <si>
    <t>AN75</t>
  </si>
  <si>
    <t>AN76</t>
  </si>
  <si>
    <t>AN77</t>
  </si>
  <si>
    <t>AN78</t>
  </si>
  <si>
    <t>AN79</t>
  </si>
  <si>
    <t>AN80</t>
  </si>
  <si>
    <t>AN81</t>
  </si>
  <si>
    <t>AN82</t>
  </si>
  <si>
    <t>AN83</t>
  </si>
  <si>
    <t>AN84</t>
  </si>
  <si>
    <t>AN85</t>
  </si>
  <si>
    <t>AN86</t>
  </si>
  <si>
    <t>AN87</t>
  </si>
  <si>
    <t>AN88</t>
  </si>
  <si>
    <t>AN89</t>
  </si>
  <si>
    <t>AN90</t>
  </si>
  <si>
    <t>AN91</t>
  </si>
  <si>
    <t>AN92</t>
  </si>
  <si>
    <t>AN93</t>
  </si>
  <si>
    <t>AN94</t>
  </si>
  <si>
    <t>AN95</t>
  </si>
  <si>
    <t>AN96</t>
  </si>
  <si>
    <t>AN97</t>
  </si>
  <si>
    <t>AN98</t>
  </si>
  <si>
    <t>AN99</t>
  </si>
  <si>
    <t>AN100</t>
  </si>
  <si>
    <t>AN101</t>
  </si>
  <si>
    <t>AN102</t>
  </si>
  <si>
    <t>AN103</t>
  </si>
  <si>
    <t>AN104</t>
  </si>
  <si>
    <t>Ea20</t>
  </si>
  <si>
    <t>Ea34</t>
  </si>
  <si>
    <t>Ea62</t>
  </si>
  <si>
    <t>Ea90</t>
  </si>
  <si>
    <t>Ea110</t>
  </si>
  <si>
    <t>Aa4</t>
  </si>
  <si>
    <t>Aa26</t>
  </si>
  <si>
    <t>Aa50</t>
  </si>
  <si>
    <t>Aa68</t>
  </si>
  <si>
    <t>Aa106</t>
  </si>
  <si>
    <t>Klf_IP</t>
  </si>
  <si>
    <t>Klf_QP</t>
  </si>
  <si>
    <t>Khf_IP</t>
  </si>
  <si>
    <t>Khf_QP</t>
  </si>
  <si>
    <t>Xlf_IP</t>
  </si>
  <si>
    <t>Xhf_IP</t>
  </si>
  <si>
    <t>Kfd</t>
  </si>
  <si>
    <t>Kfd_abs</t>
  </si>
  <si>
    <t>Xfd</t>
  </si>
  <si>
    <t>Archaeology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</si>
</sst>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0.000"/>
    <numFmt numFmtId="166" formatCode="0.00000"/>
    <numFmt numFmtId="167" formatCode="0.000000"/>
    <numFmt numFmtId="168" formatCode="0.000000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164" fontId="7" fillId="0" borderId="0" xfId="0" applyNumberFormat="1" applyFont="1"/>
    <xf numFmtId="0" fontId="7" fillId="0" borderId="0" xfId="0" applyFont="1"/>
    <xf numFmtId="0" fontId="6" fillId="0" borderId="2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8" fillId="0" borderId="0" xfId="0" applyFont="1"/>
    <xf numFmtId="0" fontId="8" fillId="2" borderId="0" xfId="0" applyFont="1" applyFill="1" applyAlignment="1">
      <alignment horizontal="center"/>
    </xf>
    <xf numFmtId="0" fontId="4" fillId="0" borderId="0" xfId="0" applyFon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0" fillId="0" borderId="0" xfId="0" applyAlignment="1">
      <alignment horizontal="right" wrapText="1"/>
    </xf>
    <xf numFmtId="0" fontId="0" fillId="3" borderId="0" xfId="0" applyFill="1" applyAlignment="1">
      <alignment horizontal="right" wrapText="1"/>
    </xf>
    <xf numFmtId="0" fontId="3" fillId="0" borderId="0" xfId="0" applyFont="1"/>
    <xf numFmtId="0" fontId="2" fillId="0" borderId="0" xfId="0" applyFont="1"/>
    <xf numFmtId="0" fontId="10" fillId="0" borderId="0" xfId="0" applyFont="1"/>
    <xf numFmtId="0" fontId="9" fillId="0" borderId="1" xfId="0" applyFont="1" applyBorder="1" applyAlignment="1">
      <alignment horizontal="center" vertical="top"/>
    </xf>
    <xf numFmtId="0" fontId="5" fillId="4" borderId="0" xfId="0" applyFont="1" applyFill="1"/>
    <xf numFmtId="0" fontId="6" fillId="4" borderId="1" xfId="0" applyFont="1" applyFill="1" applyBorder="1" applyAlignment="1">
      <alignment horizontal="center" vertical="top"/>
    </xf>
    <xf numFmtId="164" fontId="7" fillId="4" borderId="0" xfId="0" applyNumberFormat="1" applyFont="1" applyFill="1"/>
    <xf numFmtId="0" fontId="0" fillId="4" borderId="0" xfId="0" applyFill="1"/>
    <xf numFmtId="165" fontId="0" fillId="4" borderId="0" xfId="0" applyNumberFormat="1" applyFill="1"/>
    <xf numFmtId="11" fontId="0" fillId="0" borderId="0" xfId="0" applyNumberFormat="1"/>
    <xf numFmtId="166" fontId="0" fillId="0" borderId="0" xfId="0" applyNumberFormat="1"/>
    <xf numFmtId="167" fontId="5" fillId="0" borderId="0" xfId="0" applyNumberFormat="1" applyFont="1"/>
    <xf numFmtId="167" fontId="5" fillId="4" borderId="0" xfId="0" applyNumberFormat="1" applyFont="1" applyFill="1"/>
    <xf numFmtId="167" fontId="0" fillId="0" borderId="0" xfId="0" applyNumberFormat="1"/>
    <xf numFmtId="168" fontId="5" fillId="0" borderId="0" xfId="0" applyNumberFormat="1" applyFont="1"/>
    <xf numFmtId="168" fontId="5" fillId="4" borderId="0" xfId="0" applyNumberFormat="1" applyFont="1" applyFill="1"/>
    <xf numFmtId="168" fontId="0" fillId="0" borderId="0" xfId="0" applyNumberFormat="1"/>
    <xf numFmtId="0" fontId="11" fillId="0" borderId="0" xfId="0" applyFont="1"/>
    <xf numFmtId="11" fontId="5" fillId="0" borderId="0" xfId="0" applyNumberFormat="1" applyFont="1"/>
    <xf numFmtId="0" fontId="9" fillId="0" borderId="0" xfId="0" applyFont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183"/>
  <sheetViews>
    <sheetView tabSelected="1" topLeftCell="A165" workbookViewId="0">
      <selection activeCell="DP2" sqref="DP2"/>
    </sheetView>
  </sheetViews>
  <sheetFormatPr defaultColWidth="14.44140625" defaultRowHeight="15" customHeight="1" x14ac:dyDescent="0.3"/>
  <cols>
    <col min="1" max="1" width="11.44140625" customWidth="1"/>
    <col min="2" max="5" width="9.109375" customWidth="1"/>
    <col min="6" max="6" width="12.6640625" customWidth="1"/>
    <col min="7" max="7" width="11" customWidth="1"/>
    <col min="8" max="9" width="9.109375" customWidth="1"/>
    <col min="10" max="10" width="3.88671875" customWidth="1"/>
    <col min="11" max="18" width="9.109375" customWidth="1"/>
    <col min="19" max="19" width="12" customWidth="1"/>
    <col min="20" max="20" width="9.109375" customWidth="1"/>
    <col min="21" max="21" width="12" customWidth="1"/>
    <col min="22" max="117" width="9.109375" customWidth="1"/>
    <col min="122" max="122" width="11.5546875" customWidth="1"/>
    <col min="123" max="123" width="10.88671875" customWidth="1"/>
    <col min="124" max="124" width="10.44140625" customWidth="1"/>
    <col min="125" max="125" width="10.5546875" customWidth="1"/>
    <col min="126" max="127" width="10.44140625" customWidth="1"/>
    <col min="129" max="129" width="10.109375" customWidth="1"/>
    <col min="130" max="130" width="11" customWidth="1"/>
    <col min="131" max="131" width="10.88671875" customWidth="1"/>
    <col min="132" max="132" width="10.44140625" customWidth="1"/>
    <col min="134" max="134" width="9.6640625" customWidth="1"/>
    <col min="135" max="136" width="10.44140625" customWidth="1"/>
  </cols>
  <sheetData>
    <row r="1" spans="1:136" ht="14.4" x14ac:dyDescent="0.3">
      <c r="A1" s="2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492</v>
      </c>
      <c r="G1" s="2" t="s">
        <v>493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494</v>
      </c>
      <c r="O1" s="2" t="s">
        <v>495</v>
      </c>
      <c r="P1" s="2" t="s">
        <v>11</v>
      </c>
      <c r="Q1" s="2" t="s">
        <v>12</v>
      </c>
      <c r="R1" s="2" t="s">
        <v>13</v>
      </c>
      <c r="S1" s="2" t="s">
        <v>496</v>
      </c>
      <c r="T1" s="2" t="s">
        <v>497</v>
      </c>
      <c r="U1" s="18" t="s">
        <v>499</v>
      </c>
      <c r="V1" s="2" t="s">
        <v>498</v>
      </c>
      <c r="W1" s="2" t="s">
        <v>500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42</v>
      </c>
      <c r="BA1" s="2" t="s">
        <v>43</v>
      </c>
      <c r="BB1" s="2" t="s">
        <v>44</v>
      </c>
      <c r="BC1" s="2" t="s">
        <v>45</v>
      </c>
      <c r="BD1" s="2" t="s">
        <v>46</v>
      </c>
      <c r="BE1" s="2" t="s">
        <v>47</v>
      </c>
      <c r="BF1" s="2" t="s">
        <v>48</v>
      </c>
      <c r="BG1" s="2" t="s">
        <v>49</v>
      </c>
      <c r="BH1" s="2" t="s">
        <v>50</v>
      </c>
      <c r="BI1" s="2" t="s">
        <v>51</v>
      </c>
      <c r="BJ1" s="2" t="s">
        <v>52</v>
      </c>
      <c r="BK1" s="2" t="s">
        <v>53</v>
      </c>
      <c r="BL1" s="2" t="s">
        <v>54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59</v>
      </c>
      <c r="BR1" s="2" t="s">
        <v>60</v>
      </c>
      <c r="BS1" s="2" t="s">
        <v>61</v>
      </c>
      <c r="BT1" s="2" t="s">
        <v>62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67</v>
      </c>
      <c r="BZ1" s="2" t="s">
        <v>68</v>
      </c>
      <c r="CA1" s="2" t="s">
        <v>69</v>
      </c>
      <c r="CB1" s="2" t="s">
        <v>70</v>
      </c>
      <c r="CC1" s="2" t="s">
        <v>71</v>
      </c>
      <c r="CD1" s="2" t="s">
        <v>72</v>
      </c>
      <c r="CE1" s="2" t="s">
        <v>73</v>
      </c>
      <c r="CF1" s="2" t="s">
        <v>74</v>
      </c>
      <c r="CG1" s="2" t="s">
        <v>75</v>
      </c>
      <c r="CH1" s="2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" t="s">
        <v>84</v>
      </c>
      <c r="CQ1" s="2" t="s">
        <v>85</v>
      </c>
      <c r="CR1" s="2" t="s">
        <v>86</v>
      </c>
      <c r="CS1" s="2" t="s">
        <v>87</v>
      </c>
      <c r="CT1" s="2" t="s">
        <v>88</v>
      </c>
      <c r="CU1" s="2" t="s">
        <v>89</v>
      </c>
      <c r="CV1" s="2" t="s">
        <v>90</v>
      </c>
      <c r="CW1" s="2" t="s">
        <v>91</v>
      </c>
      <c r="CX1" s="2" t="s">
        <v>92</v>
      </c>
      <c r="CY1" s="2" t="s">
        <v>93</v>
      </c>
      <c r="CZ1" s="2" t="s">
        <v>94</v>
      </c>
      <c r="DA1" s="2" t="s">
        <v>95</v>
      </c>
      <c r="DB1" s="2" t="s">
        <v>96</v>
      </c>
      <c r="DC1" s="2" t="s">
        <v>97</v>
      </c>
      <c r="DD1" s="2" t="s">
        <v>98</v>
      </c>
      <c r="DE1" s="2" t="s">
        <v>99</v>
      </c>
      <c r="DF1" s="2" t="s">
        <v>100</v>
      </c>
      <c r="DG1" s="2" t="s">
        <v>101</v>
      </c>
      <c r="DH1" s="2" t="s">
        <v>102</v>
      </c>
      <c r="DI1" s="2" t="s">
        <v>103</v>
      </c>
      <c r="DJ1" s="2" t="s">
        <v>104</v>
      </c>
      <c r="DK1" s="2" t="s">
        <v>105</v>
      </c>
      <c r="DL1" s="2" t="s">
        <v>106</v>
      </c>
      <c r="DM1" s="2" t="s">
        <v>107</v>
      </c>
      <c r="DN1" s="5" t="s">
        <v>268</v>
      </c>
      <c r="DO1" s="6" t="s">
        <v>269</v>
      </c>
      <c r="DP1" s="34" t="s">
        <v>501</v>
      </c>
      <c r="DQ1" s="7" t="s">
        <v>283</v>
      </c>
      <c r="DR1" s="7" t="s">
        <v>287</v>
      </c>
      <c r="DS1" s="8" t="s">
        <v>270</v>
      </c>
      <c r="DT1" s="8" t="s">
        <v>271</v>
      </c>
      <c r="DU1" s="8" t="s">
        <v>272</v>
      </c>
      <c r="DV1" s="8" t="s">
        <v>284</v>
      </c>
      <c r="DW1" s="8" t="s">
        <v>273</v>
      </c>
      <c r="DX1" s="8" t="s">
        <v>274</v>
      </c>
      <c r="DY1" s="8" t="s">
        <v>275</v>
      </c>
      <c r="DZ1" s="8" t="s">
        <v>276</v>
      </c>
      <c r="EA1" s="8" t="s">
        <v>277</v>
      </c>
      <c r="EB1" s="8" t="s">
        <v>278</v>
      </c>
      <c r="EC1" s="8" t="s">
        <v>279</v>
      </c>
      <c r="ED1" s="8" t="s">
        <v>280</v>
      </c>
      <c r="EE1" s="8" t="s">
        <v>281</v>
      </c>
      <c r="EF1" s="8" t="s">
        <v>282</v>
      </c>
    </row>
    <row r="2" spans="1:136" ht="14.4" x14ac:dyDescent="0.3">
      <c r="A2" s="1" t="s">
        <v>108</v>
      </c>
      <c r="B2" s="2">
        <v>7</v>
      </c>
      <c r="C2" s="3">
        <v>44662.691666666673</v>
      </c>
      <c r="D2" s="1">
        <v>360.55</v>
      </c>
      <c r="E2" s="1">
        <v>28</v>
      </c>
      <c r="F2" s="1">
        <v>1.2650000000000001E-3</v>
      </c>
      <c r="G2" s="1">
        <v>3.18E-5</v>
      </c>
      <c r="H2" s="1">
        <v>1.44</v>
      </c>
      <c r="I2" s="1" t="s">
        <v>109</v>
      </c>
      <c r="J2" s="1" t="s">
        <v>110</v>
      </c>
      <c r="K2" s="1">
        <v>13.7</v>
      </c>
      <c r="L2" s="1">
        <v>416</v>
      </c>
      <c r="M2" s="1">
        <v>4</v>
      </c>
      <c r="N2" s="1">
        <v>1.204E-3</v>
      </c>
      <c r="O2" s="1">
        <v>-1.4500000000000001E-6</v>
      </c>
      <c r="P2" s="1">
        <v>-7.0000000000000007E-2</v>
      </c>
      <c r="Q2" s="1" t="s">
        <v>111</v>
      </c>
      <c r="R2" s="1" t="s">
        <v>110</v>
      </c>
      <c r="S2" s="1">
        <v>92.335766423357668</v>
      </c>
      <c r="T2" s="1">
        <v>87.883211678832126</v>
      </c>
      <c r="U2" s="1">
        <f>S2-T2</f>
        <v>4.4525547445255427</v>
      </c>
      <c r="V2" s="1">
        <f>100*(S2-T2)/S2</f>
        <v>4.822134387351773</v>
      </c>
      <c r="W2" s="1">
        <f>S2-T2</f>
        <v>4.4525547445255427</v>
      </c>
      <c r="X2" s="1">
        <v>721093.75</v>
      </c>
      <c r="Y2" s="1">
        <v>0</v>
      </c>
      <c r="Z2" s="1">
        <v>6214.25</v>
      </c>
      <c r="AA2" s="1">
        <v>0</v>
      </c>
      <c r="AB2" s="1">
        <v>127372.15</v>
      </c>
      <c r="AC2" s="1">
        <v>0</v>
      </c>
      <c r="AD2" s="1">
        <v>6.04</v>
      </c>
      <c r="AE2" s="1">
        <v>1.38</v>
      </c>
      <c r="AF2" s="1">
        <v>352.4</v>
      </c>
      <c r="AG2" s="1">
        <v>3.02</v>
      </c>
      <c r="AH2" s="1">
        <v>137.65</v>
      </c>
      <c r="AI2" s="1">
        <v>1.94</v>
      </c>
      <c r="AJ2" s="1">
        <v>0</v>
      </c>
      <c r="AK2" s="1">
        <v>3.37</v>
      </c>
      <c r="AL2" s="1">
        <v>69.13</v>
      </c>
      <c r="AM2" s="1">
        <v>1.66</v>
      </c>
      <c r="AN2" s="1">
        <v>4.8899999999999997</v>
      </c>
      <c r="AO2" s="1">
        <v>1.31</v>
      </c>
      <c r="AP2" s="1">
        <v>26.37</v>
      </c>
      <c r="AQ2" s="1">
        <v>2.48</v>
      </c>
      <c r="AR2" s="1">
        <v>0</v>
      </c>
      <c r="AS2" s="1">
        <v>3.24</v>
      </c>
      <c r="AT2" s="1">
        <v>0</v>
      </c>
      <c r="AU2" s="1">
        <v>1.75</v>
      </c>
      <c r="AV2" s="1">
        <v>10.37</v>
      </c>
      <c r="AW2" s="1">
        <v>2.0699999999999998</v>
      </c>
      <c r="AX2" s="1">
        <v>0</v>
      </c>
      <c r="AY2" s="1">
        <v>4.21</v>
      </c>
      <c r="AZ2" s="1">
        <v>50.76</v>
      </c>
      <c r="BA2" s="1">
        <v>3.9</v>
      </c>
      <c r="BB2" s="1">
        <v>0</v>
      </c>
      <c r="BC2" s="1">
        <v>17.010000000000002</v>
      </c>
      <c r="BD2" s="1">
        <v>26.36</v>
      </c>
      <c r="BE2" s="1">
        <v>5.58</v>
      </c>
      <c r="BF2" s="1">
        <v>0</v>
      </c>
      <c r="BG2" s="1">
        <v>16.34</v>
      </c>
      <c r="BH2" s="1">
        <v>66.78</v>
      </c>
      <c r="BI2" s="1">
        <v>37.28</v>
      </c>
      <c r="BJ2" s="1">
        <v>23154.7</v>
      </c>
      <c r="BK2" s="1">
        <v>131.74</v>
      </c>
      <c r="BL2" s="1">
        <v>307.43</v>
      </c>
      <c r="BM2" s="1">
        <v>25.72</v>
      </c>
      <c r="BN2" s="1">
        <v>75.16</v>
      </c>
      <c r="BO2" s="1">
        <v>6.38</v>
      </c>
      <c r="BP2" s="1">
        <v>63.82</v>
      </c>
      <c r="BQ2" s="1">
        <v>10.96</v>
      </c>
      <c r="BR2" s="1">
        <v>3515.92</v>
      </c>
      <c r="BS2" s="1">
        <v>45.32</v>
      </c>
      <c r="BT2" s="1">
        <v>45894.97</v>
      </c>
      <c r="BU2" s="1">
        <v>409.78</v>
      </c>
      <c r="BV2" s="1">
        <v>13703.47</v>
      </c>
      <c r="BW2" s="1">
        <v>150.35</v>
      </c>
      <c r="BX2" s="1">
        <v>1273.24</v>
      </c>
      <c r="BY2" s="1">
        <v>50.25</v>
      </c>
      <c r="BZ2" s="1">
        <v>134.16</v>
      </c>
      <c r="CA2" s="1">
        <v>24.52</v>
      </c>
      <c r="CB2" s="1">
        <v>0</v>
      </c>
      <c r="CC2" s="1">
        <v>7.42</v>
      </c>
      <c r="CD2" s="1">
        <v>0</v>
      </c>
      <c r="CE2" s="1">
        <v>5.95</v>
      </c>
      <c r="CF2" s="1">
        <v>0</v>
      </c>
      <c r="CG2" s="1">
        <v>6.83</v>
      </c>
      <c r="CH2" s="1">
        <v>0</v>
      </c>
      <c r="CI2" s="1">
        <v>3</v>
      </c>
      <c r="CJ2" s="1">
        <v>0</v>
      </c>
      <c r="CK2" s="1">
        <v>6.47</v>
      </c>
      <c r="CL2" s="1">
        <v>503035.97</v>
      </c>
      <c r="CM2" s="1">
        <v>1120.45</v>
      </c>
      <c r="CN2" s="1">
        <v>8.9600000000000009</v>
      </c>
      <c r="CO2" s="1">
        <v>1</v>
      </c>
      <c r="CP2" s="1">
        <v>3.43</v>
      </c>
      <c r="CQ2" s="1">
        <v>1.83</v>
      </c>
      <c r="CR2" s="1">
        <v>0</v>
      </c>
      <c r="CS2" s="1">
        <v>1.5</v>
      </c>
      <c r="CT2" s="1">
        <v>0</v>
      </c>
      <c r="CU2" s="1">
        <v>1.5</v>
      </c>
      <c r="CV2" s="1">
        <v>0</v>
      </c>
      <c r="CW2" s="1">
        <v>1.5</v>
      </c>
      <c r="CX2" s="1">
        <v>67392.67</v>
      </c>
      <c r="CY2" s="1">
        <v>1398.17</v>
      </c>
      <c r="CZ2" s="1">
        <v>558.04</v>
      </c>
      <c r="DA2" s="1">
        <v>141.08000000000001</v>
      </c>
      <c r="DB2" s="1">
        <v>336959.69</v>
      </c>
      <c r="DC2" s="1">
        <v>1030.23</v>
      </c>
      <c r="DD2" s="1">
        <v>0</v>
      </c>
      <c r="DE2" s="1">
        <v>21.09</v>
      </c>
      <c r="DF2" s="1">
        <v>3743.53</v>
      </c>
      <c r="DG2" s="1">
        <v>1254.82</v>
      </c>
      <c r="DH2" s="1">
        <v>0</v>
      </c>
      <c r="DI2" s="1">
        <v>29.06</v>
      </c>
      <c r="DJ2" s="1">
        <v>0</v>
      </c>
      <c r="DK2" s="1">
        <v>9.4</v>
      </c>
      <c r="DL2" s="1">
        <v>0</v>
      </c>
      <c r="DM2" s="1">
        <v>20.010000000000002</v>
      </c>
      <c r="DN2" s="16">
        <v>8</v>
      </c>
      <c r="DP2">
        <v>1</v>
      </c>
      <c r="DQ2">
        <v>1.6455288818442599</v>
      </c>
      <c r="DR2">
        <v>28</v>
      </c>
      <c r="DS2" s="10">
        <v>14.05</v>
      </c>
      <c r="DT2" s="10">
        <v>2.809999942779541</v>
      </c>
      <c r="DU2" s="10">
        <v>8.2899999618530273</v>
      </c>
      <c r="DV2" s="10">
        <v>13.855194091796875</v>
      </c>
      <c r="DW2" t="s">
        <v>345</v>
      </c>
      <c r="DX2" s="10">
        <v>21.728015899658203</v>
      </c>
      <c r="DY2" s="10">
        <v>13.207225799560547</v>
      </c>
      <c r="DZ2" s="10">
        <v>28.118608474731445</v>
      </c>
      <c r="EA2" s="10">
        <v>41.325836181640625</v>
      </c>
      <c r="EB2" s="10">
        <v>34.679618835449219</v>
      </c>
      <c r="EC2" s="10">
        <v>2.2665302753448486</v>
      </c>
      <c r="ED2" s="10">
        <v>36.946147918701172</v>
      </c>
      <c r="EE2" s="10">
        <v>0.56281930208206177</v>
      </c>
      <c r="EF2" s="10">
        <v>8.1</v>
      </c>
    </row>
    <row r="3" spans="1:136" ht="14.4" x14ac:dyDescent="0.3">
      <c r="A3" s="1" t="s">
        <v>112</v>
      </c>
      <c r="B3" s="2">
        <v>2</v>
      </c>
      <c r="C3" s="3">
        <v>44662.686111111107</v>
      </c>
      <c r="D3" s="1">
        <v>360.72</v>
      </c>
      <c r="E3" s="1">
        <v>30</v>
      </c>
      <c r="F3" s="1">
        <v>1.93E-4</v>
      </c>
      <c r="G3" s="1">
        <v>8.2150000000000001E-6</v>
      </c>
      <c r="H3" s="1">
        <v>2.44</v>
      </c>
      <c r="I3" s="1" t="s">
        <v>113</v>
      </c>
      <c r="J3" s="1" t="s">
        <v>110</v>
      </c>
      <c r="K3" s="1">
        <v>14.39</v>
      </c>
      <c r="L3" s="1">
        <v>422</v>
      </c>
      <c r="M3" s="1">
        <v>3</v>
      </c>
      <c r="N3" s="1">
        <v>1.772E-4</v>
      </c>
      <c r="O3" s="1">
        <v>3.7500000000000001E-6</v>
      </c>
      <c r="P3" s="1">
        <v>1.21</v>
      </c>
      <c r="Q3" s="1" t="s">
        <v>114</v>
      </c>
      <c r="R3" s="1" t="s">
        <v>110</v>
      </c>
      <c r="S3" s="1">
        <v>13.41209173036831</v>
      </c>
      <c r="T3" s="1">
        <v>12.31410701876303</v>
      </c>
      <c r="U3" s="1">
        <f t="shared" ref="U3:U28" si="0">S3-T3</f>
        <v>1.0979847116052799</v>
      </c>
      <c r="V3" s="1">
        <f>100*(S3-T3)/S3</f>
        <v>8.1865284974093147</v>
      </c>
      <c r="W3" s="1">
        <f t="shared" ref="W3:W66" si="1">S3-T3</f>
        <v>1.0979847116052799</v>
      </c>
      <c r="X3" s="1">
        <v>660746.68999999994</v>
      </c>
      <c r="Y3" s="1">
        <v>0</v>
      </c>
      <c r="Z3" s="1">
        <v>0</v>
      </c>
      <c r="AA3" s="1">
        <v>0</v>
      </c>
      <c r="AB3" s="1">
        <v>113498.26</v>
      </c>
      <c r="AC3" s="1">
        <v>0</v>
      </c>
      <c r="AD3" s="1">
        <v>6.85</v>
      </c>
      <c r="AE3" s="1">
        <v>1.41</v>
      </c>
      <c r="AF3" s="1">
        <v>360.72</v>
      </c>
      <c r="AG3" s="1">
        <v>3.13</v>
      </c>
      <c r="AH3" s="1">
        <v>199.01</v>
      </c>
      <c r="AI3" s="1">
        <v>2.34</v>
      </c>
      <c r="AJ3" s="1">
        <v>0</v>
      </c>
      <c r="AK3" s="1">
        <v>3.35</v>
      </c>
      <c r="AL3" s="1">
        <v>65.28</v>
      </c>
      <c r="AM3" s="1">
        <v>1.64</v>
      </c>
      <c r="AN3" s="1">
        <v>5.1100000000000003</v>
      </c>
      <c r="AO3" s="1">
        <v>1.31</v>
      </c>
      <c r="AP3" s="1">
        <v>15.94</v>
      </c>
      <c r="AQ3" s="1">
        <v>2.23</v>
      </c>
      <c r="AR3" s="1">
        <v>0</v>
      </c>
      <c r="AS3" s="1">
        <v>3.27</v>
      </c>
      <c r="AT3" s="1">
        <v>0</v>
      </c>
      <c r="AU3" s="1">
        <v>1.75</v>
      </c>
      <c r="AV3" s="1">
        <v>11.5</v>
      </c>
      <c r="AW3" s="1">
        <v>1.94</v>
      </c>
      <c r="AX3" s="1">
        <v>0</v>
      </c>
      <c r="AY3" s="1">
        <v>4.25</v>
      </c>
      <c r="AZ3" s="1">
        <v>33.229999999999997</v>
      </c>
      <c r="BA3" s="1">
        <v>3.57</v>
      </c>
      <c r="BB3" s="1">
        <v>0</v>
      </c>
      <c r="BC3" s="1">
        <v>16.93</v>
      </c>
      <c r="BD3" s="1">
        <v>0</v>
      </c>
      <c r="BE3" s="1">
        <v>7.99</v>
      </c>
      <c r="BF3" s="1">
        <v>0</v>
      </c>
      <c r="BG3" s="1">
        <v>16.62</v>
      </c>
      <c r="BH3" s="1">
        <v>56.76</v>
      </c>
      <c r="BI3" s="1">
        <v>36.26</v>
      </c>
      <c r="BJ3" s="1">
        <v>21271.22</v>
      </c>
      <c r="BK3" s="1">
        <v>128.54</v>
      </c>
      <c r="BL3" s="1">
        <v>211.02</v>
      </c>
      <c r="BM3" s="1">
        <v>24.44</v>
      </c>
      <c r="BN3" s="1">
        <v>65.900000000000006</v>
      </c>
      <c r="BO3" s="1">
        <v>6.36</v>
      </c>
      <c r="BP3" s="1">
        <v>108.06</v>
      </c>
      <c r="BQ3" s="1">
        <v>18.89</v>
      </c>
      <c r="BR3" s="1">
        <v>3133.68</v>
      </c>
      <c r="BS3" s="1">
        <v>44.73</v>
      </c>
      <c r="BT3" s="1">
        <v>74866.44</v>
      </c>
      <c r="BU3" s="1">
        <v>507.74</v>
      </c>
      <c r="BV3" s="1">
        <v>12071.16</v>
      </c>
      <c r="BW3" s="1">
        <v>141.76</v>
      </c>
      <c r="BX3" s="1">
        <v>1169.5</v>
      </c>
      <c r="BY3" s="1">
        <v>51.93</v>
      </c>
      <c r="BZ3" s="1">
        <v>125.01</v>
      </c>
      <c r="CA3" s="1">
        <v>24.9</v>
      </c>
      <c r="CB3" s="1">
        <v>0</v>
      </c>
      <c r="CC3" s="1">
        <v>7.61</v>
      </c>
      <c r="CD3" s="1">
        <v>0</v>
      </c>
      <c r="CE3" s="1">
        <v>6.12</v>
      </c>
      <c r="CF3" s="1">
        <v>0</v>
      </c>
      <c r="CG3" s="1">
        <v>5.64</v>
      </c>
      <c r="CH3" s="1">
        <v>3.55</v>
      </c>
      <c r="CI3" s="1">
        <v>2.0499999999999998</v>
      </c>
      <c r="CJ3" s="1">
        <v>0</v>
      </c>
      <c r="CK3" s="1">
        <v>6.54</v>
      </c>
      <c r="CL3" s="1">
        <v>518045.34</v>
      </c>
      <c r="CM3" s="1">
        <v>1120.81</v>
      </c>
      <c r="CN3" s="1">
        <v>9.4700000000000006</v>
      </c>
      <c r="CO3" s="1">
        <v>1</v>
      </c>
      <c r="CP3" s="1">
        <v>3.83</v>
      </c>
      <c r="CQ3" s="1">
        <v>1.83</v>
      </c>
      <c r="CR3" s="1">
        <v>0</v>
      </c>
      <c r="CS3" s="1">
        <v>1.5</v>
      </c>
      <c r="CT3" s="1">
        <v>0</v>
      </c>
      <c r="CU3" s="1">
        <v>1.5</v>
      </c>
      <c r="CV3" s="1">
        <v>0</v>
      </c>
      <c r="CW3" s="1">
        <v>1.5</v>
      </c>
      <c r="CX3" s="1">
        <v>60051.99</v>
      </c>
      <c r="CY3" s="1">
        <v>1424.91</v>
      </c>
      <c r="CZ3" s="1">
        <v>0</v>
      </c>
      <c r="DA3" s="1">
        <v>206.69</v>
      </c>
      <c r="DB3" s="1">
        <v>308760.13</v>
      </c>
      <c r="DC3" s="1">
        <v>1038.1300000000001</v>
      </c>
      <c r="DD3" s="1">
        <v>0</v>
      </c>
      <c r="DE3" s="1">
        <v>21.52</v>
      </c>
      <c r="DF3" s="1">
        <v>0</v>
      </c>
      <c r="DG3" s="1">
        <v>2558.96</v>
      </c>
      <c r="DH3" s="1">
        <v>0</v>
      </c>
      <c r="DI3" s="1">
        <v>38.4</v>
      </c>
      <c r="DJ3" s="1">
        <v>0</v>
      </c>
      <c r="DK3" s="1">
        <v>9.69</v>
      </c>
      <c r="DL3" s="1">
        <v>0</v>
      </c>
      <c r="DM3" s="1">
        <v>20.63</v>
      </c>
      <c r="DN3" s="16">
        <v>2</v>
      </c>
      <c r="DP3">
        <v>1</v>
      </c>
      <c r="DQ3">
        <v>1.6891825658263699</v>
      </c>
      <c r="DR3">
        <v>30</v>
      </c>
      <c r="DS3" s="10">
        <v>4.04</v>
      </c>
      <c r="DT3" s="10">
        <v>0.80800002813339233</v>
      </c>
      <c r="DU3" s="10">
        <v>8.5799999237060547</v>
      </c>
      <c r="DV3" s="10">
        <v>12.630222320556641</v>
      </c>
      <c r="DW3" t="s">
        <v>346</v>
      </c>
      <c r="DX3" s="10">
        <v>25.549705505371094</v>
      </c>
      <c r="DY3" s="10">
        <v>15.871787071228027</v>
      </c>
      <c r="DZ3" s="10">
        <v>31.743574142456055</v>
      </c>
      <c r="EA3" s="10">
        <v>47.615360260009766</v>
      </c>
      <c r="EB3" s="10">
        <v>26.618148803710938</v>
      </c>
      <c r="EC3" s="10">
        <v>0.21678538620471954</v>
      </c>
      <c r="ED3" s="10">
        <v>26.834934234619141</v>
      </c>
      <c r="EE3" s="10">
        <v>1.0998719930648804</v>
      </c>
      <c r="EF3" s="10">
        <v>13.9</v>
      </c>
    </row>
    <row r="4" spans="1:136" ht="14.4" x14ac:dyDescent="0.3">
      <c r="A4" s="1" t="s">
        <v>115</v>
      </c>
      <c r="B4" s="2">
        <v>3</v>
      </c>
      <c r="C4" s="3">
        <v>44662.697222222218</v>
      </c>
      <c r="D4" s="1">
        <v>360.03</v>
      </c>
      <c r="E4" s="1">
        <v>55</v>
      </c>
      <c r="F4" s="1">
        <v>9.7449999999999997E-5</v>
      </c>
      <c r="G4" s="1">
        <v>7.588E-6</v>
      </c>
      <c r="H4" s="1">
        <v>4.45</v>
      </c>
      <c r="I4" s="1" t="s">
        <v>116</v>
      </c>
      <c r="J4" s="1" t="s">
        <v>110</v>
      </c>
      <c r="K4" s="1">
        <v>14.8</v>
      </c>
      <c r="L4" s="1">
        <v>415</v>
      </c>
      <c r="M4" s="1">
        <v>3</v>
      </c>
      <c r="N4" s="1">
        <v>9.2769999999999994E-5</v>
      </c>
      <c r="O4" s="1">
        <v>8.2230000000000005E-7</v>
      </c>
      <c r="P4" s="1">
        <v>0.51</v>
      </c>
      <c r="Q4" s="1" t="s">
        <v>117</v>
      </c>
      <c r="R4" s="1" t="s">
        <v>110</v>
      </c>
      <c r="S4" s="1">
        <v>6.5844594594594597</v>
      </c>
      <c r="T4" s="1">
        <v>6.2682432432432416</v>
      </c>
      <c r="U4" s="1">
        <f t="shared" si="0"/>
        <v>0.31621621621621809</v>
      </c>
      <c r="V4" s="1">
        <f t="shared" ref="V4:V67" si="2">100*(S4-T4)/S4</f>
        <v>4.8024628014366622</v>
      </c>
      <c r="W4" s="1">
        <f t="shared" si="1"/>
        <v>0.31621621621621809</v>
      </c>
      <c r="X4" s="1">
        <v>773071.75</v>
      </c>
      <c r="Y4" s="1">
        <v>0</v>
      </c>
      <c r="Z4" s="1">
        <v>6519.06</v>
      </c>
      <c r="AA4" s="1">
        <v>0</v>
      </c>
      <c r="AB4" s="1">
        <v>115481.81</v>
      </c>
      <c r="AC4" s="1">
        <v>0</v>
      </c>
      <c r="AD4" s="1">
        <v>6.92</v>
      </c>
      <c r="AE4" s="1">
        <v>1.4</v>
      </c>
      <c r="AF4" s="1">
        <v>394.97</v>
      </c>
      <c r="AG4" s="1">
        <v>3.15</v>
      </c>
      <c r="AH4" s="1">
        <v>125.16</v>
      </c>
      <c r="AI4" s="1">
        <v>1.85</v>
      </c>
      <c r="AJ4" s="1">
        <v>0</v>
      </c>
      <c r="AK4" s="1">
        <v>3.19</v>
      </c>
      <c r="AL4" s="1">
        <v>61.34</v>
      </c>
      <c r="AM4" s="1">
        <v>1.56</v>
      </c>
      <c r="AN4" s="1">
        <v>5.58</v>
      </c>
      <c r="AO4" s="1">
        <v>1.27</v>
      </c>
      <c r="AP4" s="1">
        <v>12.35</v>
      </c>
      <c r="AQ4" s="1">
        <v>2.09</v>
      </c>
      <c r="AR4" s="1">
        <v>0</v>
      </c>
      <c r="AS4" s="1">
        <v>3.22</v>
      </c>
      <c r="AT4" s="1">
        <v>0</v>
      </c>
      <c r="AU4" s="1">
        <v>1.73</v>
      </c>
      <c r="AV4" s="1">
        <v>8.43</v>
      </c>
      <c r="AW4" s="1">
        <v>1.78</v>
      </c>
      <c r="AX4" s="1">
        <v>0</v>
      </c>
      <c r="AY4" s="1">
        <v>4.0999999999999996</v>
      </c>
      <c r="AZ4" s="1">
        <v>30.61</v>
      </c>
      <c r="BA4" s="1">
        <v>3.45</v>
      </c>
      <c r="BB4" s="1">
        <v>0</v>
      </c>
      <c r="BC4" s="1">
        <v>16.59</v>
      </c>
      <c r="BD4" s="1">
        <v>12.91</v>
      </c>
      <c r="BE4" s="1">
        <v>5.25</v>
      </c>
      <c r="BF4" s="1">
        <v>0</v>
      </c>
      <c r="BG4" s="1">
        <v>16.04</v>
      </c>
      <c r="BH4" s="1">
        <v>0</v>
      </c>
      <c r="BI4" s="1">
        <v>46.98</v>
      </c>
      <c r="BJ4" s="1">
        <v>16993.61</v>
      </c>
      <c r="BK4" s="1">
        <v>111.78</v>
      </c>
      <c r="BL4" s="1">
        <v>119</v>
      </c>
      <c r="BM4" s="1">
        <v>22.22</v>
      </c>
      <c r="BN4" s="1">
        <v>78.459999999999994</v>
      </c>
      <c r="BO4" s="1">
        <v>6.07</v>
      </c>
      <c r="BP4" s="1">
        <v>52.25</v>
      </c>
      <c r="BQ4" s="1">
        <v>10.050000000000001</v>
      </c>
      <c r="BR4" s="1">
        <v>3119.74</v>
      </c>
      <c r="BS4" s="1">
        <v>41.49</v>
      </c>
      <c r="BT4" s="1">
        <v>41560.43</v>
      </c>
      <c r="BU4" s="1">
        <v>373.88</v>
      </c>
      <c r="BV4" s="1">
        <v>12952.2</v>
      </c>
      <c r="BW4" s="1">
        <v>139.55000000000001</v>
      </c>
      <c r="BX4" s="1">
        <v>383.76</v>
      </c>
      <c r="BY4" s="1">
        <v>41.79</v>
      </c>
      <c r="BZ4" s="1">
        <v>162.93</v>
      </c>
      <c r="CA4" s="1">
        <v>23.79</v>
      </c>
      <c r="CB4" s="1">
        <v>0</v>
      </c>
      <c r="CC4" s="1">
        <v>7.03</v>
      </c>
      <c r="CD4" s="1">
        <v>0</v>
      </c>
      <c r="CE4" s="1">
        <v>5.64</v>
      </c>
      <c r="CF4" s="1">
        <v>0</v>
      </c>
      <c r="CG4" s="1">
        <v>6.45</v>
      </c>
      <c r="CH4" s="1">
        <v>0</v>
      </c>
      <c r="CI4" s="1">
        <v>4.22</v>
      </c>
      <c r="CJ4" s="1">
        <v>3.2</v>
      </c>
      <c r="CK4" s="1">
        <v>1.97</v>
      </c>
      <c r="CL4" s="1">
        <v>498124.81</v>
      </c>
      <c r="CM4" s="1">
        <v>1165.53</v>
      </c>
      <c r="CN4" s="1">
        <v>8.6999999999999993</v>
      </c>
      <c r="CO4" s="1">
        <v>1</v>
      </c>
      <c r="CP4" s="1">
        <v>3.87</v>
      </c>
      <c r="CQ4" s="1">
        <v>1.76</v>
      </c>
      <c r="CR4" s="1">
        <v>0</v>
      </c>
      <c r="CS4" s="1">
        <v>1.5</v>
      </c>
      <c r="CT4" s="1">
        <v>0</v>
      </c>
      <c r="CU4" s="1">
        <v>1.5</v>
      </c>
      <c r="CV4" s="1">
        <v>0</v>
      </c>
      <c r="CW4" s="1">
        <v>1.5</v>
      </c>
      <c r="CX4" s="1">
        <v>61101.49</v>
      </c>
      <c r="CY4" s="1">
        <v>1281.99</v>
      </c>
      <c r="CZ4" s="1">
        <v>0</v>
      </c>
      <c r="DA4" s="1">
        <v>204</v>
      </c>
      <c r="DB4" s="1">
        <v>361248.47</v>
      </c>
      <c r="DC4" s="1">
        <v>1075.5999999999999</v>
      </c>
      <c r="DD4" s="1">
        <v>0</v>
      </c>
      <c r="DE4" s="1">
        <v>20.2</v>
      </c>
      <c r="DF4" s="1">
        <v>3927.15</v>
      </c>
      <c r="DG4" s="1">
        <v>1160.82</v>
      </c>
      <c r="DH4" s="1">
        <v>0</v>
      </c>
      <c r="DI4" s="1">
        <v>26.82</v>
      </c>
      <c r="DJ4" s="1">
        <v>0</v>
      </c>
      <c r="DK4" s="1">
        <v>8.93</v>
      </c>
      <c r="DL4" s="1">
        <v>0</v>
      </c>
      <c r="DM4" s="1">
        <v>18.88</v>
      </c>
      <c r="DN4" s="16">
        <v>3</v>
      </c>
      <c r="DP4">
        <v>1</v>
      </c>
      <c r="DQ4">
        <v>1.7920903932485459</v>
      </c>
      <c r="DR4">
        <v>55</v>
      </c>
      <c r="DS4" s="10">
        <v>3.06</v>
      </c>
      <c r="DT4" s="10">
        <v>0.6119999885559082</v>
      </c>
      <c r="DU4" s="10">
        <v>8.5200004577636719</v>
      </c>
      <c r="DV4" s="10">
        <v>7.9373111724853516</v>
      </c>
      <c r="DW4" t="s">
        <v>351</v>
      </c>
      <c r="DX4" s="10">
        <v>16.102394104003906</v>
      </c>
      <c r="DY4" s="10">
        <v>10.322048187255859</v>
      </c>
      <c r="DZ4" s="10">
        <v>28.488851547241211</v>
      </c>
      <c r="EA4" s="10">
        <v>38.810897827148438</v>
      </c>
      <c r="EB4" s="10">
        <v>45.086704254150391</v>
      </c>
      <c r="EC4" s="10">
        <v>0</v>
      </c>
      <c r="ED4" s="10">
        <v>45.086704254150391</v>
      </c>
      <c r="EE4" s="10">
        <v>1.3542242050170898</v>
      </c>
      <c r="EF4" s="10">
        <v>7.2</v>
      </c>
    </row>
    <row r="5" spans="1:136" ht="14.4" x14ac:dyDescent="0.3">
      <c r="A5" s="1" t="s">
        <v>118</v>
      </c>
      <c r="B5" s="2">
        <v>11</v>
      </c>
      <c r="C5" s="3">
        <v>44662.708333333343</v>
      </c>
      <c r="D5" s="1">
        <v>361.23</v>
      </c>
      <c r="E5" s="1">
        <v>63</v>
      </c>
      <c r="F5" s="1">
        <v>1.6349999999999999E-4</v>
      </c>
      <c r="G5" s="1">
        <v>4.2239999999999997E-6</v>
      </c>
      <c r="H5" s="1">
        <v>1.48</v>
      </c>
      <c r="I5" s="1" t="s">
        <v>119</v>
      </c>
      <c r="J5" s="1" t="s">
        <v>110</v>
      </c>
      <c r="K5" s="1">
        <v>13.84</v>
      </c>
      <c r="L5" s="1">
        <v>413</v>
      </c>
      <c r="M5" s="1">
        <v>3</v>
      </c>
      <c r="N5" s="1">
        <v>1.5090000000000001E-4</v>
      </c>
      <c r="O5" s="1">
        <v>3.0079999999999998E-6</v>
      </c>
      <c r="P5" s="1">
        <v>1.1399999999999999</v>
      </c>
      <c r="Q5" s="1" t="s">
        <v>120</v>
      </c>
      <c r="R5" s="1" t="s">
        <v>110</v>
      </c>
      <c r="S5" s="1">
        <v>11.813583815028901</v>
      </c>
      <c r="T5" s="1">
        <v>10.90317919075145</v>
      </c>
      <c r="U5" s="1">
        <f t="shared" si="0"/>
        <v>0.91040462427745084</v>
      </c>
      <c r="V5" s="1">
        <f t="shared" si="2"/>
        <v>7.706422018348575</v>
      </c>
      <c r="W5" s="1">
        <f t="shared" si="1"/>
        <v>0.91040462427745084</v>
      </c>
      <c r="X5" s="1">
        <v>667377.88</v>
      </c>
      <c r="Y5" s="1">
        <v>0</v>
      </c>
      <c r="Z5" s="1">
        <v>4992.9399999999996</v>
      </c>
      <c r="AA5" s="1">
        <v>0</v>
      </c>
      <c r="AB5" s="1">
        <v>117029.09</v>
      </c>
      <c r="AC5" s="1">
        <v>0</v>
      </c>
      <c r="AD5" s="1">
        <v>5.2</v>
      </c>
      <c r="AE5" s="1">
        <v>1.39</v>
      </c>
      <c r="AF5" s="1">
        <v>337.41</v>
      </c>
      <c r="AG5" s="1">
        <v>3.05</v>
      </c>
      <c r="AH5" s="1">
        <v>189.65</v>
      </c>
      <c r="AI5" s="1">
        <v>2.2999999999999998</v>
      </c>
      <c r="AJ5" s="1">
        <v>0</v>
      </c>
      <c r="AK5" s="1">
        <v>3.48</v>
      </c>
      <c r="AL5" s="1">
        <v>69.67</v>
      </c>
      <c r="AM5" s="1">
        <v>1.7</v>
      </c>
      <c r="AN5" s="1">
        <v>6.59</v>
      </c>
      <c r="AO5" s="1">
        <v>1.35</v>
      </c>
      <c r="AP5" s="1">
        <v>13.35</v>
      </c>
      <c r="AQ5" s="1">
        <v>2.1800000000000002</v>
      </c>
      <c r="AR5" s="1">
        <v>0</v>
      </c>
      <c r="AS5" s="1">
        <v>3.37</v>
      </c>
      <c r="AT5" s="1">
        <v>0</v>
      </c>
      <c r="AU5" s="1">
        <v>1.82</v>
      </c>
      <c r="AV5" s="1">
        <v>10.86</v>
      </c>
      <c r="AW5" s="1">
        <v>1.89</v>
      </c>
      <c r="AX5" s="1">
        <v>0</v>
      </c>
      <c r="AY5" s="1">
        <v>4.28</v>
      </c>
      <c r="AZ5" s="1">
        <v>39.26</v>
      </c>
      <c r="BA5" s="1">
        <v>3.73</v>
      </c>
      <c r="BB5" s="1">
        <v>0</v>
      </c>
      <c r="BC5" s="1">
        <v>17.100000000000001</v>
      </c>
      <c r="BD5" s="1">
        <v>12.05</v>
      </c>
      <c r="BE5" s="1">
        <v>5.5</v>
      </c>
      <c r="BF5" s="1">
        <v>0</v>
      </c>
      <c r="BG5" s="1">
        <v>16.95</v>
      </c>
      <c r="BH5" s="1">
        <v>0</v>
      </c>
      <c r="BI5" s="1">
        <v>56.05</v>
      </c>
      <c r="BJ5" s="1">
        <v>22557.53</v>
      </c>
      <c r="BK5" s="1">
        <v>132.94999999999999</v>
      </c>
      <c r="BL5" s="1">
        <v>215.61</v>
      </c>
      <c r="BM5" s="1">
        <v>24.83</v>
      </c>
      <c r="BN5" s="1">
        <v>84.23</v>
      </c>
      <c r="BO5" s="1">
        <v>6.56</v>
      </c>
      <c r="BP5" s="1">
        <v>60.23</v>
      </c>
      <c r="BQ5" s="1">
        <v>10.9</v>
      </c>
      <c r="BR5" s="1">
        <v>3193.23</v>
      </c>
      <c r="BS5" s="1">
        <v>45.22</v>
      </c>
      <c r="BT5" s="1">
        <v>70328.960000000006</v>
      </c>
      <c r="BU5" s="1">
        <v>504.92</v>
      </c>
      <c r="BV5" s="1">
        <v>13060.96</v>
      </c>
      <c r="BW5" s="1">
        <v>151</v>
      </c>
      <c r="BX5" s="1">
        <v>406.01</v>
      </c>
      <c r="BY5" s="1">
        <v>46.13</v>
      </c>
      <c r="BZ5" s="1">
        <v>146.52000000000001</v>
      </c>
      <c r="CA5" s="1">
        <v>25.2</v>
      </c>
      <c r="CB5" s="1">
        <v>0</v>
      </c>
      <c r="CC5" s="1">
        <v>7.66</v>
      </c>
      <c r="CD5" s="1">
        <v>0</v>
      </c>
      <c r="CE5" s="1">
        <v>6.19</v>
      </c>
      <c r="CF5" s="1">
        <v>0</v>
      </c>
      <c r="CG5" s="1">
        <v>7.2</v>
      </c>
      <c r="CH5" s="1">
        <v>0</v>
      </c>
      <c r="CI5" s="1">
        <v>3.06</v>
      </c>
      <c r="CJ5" s="1">
        <v>0</v>
      </c>
      <c r="CK5" s="1">
        <v>6.7</v>
      </c>
      <c r="CL5" s="1">
        <v>512894.53</v>
      </c>
      <c r="CM5" s="1">
        <v>1118.06</v>
      </c>
      <c r="CN5" s="1">
        <v>9.2100000000000009</v>
      </c>
      <c r="CO5" s="1">
        <v>1</v>
      </c>
      <c r="CP5" s="1">
        <v>5.37</v>
      </c>
      <c r="CQ5" s="1">
        <v>1.88</v>
      </c>
      <c r="CR5" s="1">
        <v>0</v>
      </c>
      <c r="CS5" s="1">
        <v>1.5</v>
      </c>
      <c r="CT5" s="1">
        <v>0</v>
      </c>
      <c r="CU5" s="1">
        <v>1.5</v>
      </c>
      <c r="CV5" s="1">
        <v>0</v>
      </c>
      <c r="CW5" s="1">
        <v>1.5</v>
      </c>
      <c r="CX5" s="1">
        <v>61920.160000000003</v>
      </c>
      <c r="CY5" s="1">
        <v>1418.01</v>
      </c>
      <c r="CZ5" s="1">
        <v>0</v>
      </c>
      <c r="DA5" s="1">
        <v>206.17</v>
      </c>
      <c r="DB5" s="1">
        <v>311858.81</v>
      </c>
      <c r="DC5" s="1">
        <v>1025.95</v>
      </c>
      <c r="DD5" s="1">
        <v>0</v>
      </c>
      <c r="DE5" s="1">
        <v>21.39</v>
      </c>
      <c r="DF5" s="1">
        <v>3007.79</v>
      </c>
      <c r="DG5" s="1">
        <v>1321.62</v>
      </c>
      <c r="DH5" s="1">
        <v>48.01</v>
      </c>
      <c r="DI5" s="1">
        <v>24.63</v>
      </c>
      <c r="DJ5" s="1">
        <v>0</v>
      </c>
      <c r="DK5" s="1">
        <v>9.77</v>
      </c>
      <c r="DL5" s="1">
        <v>0</v>
      </c>
      <c r="DM5" s="1">
        <v>20.78</v>
      </c>
      <c r="DN5" s="16">
        <v>47</v>
      </c>
      <c r="DP5">
        <v>1</v>
      </c>
      <c r="DQ5">
        <v>1.5519898847608264</v>
      </c>
      <c r="DR5">
        <v>63</v>
      </c>
      <c r="DS5" s="10">
        <v>4.25</v>
      </c>
      <c r="DT5" s="10">
        <v>0.85000002384185791</v>
      </c>
      <c r="DU5" s="10">
        <v>8.5699996948242188</v>
      </c>
      <c r="DV5" s="10">
        <v>14.484537124633789</v>
      </c>
      <c r="DW5" t="s">
        <v>347</v>
      </c>
      <c r="DX5" s="10">
        <v>28.995330810546875</v>
      </c>
      <c r="DY5" s="10">
        <v>17.698448181152344</v>
      </c>
      <c r="DZ5" s="10">
        <v>30.501581192016602</v>
      </c>
      <c r="EA5" s="10">
        <v>48.200027465820313</v>
      </c>
      <c r="EB5" s="10">
        <v>22.759450912475586</v>
      </c>
      <c r="EC5" s="10">
        <v>4.5187529176473618E-2</v>
      </c>
      <c r="ED5" s="10">
        <v>22.804637908935547</v>
      </c>
      <c r="EE5" s="10">
        <v>1.0041337013244629</v>
      </c>
      <c r="EF5" s="10">
        <v>13.8</v>
      </c>
    </row>
    <row r="6" spans="1:136" ht="14.4" x14ac:dyDescent="0.3">
      <c r="A6" s="1" t="s">
        <v>121</v>
      </c>
      <c r="B6" s="2">
        <v>10</v>
      </c>
      <c r="C6" s="3">
        <v>44662.702777777777</v>
      </c>
      <c r="D6" s="1">
        <v>361.42</v>
      </c>
      <c r="E6" s="1">
        <v>80</v>
      </c>
      <c r="F6" s="1">
        <v>9.1290000000000002E-5</v>
      </c>
      <c r="G6" s="1">
        <v>6.1160000000000004E-6</v>
      </c>
      <c r="H6" s="1">
        <v>3.83</v>
      </c>
      <c r="I6" s="1" t="s">
        <v>122</v>
      </c>
      <c r="J6" s="1" t="s">
        <v>110</v>
      </c>
      <c r="K6" s="1">
        <v>14.18</v>
      </c>
      <c r="L6" s="1">
        <v>406</v>
      </c>
      <c r="M6" s="1">
        <v>3</v>
      </c>
      <c r="N6" s="1">
        <v>8.6829999999999994E-5</v>
      </c>
      <c r="O6" s="1">
        <v>1.023E-6</v>
      </c>
      <c r="P6" s="1">
        <v>0.67</v>
      </c>
      <c r="Q6" s="1" t="s">
        <v>123</v>
      </c>
      <c r="R6" s="1" t="s">
        <v>110</v>
      </c>
      <c r="S6" s="1">
        <v>6.4379407616361082</v>
      </c>
      <c r="T6" s="1">
        <v>6.1234132581100136</v>
      </c>
      <c r="U6" s="1">
        <f t="shared" si="0"/>
        <v>0.3145275035260946</v>
      </c>
      <c r="V6" s="1">
        <f t="shared" si="2"/>
        <v>4.8855296308467748</v>
      </c>
      <c r="W6" s="1">
        <f t="shared" si="1"/>
        <v>0.3145275035260946</v>
      </c>
      <c r="X6" s="1">
        <v>723505.5</v>
      </c>
      <c r="Y6" s="1">
        <v>0</v>
      </c>
      <c r="Z6" s="1">
        <v>7262.3</v>
      </c>
      <c r="AA6" s="1">
        <v>0</v>
      </c>
      <c r="AB6" s="1">
        <v>99965.17</v>
      </c>
      <c r="AC6" s="1">
        <v>0</v>
      </c>
      <c r="AD6" s="1">
        <v>7.53</v>
      </c>
      <c r="AE6" s="1">
        <v>1.48</v>
      </c>
      <c r="AF6" s="1">
        <v>477.01</v>
      </c>
      <c r="AG6" s="1">
        <v>3.53</v>
      </c>
      <c r="AH6" s="1">
        <v>189.34</v>
      </c>
      <c r="AI6" s="1">
        <v>2.29</v>
      </c>
      <c r="AJ6" s="1">
        <v>0</v>
      </c>
      <c r="AK6" s="1">
        <v>3.31</v>
      </c>
      <c r="AL6" s="1">
        <v>55.23</v>
      </c>
      <c r="AM6" s="1">
        <v>1.54</v>
      </c>
      <c r="AN6" s="1">
        <v>5.7</v>
      </c>
      <c r="AO6" s="1">
        <v>1.3</v>
      </c>
      <c r="AP6" s="1">
        <v>10.199999999999999</v>
      </c>
      <c r="AQ6" s="1">
        <v>2.08</v>
      </c>
      <c r="AR6" s="1">
        <v>0</v>
      </c>
      <c r="AS6" s="1">
        <v>3.27</v>
      </c>
      <c r="AT6" s="1">
        <v>0</v>
      </c>
      <c r="AU6" s="1">
        <v>1.78</v>
      </c>
      <c r="AV6" s="1">
        <v>10.29</v>
      </c>
      <c r="AW6" s="1">
        <v>1.82</v>
      </c>
      <c r="AX6" s="1">
        <v>0</v>
      </c>
      <c r="AY6" s="1">
        <v>4.25</v>
      </c>
      <c r="AZ6" s="1">
        <v>23.97</v>
      </c>
      <c r="BA6" s="1">
        <v>3.38</v>
      </c>
      <c r="BB6" s="1">
        <v>0</v>
      </c>
      <c r="BC6" s="1">
        <v>17.100000000000001</v>
      </c>
      <c r="BD6" s="1">
        <v>9.09</v>
      </c>
      <c r="BE6" s="1">
        <v>5.4</v>
      </c>
      <c r="BF6" s="1">
        <v>0</v>
      </c>
      <c r="BG6" s="1">
        <v>16.690000000000001</v>
      </c>
      <c r="BH6" s="1">
        <v>0</v>
      </c>
      <c r="BI6" s="1">
        <v>50.38</v>
      </c>
      <c r="BJ6" s="1">
        <v>18330.43</v>
      </c>
      <c r="BK6" s="1">
        <v>118.63</v>
      </c>
      <c r="BL6" s="1">
        <v>189.07</v>
      </c>
      <c r="BM6" s="1">
        <v>23.99</v>
      </c>
      <c r="BN6" s="1">
        <v>50.75</v>
      </c>
      <c r="BO6" s="1">
        <v>5.76</v>
      </c>
      <c r="BP6" s="1">
        <v>88.11</v>
      </c>
      <c r="BQ6" s="1">
        <v>17.48</v>
      </c>
      <c r="BR6" s="1">
        <v>2697.5</v>
      </c>
      <c r="BS6" s="1">
        <v>39.9</v>
      </c>
      <c r="BT6" s="1">
        <v>73052.42</v>
      </c>
      <c r="BU6" s="1">
        <v>488.22</v>
      </c>
      <c r="BV6" s="1">
        <v>11352.42</v>
      </c>
      <c r="BW6" s="1">
        <v>133.72</v>
      </c>
      <c r="BX6" s="1">
        <v>417.33</v>
      </c>
      <c r="BY6" s="1">
        <v>46.26</v>
      </c>
      <c r="BZ6" s="1">
        <v>155.99</v>
      </c>
      <c r="CA6" s="1">
        <v>25.2</v>
      </c>
      <c r="CB6" s="1">
        <v>0</v>
      </c>
      <c r="CC6" s="1">
        <v>7.44</v>
      </c>
      <c r="CD6" s="1">
        <v>0</v>
      </c>
      <c r="CE6" s="1">
        <v>5.98</v>
      </c>
      <c r="CF6" s="1">
        <v>0</v>
      </c>
      <c r="CG6" s="1">
        <v>6.94</v>
      </c>
      <c r="CH6" s="1">
        <v>0</v>
      </c>
      <c r="CI6" s="1">
        <v>4.55</v>
      </c>
      <c r="CJ6" s="1">
        <v>0</v>
      </c>
      <c r="CK6" s="1">
        <v>6.4</v>
      </c>
      <c r="CL6" s="1">
        <v>498036.66</v>
      </c>
      <c r="CM6" s="1">
        <v>1149.75</v>
      </c>
      <c r="CN6" s="1">
        <v>8.69</v>
      </c>
      <c r="CO6" s="1">
        <v>1</v>
      </c>
      <c r="CP6" s="1">
        <v>4.04</v>
      </c>
      <c r="CQ6" s="1">
        <v>1.79</v>
      </c>
      <c r="CR6" s="1">
        <v>0</v>
      </c>
      <c r="CS6" s="1">
        <v>1.5</v>
      </c>
      <c r="CT6" s="1">
        <v>0</v>
      </c>
      <c r="CU6" s="1">
        <v>1.5</v>
      </c>
      <c r="CV6" s="1">
        <v>0</v>
      </c>
      <c r="CW6" s="1">
        <v>1.5</v>
      </c>
      <c r="CX6" s="1">
        <v>52891.63</v>
      </c>
      <c r="CY6" s="1">
        <v>1349.49</v>
      </c>
      <c r="CZ6" s="1">
        <v>0</v>
      </c>
      <c r="DA6" s="1">
        <v>215.32</v>
      </c>
      <c r="DB6" s="1">
        <v>338086.66</v>
      </c>
      <c r="DC6" s="1">
        <v>1063.8399999999999</v>
      </c>
      <c r="DD6" s="1">
        <v>0</v>
      </c>
      <c r="DE6" s="1">
        <v>21.75</v>
      </c>
      <c r="DF6" s="1">
        <v>4374.88</v>
      </c>
      <c r="DG6" s="1">
        <v>1350.25</v>
      </c>
      <c r="DH6" s="1">
        <v>0</v>
      </c>
      <c r="DI6" s="1">
        <v>35.32</v>
      </c>
      <c r="DJ6" s="1">
        <v>0</v>
      </c>
      <c r="DK6" s="1">
        <v>9.5299999999999994</v>
      </c>
      <c r="DL6" s="1">
        <v>0</v>
      </c>
      <c r="DM6" s="1">
        <v>20.18</v>
      </c>
      <c r="DN6" s="16">
        <v>23</v>
      </c>
      <c r="DP6">
        <v>1</v>
      </c>
      <c r="DQ6">
        <v>1.42897601644731</v>
      </c>
      <c r="DR6">
        <v>80</v>
      </c>
      <c r="DS6" s="10">
        <v>2.5</v>
      </c>
      <c r="DT6" s="10">
        <v>0.5</v>
      </c>
      <c r="DU6" s="10">
        <v>8.5</v>
      </c>
      <c r="DV6" s="10">
        <v>9.2513103485107422</v>
      </c>
      <c r="DW6" t="s">
        <v>352</v>
      </c>
      <c r="DX6" s="10">
        <v>18.817203521728516</v>
      </c>
      <c r="DY6" s="10">
        <v>12.672811508178711</v>
      </c>
      <c r="DZ6" s="10">
        <v>33.026115417480469</v>
      </c>
      <c r="EA6" s="10">
        <v>45.698928833007813</v>
      </c>
      <c r="EB6" s="10">
        <v>35.391704559326172</v>
      </c>
      <c r="EC6" s="10">
        <v>9.2165902256965637E-2</v>
      </c>
      <c r="ED6" s="10">
        <v>35.483871459960938</v>
      </c>
      <c r="EE6" s="10">
        <v>1.5381169319152832</v>
      </c>
      <c r="EF6" s="10">
        <v>14.6</v>
      </c>
    </row>
    <row r="7" spans="1:136" ht="14.4" x14ac:dyDescent="0.3">
      <c r="A7" s="1" t="s">
        <v>124</v>
      </c>
      <c r="B7" s="2">
        <v>12</v>
      </c>
      <c r="C7" s="3">
        <v>44679.591666666667</v>
      </c>
      <c r="D7" s="1">
        <v>361.73</v>
      </c>
      <c r="E7" s="1">
        <v>107</v>
      </c>
      <c r="F7" s="1">
        <v>1.548E-4</v>
      </c>
      <c r="G7" s="1">
        <v>9.6039999999999999E-6</v>
      </c>
      <c r="H7" s="1">
        <v>3.55</v>
      </c>
      <c r="I7" s="1" t="s">
        <v>125</v>
      </c>
      <c r="J7" s="1" t="s">
        <v>110</v>
      </c>
      <c r="K7" s="1">
        <v>14.95</v>
      </c>
      <c r="L7" s="1">
        <v>418</v>
      </c>
      <c r="M7" s="1">
        <v>3</v>
      </c>
      <c r="N7" s="1">
        <v>1.4320000000000001E-4</v>
      </c>
      <c r="O7" s="1">
        <v>2.9399999999999998E-6</v>
      </c>
      <c r="P7" s="1">
        <v>1.18</v>
      </c>
      <c r="Q7" s="1" t="s">
        <v>126</v>
      </c>
      <c r="R7" s="1" t="s">
        <v>110</v>
      </c>
      <c r="S7" s="1">
        <v>10.354515050167221</v>
      </c>
      <c r="T7" s="1">
        <v>9.5785953177257532</v>
      </c>
      <c r="U7" s="1">
        <f t="shared" si="0"/>
        <v>0.7759197324414675</v>
      </c>
      <c r="V7" s="1">
        <f t="shared" si="2"/>
        <v>7.493540051679549</v>
      </c>
      <c r="W7" s="1">
        <f t="shared" si="1"/>
        <v>0.7759197324414675</v>
      </c>
      <c r="X7" s="4">
        <v>724995.06</v>
      </c>
      <c r="Y7" s="4">
        <v>0</v>
      </c>
      <c r="Z7" s="4">
        <v>2414.4699999999998</v>
      </c>
      <c r="AA7" s="4">
        <v>0</v>
      </c>
      <c r="AB7" s="4">
        <v>106709.61</v>
      </c>
      <c r="AC7" s="4">
        <v>0</v>
      </c>
      <c r="AD7" s="4">
        <v>9.17</v>
      </c>
      <c r="AE7" s="4">
        <v>1.42</v>
      </c>
      <c r="AF7" s="4">
        <v>400.74</v>
      </c>
      <c r="AG7" s="4">
        <v>3.19</v>
      </c>
      <c r="AH7" s="4">
        <v>138.66999999999999</v>
      </c>
      <c r="AI7" s="4">
        <v>1.95</v>
      </c>
      <c r="AJ7" s="4">
        <v>0</v>
      </c>
      <c r="AK7" s="4">
        <v>3.21</v>
      </c>
      <c r="AL7" s="4">
        <v>63.99</v>
      </c>
      <c r="AM7" s="4">
        <v>1.59</v>
      </c>
      <c r="AN7" s="4">
        <v>5.55</v>
      </c>
      <c r="AO7" s="4">
        <v>1.28</v>
      </c>
      <c r="AP7" s="4">
        <v>13.05</v>
      </c>
      <c r="AQ7" s="4">
        <v>2.12</v>
      </c>
      <c r="AR7" s="4">
        <v>0</v>
      </c>
      <c r="AS7" s="4">
        <v>3.2</v>
      </c>
      <c r="AT7" s="4">
        <v>0</v>
      </c>
      <c r="AU7" s="4">
        <v>1.72</v>
      </c>
      <c r="AV7" s="4">
        <v>8.14</v>
      </c>
      <c r="AW7" s="4">
        <v>1.8</v>
      </c>
      <c r="AX7" s="4">
        <v>0</v>
      </c>
      <c r="AY7" s="4">
        <v>4.08</v>
      </c>
      <c r="AZ7" s="4">
        <v>33</v>
      </c>
      <c r="BA7" s="4">
        <v>3.49</v>
      </c>
      <c r="BB7" s="4">
        <v>0</v>
      </c>
      <c r="BC7" s="4">
        <v>16.27</v>
      </c>
      <c r="BD7" s="4">
        <v>9.1300000000000008</v>
      </c>
      <c r="BE7" s="4">
        <v>5.24</v>
      </c>
      <c r="BF7" s="4">
        <v>0</v>
      </c>
      <c r="BG7" s="4">
        <v>16.100000000000001</v>
      </c>
      <c r="BH7" s="4">
        <v>51.25</v>
      </c>
      <c r="BI7" s="4">
        <v>33.85</v>
      </c>
      <c r="BJ7" s="4">
        <v>19274.43</v>
      </c>
      <c r="BK7" s="4">
        <v>119.87</v>
      </c>
      <c r="BL7" s="4">
        <v>159.21</v>
      </c>
      <c r="BM7" s="4">
        <v>23</v>
      </c>
      <c r="BN7" s="4">
        <v>79.180000000000007</v>
      </c>
      <c r="BO7" s="4">
        <v>6.13</v>
      </c>
      <c r="BP7" s="4">
        <v>80.86</v>
      </c>
      <c r="BQ7" s="4">
        <v>17.64</v>
      </c>
      <c r="BR7" s="4">
        <v>2991.31</v>
      </c>
      <c r="BS7" s="4">
        <v>41.64</v>
      </c>
      <c r="BT7" s="4">
        <v>46370.28</v>
      </c>
      <c r="BU7" s="4">
        <v>408.37</v>
      </c>
      <c r="BV7" s="4">
        <v>12832.76</v>
      </c>
      <c r="BW7" s="4">
        <v>143.44999999999999</v>
      </c>
      <c r="BX7" s="4">
        <v>210.81</v>
      </c>
      <c r="BY7" s="4">
        <v>41.69</v>
      </c>
      <c r="BZ7" s="4">
        <v>104.47</v>
      </c>
      <c r="CA7" s="4">
        <v>23.97</v>
      </c>
      <c r="CB7" s="4">
        <v>0</v>
      </c>
      <c r="CC7" s="4">
        <v>7.16</v>
      </c>
      <c r="CD7" s="4">
        <v>0</v>
      </c>
      <c r="CE7" s="4">
        <v>5.71</v>
      </c>
      <c r="CF7" s="4">
        <v>0</v>
      </c>
      <c r="CG7" s="4">
        <v>6.66</v>
      </c>
      <c r="CH7" s="4">
        <v>0</v>
      </c>
      <c r="CI7" s="4">
        <v>4.3899999999999997</v>
      </c>
      <c r="CJ7" s="4">
        <v>0</v>
      </c>
      <c r="CK7" s="4">
        <v>6.21</v>
      </c>
      <c r="CL7" s="4">
        <v>521013.06</v>
      </c>
      <c r="CM7" s="4">
        <v>1078.05</v>
      </c>
      <c r="CN7" s="4">
        <v>8.94</v>
      </c>
      <c r="CO7" s="4">
        <v>1</v>
      </c>
      <c r="CP7" s="4">
        <v>4.8499999999999996</v>
      </c>
      <c r="CQ7" s="4">
        <v>1.81</v>
      </c>
      <c r="CR7" s="4">
        <v>0</v>
      </c>
      <c r="CS7" s="4">
        <v>1.5</v>
      </c>
      <c r="CT7" s="4">
        <v>0</v>
      </c>
      <c r="CU7" s="4">
        <v>1.5</v>
      </c>
      <c r="CV7" s="4">
        <v>0</v>
      </c>
      <c r="CW7" s="4">
        <v>1.5</v>
      </c>
      <c r="CX7" s="4">
        <v>56460.11</v>
      </c>
      <c r="CY7" s="4">
        <v>1269.8</v>
      </c>
      <c r="CZ7" s="4">
        <v>0</v>
      </c>
      <c r="DA7" s="4">
        <v>199.58</v>
      </c>
      <c r="DB7" s="4">
        <v>338782.71999999997</v>
      </c>
      <c r="DC7" s="4">
        <v>1033.04</v>
      </c>
      <c r="DD7" s="4">
        <v>0</v>
      </c>
      <c r="DE7" s="4">
        <v>20.43</v>
      </c>
      <c r="DF7" s="4">
        <v>0</v>
      </c>
      <c r="DG7" s="4">
        <v>1715.2</v>
      </c>
      <c r="DH7" s="4">
        <v>0</v>
      </c>
      <c r="DI7" s="4">
        <v>28.48</v>
      </c>
      <c r="DJ7" s="4">
        <v>0</v>
      </c>
      <c r="DK7" s="4">
        <v>9.09</v>
      </c>
      <c r="DL7" s="4">
        <v>0</v>
      </c>
      <c r="DM7" s="4">
        <v>19.34</v>
      </c>
      <c r="DN7" s="17">
        <v>49</v>
      </c>
      <c r="DP7">
        <v>1</v>
      </c>
      <c r="DQ7">
        <v>1.6287066550951139</v>
      </c>
      <c r="DR7">
        <v>107</v>
      </c>
      <c r="DS7" s="10">
        <v>3.38</v>
      </c>
      <c r="DT7" s="10">
        <v>0.67599999904632568</v>
      </c>
      <c r="DU7" s="10">
        <v>8.6099996566772461</v>
      </c>
      <c r="DV7" s="10">
        <v>9.4984540939331055</v>
      </c>
      <c r="DW7" t="s">
        <v>348</v>
      </c>
      <c r="DX7" s="10">
        <v>16.877985000610352</v>
      </c>
      <c r="DY7" s="10">
        <v>12.34974479675293</v>
      </c>
      <c r="DZ7" s="10">
        <v>29.227729797363281</v>
      </c>
      <c r="EA7" s="10">
        <v>41.577476501464844</v>
      </c>
      <c r="EB7" s="10">
        <v>41.511608123779297</v>
      </c>
      <c r="EC7" s="10">
        <v>3.2932654023170471E-2</v>
      </c>
      <c r="ED7" s="10">
        <v>41.544540405273438</v>
      </c>
      <c r="EE7" s="10">
        <v>1.3890348672866821</v>
      </c>
      <c r="EF7" s="10">
        <v>8.4</v>
      </c>
    </row>
    <row r="8" spans="1:136" ht="14.4" x14ac:dyDescent="0.3">
      <c r="A8" s="1" t="s">
        <v>127</v>
      </c>
      <c r="B8" s="2">
        <v>4</v>
      </c>
      <c r="C8" s="3">
        <v>44662.594444444447</v>
      </c>
      <c r="D8" s="1">
        <v>360.73</v>
      </c>
      <c r="E8" s="1">
        <v>120</v>
      </c>
      <c r="F8" s="1">
        <v>7.8440000000000001E-5</v>
      </c>
      <c r="G8" s="1">
        <v>5.4809999999999999E-7</v>
      </c>
      <c r="H8" s="1">
        <v>0.4</v>
      </c>
      <c r="I8" s="1" t="s">
        <v>128</v>
      </c>
      <c r="J8" s="1" t="s">
        <v>110</v>
      </c>
      <c r="K8" s="1">
        <v>13.51</v>
      </c>
      <c r="L8" s="1">
        <v>424</v>
      </c>
      <c r="M8" s="1">
        <v>3</v>
      </c>
      <c r="N8" s="1">
        <v>7.4729999999999998E-5</v>
      </c>
      <c r="O8" s="1">
        <v>5.0380000000000005E-7</v>
      </c>
      <c r="P8" s="1">
        <v>0.39</v>
      </c>
      <c r="Q8" s="1" t="s">
        <v>129</v>
      </c>
      <c r="R8" s="1" t="s">
        <v>110</v>
      </c>
      <c r="S8" s="1">
        <v>5.8060695780903044</v>
      </c>
      <c r="T8" s="1">
        <v>5.5314581791265729</v>
      </c>
      <c r="U8" s="1">
        <f t="shared" si="0"/>
        <v>0.27461139896373155</v>
      </c>
      <c r="V8" s="1">
        <f t="shared" si="2"/>
        <v>4.7297297297297458</v>
      </c>
      <c r="W8" s="1">
        <f t="shared" si="1"/>
        <v>0.27461139896373155</v>
      </c>
      <c r="X8" s="1">
        <v>487735.19</v>
      </c>
      <c r="Y8" s="1">
        <v>0</v>
      </c>
      <c r="Z8" s="1">
        <v>0</v>
      </c>
      <c r="AA8" s="1">
        <v>0</v>
      </c>
      <c r="AB8" s="1">
        <v>86980.15</v>
      </c>
      <c r="AC8" s="1">
        <v>0</v>
      </c>
      <c r="AD8" s="1">
        <v>10.43</v>
      </c>
      <c r="AE8" s="1">
        <v>1.33</v>
      </c>
      <c r="AF8" s="1">
        <v>258.01</v>
      </c>
      <c r="AG8" s="1">
        <v>2.59</v>
      </c>
      <c r="AH8" s="1">
        <v>127.54</v>
      </c>
      <c r="AI8" s="1">
        <v>1.84</v>
      </c>
      <c r="AJ8" s="1">
        <v>0</v>
      </c>
      <c r="AK8" s="1">
        <v>3.31</v>
      </c>
      <c r="AL8" s="1">
        <v>74.03</v>
      </c>
      <c r="AM8" s="1">
        <v>1.67</v>
      </c>
      <c r="AN8" s="1">
        <v>6.57</v>
      </c>
      <c r="AO8" s="1">
        <v>1.32</v>
      </c>
      <c r="AP8" s="1">
        <v>14.22</v>
      </c>
      <c r="AQ8" s="1">
        <v>2.1</v>
      </c>
      <c r="AR8" s="1">
        <v>0</v>
      </c>
      <c r="AS8" s="1">
        <v>3</v>
      </c>
      <c r="AT8" s="1">
        <v>0</v>
      </c>
      <c r="AU8" s="1">
        <v>1.67</v>
      </c>
      <c r="AV8" s="1">
        <v>20.94</v>
      </c>
      <c r="AW8" s="1">
        <v>2.5</v>
      </c>
      <c r="AX8" s="1">
        <v>0</v>
      </c>
      <c r="AY8" s="1">
        <v>3.95</v>
      </c>
      <c r="AZ8" s="1">
        <v>44.03</v>
      </c>
      <c r="BA8" s="1">
        <v>3.66</v>
      </c>
      <c r="BB8" s="1">
        <v>0</v>
      </c>
      <c r="BC8" s="1">
        <v>15.98</v>
      </c>
      <c r="BD8" s="1">
        <v>8.49</v>
      </c>
      <c r="BE8" s="1">
        <v>5.15</v>
      </c>
      <c r="BF8" s="1">
        <v>0</v>
      </c>
      <c r="BG8" s="1">
        <v>15.66</v>
      </c>
      <c r="BH8" s="1">
        <v>82.48</v>
      </c>
      <c r="BI8" s="1">
        <v>44.88</v>
      </c>
      <c r="BJ8" s="1">
        <v>34249.35</v>
      </c>
      <c r="BK8" s="1">
        <v>160.87</v>
      </c>
      <c r="BL8" s="1">
        <v>149.63</v>
      </c>
      <c r="BM8" s="1">
        <v>23.06</v>
      </c>
      <c r="BN8" s="1">
        <v>148.16</v>
      </c>
      <c r="BO8" s="1">
        <v>12.63</v>
      </c>
      <c r="BP8" s="1">
        <v>119.23</v>
      </c>
      <c r="BQ8" s="1">
        <v>19.02</v>
      </c>
      <c r="BR8" s="1">
        <v>3036.3</v>
      </c>
      <c r="BS8" s="1">
        <v>45.69</v>
      </c>
      <c r="BT8" s="1">
        <v>38193.660000000003</v>
      </c>
      <c r="BU8" s="1">
        <v>400.14</v>
      </c>
      <c r="BV8" s="1">
        <v>11835.61</v>
      </c>
      <c r="BW8" s="1">
        <v>148.05000000000001</v>
      </c>
      <c r="BX8" s="1">
        <v>24318.7</v>
      </c>
      <c r="BY8" s="1">
        <v>141.47</v>
      </c>
      <c r="BZ8" s="1">
        <v>0</v>
      </c>
      <c r="CA8" s="1">
        <v>25.02</v>
      </c>
      <c r="CB8" s="1">
        <v>0</v>
      </c>
      <c r="CC8" s="1">
        <v>6.45</v>
      </c>
      <c r="CD8" s="1">
        <v>0</v>
      </c>
      <c r="CE8" s="1">
        <v>5.23</v>
      </c>
      <c r="CF8" s="1">
        <v>0</v>
      </c>
      <c r="CG8" s="1">
        <v>6.18</v>
      </c>
      <c r="CH8" s="1">
        <v>0</v>
      </c>
      <c r="CI8" s="1">
        <v>4.01</v>
      </c>
      <c r="CJ8" s="1">
        <v>0</v>
      </c>
      <c r="CK8" s="1">
        <v>5.82</v>
      </c>
      <c r="CL8" s="1">
        <v>613544.63</v>
      </c>
      <c r="CM8" s="1">
        <v>904.68</v>
      </c>
      <c r="CN8" s="1">
        <v>9.34</v>
      </c>
      <c r="CO8" s="1">
        <v>1</v>
      </c>
      <c r="CP8" s="1">
        <v>7.55</v>
      </c>
      <c r="CQ8" s="1">
        <v>1.89</v>
      </c>
      <c r="CR8" s="1">
        <v>0</v>
      </c>
      <c r="CS8" s="1">
        <v>1.5</v>
      </c>
      <c r="CT8" s="1">
        <v>0</v>
      </c>
      <c r="CU8" s="1">
        <v>1.5</v>
      </c>
      <c r="CV8" s="1">
        <v>0</v>
      </c>
      <c r="CW8" s="1">
        <v>1.5</v>
      </c>
      <c r="CX8" s="1">
        <v>46021.24</v>
      </c>
      <c r="CY8" s="1">
        <v>1219.01</v>
      </c>
      <c r="CZ8" s="1">
        <v>462.03</v>
      </c>
      <c r="DA8" s="1">
        <v>119.05</v>
      </c>
      <c r="DB8" s="1">
        <v>227913.63</v>
      </c>
      <c r="DC8" s="1">
        <v>880.12</v>
      </c>
      <c r="DD8" s="1">
        <v>0</v>
      </c>
      <c r="DE8" s="1">
        <v>19.96</v>
      </c>
      <c r="DF8" s="1">
        <v>0</v>
      </c>
      <c r="DG8" s="1">
        <v>3366.01</v>
      </c>
      <c r="DH8" s="1">
        <v>31.49</v>
      </c>
      <c r="DI8" s="1">
        <v>19.12</v>
      </c>
      <c r="DJ8" s="1">
        <v>0</v>
      </c>
      <c r="DK8" s="1">
        <v>8.3800000000000008</v>
      </c>
      <c r="DL8" s="1">
        <v>0</v>
      </c>
      <c r="DM8" s="1">
        <v>17.55</v>
      </c>
      <c r="DN8" s="16">
        <v>5</v>
      </c>
      <c r="DP8">
        <v>1</v>
      </c>
      <c r="DQ8">
        <v>1.501842882693385</v>
      </c>
      <c r="DR8">
        <v>120</v>
      </c>
      <c r="DS8" s="10">
        <v>3.1</v>
      </c>
      <c r="DT8" s="10">
        <v>0.62000000476837158</v>
      </c>
      <c r="DU8" s="10">
        <v>8.619999885559082</v>
      </c>
      <c r="DV8" s="10">
        <v>8.9759559631347656</v>
      </c>
      <c r="DW8" t="s">
        <v>353</v>
      </c>
      <c r="DX8" s="10">
        <v>18.512920379638672</v>
      </c>
      <c r="DY8" s="10">
        <v>12.090070724487305</v>
      </c>
      <c r="DZ8" s="10">
        <v>30.602993011474609</v>
      </c>
      <c r="EA8" s="10">
        <v>42.693061828613281</v>
      </c>
      <c r="EB8" s="10">
        <v>38.809127807617188</v>
      </c>
      <c r="EC8" s="10">
        <v>-1.5112589113414288E-2</v>
      </c>
      <c r="ED8" s="10">
        <v>38.794013977050781</v>
      </c>
      <c r="EE8" s="10">
        <v>1.3385857343673706</v>
      </c>
      <c r="EF8" s="10">
        <v>14.7</v>
      </c>
    </row>
    <row r="9" spans="1:136" ht="14.4" x14ac:dyDescent="0.3">
      <c r="A9" s="1" t="s">
        <v>130</v>
      </c>
      <c r="B9" s="2">
        <v>8</v>
      </c>
      <c r="C9" s="3">
        <v>44662.713194444441</v>
      </c>
      <c r="D9" s="1">
        <v>362.52</v>
      </c>
      <c r="E9" s="1">
        <v>154</v>
      </c>
      <c r="F9" s="1">
        <v>1.03E-4</v>
      </c>
      <c r="G9" s="1">
        <v>4.6430000000000003E-6</v>
      </c>
      <c r="H9" s="1">
        <v>2.58</v>
      </c>
      <c r="I9" s="1" t="s">
        <v>131</v>
      </c>
      <c r="J9" s="1" t="s">
        <v>110</v>
      </c>
      <c r="K9" s="1">
        <v>14.41</v>
      </c>
      <c r="L9" s="1">
        <v>425</v>
      </c>
      <c r="M9" s="1">
        <v>3</v>
      </c>
      <c r="N9" s="1">
        <v>9.6589999999999995E-5</v>
      </c>
      <c r="O9" s="1">
        <v>1.4789999999999999E-6</v>
      </c>
      <c r="P9" s="1">
        <v>0.88</v>
      </c>
      <c r="Q9" s="1" t="s">
        <v>132</v>
      </c>
      <c r="R9" s="1" t="s">
        <v>110</v>
      </c>
      <c r="S9" s="1">
        <v>7.1478140180430252</v>
      </c>
      <c r="T9" s="1">
        <v>6.7029840388619011</v>
      </c>
      <c r="U9" s="1">
        <f t="shared" si="0"/>
        <v>0.4448299791811241</v>
      </c>
      <c r="V9" s="1">
        <f t="shared" si="2"/>
        <v>6.223300970873785</v>
      </c>
      <c r="W9" s="1">
        <f t="shared" si="1"/>
        <v>0.4448299791811241</v>
      </c>
      <c r="X9" s="1">
        <v>741330.5</v>
      </c>
      <c r="Y9" s="1">
        <v>0</v>
      </c>
      <c r="Z9" s="1">
        <v>5571.81</v>
      </c>
      <c r="AA9" s="1">
        <v>0</v>
      </c>
      <c r="AB9" s="1">
        <v>114384.88</v>
      </c>
      <c r="AC9" s="1">
        <v>0</v>
      </c>
      <c r="AD9" s="1">
        <v>7.85</v>
      </c>
      <c r="AE9" s="1">
        <v>1.39</v>
      </c>
      <c r="AF9" s="1">
        <v>409.29</v>
      </c>
      <c r="AG9" s="1">
        <v>3.16</v>
      </c>
      <c r="AH9" s="1">
        <v>130.53</v>
      </c>
      <c r="AI9" s="1">
        <v>1.86</v>
      </c>
      <c r="AJ9" s="1">
        <v>0</v>
      </c>
      <c r="AK9" s="1">
        <v>3.2</v>
      </c>
      <c r="AL9" s="1">
        <v>62.69</v>
      </c>
      <c r="AM9" s="1">
        <v>1.56</v>
      </c>
      <c r="AN9" s="1">
        <v>7.08</v>
      </c>
      <c r="AO9" s="1">
        <v>1.29</v>
      </c>
      <c r="AP9" s="1">
        <v>12.94</v>
      </c>
      <c r="AQ9" s="1">
        <v>2.08</v>
      </c>
      <c r="AR9" s="1">
        <v>0</v>
      </c>
      <c r="AS9" s="1">
        <v>3.05</v>
      </c>
      <c r="AT9" s="1">
        <v>0</v>
      </c>
      <c r="AU9" s="1">
        <v>1.69</v>
      </c>
      <c r="AV9" s="1">
        <v>8.07</v>
      </c>
      <c r="AW9" s="1">
        <v>1.76</v>
      </c>
      <c r="AX9" s="1">
        <v>0</v>
      </c>
      <c r="AY9" s="1">
        <v>4.0999999999999996</v>
      </c>
      <c r="AZ9" s="1">
        <v>33.049999999999997</v>
      </c>
      <c r="BA9" s="1">
        <v>3.45</v>
      </c>
      <c r="BB9" s="1">
        <v>0</v>
      </c>
      <c r="BC9" s="1">
        <v>16.38</v>
      </c>
      <c r="BD9" s="1">
        <v>0</v>
      </c>
      <c r="BE9" s="1">
        <v>7.58</v>
      </c>
      <c r="BF9" s="1">
        <v>0</v>
      </c>
      <c r="BG9" s="1">
        <v>15.81</v>
      </c>
      <c r="BH9" s="1">
        <v>0</v>
      </c>
      <c r="BI9" s="1">
        <v>48.32</v>
      </c>
      <c r="BJ9" s="1">
        <v>18269.27</v>
      </c>
      <c r="BK9" s="1">
        <v>114.18</v>
      </c>
      <c r="BL9" s="1">
        <v>219.76</v>
      </c>
      <c r="BM9" s="1">
        <v>23.51</v>
      </c>
      <c r="BN9" s="1">
        <v>75.099999999999994</v>
      </c>
      <c r="BO9" s="1">
        <v>6.11</v>
      </c>
      <c r="BP9" s="1">
        <v>58.48</v>
      </c>
      <c r="BQ9" s="1">
        <v>10.32</v>
      </c>
      <c r="BR9" s="1">
        <v>3333.16</v>
      </c>
      <c r="BS9" s="1">
        <v>42.68</v>
      </c>
      <c r="BT9" s="1">
        <v>42693.02</v>
      </c>
      <c r="BU9" s="1">
        <v>378.9</v>
      </c>
      <c r="BV9" s="1">
        <v>13310.02</v>
      </c>
      <c r="BW9" s="1">
        <v>141.47</v>
      </c>
      <c r="BX9" s="1">
        <v>355.48</v>
      </c>
      <c r="BY9" s="1">
        <v>40.67</v>
      </c>
      <c r="BZ9" s="1">
        <v>133.74</v>
      </c>
      <c r="CA9" s="1">
        <v>23.85</v>
      </c>
      <c r="CB9" s="1">
        <v>0</v>
      </c>
      <c r="CC9" s="1">
        <v>7.22</v>
      </c>
      <c r="CD9" s="1">
        <v>0</v>
      </c>
      <c r="CE9" s="1">
        <v>5.81</v>
      </c>
      <c r="CF9" s="1">
        <v>0</v>
      </c>
      <c r="CG9" s="1">
        <v>6.72</v>
      </c>
      <c r="CH9" s="1">
        <v>3.98</v>
      </c>
      <c r="CI9" s="1">
        <v>1.97</v>
      </c>
      <c r="CJ9" s="1">
        <v>0</v>
      </c>
      <c r="CK9" s="1">
        <v>6.27</v>
      </c>
      <c r="CL9" s="1">
        <v>511174.31</v>
      </c>
      <c r="CM9" s="1">
        <v>1079.1600000000001</v>
      </c>
      <c r="CN9" s="1">
        <v>8.08</v>
      </c>
      <c r="CO9" s="1">
        <v>1</v>
      </c>
      <c r="CP9" s="1">
        <v>6.67</v>
      </c>
      <c r="CQ9" s="1">
        <v>1.8</v>
      </c>
      <c r="CR9" s="1">
        <v>0</v>
      </c>
      <c r="CS9" s="1">
        <v>1.5</v>
      </c>
      <c r="CT9" s="1">
        <v>0</v>
      </c>
      <c r="CU9" s="1">
        <v>1.5</v>
      </c>
      <c r="CV9" s="1">
        <v>0</v>
      </c>
      <c r="CW9" s="1">
        <v>1.5</v>
      </c>
      <c r="CX9" s="1">
        <v>60521.1</v>
      </c>
      <c r="CY9" s="1">
        <v>1252.74</v>
      </c>
      <c r="CZ9" s="1">
        <v>0</v>
      </c>
      <c r="DA9" s="1">
        <v>195.75</v>
      </c>
      <c r="DB9" s="1">
        <v>346416.09</v>
      </c>
      <c r="DC9" s="1">
        <v>1009.38</v>
      </c>
      <c r="DD9" s="1">
        <v>0</v>
      </c>
      <c r="DE9" s="1">
        <v>19.37</v>
      </c>
      <c r="DF9" s="1">
        <v>3356.51</v>
      </c>
      <c r="DG9" s="1">
        <v>1124.5999999999999</v>
      </c>
      <c r="DH9" s="1">
        <v>0</v>
      </c>
      <c r="DI9" s="1">
        <v>27.3</v>
      </c>
      <c r="DJ9" s="1">
        <v>0</v>
      </c>
      <c r="DK9" s="1">
        <v>9.16</v>
      </c>
      <c r="DL9" s="1">
        <v>0</v>
      </c>
      <c r="DM9" s="1">
        <v>19.420000000000002</v>
      </c>
      <c r="DN9" s="16">
        <v>10</v>
      </c>
      <c r="DP9">
        <v>1</v>
      </c>
      <c r="DQ9">
        <v>1.64565724796507</v>
      </c>
      <c r="DR9">
        <v>154</v>
      </c>
      <c r="DS9" s="10">
        <v>2.8</v>
      </c>
      <c r="DT9" s="10">
        <v>0.56000000238418579</v>
      </c>
      <c r="DU9" s="10">
        <v>8.5200004577636719</v>
      </c>
      <c r="DV9" s="10">
        <v>8.3955011367797852</v>
      </c>
      <c r="DW9" t="s">
        <v>349</v>
      </c>
      <c r="DX9" s="10">
        <v>16.041461944580078</v>
      </c>
      <c r="DY9" s="10">
        <v>11.516946792602539</v>
      </c>
      <c r="DZ9" s="10">
        <v>28.792366027832031</v>
      </c>
      <c r="EA9" s="10">
        <v>40.309310913085938</v>
      </c>
      <c r="EB9" s="10">
        <v>43.632774353027344</v>
      </c>
      <c r="EC9" s="10">
        <v>1.6452779993414879E-2</v>
      </c>
      <c r="ED9" s="10">
        <v>43.649227142333984</v>
      </c>
      <c r="EE9" s="10">
        <v>1.4920752048492432</v>
      </c>
      <c r="EF9" s="10">
        <v>7.4</v>
      </c>
    </row>
    <row r="10" spans="1:136" ht="14.4" x14ac:dyDescent="0.3">
      <c r="A10" s="1" t="s">
        <v>133</v>
      </c>
      <c r="B10" s="2">
        <v>5</v>
      </c>
      <c r="C10" s="3">
        <v>44662.665972222218</v>
      </c>
      <c r="D10" s="1">
        <v>360.76</v>
      </c>
      <c r="E10" s="1">
        <v>185</v>
      </c>
      <c r="F10" s="1">
        <v>1.102E-4</v>
      </c>
      <c r="G10" s="1">
        <v>7.2470000000000002E-6</v>
      </c>
      <c r="H10" s="1">
        <v>3.76</v>
      </c>
      <c r="I10" s="1" t="s">
        <v>134</v>
      </c>
      <c r="J10" s="1" t="s">
        <v>110</v>
      </c>
      <c r="K10" s="1">
        <v>14.1</v>
      </c>
      <c r="L10" s="1">
        <v>421</v>
      </c>
      <c r="M10" s="1">
        <v>3</v>
      </c>
      <c r="N10" s="1">
        <v>1.039E-4</v>
      </c>
      <c r="O10" s="1">
        <v>1.629E-6</v>
      </c>
      <c r="P10" s="1">
        <v>0.9</v>
      </c>
      <c r="Q10" s="1" t="s">
        <v>135</v>
      </c>
      <c r="R10" s="1" t="s">
        <v>110</v>
      </c>
      <c r="S10" s="1">
        <v>7.8156028368794317</v>
      </c>
      <c r="T10" s="1">
        <v>7.3687943262411357</v>
      </c>
      <c r="U10" s="1">
        <f t="shared" si="0"/>
        <v>0.44680851063829596</v>
      </c>
      <c r="V10" s="1">
        <f t="shared" si="2"/>
        <v>5.7168784029037871</v>
      </c>
      <c r="W10" s="1">
        <f t="shared" si="1"/>
        <v>0.44680851063829596</v>
      </c>
      <c r="X10" s="1">
        <v>674528.31</v>
      </c>
      <c r="Y10" s="1">
        <v>0</v>
      </c>
      <c r="Z10" s="1">
        <v>8785.67</v>
      </c>
      <c r="AA10" s="1">
        <v>0</v>
      </c>
      <c r="AB10" s="1">
        <v>111205.08</v>
      </c>
      <c r="AC10" s="1">
        <v>0</v>
      </c>
      <c r="AD10" s="1">
        <v>5.93</v>
      </c>
      <c r="AE10" s="1">
        <v>1.36</v>
      </c>
      <c r="AF10" s="1">
        <v>355.89</v>
      </c>
      <c r="AG10" s="1">
        <v>2.99</v>
      </c>
      <c r="AH10" s="1">
        <v>136.58000000000001</v>
      </c>
      <c r="AI10" s="1">
        <v>1.91</v>
      </c>
      <c r="AJ10" s="1">
        <v>0</v>
      </c>
      <c r="AK10" s="1">
        <v>3.24</v>
      </c>
      <c r="AL10" s="1">
        <v>65.05</v>
      </c>
      <c r="AM10" s="1">
        <v>1.59</v>
      </c>
      <c r="AN10" s="1">
        <v>6.48</v>
      </c>
      <c r="AO10" s="1">
        <v>1.29</v>
      </c>
      <c r="AP10" s="1">
        <v>13.87</v>
      </c>
      <c r="AQ10" s="1">
        <v>2.11</v>
      </c>
      <c r="AR10" s="1">
        <v>0</v>
      </c>
      <c r="AS10" s="1">
        <v>3.17</v>
      </c>
      <c r="AT10" s="1">
        <v>0</v>
      </c>
      <c r="AU10" s="1">
        <v>1.69</v>
      </c>
      <c r="AV10" s="1">
        <v>9.9700000000000006</v>
      </c>
      <c r="AW10" s="1">
        <v>1.82</v>
      </c>
      <c r="AX10" s="1">
        <v>0</v>
      </c>
      <c r="AY10" s="1">
        <v>4.01</v>
      </c>
      <c r="AZ10" s="1">
        <v>32</v>
      </c>
      <c r="BA10" s="1">
        <v>3.42</v>
      </c>
      <c r="BB10" s="1">
        <v>0</v>
      </c>
      <c r="BC10" s="1">
        <v>16.079999999999998</v>
      </c>
      <c r="BD10" s="1">
        <v>10.91</v>
      </c>
      <c r="BE10" s="1">
        <v>5.18</v>
      </c>
      <c r="BF10" s="1">
        <v>0</v>
      </c>
      <c r="BG10" s="1">
        <v>15.79</v>
      </c>
      <c r="BH10" s="1">
        <v>55.9</v>
      </c>
      <c r="BI10" s="1">
        <v>34.33</v>
      </c>
      <c r="BJ10" s="1">
        <v>20329.189999999999</v>
      </c>
      <c r="BK10" s="1">
        <v>121.74</v>
      </c>
      <c r="BL10" s="1">
        <v>151.27000000000001</v>
      </c>
      <c r="BM10" s="1">
        <v>22.57</v>
      </c>
      <c r="BN10" s="1">
        <v>73.05</v>
      </c>
      <c r="BO10" s="1">
        <v>6.34</v>
      </c>
      <c r="BP10" s="1">
        <v>66.28</v>
      </c>
      <c r="BQ10" s="1">
        <v>10.8</v>
      </c>
      <c r="BR10" s="1">
        <v>3313.64</v>
      </c>
      <c r="BS10" s="1">
        <v>44.51</v>
      </c>
      <c r="BT10" s="1">
        <v>56641.7</v>
      </c>
      <c r="BU10" s="1">
        <v>440.78</v>
      </c>
      <c r="BV10" s="1">
        <v>12824.59</v>
      </c>
      <c r="BW10" s="1">
        <v>143.19999999999999</v>
      </c>
      <c r="BX10" s="1">
        <v>1369.92</v>
      </c>
      <c r="BY10" s="1">
        <v>50.09</v>
      </c>
      <c r="BZ10" s="1">
        <v>0</v>
      </c>
      <c r="CA10" s="1">
        <v>27.83</v>
      </c>
      <c r="CB10" s="1">
        <v>0</v>
      </c>
      <c r="CC10" s="1">
        <v>7.12</v>
      </c>
      <c r="CD10" s="1">
        <v>0</v>
      </c>
      <c r="CE10" s="1">
        <v>5.76</v>
      </c>
      <c r="CF10" s="1">
        <v>0</v>
      </c>
      <c r="CG10" s="1">
        <v>6.75</v>
      </c>
      <c r="CH10" s="1">
        <v>0</v>
      </c>
      <c r="CI10" s="1">
        <v>4.3600000000000003</v>
      </c>
      <c r="CJ10" s="1">
        <v>4.75</v>
      </c>
      <c r="CK10" s="1">
        <v>1.98</v>
      </c>
      <c r="CL10" s="1">
        <v>525643.25</v>
      </c>
      <c r="CM10" s="1">
        <v>1074.08</v>
      </c>
      <c r="CN10" s="1">
        <v>8.89</v>
      </c>
      <c r="CO10" s="1">
        <v>1</v>
      </c>
      <c r="CP10" s="1">
        <v>4.72</v>
      </c>
      <c r="CQ10" s="1">
        <v>1.79</v>
      </c>
      <c r="CR10" s="1">
        <v>0</v>
      </c>
      <c r="CS10" s="1">
        <v>1.5</v>
      </c>
      <c r="CT10" s="1">
        <v>0</v>
      </c>
      <c r="CU10" s="1">
        <v>1.5</v>
      </c>
      <c r="CV10" s="1">
        <v>0</v>
      </c>
      <c r="CW10" s="1">
        <v>1.5</v>
      </c>
      <c r="CX10" s="1">
        <v>58838.66</v>
      </c>
      <c r="CY10" s="1">
        <v>1319.28</v>
      </c>
      <c r="CZ10" s="1">
        <v>0</v>
      </c>
      <c r="DA10" s="1">
        <v>197.29</v>
      </c>
      <c r="DB10" s="1">
        <v>315200.13</v>
      </c>
      <c r="DC10" s="1">
        <v>1004.57</v>
      </c>
      <c r="DD10" s="1">
        <v>0</v>
      </c>
      <c r="DE10" s="1">
        <v>20.18</v>
      </c>
      <c r="DF10" s="1">
        <v>5292.57</v>
      </c>
      <c r="DG10" s="1">
        <v>1261.8800000000001</v>
      </c>
      <c r="DH10" s="1">
        <v>32.9</v>
      </c>
      <c r="DI10" s="1">
        <v>21.79</v>
      </c>
      <c r="DJ10" s="1">
        <v>0</v>
      </c>
      <c r="DK10" s="1">
        <v>9.07</v>
      </c>
      <c r="DL10" s="1">
        <v>0</v>
      </c>
      <c r="DM10" s="1">
        <v>19.16</v>
      </c>
      <c r="DN10" s="16">
        <v>6</v>
      </c>
      <c r="DP10">
        <v>1</v>
      </c>
      <c r="DQ10">
        <v>1.4123483993274544</v>
      </c>
      <c r="DR10">
        <v>185</v>
      </c>
      <c r="DS10" s="10">
        <v>2.58</v>
      </c>
      <c r="DT10" s="10">
        <v>0.51599997282028198</v>
      </c>
      <c r="DU10" s="10">
        <v>8.5699996948242188</v>
      </c>
      <c r="DV10" s="10">
        <v>10.829516410827637</v>
      </c>
      <c r="DW10" t="s">
        <v>350</v>
      </c>
      <c r="DX10" s="10">
        <v>21.371248245239258</v>
      </c>
      <c r="DY10" s="10">
        <v>15.265177726745605</v>
      </c>
      <c r="DZ10" s="10">
        <v>33.583393096923828</v>
      </c>
      <c r="EA10" s="10">
        <v>48.84857177734375</v>
      </c>
      <c r="EB10" s="10">
        <v>29.72784423828125</v>
      </c>
      <c r="EC10" s="10">
        <v>5.2337754517793655E-2</v>
      </c>
      <c r="ED10" s="10">
        <v>29.780181884765625</v>
      </c>
      <c r="EE10" s="10">
        <v>1.4984029531478882</v>
      </c>
      <c r="EF10" s="10">
        <v>10.8</v>
      </c>
    </row>
    <row r="11" spans="1:136" ht="14.4" x14ac:dyDescent="0.3">
      <c r="A11" s="1" t="s">
        <v>136</v>
      </c>
      <c r="B11" s="2">
        <v>9</v>
      </c>
      <c r="C11" s="3">
        <v>44662.661111111112</v>
      </c>
      <c r="D11" s="1">
        <v>361.03</v>
      </c>
      <c r="E11" s="1">
        <v>205</v>
      </c>
      <c r="F11" s="1">
        <v>2.856E-4</v>
      </c>
      <c r="G11" s="1">
        <v>8.6610000000000006E-6</v>
      </c>
      <c r="H11" s="1">
        <v>1.74</v>
      </c>
      <c r="I11" s="1" t="s">
        <v>137</v>
      </c>
      <c r="J11" s="1" t="s">
        <v>110</v>
      </c>
      <c r="K11" s="1">
        <v>11.98</v>
      </c>
      <c r="L11" s="1">
        <v>420</v>
      </c>
      <c r="M11" s="1">
        <v>3</v>
      </c>
      <c r="N11" s="1">
        <v>2.7280000000000002E-4</v>
      </c>
      <c r="O11" s="1">
        <v>-2.4269999999999998E-6</v>
      </c>
      <c r="P11" s="1">
        <v>-0.51</v>
      </c>
      <c r="Q11" s="1" t="s">
        <v>138</v>
      </c>
      <c r="R11" s="1" t="s">
        <v>110</v>
      </c>
      <c r="S11" s="1">
        <v>23.839732888146909</v>
      </c>
      <c r="T11" s="1">
        <v>22.77128547579299</v>
      </c>
      <c r="U11" s="1">
        <f t="shared" si="0"/>
        <v>1.0684474123539189</v>
      </c>
      <c r="V11" s="1">
        <f t="shared" si="2"/>
        <v>4.481792717086817</v>
      </c>
      <c r="W11" s="1">
        <f t="shared" si="1"/>
        <v>1.0684474123539189</v>
      </c>
      <c r="X11" s="1">
        <v>620389.13</v>
      </c>
      <c r="Y11" s="1">
        <v>0</v>
      </c>
      <c r="Z11" s="1">
        <v>0</v>
      </c>
      <c r="AA11" s="1">
        <v>0</v>
      </c>
      <c r="AB11" s="1">
        <v>83747.41</v>
      </c>
      <c r="AC11" s="1">
        <v>0</v>
      </c>
      <c r="AD11" s="1">
        <v>4.5999999999999996</v>
      </c>
      <c r="AE11" s="1">
        <v>1.32</v>
      </c>
      <c r="AF11" s="1">
        <v>276.48</v>
      </c>
      <c r="AG11" s="1">
        <v>2.75</v>
      </c>
      <c r="AH11" s="1">
        <v>203.69</v>
      </c>
      <c r="AI11" s="1">
        <v>2.33</v>
      </c>
      <c r="AJ11" s="1">
        <v>0</v>
      </c>
      <c r="AK11" s="1">
        <v>3.24</v>
      </c>
      <c r="AL11" s="1">
        <v>57.16</v>
      </c>
      <c r="AM11" s="1">
        <v>1.53</v>
      </c>
      <c r="AN11" s="1">
        <v>3.67</v>
      </c>
      <c r="AO11" s="1">
        <v>1.21</v>
      </c>
      <c r="AP11" s="1">
        <v>11.85</v>
      </c>
      <c r="AQ11" s="1">
        <v>2.0699999999999998</v>
      </c>
      <c r="AR11" s="1">
        <v>0</v>
      </c>
      <c r="AS11" s="1">
        <v>3.14</v>
      </c>
      <c r="AT11" s="1">
        <v>0</v>
      </c>
      <c r="AU11" s="1">
        <v>1.75</v>
      </c>
      <c r="AV11" s="1">
        <v>19.510000000000002</v>
      </c>
      <c r="AW11" s="1">
        <v>1.97</v>
      </c>
      <c r="AX11" s="1">
        <v>4.45</v>
      </c>
      <c r="AY11" s="1">
        <v>2.76</v>
      </c>
      <c r="AZ11" s="1">
        <v>29.19</v>
      </c>
      <c r="BA11" s="1">
        <v>3.39</v>
      </c>
      <c r="BB11" s="1">
        <v>0</v>
      </c>
      <c r="BC11" s="1">
        <v>16.2</v>
      </c>
      <c r="BD11" s="1">
        <v>8.89</v>
      </c>
      <c r="BE11" s="1">
        <v>5.23</v>
      </c>
      <c r="BF11" s="1">
        <v>0</v>
      </c>
      <c r="BG11" s="1">
        <v>16.13</v>
      </c>
      <c r="BH11" s="1">
        <v>0</v>
      </c>
      <c r="BI11" s="1">
        <v>48.58</v>
      </c>
      <c r="BJ11" s="1">
        <v>17807.87</v>
      </c>
      <c r="BK11" s="1">
        <v>115.27</v>
      </c>
      <c r="BL11" s="1">
        <v>160.33000000000001</v>
      </c>
      <c r="BM11" s="1">
        <v>22.85</v>
      </c>
      <c r="BN11" s="1">
        <v>116.03</v>
      </c>
      <c r="BO11" s="1">
        <v>11.16</v>
      </c>
      <c r="BP11" s="1">
        <v>101.41</v>
      </c>
      <c r="BQ11" s="1">
        <v>16.559999999999999</v>
      </c>
      <c r="BR11" s="1">
        <v>2523.8200000000002</v>
      </c>
      <c r="BS11" s="1">
        <v>38.81</v>
      </c>
      <c r="BT11" s="1">
        <v>73251.88</v>
      </c>
      <c r="BU11" s="1">
        <v>483.41</v>
      </c>
      <c r="BV11" s="1">
        <v>10748.21</v>
      </c>
      <c r="BW11" s="1">
        <v>128.61000000000001</v>
      </c>
      <c r="BX11" s="1">
        <v>10473.120000000001</v>
      </c>
      <c r="BY11" s="1">
        <v>97.25</v>
      </c>
      <c r="BZ11" s="1">
        <v>107.37</v>
      </c>
      <c r="CA11" s="1">
        <v>24.02</v>
      </c>
      <c r="CB11" s="1">
        <v>0</v>
      </c>
      <c r="CC11" s="1">
        <v>7.16</v>
      </c>
      <c r="CD11" s="1">
        <v>0</v>
      </c>
      <c r="CE11" s="1">
        <v>5.77</v>
      </c>
      <c r="CF11" s="1">
        <v>0</v>
      </c>
      <c r="CG11" s="1">
        <v>6.64</v>
      </c>
      <c r="CH11" s="1">
        <v>0</v>
      </c>
      <c r="CI11" s="1">
        <v>4.3899999999999997</v>
      </c>
      <c r="CJ11" s="1">
        <v>0</v>
      </c>
      <c r="CK11" s="1">
        <v>3</v>
      </c>
      <c r="CL11" s="1">
        <v>550423</v>
      </c>
      <c r="CM11" s="1">
        <v>1022.54</v>
      </c>
      <c r="CN11" s="1">
        <v>7.4</v>
      </c>
      <c r="CO11" s="1">
        <v>1</v>
      </c>
      <c r="CP11" s="1">
        <v>0</v>
      </c>
      <c r="CQ11" s="1">
        <v>2.57</v>
      </c>
      <c r="CR11" s="1">
        <v>0</v>
      </c>
      <c r="CS11" s="1">
        <v>1.5</v>
      </c>
      <c r="CT11" s="1">
        <v>0</v>
      </c>
      <c r="CU11" s="1">
        <v>1.5</v>
      </c>
      <c r="CV11" s="1">
        <v>0</v>
      </c>
      <c r="CW11" s="1">
        <v>1.5</v>
      </c>
      <c r="CX11" s="1">
        <v>44310.8</v>
      </c>
      <c r="CY11" s="1">
        <v>1240.1099999999999</v>
      </c>
      <c r="CZ11" s="1">
        <v>0</v>
      </c>
      <c r="DA11" s="1">
        <v>197.38</v>
      </c>
      <c r="DB11" s="1">
        <v>289901.44</v>
      </c>
      <c r="DC11" s="1">
        <v>983.17</v>
      </c>
      <c r="DD11" s="1">
        <v>0</v>
      </c>
      <c r="DE11" s="1">
        <v>20.47</v>
      </c>
      <c r="DF11" s="1">
        <v>0</v>
      </c>
      <c r="DG11" s="1">
        <v>1976.11</v>
      </c>
      <c r="DH11" s="1">
        <v>0</v>
      </c>
      <c r="DI11" s="1">
        <v>36.17</v>
      </c>
      <c r="DJ11" s="1">
        <v>0</v>
      </c>
      <c r="DK11" s="1">
        <v>9.18</v>
      </c>
      <c r="DL11" s="1">
        <v>0</v>
      </c>
      <c r="DM11" s="1">
        <v>19.43</v>
      </c>
      <c r="DN11" s="16">
        <v>19</v>
      </c>
      <c r="DP11">
        <v>1</v>
      </c>
      <c r="DQ11">
        <v>1.196846182983776</v>
      </c>
      <c r="DR11">
        <v>205</v>
      </c>
      <c r="DS11" s="10">
        <v>25.97</v>
      </c>
      <c r="DT11" s="10">
        <v>5.1939997673034668</v>
      </c>
      <c r="DU11" s="10">
        <v>8.0500001907348633</v>
      </c>
      <c r="DV11" s="10">
        <v>15.837456703186035</v>
      </c>
      <c r="DW11" t="s">
        <v>344</v>
      </c>
      <c r="DX11" s="10">
        <v>20.593080520629883</v>
      </c>
      <c r="DY11" s="10">
        <v>18.945634841918945</v>
      </c>
      <c r="DZ11" s="10">
        <v>35.008235931396484</v>
      </c>
      <c r="EA11" s="10">
        <v>53.953872680664063</v>
      </c>
      <c r="EB11" s="10">
        <v>25.271829605102539</v>
      </c>
      <c r="EC11" s="10">
        <v>0.18121911585330963</v>
      </c>
      <c r="ED11" s="10">
        <v>25.453048706054688</v>
      </c>
      <c r="EE11" s="10">
        <v>0.5437888503074646</v>
      </c>
      <c r="EF11" s="10">
        <v>13.8</v>
      </c>
    </row>
    <row r="12" spans="1:136" ht="14.4" x14ac:dyDescent="0.3">
      <c r="A12" s="1" t="s">
        <v>139</v>
      </c>
      <c r="B12" s="2">
        <v>6</v>
      </c>
      <c r="C12" s="3">
        <v>44662.648611111108</v>
      </c>
      <c r="D12" s="1">
        <v>360.29</v>
      </c>
      <c r="E12" s="1">
        <v>237</v>
      </c>
      <c r="F12" s="1">
        <v>6.8460000000000005E-5</v>
      </c>
      <c r="G12" s="1">
        <v>4.8690000000000003E-6</v>
      </c>
      <c r="H12" s="1">
        <v>4.07</v>
      </c>
      <c r="I12" s="1" t="s">
        <v>140</v>
      </c>
      <c r="J12" s="1" t="s">
        <v>110</v>
      </c>
      <c r="K12" s="1">
        <v>12.34</v>
      </c>
      <c r="L12" s="1">
        <v>405</v>
      </c>
      <c r="M12" s="1">
        <v>3</v>
      </c>
      <c r="N12" s="1">
        <v>6.5010000000000003E-5</v>
      </c>
      <c r="O12" s="1">
        <v>1.099E-6</v>
      </c>
      <c r="P12" s="1">
        <v>0.97</v>
      </c>
      <c r="Q12" s="1" t="s">
        <v>141</v>
      </c>
      <c r="R12" s="1" t="s">
        <v>110</v>
      </c>
      <c r="S12" s="1">
        <v>5.5478119935170183</v>
      </c>
      <c r="T12" s="1">
        <v>5.268233387358185</v>
      </c>
      <c r="U12" s="1">
        <f t="shared" si="0"/>
        <v>0.27957860615883323</v>
      </c>
      <c r="V12" s="1">
        <f t="shared" si="2"/>
        <v>5.0394390885188454</v>
      </c>
      <c r="W12" s="1">
        <f t="shared" si="1"/>
        <v>0.27957860615883323</v>
      </c>
      <c r="X12" s="1">
        <v>681480.69</v>
      </c>
      <c r="Y12" s="1">
        <v>0</v>
      </c>
      <c r="Z12" s="1">
        <v>2709.93</v>
      </c>
      <c r="AA12" s="1">
        <v>0</v>
      </c>
      <c r="AB12" s="1">
        <v>107085.54</v>
      </c>
      <c r="AC12" s="1">
        <v>0</v>
      </c>
      <c r="AD12" s="1">
        <v>9.67</v>
      </c>
      <c r="AE12" s="1">
        <v>1.49</v>
      </c>
      <c r="AF12" s="1">
        <v>409.11</v>
      </c>
      <c r="AG12" s="1">
        <v>3.37</v>
      </c>
      <c r="AH12" s="1">
        <v>186.56</v>
      </c>
      <c r="AI12" s="1">
        <v>2.33</v>
      </c>
      <c r="AJ12" s="1">
        <v>0</v>
      </c>
      <c r="AK12" s="1">
        <v>3.53</v>
      </c>
      <c r="AL12" s="1">
        <v>66.81</v>
      </c>
      <c r="AM12" s="1">
        <v>1.7</v>
      </c>
      <c r="AN12" s="1">
        <v>7</v>
      </c>
      <c r="AO12" s="1">
        <v>1.39</v>
      </c>
      <c r="AP12" s="1">
        <v>12.29</v>
      </c>
      <c r="AQ12" s="1">
        <v>2.2000000000000002</v>
      </c>
      <c r="AR12" s="1">
        <v>0</v>
      </c>
      <c r="AS12" s="1">
        <v>3.5</v>
      </c>
      <c r="AT12" s="1">
        <v>0</v>
      </c>
      <c r="AU12" s="1">
        <v>1.89</v>
      </c>
      <c r="AV12" s="1">
        <v>11.16</v>
      </c>
      <c r="AW12" s="1">
        <v>1.92</v>
      </c>
      <c r="AX12" s="1">
        <v>0</v>
      </c>
      <c r="AY12" s="1">
        <v>4.46</v>
      </c>
      <c r="AZ12" s="1">
        <v>33.78</v>
      </c>
      <c r="BA12" s="1">
        <v>3.7</v>
      </c>
      <c r="BB12" s="1">
        <v>0</v>
      </c>
      <c r="BC12" s="1">
        <v>17.72</v>
      </c>
      <c r="BD12" s="1">
        <v>0</v>
      </c>
      <c r="BE12" s="1">
        <v>8.2899999999999991</v>
      </c>
      <c r="BF12" s="1">
        <v>0</v>
      </c>
      <c r="BG12" s="1">
        <v>17.22</v>
      </c>
      <c r="BH12" s="1">
        <v>0</v>
      </c>
      <c r="BI12" s="1">
        <v>57.59</v>
      </c>
      <c r="BJ12" s="1">
        <v>22776.48</v>
      </c>
      <c r="BK12" s="1">
        <v>135.71</v>
      </c>
      <c r="BL12" s="1">
        <v>216.76</v>
      </c>
      <c r="BM12" s="1">
        <v>25.25</v>
      </c>
      <c r="BN12" s="1">
        <v>68.680000000000007</v>
      </c>
      <c r="BO12" s="1">
        <v>6.22</v>
      </c>
      <c r="BP12" s="1">
        <v>60.42</v>
      </c>
      <c r="BQ12" s="1">
        <v>10.49</v>
      </c>
      <c r="BR12" s="1">
        <v>3018.3</v>
      </c>
      <c r="BS12" s="1">
        <v>43.12</v>
      </c>
      <c r="BT12" s="1">
        <v>63549.1</v>
      </c>
      <c r="BU12" s="1">
        <v>481.1</v>
      </c>
      <c r="BV12" s="1">
        <v>12726.74</v>
      </c>
      <c r="BW12" s="1">
        <v>147.66999999999999</v>
      </c>
      <c r="BX12" s="1">
        <v>16471.79</v>
      </c>
      <c r="BY12" s="1">
        <v>123.24</v>
      </c>
      <c r="BZ12" s="1">
        <v>132.86000000000001</v>
      </c>
      <c r="CA12" s="1">
        <v>25.37</v>
      </c>
      <c r="CB12" s="1">
        <v>0</v>
      </c>
      <c r="CC12" s="1">
        <v>7.67</v>
      </c>
      <c r="CD12" s="1">
        <v>0</v>
      </c>
      <c r="CE12" s="1">
        <v>6.15</v>
      </c>
      <c r="CF12" s="1">
        <v>0</v>
      </c>
      <c r="CG12" s="1">
        <v>7.13</v>
      </c>
      <c r="CH12" s="1">
        <v>0</v>
      </c>
      <c r="CI12" s="1">
        <v>4.67</v>
      </c>
      <c r="CJ12" s="1">
        <v>0</v>
      </c>
      <c r="CK12" s="1">
        <v>6.67</v>
      </c>
      <c r="CL12" s="1">
        <v>503878.28</v>
      </c>
      <c r="CM12" s="1">
        <v>1140</v>
      </c>
      <c r="CN12" s="1">
        <v>9.57</v>
      </c>
      <c r="CO12" s="1">
        <v>1</v>
      </c>
      <c r="CP12" s="1">
        <v>6.87</v>
      </c>
      <c r="CQ12" s="1">
        <v>1.94</v>
      </c>
      <c r="CR12" s="1">
        <v>0</v>
      </c>
      <c r="CS12" s="1">
        <v>1.5</v>
      </c>
      <c r="CT12" s="1">
        <v>0</v>
      </c>
      <c r="CU12" s="1">
        <v>1.5</v>
      </c>
      <c r="CV12" s="1">
        <v>0</v>
      </c>
      <c r="CW12" s="1">
        <v>1.5</v>
      </c>
      <c r="CX12" s="1">
        <v>56659.02</v>
      </c>
      <c r="CY12" s="1">
        <v>1402.78</v>
      </c>
      <c r="CZ12" s="1">
        <v>0</v>
      </c>
      <c r="DA12" s="1">
        <v>212.65</v>
      </c>
      <c r="DB12" s="1">
        <v>318448.90999999997</v>
      </c>
      <c r="DC12" s="1">
        <v>1019.73</v>
      </c>
      <c r="DD12" s="1">
        <v>0</v>
      </c>
      <c r="DE12" s="1">
        <v>21.89</v>
      </c>
      <c r="DF12" s="1">
        <v>0</v>
      </c>
      <c r="DG12" s="1">
        <v>2231.65</v>
      </c>
      <c r="DH12" s="1">
        <v>40.090000000000003</v>
      </c>
      <c r="DI12" s="1">
        <v>22.56</v>
      </c>
      <c r="DJ12" s="1">
        <v>0</v>
      </c>
      <c r="DK12" s="1">
        <v>9.75</v>
      </c>
      <c r="DL12" s="1">
        <v>0</v>
      </c>
      <c r="DM12" s="1">
        <v>20.72</v>
      </c>
      <c r="DN12" s="16">
        <v>7</v>
      </c>
      <c r="DP12">
        <v>1</v>
      </c>
      <c r="DQ12">
        <v>1.1619161811606</v>
      </c>
      <c r="DR12">
        <v>237</v>
      </c>
      <c r="DS12" s="10">
        <v>15.72</v>
      </c>
      <c r="DT12" s="10">
        <v>3.1440000534057617</v>
      </c>
      <c r="DU12" s="10">
        <v>7.8899998664855957</v>
      </c>
      <c r="DV12" s="10">
        <v>13.384861946105957</v>
      </c>
      <c r="DW12" t="s">
        <v>343</v>
      </c>
      <c r="DX12" s="10">
        <v>22.997316360473633</v>
      </c>
      <c r="DY12" s="10">
        <v>19.164430618286133</v>
      </c>
      <c r="DZ12" s="10">
        <v>45.036411285400391</v>
      </c>
      <c r="EA12" s="10">
        <v>64.200843811035156</v>
      </c>
      <c r="EB12" s="10">
        <v>12.801839828491211</v>
      </c>
      <c r="EC12" s="10">
        <v>0</v>
      </c>
      <c r="ED12" s="10">
        <v>12.801839828491211</v>
      </c>
      <c r="EE12" s="10">
        <v>0.97054952383041382</v>
      </c>
      <c r="EF12" s="10">
        <v>12.2</v>
      </c>
    </row>
    <row r="13" spans="1:136" ht="14.4" x14ac:dyDescent="0.3">
      <c r="A13" s="1" t="s">
        <v>142</v>
      </c>
      <c r="B13" s="2">
        <v>1</v>
      </c>
      <c r="C13" s="3">
        <v>44662.654861111107</v>
      </c>
      <c r="D13" s="1">
        <v>360.11</v>
      </c>
      <c r="E13" s="1">
        <v>258</v>
      </c>
      <c r="F13" s="1">
        <v>6.7869999999999999E-5</v>
      </c>
      <c r="G13" s="1">
        <v>6.6490000000000002E-6</v>
      </c>
      <c r="H13" s="1">
        <v>5.6</v>
      </c>
      <c r="I13" s="1" t="s">
        <v>143</v>
      </c>
      <c r="J13" s="1" t="s">
        <v>110</v>
      </c>
      <c r="K13" s="1">
        <v>12.77</v>
      </c>
      <c r="L13" s="1">
        <v>403</v>
      </c>
      <c r="M13" s="1">
        <v>3</v>
      </c>
      <c r="N13" s="1">
        <v>6.4880000000000002E-5</v>
      </c>
      <c r="O13" s="1">
        <v>1.127E-6</v>
      </c>
      <c r="P13" s="1">
        <v>1</v>
      </c>
      <c r="Q13" s="1" t="s">
        <v>144</v>
      </c>
      <c r="R13" s="1" t="s">
        <v>110</v>
      </c>
      <c r="S13" s="1">
        <v>5.3148003132341426</v>
      </c>
      <c r="T13" s="1">
        <v>5.080657791699295</v>
      </c>
      <c r="U13" s="1">
        <f t="shared" si="0"/>
        <v>0.2341425215348476</v>
      </c>
      <c r="V13" s="1">
        <f t="shared" si="2"/>
        <v>4.4054810667452537</v>
      </c>
      <c r="W13" s="1">
        <f t="shared" si="1"/>
        <v>0.2341425215348476</v>
      </c>
      <c r="X13" s="1">
        <v>502365.91</v>
      </c>
      <c r="Y13" s="1">
        <v>0</v>
      </c>
      <c r="Z13" s="1">
        <v>5647.6</v>
      </c>
      <c r="AA13" s="1">
        <v>0</v>
      </c>
      <c r="AB13" s="1">
        <v>89995.839999999997</v>
      </c>
      <c r="AC13" s="1">
        <v>0</v>
      </c>
      <c r="AD13" s="1">
        <v>11.61</v>
      </c>
      <c r="AE13" s="1">
        <v>1.34</v>
      </c>
      <c r="AF13" s="1">
        <v>264.07</v>
      </c>
      <c r="AG13" s="1">
        <v>2.61</v>
      </c>
      <c r="AH13" s="1">
        <v>129.81</v>
      </c>
      <c r="AI13" s="1">
        <v>1.85</v>
      </c>
      <c r="AJ13" s="1">
        <v>0</v>
      </c>
      <c r="AK13" s="1">
        <v>3.34</v>
      </c>
      <c r="AL13" s="1">
        <v>75.010000000000005</v>
      </c>
      <c r="AM13" s="1">
        <v>1.68</v>
      </c>
      <c r="AN13" s="1">
        <v>4.74</v>
      </c>
      <c r="AO13" s="1">
        <v>1.27</v>
      </c>
      <c r="AP13" s="1">
        <v>13.23</v>
      </c>
      <c r="AQ13" s="1">
        <v>2.0699999999999998</v>
      </c>
      <c r="AR13" s="1">
        <v>0</v>
      </c>
      <c r="AS13" s="1">
        <v>3</v>
      </c>
      <c r="AT13" s="1">
        <v>0</v>
      </c>
      <c r="AU13" s="1">
        <v>1.67</v>
      </c>
      <c r="AV13" s="1">
        <v>17.48</v>
      </c>
      <c r="AW13" s="1">
        <v>2.44</v>
      </c>
      <c r="AX13" s="1">
        <v>0</v>
      </c>
      <c r="AY13" s="1">
        <v>3.98</v>
      </c>
      <c r="AZ13" s="1">
        <v>39.979999999999997</v>
      </c>
      <c r="BA13" s="1">
        <v>3.58</v>
      </c>
      <c r="BB13" s="1">
        <v>0</v>
      </c>
      <c r="BC13" s="1">
        <v>16.010000000000002</v>
      </c>
      <c r="BD13" s="1">
        <v>0</v>
      </c>
      <c r="BE13" s="1">
        <v>7.7</v>
      </c>
      <c r="BF13" s="1">
        <v>0</v>
      </c>
      <c r="BG13" s="1">
        <v>15.61</v>
      </c>
      <c r="BH13" s="1">
        <v>94.14</v>
      </c>
      <c r="BI13" s="1">
        <v>44.91</v>
      </c>
      <c r="BJ13" s="1">
        <v>34252.129999999997</v>
      </c>
      <c r="BK13" s="1">
        <v>160.44</v>
      </c>
      <c r="BL13" s="1">
        <v>135.28</v>
      </c>
      <c r="BM13" s="1">
        <v>22.89</v>
      </c>
      <c r="BN13" s="1">
        <v>142.82</v>
      </c>
      <c r="BO13" s="1">
        <v>12.79</v>
      </c>
      <c r="BP13" s="1">
        <v>111.06</v>
      </c>
      <c r="BQ13" s="1">
        <v>19.28</v>
      </c>
      <c r="BR13" s="1">
        <v>3067.63</v>
      </c>
      <c r="BS13" s="1">
        <v>46.18</v>
      </c>
      <c r="BT13" s="1">
        <v>39525.519999999997</v>
      </c>
      <c r="BU13" s="1">
        <v>405.07</v>
      </c>
      <c r="BV13" s="1">
        <v>11928.73</v>
      </c>
      <c r="BW13" s="1">
        <v>148.56</v>
      </c>
      <c r="BX13" s="1">
        <v>26987.19</v>
      </c>
      <c r="BY13" s="1">
        <v>150.96</v>
      </c>
      <c r="BZ13" s="1">
        <v>0</v>
      </c>
      <c r="CA13" s="1">
        <v>25.21</v>
      </c>
      <c r="CB13" s="1">
        <v>0</v>
      </c>
      <c r="CC13" s="1">
        <v>6.44</v>
      </c>
      <c r="CD13" s="1">
        <v>0</v>
      </c>
      <c r="CE13" s="1">
        <v>5.19</v>
      </c>
      <c r="CF13" s="1">
        <v>0</v>
      </c>
      <c r="CG13" s="1">
        <v>6.14</v>
      </c>
      <c r="CH13" s="1">
        <v>0</v>
      </c>
      <c r="CI13" s="1">
        <v>4.0199999999999996</v>
      </c>
      <c r="CJ13" s="1">
        <v>0</v>
      </c>
      <c r="CK13" s="1">
        <v>5.75</v>
      </c>
      <c r="CL13" s="1">
        <v>597522.13</v>
      </c>
      <c r="CM13" s="1">
        <v>957.93</v>
      </c>
      <c r="CN13" s="1">
        <v>10.130000000000001</v>
      </c>
      <c r="CO13" s="1">
        <v>1</v>
      </c>
      <c r="CP13" s="1">
        <v>4.5</v>
      </c>
      <c r="CQ13" s="1">
        <v>1.83</v>
      </c>
      <c r="CR13" s="1">
        <v>0</v>
      </c>
      <c r="CS13" s="1">
        <v>1.5</v>
      </c>
      <c r="CT13" s="1">
        <v>0</v>
      </c>
      <c r="CU13" s="1">
        <v>1.5</v>
      </c>
      <c r="CV13" s="1">
        <v>0</v>
      </c>
      <c r="CW13" s="1">
        <v>1.5</v>
      </c>
      <c r="CX13" s="1">
        <v>47616.84</v>
      </c>
      <c r="CY13" s="1">
        <v>1241.8</v>
      </c>
      <c r="CZ13" s="1">
        <v>503.09</v>
      </c>
      <c r="DA13" s="1">
        <v>122.7</v>
      </c>
      <c r="DB13" s="1">
        <v>234750.41</v>
      </c>
      <c r="DC13" s="1">
        <v>891.77</v>
      </c>
      <c r="DD13" s="1">
        <v>0</v>
      </c>
      <c r="DE13" s="1">
        <v>20.46</v>
      </c>
      <c r="DF13" s="1">
        <v>3402.17</v>
      </c>
      <c r="DG13" s="1">
        <v>1476.98</v>
      </c>
      <c r="DH13" s="1">
        <v>50.96</v>
      </c>
      <c r="DI13" s="1">
        <v>19.43</v>
      </c>
      <c r="DJ13" s="1">
        <v>0</v>
      </c>
      <c r="DK13" s="1">
        <v>8.4</v>
      </c>
      <c r="DL13" s="1">
        <v>0</v>
      </c>
      <c r="DM13" s="1">
        <v>17.55</v>
      </c>
      <c r="DN13" s="16">
        <v>1</v>
      </c>
      <c r="DP13">
        <v>1</v>
      </c>
      <c r="DQ13">
        <v>0.92533373203098024</v>
      </c>
      <c r="DR13">
        <v>258</v>
      </c>
      <c r="DS13" s="10">
        <v>54.47</v>
      </c>
      <c r="DT13" s="10">
        <v>10.894000053405762</v>
      </c>
      <c r="DU13" s="10">
        <v>7.679999828338623</v>
      </c>
      <c r="DV13" s="10">
        <v>29.87547492980957</v>
      </c>
      <c r="DW13" t="s">
        <v>342</v>
      </c>
      <c r="DX13" s="10">
        <v>31.693166732788086</v>
      </c>
      <c r="DY13" s="10">
        <v>26.321443557739258</v>
      </c>
      <c r="DZ13" s="10">
        <v>33.304683685302734</v>
      </c>
      <c r="EA13" s="10">
        <v>59.626129150390625</v>
      </c>
      <c r="EB13" s="10">
        <v>8.6162443161010742</v>
      </c>
      <c r="EC13" s="10">
        <v>6.4460679888725281E-2</v>
      </c>
      <c r="ED13" s="10">
        <v>8.6807050704956055</v>
      </c>
      <c r="EE13" s="10">
        <v>0.32236045598983765</v>
      </c>
      <c r="EF13" s="10">
        <v>5.6</v>
      </c>
    </row>
    <row r="14" spans="1:136" ht="14.4" x14ac:dyDescent="0.3">
      <c r="A14" s="1" t="s">
        <v>145</v>
      </c>
      <c r="B14" s="2">
        <v>13</v>
      </c>
      <c r="C14" s="3">
        <v>44662.724305555559</v>
      </c>
      <c r="D14" s="1">
        <v>360.78</v>
      </c>
      <c r="E14" s="1">
        <v>72</v>
      </c>
      <c r="F14" s="1">
        <v>6.9550000000000005E-4</v>
      </c>
      <c r="G14" s="1">
        <v>3.6659999999999998E-5</v>
      </c>
      <c r="H14" s="1">
        <v>3.02</v>
      </c>
      <c r="I14" s="1" t="s">
        <v>146</v>
      </c>
      <c r="J14" s="1" t="s">
        <v>110</v>
      </c>
      <c r="K14" s="1">
        <v>14.98</v>
      </c>
      <c r="L14" s="1">
        <v>410</v>
      </c>
      <c r="M14" s="1">
        <v>3</v>
      </c>
      <c r="N14" s="1">
        <v>6.3179999999999996E-4</v>
      </c>
      <c r="O14" s="1">
        <v>1.3200000000000001E-6</v>
      </c>
      <c r="P14" s="1">
        <v>0.12</v>
      </c>
      <c r="Q14" s="1" t="s">
        <v>147</v>
      </c>
      <c r="R14" s="1" t="s">
        <v>110</v>
      </c>
      <c r="S14" s="1">
        <v>46.428571428571431</v>
      </c>
      <c r="T14" s="1">
        <v>42.176234979973287</v>
      </c>
      <c r="U14" s="1">
        <f t="shared" si="0"/>
        <v>4.2523364485981432</v>
      </c>
      <c r="V14" s="1">
        <f t="shared" si="2"/>
        <v>9.1588785046729235</v>
      </c>
      <c r="W14" s="1">
        <f t="shared" si="1"/>
        <v>4.2523364485981432</v>
      </c>
      <c r="X14" s="1">
        <v>705647.31</v>
      </c>
      <c r="Y14" s="1">
        <v>0</v>
      </c>
      <c r="Z14" s="1">
        <v>3684.33</v>
      </c>
      <c r="AA14" s="1">
        <v>0</v>
      </c>
      <c r="AB14" s="1">
        <v>179702.59</v>
      </c>
      <c r="AC14" s="1">
        <v>0</v>
      </c>
      <c r="AD14" s="1">
        <v>4.28</v>
      </c>
      <c r="AE14" s="1">
        <v>1.37</v>
      </c>
      <c r="AF14" s="1">
        <v>270.87</v>
      </c>
      <c r="AG14" s="1">
        <v>2.78</v>
      </c>
      <c r="AH14" s="1">
        <v>112.52</v>
      </c>
      <c r="AI14" s="1">
        <v>1.83</v>
      </c>
      <c r="AJ14" s="1">
        <v>0</v>
      </c>
      <c r="AK14" s="1">
        <v>3.78</v>
      </c>
      <c r="AL14" s="1">
        <v>94.17</v>
      </c>
      <c r="AM14" s="1">
        <v>1.96</v>
      </c>
      <c r="AN14" s="1">
        <v>8.18</v>
      </c>
      <c r="AO14" s="1">
        <v>1.49</v>
      </c>
      <c r="AP14" s="1">
        <v>29.54</v>
      </c>
      <c r="AQ14" s="1">
        <v>2.65</v>
      </c>
      <c r="AR14" s="1">
        <v>0</v>
      </c>
      <c r="AS14" s="1">
        <v>3.43</v>
      </c>
      <c r="AT14" s="1">
        <v>0</v>
      </c>
      <c r="AU14" s="1">
        <v>1.85</v>
      </c>
      <c r="AV14" s="1">
        <v>11.68</v>
      </c>
      <c r="AW14" s="1">
        <v>2.83</v>
      </c>
      <c r="AX14" s="1">
        <v>0</v>
      </c>
      <c r="AY14" s="1">
        <v>4.45</v>
      </c>
      <c r="AZ14" s="1">
        <v>68.02</v>
      </c>
      <c r="BA14" s="1">
        <v>4.37</v>
      </c>
      <c r="BB14" s="1">
        <v>0</v>
      </c>
      <c r="BC14" s="1">
        <v>17.75</v>
      </c>
      <c r="BD14" s="1">
        <v>23.71</v>
      </c>
      <c r="BE14" s="1">
        <v>5.79</v>
      </c>
      <c r="BF14" s="1">
        <v>53.24</v>
      </c>
      <c r="BG14" s="1">
        <v>11.94</v>
      </c>
      <c r="BH14" s="1">
        <v>0</v>
      </c>
      <c r="BI14" s="1">
        <v>68.510000000000005</v>
      </c>
      <c r="BJ14" s="1">
        <v>32131.040000000001</v>
      </c>
      <c r="BK14" s="1">
        <v>161.13</v>
      </c>
      <c r="BL14" s="1">
        <v>613.13</v>
      </c>
      <c r="BM14" s="1">
        <v>31.66</v>
      </c>
      <c r="BN14" s="1">
        <v>120.92</v>
      </c>
      <c r="BO14" s="1">
        <v>7.54</v>
      </c>
      <c r="BP14" s="1">
        <v>95.23</v>
      </c>
      <c r="BQ14" s="1">
        <v>13.85</v>
      </c>
      <c r="BR14" s="1">
        <v>5014.8900000000003</v>
      </c>
      <c r="BS14" s="1">
        <v>57.18</v>
      </c>
      <c r="BT14" s="1">
        <v>10543.43</v>
      </c>
      <c r="BU14" s="1">
        <v>244.46</v>
      </c>
      <c r="BV14" s="1">
        <v>17264.45</v>
      </c>
      <c r="BW14" s="1">
        <v>180.17</v>
      </c>
      <c r="BX14" s="1">
        <v>246.53</v>
      </c>
      <c r="BY14" s="1">
        <v>37.9</v>
      </c>
      <c r="BZ14" s="1">
        <v>353.43</v>
      </c>
      <c r="CA14" s="1">
        <v>26.16</v>
      </c>
      <c r="CB14" s="1">
        <v>0</v>
      </c>
      <c r="CC14" s="1">
        <v>7.35</v>
      </c>
      <c r="CD14" s="1">
        <v>0</v>
      </c>
      <c r="CE14" s="1">
        <v>5.86</v>
      </c>
      <c r="CF14" s="1">
        <v>0</v>
      </c>
      <c r="CG14" s="1">
        <v>6.77</v>
      </c>
      <c r="CH14" s="1">
        <v>0</v>
      </c>
      <c r="CI14" s="1">
        <v>4.43</v>
      </c>
      <c r="CJ14" s="1">
        <v>0</v>
      </c>
      <c r="CK14" s="1">
        <v>6.34</v>
      </c>
      <c r="CL14" s="1">
        <v>506353.72</v>
      </c>
      <c r="CM14" s="1">
        <v>1216.05</v>
      </c>
      <c r="CN14" s="1">
        <v>12.38</v>
      </c>
      <c r="CO14" s="1">
        <v>1</v>
      </c>
      <c r="CP14" s="1">
        <v>8.31</v>
      </c>
      <c r="CQ14" s="1">
        <v>2.1</v>
      </c>
      <c r="CR14" s="1">
        <v>0</v>
      </c>
      <c r="CS14" s="1">
        <v>1.5</v>
      </c>
      <c r="CT14" s="1">
        <v>0</v>
      </c>
      <c r="CU14" s="1">
        <v>1.5</v>
      </c>
      <c r="CV14" s="1">
        <v>0</v>
      </c>
      <c r="CW14" s="1">
        <v>1.5</v>
      </c>
      <c r="CX14" s="1">
        <v>95080.73</v>
      </c>
      <c r="CY14" s="1">
        <v>1425.69</v>
      </c>
      <c r="CZ14" s="1">
        <v>0</v>
      </c>
      <c r="DA14" s="1">
        <v>185.76</v>
      </c>
      <c r="DB14" s="1">
        <v>329741.71999999997</v>
      </c>
      <c r="DC14" s="1">
        <v>1003.38</v>
      </c>
      <c r="DD14" s="1">
        <v>0</v>
      </c>
      <c r="DE14" s="1">
        <v>19.34</v>
      </c>
      <c r="DF14" s="1">
        <v>2219.48</v>
      </c>
      <c r="DG14" s="1">
        <v>1027.68</v>
      </c>
      <c r="DH14" s="1">
        <v>23.32</v>
      </c>
      <c r="DI14" s="1">
        <v>10.51</v>
      </c>
      <c r="DJ14" s="1">
        <v>0</v>
      </c>
      <c r="DK14" s="1">
        <v>9.39</v>
      </c>
      <c r="DL14" s="1">
        <v>0</v>
      </c>
      <c r="DM14" s="1">
        <v>19.829999999999998</v>
      </c>
      <c r="DN14" s="16">
        <v>10</v>
      </c>
      <c r="DP14">
        <v>1</v>
      </c>
      <c r="DQ14">
        <v>1.7280429637937034</v>
      </c>
      <c r="DR14">
        <v>72</v>
      </c>
      <c r="DS14" s="10">
        <v>8.1300000000000008</v>
      </c>
      <c r="DT14" s="10">
        <v>1.6260000467300415</v>
      </c>
      <c r="DU14" s="10">
        <v>7.9200000762939453</v>
      </c>
      <c r="DV14" s="10">
        <v>22.89006233215332</v>
      </c>
      <c r="DW14" t="s">
        <v>341</v>
      </c>
      <c r="DX14" s="10">
        <v>37.130668640136719</v>
      </c>
      <c r="DY14" s="10">
        <v>23.70042610168457</v>
      </c>
      <c r="DZ14" s="10">
        <v>15.010270118713379</v>
      </c>
      <c r="EA14" s="10">
        <v>38.710697174072266</v>
      </c>
      <c r="EB14" s="10">
        <v>14.251856803894043</v>
      </c>
      <c r="EC14" s="10">
        <v>9.9067783355712891</v>
      </c>
      <c r="ED14" s="10">
        <v>24.158634185791016</v>
      </c>
      <c r="EE14" s="10">
        <v>0.69271385669708252</v>
      </c>
      <c r="EF14">
        <v>0</v>
      </c>
    </row>
    <row r="15" spans="1:136" ht="14.4" x14ac:dyDescent="0.3">
      <c r="A15" s="1" t="s">
        <v>148</v>
      </c>
      <c r="B15" s="2">
        <v>17</v>
      </c>
      <c r="C15" s="3">
        <v>44662.743055555547</v>
      </c>
      <c r="D15" s="1">
        <v>362.19</v>
      </c>
      <c r="E15" s="1">
        <v>110</v>
      </c>
      <c r="F15" s="1">
        <v>5.5429999999999998E-4</v>
      </c>
      <c r="G15" s="1">
        <v>2.442E-5</v>
      </c>
      <c r="H15" s="1">
        <v>2.52</v>
      </c>
      <c r="I15" s="1" t="s">
        <v>149</v>
      </c>
      <c r="J15" s="1" t="s">
        <v>110</v>
      </c>
      <c r="K15" s="1">
        <v>13.86</v>
      </c>
      <c r="L15" s="1">
        <v>414</v>
      </c>
      <c r="M15" s="1">
        <v>3</v>
      </c>
      <c r="N15" s="1">
        <v>5.086E-4</v>
      </c>
      <c r="O15" s="1">
        <v>2.153E-6</v>
      </c>
      <c r="P15" s="1">
        <v>0.24</v>
      </c>
      <c r="Q15" s="1" t="s">
        <v>150</v>
      </c>
      <c r="R15" s="1" t="s">
        <v>110</v>
      </c>
      <c r="S15" s="1">
        <v>39.992784992784991</v>
      </c>
      <c r="T15" s="1">
        <v>36.695526695526702</v>
      </c>
      <c r="U15" s="1">
        <f t="shared" si="0"/>
        <v>3.2972582972582885</v>
      </c>
      <c r="V15" s="1">
        <f t="shared" si="2"/>
        <v>8.2446328702868268</v>
      </c>
      <c r="W15" s="1">
        <f t="shared" si="1"/>
        <v>3.2972582972582885</v>
      </c>
      <c r="X15" s="1">
        <v>700889.69</v>
      </c>
      <c r="Y15" s="1">
        <v>0</v>
      </c>
      <c r="Z15" s="1">
        <v>5718.16</v>
      </c>
      <c r="AA15" s="1">
        <v>0</v>
      </c>
      <c r="AB15" s="1">
        <v>180902.02</v>
      </c>
      <c r="AC15" s="1">
        <v>0</v>
      </c>
      <c r="AD15" s="1">
        <v>5.47</v>
      </c>
      <c r="AE15" s="1">
        <v>1.34</v>
      </c>
      <c r="AF15" s="1">
        <v>272.88</v>
      </c>
      <c r="AG15" s="1">
        <v>2.72</v>
      </c>
      <c r="AH15" s="1">
        <v>120.75</v>
      </c>
      <c r="AI15" s="1">
        <v>1.84</v>
      </c>
      <c r="AJ15" s="1">
        <v>0</v>
      </c>
      <c r="AK15" s="1">
        <v>3.57</v>
      </c>
      <c r="AL15" s="1">
        <v>88.74</v>
      </c>
      <c r="AM15" s="1">
        <v>1.86</v>
      </c>
      <c r="AN15" s="1">
        <v>8.3000000000000007</v>
      </c>
      <c r="AO15" s="1">
        <v>1.44</v>
      </c>
      <c r="AP15" s="1">
        <v>26.3</v>
      </c>
      <c r="AQ15" s="1">
        <v>2.5</v>
      </c>
      <c r="AR15" s="1">
        <v>0</v>
      </c>
      <c r="AS15" s="1">
        <v>3.26</v>
      </c>
      <c r="AT15" s="1">
        <v>0</v>
      </c>
      <c r="AU15" s="1">
        <v>1.79</v>
      </c>
      <c r="AV15" s="1">
        <v>9.8800000000000008</v>
      </c>
      <c r="AW15" s="1">
        <v>2.08</v>
      </c>
      <c r="AX15" s="1">
        <v>0</v>
      </c>
      <c r="AY15" s="1">
        <v>4.2</v>
      </c>
      <c r="AZ15" s="1">
        <v>56.04</v>
      </c>
      <c r="BA15" s="1">
        <v>4.03</v>
      </c>
      <c r="BB15" s="1">
        <v>0</v>
      </c>
      <c r="BC15" s="1">
        <v>17.100000000000001</v>
      </c>
      <c r="BD15" s="1">
        <v>23.17</v>
      </c>
      <c r="BE15" s="1">
        <v>5.61</v>
      </c>
      <c r="BF15" s="1">
        <v>22.72</v>
      </c>
      <c r="BG15" s="1">
        <v>11.31</v>
      </c>
      <c r="BH15" s="1">
        <v>0</v>
      </c>
      <c r="BI15" s="1">
        <v>68.58</v>
      </c>
      <c r="BJ15" s="1">
        <v>33885.11</v>
      </c>
      <c r="BK15" s="1">
        <v>161.38</v>
      </c>
      <c r="BL15" s="1">
        <v>520.95000000000005</v>
      </c>
      <c r="BM15" s="1">
        <v>29.55</v>
      </c>
      <c r="BN15" s="1">
        <v>119.92</v>
      </c>
      <c r="BO15" s="1">
        <v>7.71</v>
      </c>
      <c r="BP15" s="1">
        <v>96.48</v>
      </c>
      <c r="BQ15" s="1">
        <v>14.26</v>
      </c>
      <c r="BR15" s="1">
        <v>4883.3100000000004</v>
      </c>
      <c r="BS15" s="1">
        <v>58.37</v>
      </c>
      <c r="BT15" s="1">
        <v>10809.81</v>
      </c>
      <c r="BU15" s="1">
        <v>250.31</v>
      </c>
      <c r="BV15" s="1">
        <v>15897.97</v>
      </c>
      <c r="BW15" s="1">
        <v>176.52</v>
      </c>
      <c r="BX15" s="1">
        <v>207.82</v>
      </c>
      <c r="BY15" s="1">
        <v>38.33</v>
      </c>
      <c r="BZ15" s="1">
        <v>222.89</v>
      </c>
      <c r="CA15" s="1">
        <v>24.52</v>
      </c>
      <c r="CB15" s="1">
        <v>0</v>
      </c>
      <c r="CC15" s="1">
        <v>7.33</v>
      </c>
      <c r="CD15" s="1">
        <v>0</v>
      </c>
      <c r="CE15" s="1">
        <v>5.88</v>
      </c>
      <c r="CF15" s="1">
        <v>0</v>
      </c>
      <c r="CG15" s="1">
        <v>6.78</v>
      </c>
      <c r="CH15" s="1">
        <v>0</v>
      </c>
      <c r="CI15" s="1">
        <v>4.5</v>
      </c>
      <c r="CJ15" s="1">
        <v>0</v>
      </c>
      <c r="CK15" s="1">
        <v>6.38</v>
      </c>
      <c r="CL15" s="1">
        <v>506004.25</v>
      </c>
      <c r="CM15" s="1">
        <v>1187.01</v>
      </c>
      <c r="CN15" s="1">
        <v>11.71</v>
      </c>
      <c r="CO15" s="1">
        <v>1</v>
      </c>
      <c r="CP15" s="1">
        <v>7.07</v>
      </c>
      <c r="CQ15" s="1">
        <v>2</v>
      </c>
      <c r="CR15" s="1">
        <v>0</v>
      </c>
      <c r="CS15" s="1">
        <v>1.5</v>
      </c>
      <c r="CT15" s="1">
        <v>0</v>
      </c>
      <c r="CU15" s="1">
        <v>1.5</v>
      </c>
      <c r="CV15" s="1">
        <v>0</v>
      </c>
      <c r="CW15" s="1">
        <v>1.5</v>
      </c>
      <c r="CX15" s="1">
        <v>95715.35</v>
      </c>
      <c r="CY15" s="1">
        <v>1457.59</v>
      </c>
      <c r="CZ15" s="1">
        <v>556.48</v>
      </c>
      <c r="DA15" s="1">
        <v>126.86</v>
      </c>
      <c r="DB15" s="1">
        <v>327518.53000000003</v>
      </c>
      <c r="DC15" s="1">
        <v>996.12</v>
      </c>
      <c r="DD15" s="1">
        <v>0</v>
      </c>
      <c r="DE15" s="1">
        <v>19.690000000000001</v>
      </c>
      <c r="DF15" s="1">
        <v>3444.67</v>
      </c>
      <c r="DG15" s="1">
        <v>1072.68</v>
      </c>
      <c r="DH15" s="1">
        <v>18.850000000000001</v>
      </c>
      <c r="DI15" s="1">
        <v>10.75</v>
      </c>
      <c r="DJ15" s="1">
        <v>0</v>
      </c>
      <c r="DK15" s="1">
        <v>9.2899999999999991</v>
      </c>
      <c r="DL15" s="1">
        <v>0</v>
      </c>
      <c r="DM15" s="1">
        <v>19.690000000000001</v>
      </c>
      <c r="DN15" s="16">
        <v>8</v>
      </c>
      <c r="DP15">
        <v>1</v>
      </c>
      <c r="DQ15" s="11">
        <v>1.7037954722880713</v>
      </c>
      <c r="DR15" s="11">
        <v>110</v>
      </c>
      <c r="DS15" s="12">
        <v>3.98</v>
      </c>
      <c r="DT15" s="12">
        <v>0.79600000381469704</v>
      </c>
      <c r="DU15" s="12">
        <v>8.1400003433227504</v>
      </c>
      <c r="DV15" s="12">
        <v>21.699117660522461</v>
      </c>
      <c r="DW15" s="11" t="s">
        <v>340</v>
      </c>
      <c r="DX15" s="12">
        <v>33.046417236328125</v>
      </c>
      <c r="DY15" s="12">
        <v>18.444513320922852</v>
      </c>
      <c r="DZ15" s="12">
        <v>14.986166954040527</v>
      </c>
      <c r="EA15" s="12">
        <v>33.430679321289063</v>
      </c>
      <c r="EB15" s="12">
        <v>20.458038330078125</v>
      </c>
      <c r="EC15" s="12">
        <v>13.064863204956055</v>
      </c>
      <c r="ED15" s="12">
        <v>33.522903442382813</v>
      </c>
      <c r="EE15" s="12">
        <v>0.72078794240951538</v>
      </c>
      <c r="EF15">
        <v>0</v>
      </c>
    </row>
    <row r="16" spans="1:136" ht="14.4" x14ac:dyDescent="0.3">
      <c r="A16" s="1" t="s">
        <v>151</v>
      </c>
      <c r="B16" s="2">
        <v>15</v>
      </c>
      <c r="C16" s="3">
        <v>44662.71875</v>
      </c>
      <c r="D16" s="1">
        <v>362.26</v>
      </c>
      <c r="E16" s="1">
        <v>137</v>
      </c>
      <c r="F16" s="1">
        <v>5.128E-4</v>
      </c>
      <c r="G16" s="1">
        <v>1.399E-5</v>
      </c>
      <c r="H16" s="1">
        <v>1.56</v>
      </c>
      <c r="I16" s="1" t="s">
        <v>152</v>
      </c>
      <c r="J16" s="1" t="s">
        <v>110</v>
      </c>
      <c r="K16" s="1">
        <v>14.77</v>
      </c>
      <c r="L16" s="1">
        <v>404</v>
      </c>
      <c r="M16" s="1">
        <v>3</v>
      </c>
      <c r="N16" s="1">
        <v>4.7619999999999997E-4</v>
      </c>
      <c r="O16" s="1">
        <v>-2.488E-7</v>
      </c>
      <c r="P16" s="1">
        <v>-0.03</v>
      </c>
      <c r="Q16" s="1" t="s">
        <v>153</v>
      </c>
      <c r="R16" s="1" t="s">
        <v>110</v>
      </c>
      <c r="S16" s="1">
        <v>34.719025050778598</v>
      </c>
      <c r="T16" s="1">
        <v>32.241029113067029</v>
      </c>
      <c r="U16" s="1">
        <f t="shared" si="0"/>
        <v>2.4779959377115688</v>
      </c>
      <c r="V16" s="1">
        <f t="shared" si="2"/>
        <v>7.1372854914196333</v>
      </c>
      <c r="W16" s="1">
        <f t="shared" si="1"/>
        <v>2.4779959377115688</v>
      </c>
      <c r="X16" s="1">
        <v>708608.06</v>
      </c>
      <c r="Y16" s="1">
        <v>0</v>
      </c>
      <c r="Z16" s="1">
        <v>7633.73</v>
      </c>
      <c r="AA16" s="1">
        <v>0</v>
      </c>
      <c r="AB16" s="1">
        <v>179235.3</v>
      </c>
      <c r="AC16" s="1">
        <v>0</v>
      </c>
      <c r="AD16" s="1">
        <v>5.34</v>
      </c>
      <c r="AE16" s="1">
        <v>1.36</v>
      </c>
      <c r="AF16" s="1">
        <v>269.48</v>
      </c>
      <c r="AG16" s="1">
        <v>2.75</v>
      </c>
      <c r="AH16" s="1">
        <v>129.36000000000001</v>
      </c>
      <c r="AI16" s="1">
        <v>1.93</v>
      </c>
      <c r="AJ16" s="1">
        <v>0</v>
      </c>
      <c r="AK16" s="1">
        <v>3.62</v>
      </c>
      <c r="AL16" s="1">
        <v>84.59</v>
      </c>
      <c r="AM16" s="1">
        <v>1.85</v>
      </c>
      <c r="AN16" s="1">
        <v>9.4700000000000006</v>
      </c>
      <c r="AO16" s="1">
        <v>1.47</v>
      </c>
      <c r="AP16" s="1">
        <v>20.99</v>
      </c>
      <c r="AQ16" s="1">
        <v>2.4</v>
      </c>
      <c r="AR16" s="1">
        <v>0</v>
      </c>
      <c r="AS16" s="1">
        <v>3.33</v>
      </c>
      <c r="AT16" s="1">
        <v>0</v>
      </c>
      <c r="AU16" s="1">
        <v>1.82</v>
      </c>
      <c r="AV16" s="1">
        <v>11.84</v>
      </c>
      <c r="AW16" s="1">
        <v>2.06</v>
      </c>
      <c r="AX16" s="1">
        <v>0</v>
      </c>
      <c r="AY16" s="1">
        <v>4.29</v>
      </c>
      <c r="AZ16" s="1">
        <v>54.15</v>
      </c>
      <c r="BA16" s="1">
        <v>4.04</v>
      </c>
      <c r="BB16" s="1">
        <v>0</v>
      </c>
      <c r="BC16" s="1">
        <v>17.21</v>
      </c>
      <c r="BD16" s="1">
        <v>25.2</v>
      </c>
      <c r="BE16" s="1">
        <v>5.72</v>
      </c>
      <c r="BF16" s="1">
        <v>33.51</v>
      </c>
      <c r="BG16" s="1">
        <v>11.54</v>
      </c>
      <c r="BH16" s="1">
        <v>0</v>
      </c>
      <c r="BI16" s="1">
        <v>66.55</v>
      </c>
      <c r="BJ16" s="1">
        <v>31210.57</v>
      </c>
      <c r="BK16" s="1">
        <v>156.79</v>
      </c>
      <c r="BL16" s="1">
        <v>669.92</v>
      </c>
      <c r="BM16" s="1">
        <v>32.04</v>
      </c>
      <c r="BN16" s="1">
        <v>156</v>
      </c>
      <c r="BO16" s="1">
        <v>7.91</v>
      </c>
      <c r="BP16" s="1">
        <v>105.61</v>
      </c>
      <c r="BQ16" s="1">
        <v>14.33</v>
      </c>
      <c r="BR16" s="1">
        <v>5329.48</v>
      </c>
      <c r="BS16" s="1">
        <v>59.12</v>
      </c>
      <c r="BT16" s="1">
        <v>12829.95</v>
      </c>
      <c r="BU16" s="1">
        <v>261.87</v>
      </c>
      <c r="BV16" s="1">
        <v>16259.3</v>
      </c>
      <c r="BW16" s="1">
        <v>174.71</v>
      </c>
      <c r="BX16" s="1">
        <v>216.63</v>
      </c>
      <c r="BY16" s="1">
        <v>38.46</v>
      </c>
      <c r="BZ16" s="1">
        <v>341.12</v>
      </c>
      <c r="CA16" s="1">
        <v>25.55</v>
      </c>
      <c r="CB16" s="1">
        <v>0</v>
      </c>
      <c r="CC16" s="1">
        <v>7.28</v>
      </c>
      <c r="CD16" s="1">
        <v>17.45</v>
      </c>
      <c r="CE16" s="1">
        <v>6.82</v>
      </c>
      <c r="CF16" s="1">
        <v>0</v>
      </c>
      <c r="CG16" s="1">
        <v>6.76</v>
      </c>
      <c r="CH16" s="1">
        <v>0</v>
      </c>
      <c r="CI16" s="1">
        <v>4.33</v>
      </c>
      <c r="CJ16" s="1">
        <v>0</v>
      </c>
      <c r="CK16" s="1">
        <v>6.27</v>
      </c>
      <c r="CL16" s="1">
        <v>501990.41</v>
      </c>
      <c r="CM16" s="1">
        <v>1212.5999999999999</v>
      </c>
      <c r="CN16" s="1">
        <v>11.23</v>
      </c>
      <c r="CO16" s="1">
        <v>1</v>
      </c>
      <c r="CP16" s="1">
        <v>8.6199999999999992</v>
      </c>
      <c r="CQ16" s="1">
        <v>2.04</v>
      </c>
      <c r="CR16" s="1">
        <v>0</v>
      </c>
      <c r="CS16" s="1">
        <v>1.5</v>
      </c>
      <c r="CT16" s="1">
        <v>0</v>
      </c>
      <c r="CU16" s="1">
        <v>1.5</v>
      </c>
      <c r="CV16" s="1">
        <v>0</v>
      </c>
      <c r="CW16" s="1">
        <v>1.5</v>
      </c>
      <c r="CX16" s="1">
        <v>94833.49</v>
      </c>
      <c r="CY16" s="1">
        <v>1461.49</v>
      </c>
      <c r="CZ16" s="1">
        <v>273.77999999999997</v>
      </c>
      <c r="DA16" s="1">
        <v>127.18</v>
      </c>
      <c r="DB16" s="1">
        <v>331125.25</v>
      </c>
      <c r="DC16" s="1">
        <v>1008.56</v>
      </c>
      <c r="DD16" s="1">
        <v>0</v>
      </c>
      <c r="DE16" s="1">
        <v>19.63</v>
      </c>
      <c r="DF16" s="1">
        <v>4598.63</v>
      </c>
      <c r="DG16" s="1">
        <v>1096.8399999999999</v>
      </c>
      <c r="DH16" s="1">
        <v>0</v>
      </c>
      <c r="DI16" s="1">
        <v>17.16</v>
      </c>
      <c r="DJ16" s="1">
        <v>0</v>
      </c>
      <c r="DK16" s="1">
        <v>9.2799999999999994</v>
      </c>
      <c r="DL16" s="1">
        <v>0</v>
      </c>
      <c r="DM16" s="1">
        <v>19.559999999999999</v>
      </c>
      <c r="DN16" s="16">
        <v>49</v>
      </c>
      <c r="DP16">
        <v>1</v>
      </c>
      <c r="DQ16">
        <v>1.6493350640830773</v>
      </c>
      <c r="DR16">
        <v>137</v>
      </c>
      <c r="DS16" s="10">
        <v>2.9</v>
      </c>
      <c r="DT16" s="10">
        <v>0.57999998331069946</v>
      </c>
      <c r="DU16" s="10">
        <v>8.1700000762939453</v>
      </c>
      <c r="DV16" s="10">
        <v>19.975019454956055</v>
      </c>
      <c r="DW16" t="s">
        <v>339</v>
      </c>
      <c r="DX16" s="10">
        <v>27.519380569458008</v>
      </c>
      <c r="DY16" s="10">
        <v>18.99224853515625</v>
      </c>
      <c r="DZ16" s="10">
        <v>18.21705436706543</v>
      </c>
      <c r="EA16" s="10">
        <v>37.209304809570313</v>
      </c>
      <c r="EB16" s="10">
        <v>23.333333969116211</v>
      </c>
      <c r="EC16" s="10">
        <v>11.937984466552734</v>
      </c>
      <c r="ED16" s="10">
        <v>35.271316528320313</v>
      </c>
      <c r="EE16" s="10">
        <v>1.0310643911361694</v>
      </c>
      <c r="EF16">
        <v>0</v>
      </c>
    </row>
    <row r="17" spans="1:136" ht="14.4" x14ac:dyDescent="0.3">
      <c r="A17" s="1" t="s">
        <v>154</v>
      </c>
      <c r="B17" s="2">
        <v>14</v>
      </c>
      <c r="C17" s="3">
        <v>44662.737500000003</v>
      </c>
      <c r="D17" s="1">
        <v>362.33</v>
      </c>
      <c r="E17" s="1">
        <v>180</v>
      </c>
      <c r="F17" s="1">
        <v>5.2680000000000001E-4</v>
      </c>
      <c r="G17" s="1">
        <v>1.8850000000000001E-5</v>
      </c>
      <c r="H17" s="1">
        <v>2.0499999999999998</v>
      </c>
      <c r="I17" s="1" t="s">
        <v>155</v>
      </c>
      <c r="J17" s="1" t="s">
        <v>110</v>
      </c>
      <c r="K17" s="1">
        <v>15.3</v>
      </c>
      <c r="L17" s="1">
        <v>407</v>
      </c>
      <c r="M17" s="1">
        <v>3</v>
      </c>
      <c r="N17" s="1">
        <v>4.9169999999999997E-4</v>
      </c>
      <c r="O17" s="1">
        <v>-2.5569999999999998E-6</v>
      </c>
      <c r="P17" s="1">
        <v>-0.3</v>
      </c>
      <c r="Q17" s="1" t="s">
        <v>156</v>
      </c>
      <c r="R17" s="1" t="s">
        <v>110</v>
      </c>
      <c r="S17" s="1">
        <v>34.431372549019613</v>
      </c>
      <c r="T17" s="1">
        <v>32.13725490196078</v>
      </c>
      <c r="U17" s="1">
        <f t="shared" si="0"/>
        <v>2.2941176470588331</v>
      </c>
      <c r="V17" s="1">
        <f t="shared" si="2"/>
        <v>6.6628701594533295</v>
      </c>
      <c r="W17" s="1">
        <f t="shared" si="1"/>
        <v>2.2941176470588331</v>
      </c>
      <c r="X17" s="1">
        <v>728206</v>
      </c>
      <c r="Y17" s="1">
        <v>0</v>
      </c>
      <c r="Z17" s="1">
        <v>9447.8799999999992</v>
      </c>
      <c r="AA17" s="1">
        <v>0</v>
      </c>
      <c r="AB17" s="1">
        <v>194262.52</v>
      </c>
      <c r="AC17" s="1">
        <v>0</v>
      </c>
      <c r="AD17" s="1">
        <v>4.3</v>
      </c>
      <c r="AE17" s="1">
        <v>1.36</v>
      </c>
      <c r="AF17" s="1">
        <v>280.82</v>
      </c>
      <c r="AG17" s="1">
        <v>2.81</v>
      </c>
      <c r="AH17" s="1">
        <v>120.4</v>
      </c>
      <c r="AI17" s="1">
        <v>1.88</v>
      </c>
      <c r="AJ17" s="1">
        <v>0</v>
      </c>
      <c r="AK17" s="1">
        <v>3.77</v>
      </c>
      <c r="AL17" s="1">
        <v>98.04</v>
      </c>
      <c r="AM17" s="1">
        <v>1.98</v>
      </c>
      <c r="AN17" s="1">
        <v>9.86</v>
      </c>
      <c r="AO17" s="1">
        <v>1.52</v>
      </c>
      <c r="AP17" s="1">
        <v>24.51</v>
      </c>
      <c r="AQ17" s="1">
        <v>2.5</v>
      </c>
      <c r="AR17" s="1">
        <v>0</v>
      </c>
      <c r="AS17" s="1">
        <v>3.31</v>
      </c>
      <c r="AT17" s="1">
        <v>0</v>
      </c>
      <c r="AU17" s="1">
        <v>1.79</v>
      </c>
      <c r="AV17" s="1">
        <v>13.4</v>
      </c>
      <c r="AW17" s="1">
        <v>2.15</v>
      </c>
      <c r="AX17" s="1">
        <v>0</v>
      </c>
      <c r="AY17" s="1">
        <v>4.3600000000000003</v>
      </c>
      <c r="AZ17" s="1">
        <v>69.099999999999994</v>
      </c>
      <c r="BA17" s="1">
        <v>4.3600000000000003</v>
      </c>
      <c r="BB17" s="1">
        <v>0</v>
      </c>
      <c r="BC17" s="1">
        <v>17.63</v>
      </c>
      <c r="BD17" s="1">
        <v>28.31</v>
      </c>
      <c r="BE17" s="1">
        <v>5.84</v>
      </c>
      <c r="BF17" s="1">
        <v>34.78</v>
      </c>
      <c r="BG17" s="1">
        <v>11.75</v>
      </c>
      <c r="BH17" s="1">
        <v>101.64</v>
      </c>
      <c r="BI17" s="1">
        <v>48.14</v>
      </c>
      <c r="BJ17" s="1">
        <v>35483.269999999997</v>
      </c>
      <c r="BK17" s="1">
        <v>168.74</v>
      </c>
      <c r="BL17" s="1">
        <v>607.65</v>
      </c>
      <c r="BM17" s="1">
        <v>31.48</v>
      </c>
      <c r="BN17" s="1">
        <v>126.03</v>
      </c>
      <c r="BO17" s="1">
        <v>8.09</v>
      </c>
      <c r="BP17" s="1">
        <v>111.64</v>
      </c>
      <c r="BQ17" s="1">
        <v>15.32</v>
      </c>
      <c r="BR17" s="1">
        <v>5578.69</v>
      </c>
      <c r="BS17" s="1">
        <v>63.15</v>
      </c>
      <c r="BT17" s="1">
        <v>11606.08</v>
      </c>
      <c r="BU17" s="1">
        <v>264.10000000000002</v>
      </c>
      <c r="BV17" s="1">
        <v>17367.14</v>
      </c>
      <c r="BW17" s="1">
        <v>188.03</v>
      </c>
      <c r="BX17" s="1">
        <v>323.70999999999998</v>
      </c>
      <c r="BY17" s="1">
        <v>39.880000000000003</v>
      </c>
      <c r="BZ17" s="1">
        <v>238.7</v>
      </c>
      <c r="CA17" s="1">
        <v>25.4</v>
      </c>
      <c r="CB17" s="1">
        <v>0</v>
      </c>
      <c r="CC17" s="1">
        <v>7.37</v>
      </c>
      <c r="CD17" s="1">
        <v>0</v>
      </c>
      <c r="CE17" s="1">
        <v>5.92</v>
      </c>
      <c r="CF17" s="1">
        <v>0</v>
      </c>
      <c r="CG17" s="1">
        <v>6.89</v>
      </c>
      <c r="CH17" s="1">
        <v>0</v>
      </c>
      <c r="CI17" s="1">
        <v>4.5</v>
      </c>
      <c r="CJ17" s="1">
        <v>0</v>
      </c>
      <c r="CK17" s="1">
        <v>6.41</v>
      </c>
      <c r="CL17" s="1">
        <v>479504.59</v>
      </c>
      <c r="CM17" s="1">
        <v>1255</v>
      </c>
      <c r="CN17" s="1">
        <v>13.49</v>
      </c>
      <c r="CO17" s="1">
        <v>1</v>
      </c>
      <c r="CP17" s="1">
        <v>9.23</v>
      </c>
      <c r="CQ17" s="1">
        <v>2.11</v>
      </c>
      <c r="CR17" s="1">
        <v>0</v>
      </c>
      <c r="CS17" s="1">
        <v>1.5</v>
      </c>
      <c r="CT17" s="1">
        <v>0</v>
      </c>
      <c r="CU17" s="1">
        <v>1.5</v>
      </c>
      <c r="CV17" s="1">
        <v>0</v>
      </c>
      <c r="CW17" s="1">
        <v>1.5</v>
      </c>
      <c r="CX17" s="1">
        <v>102784.4</v>
      </c>
      <c r="CY17" s="1">
        <v>1548.41</v>
      </c>
      <c r="CZ17" s="1">
        <v>223.16</v>
      </c>
      <c r="DA17" s="1">
        <v>130.63</v>
      </c>
      <c r="DB17" s="1">
        <v>340283.16</v>
      </c>
      <c r="DC17" s="1">
        <v>1017.07</v>
      </c>
      <c r="DD17" s="1">
        <v>0</v>
      </c>
      <c r="DE17" s="1">
        <v>20.18</v>
      </c>
      <c r="DF17" s="1">
        <v>5691.49</v>
      </c>
      <c r="DG17" s="1">
        <v>1151.27</v>
      </c>
      <c r="DH17" s="1">
        <v>0</v>
      </c>
      <c r="DI17" s="1">
        <v>17.059999999999999</v>
      </c>
      <c r="DJ17" s="1">
        <v>0</v>
      </c>
      <c r="DK17" s="1">
        <v>9.4</v>
      </c>
      <c r="DL17" s="1">
        <v>0</v>
      </c>
      <c r="DM17" s="1">
        <v>19.98</v>
      </c>
      <c r="DN17" s="16">
        <v>47</v>
      </c>
      <c r="DP17">
        <v>1</v>
      </c>
      <c r="DQ17">
        <v>1.6888513000371168</v>
      </c>
      <c r="DR17">
        <v>180</v>
      </c>
      <c r="DS17" s="10">
        <v>4.34</v>
      </c>
      <c r="DT17" s="10">
        <v>0.86799997091293335</v>
      </c>
      <c r="DU17" s="10">
        <v>8.1499996185302734</v>
      </c>
      <c r="DV17" s="10">
        <v>23.816886901855469</v>
      </c>
      <c r="DW17" t="s">
        <v>338</v>
      </c>
      <c r="DX17" s="10">
        <v>38.327262878417969</v>
      </c>
      <c r="DY17" s="10">
        <v>25.804492950439453</v>
      </c>
      <c r="DZ17" s="10">
        <v>17.45598030090332</v>
      </c>
      <c r="EA17" s="10">
        <v>43.260475158691406</v>
      </c>
      <c r="EB17" s="10">
        <v>13.782634735107422</v>
      </c>
      <c r="EC17" s="10">
        <v>4.6296296119689941</v>
      </c>
      <c r="ED17" s="10">
        <v>18.412263870239258</v>
      </c>
      <c r="EE17" s="10">
        <v>0.87193030118942261</v>
      </c>
      <c r="EF17">
        <v>0</v>
      </c>
    </row>
    <row r="18" spans="1:136" ht="14.4" x14ac:dyDescent="0.3">
      <c r="A18" s="1" t="s">
        <v>157</v>
      </c>
      <c r="B18" s="2">
        <v>16</v>
      </c>
      <c r="C18" s="3">
        <v>44662.729166666657</v>
      </c>
      <c r="D18" s="1">
        <v>361.18</v>
      </c>
      <c r="E18" s="1">
        <v>252</v>
      </c>
      <c r="F18" s="1">
        <v>5.0739999999999997E-4</v>
      </c>
      <c r="G18" s="1">
        <v>2.215E-5</v>
      </c>
      <c r="H18" s="1">
        <v>2.5</v>
      </c>
      <c r="I18" s="1" t="s">
        <v>158</v>
      </c>
      <c r="J18" s="1" t="s">
        <v>110</v>
      </c>
      <c r="K18" s="1">
        <v>15.28</v>
      </c>
      <c r="L18" s="1">
        <v>412</v>
      </c>
      <c r="M18" s="1">
        <v>3</v>
      </c>
      <c r="N18" s="1">
        <v>4.7580000000000002E-4</v>
      </c>
      <c r="O18" s="1">
        <v>-3.0759999999999999E-6</v>
      </c>
      <c r="P18" s="1">
        <v>-0.37</v>
      </c>
      <c r="Q18" s="1" t="s">
        <v>159</v>
      </c>
      <c r="R18" s="1" t="s">
        <v>110</v>
      </c>
      <c r="S18" s="1">
        <v>33.206806282722511</v>
      </c>
      <c r="T18" s="1">
        <v>31.13874345549738</v>
      </c>
      <c r="U18" s="1">
        <f t="shared" si="0"/>
        <v>2.0680628272251305</v>
      </c>
      <c r="V18" s="1">
        <f t="shared" si="2"/>
        <v>6.2278281434765468</v>
      </c>
      <c r="W18" s="1">
        <f t="shared" si="1"/>
        <v>2.0680628272251305</v>
      </c>
      <c r="X18" s="1">
        <v>704210.75</v>
      </c>
      <c r="Y18" s="1">
        <v>0</v>
      </c>
      <c r="Z18" s="1">
        <v>5442.78</v>
      </c>
      <c r="AA18" s="1">
        <v>0</v>
      </c>
      <c r="AB18" s="1">
        <v>195538.13</v>
      </c>
      <c r="AC18" s="1">
        <v>0</v>
      </c>
      <c r="AD18" s="1">
        <v>4.78</v>
      </c>
      <c r="AE18" s="1">
        <v>1.39</v>
      </c>
      <c r="AF18" s="1">
        <v>273.27999999999997</v>
      </c>
      <c r="AG18" s="1">
        <v>2.82</v>
      </c>
      <c r="AH18" s="1">
        <v>120.84</v>
      </c>
      <c r="AI18" s="1">
        <v>1.91</v>
      </c>
      <c r="AJ18" s="1">
        <v>0</v>
      </c>
      <c r="AK18" s="1">
        <v>3.86</v>
      </c>
      <c r="AL18" s="1">
        <v>98.56</v>
      </c>
      <c r="AM18" s="1">
        <v>2.02</v>
      </c>
      <c r="AN18" s="1">
        <v>9.39</v>
      </c>
      <c r="AO18" s="1">
        <v>1.54</v>
      </c>
      <c r="AP18" s="1">
        <v>24.7</v>
      </c>
      <c r="AQ18" s="1">
        <v>2.5499999999999998</v>
      </c>
      <c r="AR18" s="1">
        <v>0</v>
      </c>
      <c r="AS18" s="1">
        <v>3.44</v>
      </c>
      <c r="AT18" s="1">
        <v>0</v>
      </c>
      <c r="AU18" s="1">
        <v>1.85</v>
      </c>
      <c r="AV18" s="1">
        <v>13.47</v>
      </c>
      <c r="AW18" s="1">
        <v>2.19</v>
      </c>
      <c r="AX18" s="1">
        <v>0</v>
      </c>
      <c r="AY18" s="1">
        <v>4.51</v>
      </c>
      <c r="AZ18" s="1">
        <v>70.400000000000006</v>
      </c>
      <c r="BA18" s="1">
        <v>4.46</v>
      </c>
      <c r="BB18" s="1">
        <v>0</v>
      </c>
      <c r="BC18" s="1">
        <v>18.059999999999999</v>
      </c>
      <c r="BD18" s="1">
        <v>34.270000000000003</v>
      </c>
      <c r="BE18" s="1">
        <v>6.07</v>
      </c>
      <c r="BF18" s="1">
        <v>61.79</v>
      </c>
      <c r="BG18" s="1">
        <v>12.26</v>
      </c>
      <c r="BH18" s="1">
        <v>0</v>
      </c>
      <c r="BI18" s="1">
        <v>75.069999999999993</v>
      </c>
      <c r="BJ18" s="1">
        <v>37183.050000000003</v>
      </c>
      <c r="BK18" s="1">
        <v>176.87</v>
      </c>
      <c r="BL18" s="1">
        <v>810.69</v>
      </c>
      <c r="BM18" s="1">
        <v>34.770000000000003</v>
      </c>
      <c r="BN18" s="1">
        <v>135.13999999999999</v>
      </c>
      <c r="BO18" s="1">
        <v>8.27</v>
      </c>
      <c r="BP18" s="1">
        <v>116.37</v>
      </c>
      <c r="BQ18" s="1">
        <v>15.44</v>
      </c>
      <c r="BR18" s="1">
        <v>5361.62</v>
      </c>
      <c r="BS18" s="1">
        <v>63.07</v>
      </c>
      <c r="BT18" s="1">
        <v>10974.93</v>
      </c>
      <c r="BU18" s="1">
        <v>260.08</v>
      </c>
      <c r="BV18" s="1">
        <v>17206.53</v>
      </c>
      <c r="BW18" s="1">
        <v>187.16</v>
      </c>
      <c r="BX18" s="1">
        <v>249.76</v>
      </c>
      <c r="BY18" s="1">
        <v>38.96</v>
      </c>
      <c r="BZ18" s="1">
        <v>259.20999999999998</v>
      </c>
      <c r="CA18" s="1">
        <v>20.37</v>
      </c>
      <c r="CB18" s="1">
        <v>0</v>
      </c>
      <c r="CC18" s="1">
        <v>7.44</v>
      </c>
      <c r="CD18" s="1">
        <v>0</v>
      </c>
      <c r="CE18" s="1">
        <v>5.97</v>
      </c>
      <c r="CF18" s="1">
        <v>0</v>
      </c>
      <c r="CG18" s="1">
        <v>6.94</v>
      </c>
      <c r="CH18" s="1">
        <v>0</v>
      </c>
      <c r="CI18" s="1">
        <v>3.05</v>
      </c>
      <c r="CJ18" s="1">
        <v>0</v>
      </c>
      <c r="CK18" s="1">
        <v>6.54</v>
      </c>
      <c r="CL18" s="1">
        <v>491760.88</v>
      </c>
      <c r="CM18" s="1">
        <v>1279.83</v>
      </c>
      <c r="CN18" s="1">
        <v>13.19</v>
      </c>
      <c r="CO18" s="1">
        <v>1</v>
      </c>
      <c r="CP18" s="1">
        <v>8.34</v>
      </c>
      <c r="CQ18" s="1">
        <v>2.13</v>
      </c>
      <c r="CR18" s="1">
        <v>0</v>
      </c>
      <c r="CS18" s="1">
        <v>1.5</v>
      </c>
      <c r="CT18" s="1">
        <v>0</v>
      </c>
      <c r="CU18" s="1">
        <v>1.5</v>
      </c>
      <c r="CV18" s="1">
        <v>0</v>
      </c>
      <c r="CW18" s="1">
        <v>1.5</v>
      </c>
      <c r="CX18" s="1">
        <v>103459.33</v>
      </c>
      <c r="CY18" s="1">
        <v>1533.8</v>
      </c>
      <c r="CZ18" s="1">
        <v>0</v>
      </c>
      <c r="DA18" s="1">
        <v>189.26</v>
      </c>
      <c r="DB18" s="1">
        <v>329070.44</v>
      </c>
      <c r="DC18" s="1">
        <v>1023.4</v>
      </c>
      <c r="DD18" s="1">
        <v>0</v>
      </c>
      <c r="DE18" s="1">
        <v>19.93</v>
      </c>
      <c r="DF18" s="1">
        <v>3278.79</v>
      </c>
      <c r="DG18" s="1">
        <v>1093.82</v>
      </c>
      <c r="DH18" s="1">
        <v>19.170000000000002</v>
      </c>
      <c r="DI18" s="1">
        <v>11.37</v>
      </c>
      <c r="DJ18" s="1">
        <v>0</v>
      </c>
      <c r="DK18" s="1">
        <v>9.52</v>
      </c>
      <c r="DL18" s="1">
        <v>0</v>
      </c>
      <c r="DM18" s="1">
        <v>20.23</v>
      </c>
      <c r="DN18" s="16">
        <v>6</v>
      </c>
      <c r="DP18">
        <v>1</v>
      </c>
      <c r="DQ18">
        <v>1.6874663655456763</v>
      </c>
      <c r="DR18">
        <v>253</v>
      </c>
      <c r="DS18" s="10">
        <v>4.29</v>
      </c>
      <c r="DT18" s="10">
        <v>0.85799998044967651</v>
      </c>
      <c r="DU18" s="10">
        <v>8.1400003433227539</v>
      </c>
      <c r="DV18" s="10">
        <v>25.035507202148438</v>
      </c>
      <c r="DW18" t="s">
        <v>337</v>
      </c>
      <c r="DX18" s="10">
        <v>38.844001770019531</v>
      </c>
      <c r="DY18" s="10">
        <v>26.413921356201172</v>
      </c>
      <c r="DZ18" s="10">
        <v>14.760721206665039</v>
      </c>
      <c r="EA18" s="10">
        <v>41.174644470214844</v>
      </c>
      <c r="EB18" s="10">
        <v>13.33126163482666</v>
      </c>
      <c r="EC18" s="10">
        <v>6.6500930786132813</v>
      </c>
      <c r="ED18" s="10">
        <v>19.981353759765625</v>
      </c>
      <c r="EE18" s="10">
        <v>0.84089791774749756</v>
      </c>
      <c r="EF18">
        <v>0</v>
      </c>
    </row>
    <row r="19" spans="1:136" ht="15.75" customHeight="1" x14ac:dyDescent="0.3">
      <c r="A19" s="1" t="s">
        <v>160</v>
      </c>
      <c r="B19" s="2">
        <v>21</v>
      </c>
      <c r="C19" s="3">
        <v>44663.397222222222</v>
      </c>
      <c r="D19" s="1">
        <v>360.06</v>
      </c>
      <c r="E19" s="1">
        <v>10</v>
      </c>
      <c r="F19" s="1">
        <v>1.93E-4</v>
      </c>
      <c r="G19" s="1">
        <v>9.2080000000000006E-6</v>
      </c>
      <c r="H19" s="1">
        <v>2.73</v>
      </c>
      <c r="I19" s="1" t="s">
        <v>161</v>
      </c>
      <c r="J19" s="1" t="s">
        <v>110</v>
      </c>
      <c r="K19" s="1">
        <v>14.79</v>
      </c>
      <c r="L19" s="1">
        <v>411</v>
      </c>
      <c r="M19" s="1">
        <v>3</v>
      </c>
      <c r="N19" s="1">
        <v>1.7870000000000001E-4</v>
      </c>
      <c r="O19" s="1">
        <v>2.8739999999999999E-6</v>
      </c>
      <c r="P19" s="1">
        <v>0.92</v>
      </c>
      <c r="Q19" s="1" t="s">
        <v>162</v>
      </c>
      <c r="R19" s="1" t="s">
        <v>110</v>
      </c>
      <c r="S19" s="1">
        <v>13.04935767410413</v>
      </c>
      <c r="T19" s="1">
        <v>12.08248816768087</v>
      </c>
      <c r="U19" s="1">
        <f t="shared" si="0"/>
        <v>0.96686950642325975</v>
      </c>
      <c r="V19" s="1">
        <f t="shared" si="2"/>
        <v>7.4093264248704687</v>
      </c>
      <c r="W19" s="1">
        <f t="shared" si="1"/>
        <v>0.96686950642325975</v>
      </c>
      <c r="X19" s="1">
        <v>907940</v>
      </c>
      <c r="Y19" s="1">
        <v>0</v>
      </c>
      <c r="Z19" s="1">
        <v>0</v>
      </c>
      <c r="AA19" s="1">
        <v>0</v>
      </c>
      <c r="AB19" s="1">
        <v>44556.34</v>
      </c>
      <c r="AC19" s="1">
        <v>0</v>
      </c>
      <c r="AD19" s="1">
        <v>4.3499999999999996</v>
      </c>
      <c r="AE19" s="1">
        <v>1.1499999999999999</v>
      </c>
      <c r="AF19" s="1">
        <v>150.6</v>
      </c>
      <c r="AG19" s="1">
        <v>1.9</v>
      </c>
      <c r="AH19" s="1">
        <v>24.36</v>
      </c>
      <c r="AI19" s="1">
        <v>0.88</v>
      </c>
      <c r="AJ19" s="1">
        <v>0</v>
      </c>
      <c r="AK19" s="1">
        <v>2.19</v>
      </c>
      <c r="AL19" s="1">
        <v>19.59</v>
      </c>
      <c r="AM19" s="1">
        <v>0.92</v>
      </c>
      <c r="AN19" s="1">
        <v>0</v>
      </c>
      <c r="AO19" s="1">
        <v>1.39</v>
      </c>
      <c r="AP19" s="1">
        <v>10.25</v>
      </c>
      <c r="AQ19" s="1">
        <v>1.83</v>
      </c>
      <c r="AR19" s="1">
        <v>0</v>
      </c>
      <c r="AS19" s="1">
        <v>2.76</v>
      </c>
      <c r="AT19" s="1">
        <v>0</v>
      </c>
      <c r="AU19" s="1">
        <v>1.5</v>
      </c>
      <c r="AV19" s="1">
        <v>0</v>
      </c>
      <c r="AW19" s="1">
        <v>2.13</v>
      </c>
      <c r="AX19" s="1">
        <v>0</v>
      </c>
      <c r="AY19" s="1">
        <v>3.59</v>
      </c>
      <c r="AZ19" s="1">
        <v>6.13</v>
      </c>
      <c r="BA19" s="1">
        <v>2.56</v>
      </c>
      <c r="BB19" s="1">
        <v>0</v>
      </c>
      <c r="BC19" s="1">
        <v>14.22</v>
      </c>
      <c r="BD19" s="1">
        <v>0</v>
      </c>
      <c r="BE19" s="1">
        <v>6.8</v>
      </c>
      <c r="BF19" s="1">
        <v>0</v>
      </c>
      <c r="BG19" s="1">
        <v>13.7</v>
      </c>
      <c r="BH19" s="1">
        <v>0</v>
      </c>
      <c r="BI19" s="1">
        <v>19.82</v>
      </c>
      <c r="BJ19" s="1">
        <v>1938.48</v>
      </c>
      <c r="BK19" s="1">
        <v>30.79</v>
      </c>
      <c r="BL19" s="1">
        <v>64.11</v>
      </c>
      <c r="BM19" s="1">
        <v>18.55</v>
      </c>
      <c r="BN19" s="1">
        <v>19.149999999999999</v>
      </c>
      <c r="BO19" s="1">
        <v>3.77</v>
      </c>
      <c r="BP19" s="1">
        <v>23.43</v>
      </c>
      <c r="BQ19" s="1">
        <v>4.87</v>
      </c>
      <c r="BR19" s="1">
        <v>774.39</v>
      </c>
      <c r="BS19" s="1">
        <v>17.350000000000001</v>
      </c>
      <c r="BT19" s="1">
        <v>1568.79</v>
      </c>
      <c r="BU19" s="1">
        <v>33.39</v>
      </c>
      <c r="BV19" s="1">
        <v>7250.59</v>
      </c>
      <c r="BW19" s="1">
        <v>74.53</v>
      </c>
      <c r="BX19" s="1">
        <v>770.87</v>
      </c>
      <c r="BY19" s="1">
        <v>36.36</v>
      </c>
      <c r="BZ19" s="1">
        <v>64.430000000000007</v>
      </c>
      <c r="CA19" s="1">
        <v>20.92</v>
      </c>
      <c r="CB19" s="1">
        <v>0</v>
      </c>
      <c r="CC19" s="1">
        <v>6.65</v>
      </c>
      <c r="CD19" s="1">
        <v>0</v>
      </c>
      <c r="CE19" s="1">
        <v>5.32</v>
      </c>
      <c r="CF19" s="1">
        <v>6.45</v>
      </c>
      <c r="CG19" s="1">
        <v>3.25</v>
      </c>
      <c r="CH19" s="1">
        <v>0</v>
      </c>
      <c r="CI19" s="1">
        <v>4.07</v>
      </c>
      <c r="CJ19" s="1">
        <v>3.53</v>
      </c>
      <c r="CK19" s="1">
        <v>1.8</v>
      </c>
      <c r="CL19" s="1">
        <v>538772.88</v>
      </c>
      <c r="CM19" s="1">
        <v>979.19</v>
      </c>
      <c r="CN19" s="1">
        <v>0</v>
      </c>
      <c r="CO19" s="1">
        <v>1.5</v>
      </c>
      <c r="CP19" s="1">
        <v>0</v>
      </c>
      <c r="CQ19" s="1">
        <v>1.5</v>
      </c>
      <c r="CR19" s="1">
        <v>0</v>
      </c>
      <c r="CS19" s="1">
        <v>1.5</v>
      </c>
      <c r="CT19" s="1">
        <v>0</v>
      </c>
      <c r="CU19" s="1">
        <v>1.5</v>
      </c>
      <c r="CV19" s="1">
        <v>0</v>
      </c>
      <c r="CW19" s="1">
        <v>1.5</v>
      </c>
      <c r="CX19" s="1">
        <v>23574.78</v>
      </c>
      <c r="CY19" s="1">
        <v>766.21</v>
      </c>
      <c r="CZ19" s="1">
        <v>1818.54</v>
      </c>
      <c r="DA19" s="1">
        <v>129.19</v>
      </c>
      <c r="DB19" s="1">
        <v>424271</v>
      </c>
      <c r="DC19" s="1">
        <v>1063.82</v>
      </c>
      <c r="DD19" s="1">
        <v>0</v>
      </c>
      <c r="DE19" s="1">
        <v>16.059999999999999</v>
      </c>
      <c r="DF19" s="1">
        <v>0</v>
      </c>
      <c r="DG19" s="1">
        <v>1934.73</v>
      </c>
      <c r="DH19" s="1">
        <v>0</v>
      </c>
      <c r="DI19" s="1">
        <v>4.9400000000000004</v>
      </c>
      <c r="DJ19" s="1">
        <v>0</v>
      </c>
      <c r="DK19" s="1">
        <v>8.39</v>
      </c>
      <c r="DL19" s="1">
        <v>0</v>
      </c>
      <c r="DM19" s="1">
        <v>17.88</v>
      </c>
      <c r="DN19" s="16">
        <v>1</v>
      </c>
      <c r="DP19">
        <v>1</v>
      </c>
      <c r="DQ19">
        <v>1.4290737392003214</v>
      </c>
      <c r="DR19" s="13">
        <v>10</v>
      </c>
      <c r="DS19" s="10">
        <v>10.95</v>
      </c>
      <c r="DT19" s="10">
        <v>2.190000057220459</v>
      </c>
      <c r="DU19" s="10">
        <v>5.0300002098083496</v>
      </c>
      <c r="DV19" s="10">
        <v>1.6</v>
      </c>
      <c r="DW19" t="s">
        <v>332</v>
      </c>
      <c r="DX19" s="10">
        <v>4.0029110908508301</v>
      </c>
      <c r="DY19" s="10">
        <v>1.8195050954818726</v>
      </c>
      <c r="DZ19" s="10">
        <v>2.9112081527709961</v>
      </c>
      <c r="EA19" s="10">
        <v>4.7307133674621582</v>
      </c>
      <c r="EB19" s="10">
        <v>58.195049285888672</v>
      </c>
      <c r="EC19" s="10">
        <v>33.071323394775391</v>
      </c>
      <c r="ED19" s="10">
        <v>91.266372680664063</v>
      </c>
      <c r="EE19" s="10">
        <v>0.1896568089723587</v>
      </c>
      <c r="EF19">
        <v>0</v>
      </c>
    </row>
    <row r="20" spans="1:136" ht="14.4" x14ac:dyDescent="0.3">
      <c r="A20" s="1" t="s">
        <v>163</v>
      </c>
      <c r="B20" s="2">
        <v>19</v>
      </c>
      <c r="C20" s="3">
        <v>44663.402777777781</v>
      </c>
      <c r="D20" s="1">
        <v>360.01</v>
      </c>
      <c r="E20" s="1">
        <v>25</v>
      </c>
      <c r="F20" s="1">
        <v>2.6089999999999999E-5</v>
      </c>
      <c r="G20" s="1">
        <v>2.559E-6</v>
      </c>
      <c r="H20" s="1">
        <v>5.6</v>
      </c>
      <c r="I20" s="1" t="s">
        <v>164</v>
      </c>
      <c r="J20" s="1" t="s">
        <v>110</v>
      </c>
      <c r="K20" s="1">
        <v>16.72</v>
      </c>
      <c r="L20" s="1">
        <v>419</v>
      </c>
      <c r="M20" s="1">
        <v>3</v>
      </c>
      <c r="N20" s="1">
        <v>2.4389999999999999E-5</v>
      </c>
      <c r="O20" s="1">
        <v>1.5600000000000001E-6</v>
      </c>
      <c r="P20" s="1">
        <v>3.66</v>
      </c>
      <c r="Q20" s="1" t="s">
        <v>165</v>
      </c>
      <c r="R20" s="1" t="s">
        <v>110</v>
      </c>
      <c r="S20" s="1">
        <v>1.560406698564593</v>
      </c>
      <c r="T20" s="1">
        <v>1.4587320574162681</v>
      </c>
      <c r="U20" s="1">
        <f t="shared" si="0"/>
        <v>0.10167464114832492</v>
      </c>
      <c r="V20" s="1">
        <f t="shared" si="2"/>
        <v>6.5159064775775883</v>
      </c>
      <c r="W20" s="1">
        <f t="shared" si="1"/>
        <v>0.10167464114832492</v>
      </c>
      <c r="X20" s="1">
        <v>953287.75</v>
      </c>
      <c r="Y20" s="1">
        <v>0</v>
      </c>
      <c r="Z20" s="1">
        <v>0</v>
      </c>
      <c r="AA20" s="1">
        <v>0</v>
      </c>
      <c r="AB20" s="1">
        <v>54563.89</v>
      </c>
      <c r="AC20" s="1">
        <v>0</v>
      </c>
      <c r="AD20" s="1">
        <v>3.57</v>
      </c>
      <c r="AE20" s="1">
        <v>1.1200000000000001</v>
      </c>
      <c r="AF20" s="1">
        <v>127.18</v>
      </c>
      <c r="AG20" s="1">
        <v>1.74</v>
      </c>
      <c r="AH20" s="1">
        <v>21.96</v>
      </c>
      <c r="AI20" s="1">
        <v>0.83</v>
      </c>
      <c r="AJ20" s="1">
        <v>0</v>
      </c>
      <c r="AK20" s="1">
        <v>2.13</v>
      </c>
      <c r="AL20" s="1">
        <v>17.079999999999998</v>
      </c>
      <c r="AM20" s="1">
        <v>0.87</v>
      </c>
      <c r="AN20" s="1">
        <v>0</v>
      </c>
      <c r="AO20" s="1">
        <v>1.37</v>
      </c>
      <c r="AP20" s="1">
        <v>3.68</v>
      </c>
      <c r="AQ20" s="1">
        <v>1.59</v>
      </c>
      <c r="AR20" s="1">
        <v>0</v>
      </c>
      <c r="AS20" s="1">
        <v>2.81</v>
      </c>
      <c r="AT20" s="1">
        <v>0</v>
      </c>
      <c r="AU20" s="1">
        <v>1.48</v>
      </c>
      <c r="AV20" s="1">
        <v>0</v>
      </c>
      <c r="AW20" s="1">
        <v>1.9</v>
      </c>
      <c r="AX20" s="1">
        <v>0</v>
      </c>
      <c r="AY20" s="1">
        <v>3.54</v>
      </c>
      <c r="AZ20" s="1">
        <v>4.3</v>
      </c>
      <c r="BA20" s="1">
        <v>2.48</v>
      </c>
      <c r="BB20" s="1">
        <v>0</v>
      </c>
      <c r="BC20" s="1">
        <v>14.12</v>
      </c>
      <c r="BD20" s="1">
        <v>0</v>
      </c>
      <c r="BE20" s="1">
        <v>6.49</v>
      </c>
      <c r="BF20" s="1">
        <v>0</v>
      </c>
      <c r="BG20" s="1">
        <v>13.55</v>
      </c>
      <c r="BH20" s="1">
        <v>0</v>
      </c>
      <c r="BI20" s="1">
        <v>16.39</v>
      </c>
      <c r="BJ20" s="1">
        <v>1069.3699999999999</v>
      </c>
      <c r="BK20" s="1">
        <v>23.6</v>
      </c>
      <c r="BL20" s="1">
        <v>0</v>
      </c>
      <c r="BM20" s="1">
        <v>25.73</v>
      </c>
      <c r="BN20" s="1">
        <v>0</v>
      </c>
      <c r="BO20" s="1">
        <v>5.22</v>
      </c>
      <c r="BP20" s="1">
        <v>0</v>
      </c>
      <c r="BQ20" s="1">
        <v>10.89</v>
      </c>
      <c r="BR20" s="1">
        <v>604.89</v>
      </c>
      <c r="BS20" s="1">
        <v>15.98</v>
      </c>
      <c r="BT20" s="1">
        <v>827.47</v>
      </c>
      <c r="BU20" s="1">
        <v>28.1</v>
      </c>
      <c r="BV20" s="1">
        <v>6147.39</v>
      </c>
      <c r="BW20" s="1">
        <v>68.37</v>
      </c>
      <c r="BX20" s="1">
        <v>270.13</v>
      </c>
      <c r="BY20" s="1">
        <v>31.85</v>
      </c>
      <c r="BZ20" s="1">
        <v>68.569999999999993</v>
      </c>
      <c r="CA20" s="1">
        <v>21.06</v>
      </c>
      <c r="CB20" s="1">
        <v>0</v>
      </c>
      <c r="CC20" s="1">
        <v>6.68</v>
      </c>
      <c r="CD20" s="1">
        <v>9.77</v>
      </c>
      <c r="CE20" s="1">
        <v>5.9</v>
      </c>
      <c r="CF20" s="1">
        <v>0</v>
      </c>
      <c r="CG20" s="1">
        <v>4.8600000000000003</v>
      </c>
      <c r="CH20" s="1">
        <v>0</v>
      </c>
      <c r="CI20" s="1">
        <v>2.63</v>
      </c>
      <c r="CJ20" s="1">
        <v>0</v>
      </c>
      <c r="CK20" s="1">
        <v>5.78</v>
      </c>
      <c r="CL20" s="1">
        <v>517239.03</v>
      </c>
      <c r="CM20" s="1">
        <v>991.82</v>
      </c>
      <c r="CN20" s="1">
        <v>0</v>
      </c>
      <c r="CO20" s="1">
        <v>1.5</v>
      </c>
      <c r="CP20" s="1">
        <v>0</v>
      </c>
      <c r="CQ20" s="1">
        <v>1.5</v>
      </c>
      <c r="CR20" s="1">
        <v>0</v>
      </c>
      <c r="CS20" s="1">
        <v>1.5</v>
      </c>
      <c r="CT20" s="1">
        <v>0</v>
      </c>
      <c r="CU20" s="1">
        <v>1.5</v>
      </c>
      <c r="CV20" s="1">
        <v>0</v>
      </c>
      <c r="CW20" s="1">
        <v>1.5</v>
      </c>
      <c r="CX20" s="1">
        <v>28869.78</v>
      </c>
      <c r="CY20" s="1">
        <v>779.91</v>
      </c>
      <c r="CZ20" s="1">
        <v>479.26</v>
      </c>
      <c r="DA20" s="1">
        <v>126.93</v>
      </c>
      <c r="DB20" s="1">
        <v>445461.53</v>
      </c>
      <c r="DC20" s="1">
        <v>1064.9100000000001</v>
      </c>
      <c r="DD20" s="1">
        <v>0</v>
      </c>
      <c r="DE20" s="1">
        <v>15.12</v>
      </c>
      <c r="DF20" s="1">
        <v>0</v>
      </c>
      <c r="DG20" s="1">
        <v>1134.49</v>
      </c>
      <c r="DH20" s="1">
        <v>0</v>
      </c>
      <c r="DI20" s="1">
        <v>4.12</v>
      </c>
      <c r="DJ20" s="1">
        <v>0</v>
      </c>
      <c r="DK20" s="1">
        <v>8.44</v>
      </c>
      <c r="DL20" s="1">
        <v>0</v>
      </c>
      <c r="DM20" s="1">
        <v>18</v>
      </c>
      <c r="DN20" s="16">
        <v>12</v>
      </c>
      <c r="DP20">
        <v>1</v>
      </c>
      <c r="DQ20">
        <v>1.6753559254060557</v>
      </c>
      <c r="DR20" s="13">
        <v>25</v>
      </c>
      <c r="DS20" s="10">
        <v>2.76</v>
      </c>
      <c r="DT20" s="10">
        <v>0.55199998617172241</v>
      </c>
      <c r="DU20" s="10">
        <v>5.929999828338623</v>
      </c>
      <c r="DV20" s="10">
        <v>1.6</v>
      </c>
      <c r="DW20" t="s">
        <v>336</v>
      </c>
      <c r="DX20" s="10">
        <v>3.5744924545288086</v>
      </c>
      <c r="DY20" s="10">
        <v>0.71489846706390381</v>
      </c>
      <c r="DZ20" s="10">
        <v>1.7872462272644043</v>
      </c>
      <c r="EA20" s="10">
        <v>2.5021448135375977</v>
      </c>
      <c r="EB20" s="10">
        <v>56.834430694580078</v>
      </c>
      <c r="EC20" s="10">
        <v>37.088932037353516</v>
      </c>
      <c r="ED20" s="10">
        <v>93.923362731933594</v>
      </c>
      <c r="EE20" s="10">
        <v>0.26530149579048157</v>
      </c>
      <c r="EF20">
        <v>0</v>
      </c>
    </row>
    <row r="21" spans="1:136" ht="15.75" customHeight="1" x14ac:dyDescent="0.3">
      <c r="A21" s="1" t="s">
        <v>166</v>
      </c>
      <c r="B21" s="2">
        <v>22</v>
      </c>
      <c r="C21" s="3">
        <v>44663.418749999997</v>
      </c>
      <c r="D21" s="1">
        <v>360.17</v>
      </c>
      <c r="E21" s="1">
        <v>25</v>
      </c>
      <c r="F21" s="1">
        <v>1.464E-5</v>
      </c>
      <c r="G21" s="1">
        <v>-1.3300000000000001E-7</v>
      </c>
      <c r="H21" s="1">
        <v>-0.52</v>
      </c>
      <c r="I21" s="1" t="s">
        <v>167</v>
      </c>
      <c r="J21" s="1" t="s">
        <v>168</v>
      </c>
      <c r="K21" s="1">
        <v>17.96</v>
      </c>
      <c r="L21" s="1">
        <v>106</v>
      </c>
      <c r="M21" s="1">
        <v>3</v>
      </c>
      <c r="N21" s="1">
        <v>1.3720000000000001E-5</v>
      </c>
      <c r="O21" s="1">
        <v>6.5320000000000005E-7</v>
      </c>
      <c r="P21" s="1">
        <v>2.72</v>
      </c>
      <c r="Q21" s="1" t="s">
        <v>169</v>
      </c>
      <c r="R21" s="1" t="s">
        <v>168</v>
      </c>
      <c r="S21" s="1">
        <v>0.81514476614699327</v>
      </c>
      <c r="T21" s="1">
        <v>0.7639198218262806</v>
      </c>
      <c r="U21" s="1">
        <f t="shared" si="0"/>
        <v>5.1224944320712673E-2</v>
      </c>
      <c r="V21" s="1">
        <f t="shared" si="2"/>
        <v>6.2841530054644785</v>
      </c>
      <c r="W21" s="1">
        <f t="shared" si="1"/>
        <v>5.1224944320712673E-2</v>
      </c>
      <c r="X21" s="1">
        <v>983287.44</v>
      </c>
      <c r="Y21" s="1">
        <v>0</v>
      </c>
      <c r="Z21" s="1">
        <v>0</v>
      </c>
      <c r="AA21" s="1">
        <v>0</v>
      </c>
      <c r="AB21" s="1">
        <v>65101.43</v>
      </c>
      <c r="AC21" s="1">
        <v>0</v>
      </c>
      <c r="AD21" s="1">
        <v>0</v>
      </c>
      <c r="AE21" s="1">
        <v>1.59</v>
      </c>
      <c r="AF21" s="1">
        <v>67.52</v>
      </c>
      <c r="AG21" s="1">
        <v>1.37</v>
      </c>
      <c r="AH21" s="1">
        <v>19.89</v>
      </c>
      <c r="AI21" s="1">
        <v>0.8</v>
      </c>
      <c r="AJ21" s="1">
        <v>0</v>
      </c>
      <c r="AK21" s="1">
        <v>2.11</v>
      </c>
      <c r="AL21" s="1">
        <v>17.23</v>
      </c>
      <c r="AM21" s="1">
        <v>0.86</v>
      </c>
      <c r="AN21" s="1">
        <v>0</v>
      </c>
      <c r="AO21" s="1">
        <v>1.35</v>
      </c>
      <c r="AP21" s="1">
        <v>2.33</v>
      </c>
      <c r="AQ21" s="1">
        <v>1.53</v>
      </c>
      <c r="AR21" s="1">
        <v>0</v>
      </c>
      <c r="AS21" s="1">
        <v>2.76</v>
      </c>
      <c r="AT21" s="1">
        <v>0</v>
      </c>
      <c r="AU21" s="1">
        <v>1.47</v>
      </c>
      <c r="AV21" s="1">
        <v>0</v>
      </c>
      <c r="AW21" s="1">
        <v>1.85</v>
      </c>
      <c r="AX21" s="1">
        <v>0</v>
      </c>
      <c r="AY21" s="1">
        <v>3.56</v>
      </c>
      <c r="AZ21" s="1">
        <v>5.84</v>
      </c>
      <c r="BA21" s="1">
        <v>2.52</v>
      </c>
      <c r="BB21" s="1">
        <v>0</v>
      </c>
      <c r="BC21" s="1">
        <v>14.2</v>
      </c>
      <c r="BD21" s="1">
        <v>0</v>
      </c>
      <c r="BE21" s="1">
        <v>6.43</v>
      </c>
      <c r="BF21" s="1">
        <v>0</v>
      </c>
      <c r="BG21" s="1">
        <v>13.41</v>
      </c>
      <c r="BH21" s="1">
        <v>0</v>
      </c>
      <c r="BI21" s="1">
        <v>16.36</v>
      </c>
      <c r="BJ21" s="1">
        <v>1029.3900000000001</v>
      </c>
      <c r="BK21" s="1">
        <v>23.16</v>
      </c>
      <c r="BL21" s="1">
        <v>0</v>
      </c>
      <c r="BM21" s="1">
        <v>25.24</v>
      </c>
      <c r="BN21" s="1">
        <v>0</v>
      </c>
      <c r="BO21" s="1">
        <v>5.21</v>
      </c>
      <c r="BP21" s="1">
        <v>12.27</v>
      </c>
      <c r="BQ21" s="1">
        <v>7.32</v>
      </c>
      <c r="BR21" s="1">
        <v>524.6</v>
      </c>
      <c r="BS21" s="1">
        <v>15.78</v>
      </c>
      <c r="BT21" s="1">
        <v>536.03</v>
      </c>
      <c r="BU21" s="1">
        <v>26.56</v>
      </c>
      <c r="BV21" s="1">
        <v>6578.97</v>
      </c>
      <c r="BW21" s="1">
        <v>70.83</v>
      </c>
      <c r="BX21" s="1">
        <v>207.28</v>
      </c>
      <c r="BY21" s="1">
        <v>31.66</v>
      </c>
      <c r="BZ21" s="1">
        <v>55.23</v>
      </c>
      <c r="CA21" s="1">
        <v>20.66</v>
      </c>
      <c r="CB21" s="1">
        <v>0</v>
      </c>
      <c r="CC21" s="1">
        <v>6.59</v>
      </c>
      <c r="CD21" s="1">
        <v>0</v>
      </c>
      <c r="CE21" s="1">
        <v>5.27</v>
      </c>
      <c r="CF21" s="1">
        <v>0</v>
      </c>
      <c r="CG21" s="1">
        <v>6.11</v>
      </c>
      <c r="CH21" s="1">
        <v>3.52</v>
      </c>
      <c r="CI21" s="1">
        <v>1.75</v>
      </c>
      <c r="CJ21" s="1">
        <v>0</v>
      </c>
      <c r="CK21" s="1">
        <v>2.63</v>
      </c>
      <c r="CL21" s="1">
        <v>497905.28</v>
      </c>
      <c r="CM21" s="1">
        <v>1009.58</v>
      </c>
      <c r="CN21" s="1">
        <v>0</v>
      </c>
      <c r="CO21" s="1">
        <v>1.5</v>
      </c>
      <c r="CP21" s="1">
        <v>0</v>
      </c>
      <c r="CQ21" s="1">
        <v>1.5</v>
      </c>
      <c r="CR21" s="1">
        <v>0</v>
      </c>
      <c r="CS21" s="1">
        <v>1.5</v>
      </c>
      <c r="CT21" s="1">
        <v>0</v>
      </c>
      <c r="CU21" s="1">
        <v>1.5</v>
      </c>
      <c r="CV21" s="1">
        <v>0</v>
      </c>
      <c r="CW21" s="1">
        <v>1.5</v>
      </c>
      <c r="CX21" s="1">
        <v>34445.199999999997</v>
      </c>
      <c r="CY21" s="1">
        <v>826.25</v>
      </c>
      <c r="CZ21" s="1">
        <v>567.03</v>
      </c>
      <c r="DA21" s="1">
        <v>130.62</v>
      </c>
      <c r="DB21" s="1">
        <v>459480.09</v>
      </c>
      <c r="DC21" s="1">
        <v>1062.28</v>
      </c>
      <c r="DD21" s="1">
        <v>0</v>
      </c>
      <c r="DE21" s="1">
        <v>15.15</v>
      </c>
      <c r="DF21" s="1">
        <v>0</v>
      </c>
      <c r="DG21" s="1">
        <v>1146.06</v>
      </c>
      <c r="DH21" s="1">
        <v>0</v>
      </c>
      <c r="DI21" s="1">
        <v>3.86</v>
      </c>
      <c r="DJ21" s="1">
        <v>0</v>
      </c>
      <c r="DK21" s="1">
        <v>8.3000000000000007</v>
      </c>
      <c r="DL21" s="1">
        <v>0</v>
      </c>
      <c r="DM21" s="1">
        <v>17.739999999999998</v>
      </c>
      <c r="DN21" s="16">
        <v>5</v>
      </c>
      <c r="DP21">
        <v>1</v>
      </c>
      <c r="DQ21" s="11">
        <v>1.5796835119959161</v>
      </c>
      <c r="DR21" s="14">
        <v>25</v>
      </c>
      <c r="DS21" s="12">
        <v>1.22</v>
      </c>
      <c r="DT21" s="12">
        <v>0.24400000274181399</v>
      </c>
      <c r="DU21" s="12">
        <v>5.8899998664855904</v>
      </c>
      <c r="DV21" s="10">
        <v>1.6</v>
      </c>
      <c r="DW21" s="11" t="s">
        <v>335</v>
      </c>
      <c r="DX21" s="12">
        <v>3.2378759384155273</v>
      </c>
      <c r="DY21" s="12">
        <v>-0.35976400971412659</v>
      </c>
      <c r="DZ21" s="12">
        <v>2.5183479785919189</v>
      </c>
      <c r="EA21" s="12">
        <v>2.1585838794708252</v>
      </c>
      <c r="EB21" s="12">
        <v>59.519355773925781</v>
      </c>
      <c r="EC21" s="12">
        <v>35.084186553955078</v>
      </c>
      <c r="ED21" s="12">
        <v>94.603546142578125</v>
      </c>
      <c r="EE21" s="12">
        <v>0.237609088420868</v>
      </c>
      <c r="EF21">
        <v>0</v>
      </c>
    </row>
    <row r="22" spans="1:136" ht="14.4" x14ac:dyDescent="0.3">
      <c r="A22" s="1" t="s">
        <v>170</v>
      </c>
      <c r="B22" s="2">
        <v>18</v>
      </c>
      <c r="C22" s="3">
        <v>44663.413888888892</v>
      </c>
      <c r="D22" s="1">
        <v>362.02</v>
      </c>
      <c r="E22" s="1">
        <v>45</v>
      </c>
      <c r="F22" s="1">
        <v>1.466E-5</v>
      </c>
      <c r="G22" s="1">
        <v>-1.043E-7</v>
      </c>
      <c r="H22" s="1">
        <v>-0.41</v>
      </c>
      <c r="I22" s="1" t="s">
        <v>171</v>
      </c>
      <c r="J22" s="1" t="s">
        <v>168</v>
      </c>
      <c r="K22" s="1">
        <v>17.96</v>
      </c>
      <c r="L22" s="1">
        <v>105</v>
      </c>
      <c r="M22" s="1">
        <v>3</v>
      </c>
      <c r="N22" s="1">
        <v>1.323E-5</v>
      </c>
      <c r="O22" s="1">
        <v>1.051E-6</v>
      </c>
      <c r="P22" s="1">
        <v>4.54</v>
      </c>
      <c r="Q22" s="1" t="s">
        <v>172</v>
      </c>
      <c r="R22" s="1" t="s">
        <v>168</v>
      </c>
      <c r="S22" s="1">
        <v>0.8162583518930957</v>
      </c>
      <c r="T22" s="1">
        <v>0.73663697104677062</v>
      </c>
      <c r="U22" s="1">
        <f t="shared" si="0"/>
        <v>7.9621380846325085E-2</v>
      </c>
      <c r="V22" s="1">
        <f t="shared" si="2"/>
        <v>9.7544338335607002</v>
      </c>
      <c r="W22" s="1">
        <f t="shared" si="1"/>
        <v>7.9621380846325085E-2</v>
      </c>
      <c r="X22" s="1">
        <v>982969.44</v>
      </c>
      <c r="Y22" s="1">
        <v>0</v>
      </c>
      <c r="Z22" s="1">
        <v>1800.18</v>
      </c>
      <c r="AA22" s="1">
        <v>0</v>
      </c>
      <c r="AB22" s="1">
        <v>52016.99</v>
      </c>
      <c r="AC22" s="1">
        <v>0</v>
      </c>
      <c r="AD22" s="1">
        <v>4.6500000000000004</v>
      </c>
      <c r="AE22" s="1">
        <v>1.1499999999999999</v>
      </c>
      <c r="AF22" s="1">
        <v>141.13</v>
      </c>
      <c r="AG22" s="1">
        <v>1.84</v>
      </c>
      <c r="AH22" s="1">
        <v>17.61</v>
      </c>
      <c r="AI22" s="1">
        <v>0.79</v>
      </c>
      <c r="AJ22" s="1">
        <v>0</v>
      </c>
      <c r="AK22" s="1">
        <v>2.14</v>
      </c>
      <c r="AL22" s="1">
        <v>16.309999999999999</v>
      </c>
      <c r="AM22" s="1">
        <v>0.87</v>
      </c>
      <c r="AN22" s="1">
        <v>1.48</v>
      </c>
      <c r="AO22" s="1">
        <v>0.94</v>
      </c>
      <c r="AP22" s="1">
        <v>3.69</v>
      </c>
      <c r="AQ22" s="1">
        <v>1.61</v>
      </c>
      <c r="AR22" s="1">
        <v>0</v>
      </c>
      <c r="AS22" s="1">
        <v>2.8</v>
      </c>
      <c r="AT22" s="1">
        <v>0</v>
      </c>
      <c r="AU22" s="1">
        <v>1.47</v>
      </c>
      <c r="AV22" s="1">
        <v>0</v>
      </c>
      <c r="AW22" s="1">
        <v>1.91</v>
      </c>
      <c r="AX22" s="1">
        <v>0</v>
      </c>
      <c r="AY22" s="1">
        <v>3.54</v>
      </c>
      <c r="AZ22" s="1">
        <v>0</v>
      </c>
      <c r="BA22" s="1">
        <v>3.68</v>
      </c>
      <c r="BB22" s="1">
        <v>0</v>
      </c>
      <c r="BC22" s="1">
        <v>14.2</v>
      </c>
      <c r="BD22" s="1">
        <v>0</v>
      </c>
      <c r="BE22" s="1">
        <v>6.56</v>
      </c>
      <c r="BF22" s="1">
        <v>0</v>
      </c>
      <c r="BG22" s="1">
        <v>13.87</v>
      </c>
      <c r="BH22" s="1">
        <v>0</v>
      </c>
      <c r="BI22" s="1">
        <v>17.05</v>
      </c>
      <c r="BJ22" s="1">
        <v>1110.8800000000001</v>
      </c>
      <c r="BK22" s="1">
        <v>24.33</v>
      </c>
      <c r="BL22" s="1">
        <v>32.36</v>
      </c>
      <c r="BM22" s="1">
        <v>17.91</v>
      </c>
      <c r="BN22" s="1">
        <v>22.91</v>
      </c>
      <c r="BO22" s="1">
        <v>3.7</v>
      </c>
      <c r="BP22" s="1">
        <v>0</v>
      </c>
      <c r="BQ22" s="1">
        <v>6.54</v>
      </c>
      <c r="BR22" s="1">
        <v>640.66</v>
      </c>
      <c r="BS22" s="1">
        <v>15.8</v>
      </c>
      <c r="BT22" s="1">
        <v>581.21</v>
      </c>
      <c r="BU22" s="1">
        <v>26.27</v>
      </c>
      <c r="BV22" s="1">
        <v>5815.01</v>
      </c>
      <c r="BW22" s="1">
        <v>66.81</v>
      </c>
      <c r="BX22" s="1">
        <v>215.51</v>
      </c>
      <c r="BY22" s="1">
        <v>32.32</v>
      </c>
      <c r="BZ22" s="1">
        <v>84.7</v>
      </c>
      <c r="CA22" s="1">
        <v>17.579999999999998</v>
      </c>
      <c r="CB22" s="1">
        <v>0</v>
      </c>
      <c r="CC22" s="1">
        <v>6.81</v>
      </c>
      <c r="CD22" s="1">
        <v>0</v>
      </c>
      <c r="CE22" s="1">
        <v>8.92</v>
      </c>
      <c r="CF22" s="1">
        <v>6.37</v>
      </c>
      <c r="CG22" s="1">
        <v>4.22</v>
      </c>
      <c r="CH22" s="1">
        <v>0</v>
      </c>
      <c r="CI22" s="1">
        <v>4.12</v>
      </c>
      <c r="CJ22" s="1">
        <v>0</v>
      </c>
      <c r="CK22" s="1">
        <v>5.95</v>
      </c>
      <c r="CL22" s="1">
        <v>504364.25</v>
      </c>
      <c r="CM22" s="1">
        <v>1007.91</v>
      </c>
      <c r="CN22" s="1">
        <v>0</v>
      </c>
      <c r="CO22" s="1">
        <v>1.5</v>
      </c>
      <c r="CP22" s="1">
        <v>0</v>
      </c>
      <c r="CQ22" s="1">
        <v>1.5</v>
      </c>
      <c r="CR22" s="1">
        <v>0</v>
      </c>
      <c r="CS22" s="1">
        <v>1.5</v>
      </c>
      <c r="CT22" s="1">
        <v>0</v>
      </c>
      <c r="CU22" s="1">
        <v>1.5</v>
      </c>
      <c r="CV22" s="1">
        <v>0</v>
      </c>
      <c r="CW22" s="1">
        <v>1.5</v>
      </c>
      <c r="CX22" s="1">
        <v>27522.22</v>
      </c>
      <c r="CY22" s="1">
        <v>789.12</v>
      </c>
      <c r="CZ22" s="1">
        <v>218.39</v>
      </c>
      <c r="DA22" s="1">
        <v>130.46</v>
      </c>
      <c r="DB22" s="1">
        <v>459331.5</v>
      </c>
      <c r="DC22" s="1">
        <v>1077.49</v>
      </c>
      <c r="DD22" s="1">
        <v>0</v>
      </c>
      <c r="DE22" s="1">
        <v>15.9</v>
      </c>
      <c r="DF22" s="1">
        <v>0</v>
      </c>
      <c r="DG22" s="1">
        <v>1197.5999999999999</v>
      </c>
      <c r="DH22" s="1">
        <v>0</v>
      </c>
      <c r="DI22" s="1">
        <v>3.83</v>
      </c>
      <c r="DJ22" s="1">
        <v>0</v>
      </c>
      <c r="DK22" s="1">
        <v>8.56</v>
      </c>
      <c r="DL22" s="1">
        <v>0</v>
      </c>
      <c r="DM22" s="1">
        <v>18.34</v>
      </c>
      <c r="DN22" s="16">
        <v>11</v>
      </c>
      <c r="DP22">
        <v>1</v>
      </c>
      <c r="DQ22" s="11">
        <v>1.5563042368555384</v>
      </c>
      <c r="DR22" s="14">
        <v>45</v>
      </c>
      <c r="DS22" s="12">
        <v>1.67</v>
      </c>
      <c r="DT22" s="12">
        <v>0.33399999141693099</v>
      </c>
      <c r="DU22" s="12">
        <v>6.1599998474121094</v>
      </c>
      <c r="DV22" s="10">
        <v>1.6</v>
      </c>
      <c r="DW22" s="11" t="s">
        <v>333</v>
      </c>
      <c r="DX22" s="12">
        <v>3.5924701690673828</v>
      </c>
      <c r="DY22" s="12">
        <v>1.0777410268783569</v>
      </c>
      <c r="DZ22" s="12">
        <v>1.4369881153106689</v>
      </c>
      <c r="EA22" s="12">
        <v>2.5147290229797363</v>
      </c>
      <c r="EB22" s="12">
        <v>61.201320648193359</v>
      </c>
      <c r="EC22" s="12">
        <v>32.691478729248047</v>
      </c>
      <c r="ED22" s="12">
        <v>93.892799377441406</v>
      </c>
      <c r="EE22" s="12">
        <v>0.38865694403648376</v>
      </c>
      <c r="EF22">
        <v>0</v>
      </c>
    </row>
    <row r="23" spans="1:136" ht="15.75" customHeight="1" x14ac:dyDescent="0.3">
      <c r="A23" s="1" t="s">
        <v>173</v>
      </c>
      <c r="B23" s="2">
        <v>20</v>
      </c>
      <c r="C23" s="3">
        <v>44663.424305555563</v>
      </c>
      <c r="D23" s="1">
        <v>361.23</v>
      </c>
      <c r="E23" s="1">
        <v>60</v>
      </c>
      <c r="F23" s="1">
        <v>1.205E-5</v>
      </c>
      <c r="G23" s="1">
        <v>-6.8550000000000004E-7</v>
      </c>
      <c r="H23" s="1">
        <v>-3.25</v>
      </c>
      <c r="I23" s="1" t="s">
        <v>174</v>
      </c>
      <c r="J23" s="1" t="s">
        <v>110</v>
      </c>
      <c r="K23" s="1">
        <v>16.29</v>
      </c>
      <c r="L23" s="1">
        <v>409</v>
      </c>
      <c r="M23" s="1">
        <v>3</v>
      </c>
      <c r="N23" s="1">
        <v>1.1440000000000001E-5</v>
      </c>
      <c r="O23" s="1">
        <v>8.0139999999999996E-7</v>
      </c>
      <c r="P23" s="1">
        <v>4.01</v>
      </c>
      <c r="Q23" s="1" t="s">
        <v>175</v>
      </c>
      <c r="R23" s="1" t="s">
        <v>110</v>
      </c>
      <c r="S23" s="1">
        <v>0.73971761817065695</v>
      </c>
      <c r="T23" s="1">
        <v>0.70227133210558634</v>
      </c>
      <c r="U23" s="1">
        <f t="shared" si="0"/>
        <v>3.7446286065070611E-2</v>
      </c>
      <c r="V23" s="1">
        <f t="shared" si="2"/>
        <v>5.0622406639004165</v>
      </c>
      <c r="W23" s="1">
        <f t="shared" si="1"/>
        <v>3.7446286065070611E-2</v>
      </c>
      <c r="X23" s="1">
        <v>910183.63</v>
      </c>
      <c r="Y23" s="1">
        <v>0</v>
      </c>
      <c r="Z23" s="1">
        <v>1835.2</v>
      </c>
      <c r="AA23" s="1">
        <v>0</v>
      </c>
      <c r="AB23" s="1">
        <v>86300.77</v>
      </c>
      <c r="AC23" s="1">
        <v>0</v>
      </c>
      <c r="AD23" s="1">
        <v>3.26</v>
      </c>
      <c r="AE23" s="1">
        <v>1.32</v>
      </c>
      <c r="AF23" s="1">
        <v>392.48</v>
      </c>
      <c r="AG23" s="1">
        <v>2.99</v>
      </c>
      <c r="AH23" s="1">
        <v>34.5</v>
      </c>
      <c r="AI23" s="1">
        <v>1.04</v>
      </c>
      <c r="AJ23" s="1">
        <v>0</v>
      </c>
      <c r="AK23" s="1">
        <v>2.46</v>
      </c>
      <c r="AL23" s="1">
        <v>25.06</v>
      </c>
      <c r="AM23" s="1">
        <v>1.05</v>
      </c>
      <c r="AN23" s="1">
        <v>2.1</v>
      </c>
      <c r="AO23" s="1">
        <v>1.03</v>
      </c>
      <c r="AP23" s="1">
        <v>5.68</v>
      </c>
      <c r="AQ23" s="1">
        <v>1.78</v>
      </c>
      <c r="AR23" s="1">
        <v>0</v>
      </c>
      <c r="AS23" s="1">
        <v>2.95</v>
      </c>
      <c r="AT23" s="1">
        <v>0</v>
      </c>
      <c r="AU23" s="1">
        <v>1.59</v>
      </c>
      <c r="AV23" s="1">
        <v>0</v>
      </c>
      <c r="AW23" s="1">
        <v>2.12</v>
      </c>
      <c r="AX23" s="1">
        <v>0</v>
      </c>
      <c r="AY23" s="1">
        <v>3.85</v>
      </c>
      <c r="AZ23" s="1">
        <v>10.52</v>
      </c>
      <c r="BA23" s="1">
        <v>2.82</v>
      </c>
      <c r="BB23" s="1">
        <v>0</v>
      </c>
      <c r="BC23" s="1">
        <v>15.39</v>
      </c>
      <c r="BD23" s="1">
        <v>0</v>
      </c>
      <c r="BE23" s="1">
        <v>6.93</v>
      </c>
      <c r="BF23" s="1">
        <v>0</v>
      </c>
      <c r="BG23" s="1">
        <v>14.66</v>
      </c>
      <c r="BH23" s="1">
        <v>0</v>
      </c>
      <c r="BI23" s="1">
        <v>23.02</v>
      </c>
      <c r="BJ23" s="1">
        <v>2476.4699999999998</v>
      </c>
      <c r="BK23" s="1">
        <v>35.520000000000003</v>
      </c>
      <c r="BL23" s="1">
        <v>67.010000000000005</v>
      </c>
      <c r="BM23" s="1">
        <v>19.5</v>
      </c>
      <c r="BN23" s="1">
        <v>33.96</v>
      </c>
      <c r="BO23" s="1">
        <v>7.36</v>
      </c>
      <c r="BP23" s="1">
        <v>14.44</v>
      </c>
      <c r="BQ23" s="1">
        <v>5.95</v>
      </c>
      <c r="BR23" s="1">
        <v>1770.15</v>
      </c>
      <c r="BS23" s="1">
        <v>23.95</v>
      </c>
      <c r="BT23" s="1">
        <v>1625.23</v>
      </c>
      <c r="BU23" s="1">
        <v>36.020000000000003</v>
      </c>
      <c r="BV23" s="1">
        <v>9663.2900000000009</v>
      </c>
      <c r="BW23" s="1">
        <v>88.03</v>
      </c>
      <c r="BX23" s="1">
        <v>319.60000000000002</v>
      </c>
      <c r="BY23" s="1">
        <v>33.28</v>
      </c>
      <c r="BZ23" s="1">
        <v>96.76</v>
      </c>
      <c r="CA23" s="1">
        <v>17.809999999999999</v>
      </c>
      <c r="CB23" s="1">
        <v>0</v>
      </c>
      <c r="CC23" s="1">
        <v>6.82</v>
      </c>
      <c r="CD23" s="1">
        <v>9.5500000000000007</v>
      </c>
      <c r="CE23" s="1">
        <v>6.07</v>
      </c>
      <c r="CF23" s="1">
        <v>0</v>
      </c>
      <c r="CG23" s="1">
        <v>6.32</v>
      </c>
      <c r="CH23" s="1">
        <v>0</v>
      </c>
      <c r="CI23" s="1">
        <v>4.1100000000000003</v>
      </c>
      <c r="CJ23" s="1">
        <v>0</v>
      </c>
      <c r="CK23" s="1">
        <v>5.88</v>
      </c>
      <c r="CL23" s="1">
        <v>512153.09</v>
      </c>
      <c r="CM23" s="1">
        <v>1085.44</v>
      </c>
      <c r="CN23" s="1">
        <v>2.23</v>
      </c>
      <c r="CO23" s="1">
        <v>1</v>
      </c>
      <c r="CP23" s="1">
        <v>0</v>
      </c>
      <c r="CQ23" s="1">
        <v>1.5</v>
      </c>
      <c r="CR23" s="1">
        <v>0</v>
      </c>
      <c r="CS23" s="1">
        <v>1.5</v>
      </c>
      <c r="CT23" s="1">
        <v>0</v>
      </c>
      <c r="CU23" s="1">
        <v>1.5</v>
      </c>
      <c r="CV23" s="1">
        <v>0</v>
      </c>
      <c r="CW23" s="1">
        <v>1.5</v>
      </c>
      <c r="CX23" s="1">
        <v>45661.79</v>
      </c>
      <c r="CY23" s="1">
        <v>919.36</v>
      </c>
      <c r="CZ23" s="1">
        <v>741.48</v>
      </c>
      <c r="DA23" s="1">
        <v>126.85</v>
      </c>
      <c r="DB23" s="1">
        <v>425319.44</v>
      </c>
      <c r="DC23" s="1">
        <v>1081.57</v>
      </c>
      <c r="DD23" s="1">
        <v>0</v>
      </c>
      <c r="DE23" s="1">
        <v>15.73</v>
      </c>
      <c r="DF23" s="1">
        <v>0</v>
      </c>
      <c r="DG23" s="1">
        <v>1208.25</v>
      </c>
      <c r="DH23" s="1">
        <v>0</v>
      </c>
      <c r="DI23" s="1">
        <v>5.3</v>
      </c>
      <c r="DJ23" s="1">
        <v>0</v>
      </c>
      <c r="DK23" s="1">
        <v>8.65</v>
      </c>
      <c r="DL23" s="1">
        <v>0</v>
      </c>
      <c r="DM23" s="1">
        <v>18.440000000000001</v>
      </c>
      <c r="DN23" s="16">
        <v>18</v>
      </c>
      <c r="DP23">
        <v>1</v>
      </c>
      <c r="DQ23">
        <v>1.7469420493282537</v>
      </c>
      <c r="DR23" s="13">
        <v>60</v>
      </c>
      <c r="DS23" s="10">
        <v>1.64</v>
      </c>
      <c r="DT23" s="10">
        <v>0.32800000905990601</v>
      </c>
      <c r="DU23" s="10">
        <v>6.25</v>
      </c>
      <c r="DV23" s="10">
        <v>1.6</v>
      </c>
      <c r="DW23" t="s">
        <v>334</v>
      </c>
      <c r="DX23" s="10">
        <v>3.962536096572876</v>
      </c>
      <c r="DY23" s="10">
        <v>1.0806916952133179</v>
      </c>
      <c r="DZ23" s="10">
        <v>3.2420749664306641</v>
      </c>
      <c r="EA23" s="10">
        <v>4.3227667808532715</v>
      </c>
      <c r="EB23" s="10">
        <v>62.694522857666016</v>
      </c>
      <c r="EC23" s="10">
        <v>29.020172119140625</v>
      </c>
      <c r="ED23" s="10">
        <v>91.714691162109375</v>
      </c>
      <c r="EE23" s="10">
        <v>0.55955445766448975</v>
      </c>
      <c r="EF23">
        <v>0</v>
      </c>
    </row>
    <row r="24" spans="1:136" ht="15.75" customHeight="1" x14ac:dyDescent="0.3">
      <c r="A24" s="1" t="s">
        <v>176</v>
      </c>
      <c r="B24" s="2">
        <v>23</v>
      </c>
      <c r="C24" s="3">
        <v>44663.408333333333</v>
      </c>
      <c r="D24" s="1">
        <v>360.65</v>
      </c>
      <c r="E24" s="1">
        <v>60</v>
      </c>
      <c r="F24" s="1">
        <v>1.6370000000000001E-5</v>
      </c>
      <c r="G24" s="1">
        <v>6.4180000000000004E-7</v>
      </c>
      <c r="H24" s="1">
        <v>2.2400000000000002</v>
      </c>
      <c r="I24" s="1" t="s">
        <v>177</v>
      </c>
      <c r="J24" s="1" t="s">
        <v>110</v>
      </c>
      <c r="K24" s="1">
        <v>17.29</v>
      </c>
      <c r="L24" s="1">
        <v>402</v>
      </c>
      <c r="M24" s="1">
        <v>3</v>
      </c>
      <c r="N24" s="1">
        <v>1.573E-5</v>
      </c>
      <c r="O24" s="1">
        <v>9.4620000000000004E-7</v>
      </c>
      <c r="P24" s="1">
        <v>3.44</v>
      </c>
      <c r="Q24" s="1" t="s">
        <v>178</v>
      </c>
      <c r="R24" s="1" t="s">
        <v>110</v>
      </c>
      <c r="S24" s="1">
        <v>0.9467900520532101</v>
      </c>
      <c r="T24" s="1">
        <v>0.90977443609022568</v>
      </c>
      <c r="U24" s="1">
        <f t="shared" si="0"/>
        <v>3.7015615962984416E-2</v>
      </c>
      <c r="V24" s="1">
        <f t="shared" si="2"/>
        <v>3.9095907147220554</v>
      </c>
      <c r="W24" s="1">
        <f t="shared" si="1"/>
        <v>3.7015615962984416E-2</v>
      </c>
      <c r="X24" s="1">
        <v>1009483.56</v>
      </c>
      <c r="Y24" s="1">
        <v>0</v>
      </c>
      <c r="Z24" s="1">
        <v>3607.48</v>
      </c>
      <c r="AA24" s="1">
        <v>0</v>
      </c>
      <c r="AB24" s="1">
        <v>59857.34</v>
      </c>
      <c r="AC24" s="1">
        <v>0</v>
      </c>
      <c r="AD24" s="1">
        <v>9.9700000000000006</v>
      </c>
      <c r="AE24" s="1">
        <v>1.42</v>
      </c>
      <c r="AF24" s="1">
        <v>522.41</v>
      </c>
      <c r="AG24" s="1">
        <v>3.38</v>
      </c>
      <c r="AH24" s="1">
        <v>34.83</v>
      </c>
      <c r="AI24" s="1">
        <v>1.03</v>
      </c>
      <c r="AJ24" s="1">
        <v>0</v>
      </c>
      <c r="AK24" s="1">
        <v>2.4900000000000002</v>
      </c>
      <c r="AL24" s="1">
        <v>24.6</v>
      </c>
      <c r="AM24" s="1">
        <v>1.05</v>
      </c>
      <c r="AN24" s="1">
        <v>1.84</v>
      </c>
      <c r="AO24" s="1">
        <v>1.02</v>
      </c>
      <c r="AP24" s="1">
        <v>6.19</v>
      </c>
      <c r="AQ24" s="1">
        <v>1.79</v>
      </c>
      <c r="AR24" s="1">
        <v>0</v>
      </c>
      <c r="AS24" s="1">
        <v>2.97</v>
      </c>
      <c r="AT24" s="1">
        <v>0</v>
      </c>
      <c r="AU24" s="1">
        <v>1.57</v>
      </c>
      <c r="AV24" s="1">
        <v>0</v>
      </c>
      <c r="AW24" s="1">
        <v>2.11</v>
      </c>
      <c r="AX24" s="1">
        <v>0</v>
      </c>
      <c r="AY24" s="1">
        <v>3.78</v>
      </c>
      <c r="AZ24" s="1">
        <v>4.5</v>
      </c>
      <c r="BA24" s="1">
        <v>2.64</v>
      </c>
      <c r="BB24" s="1">
        <v>0</v>
      </c>
      <c r="BC24" s="1">
        <v>15.23</v>
      </c>
      <c r="BD24" s="1">
        <v>0</v>
      </c>
      <c r="BE24" s="1">
        <v>6.96</v>
      </c>
      <c r="BF24" s="1">
        <v>0</v>
      </c>
      <c r="BG24" s="1">
        <v>14.61</v>
      </c>
      <c r="BH24" s="1">
        <v>0</v>
      </c>
      <c r="BI24" s="1">
        <v>18.39</v>
      </c>
      <c r="BJ24" s="1">
        <v>1269.0899999999999</v>
      </c>
      <c r="BK24" s="1">
        <v>26.42</v>
      </c>
      <c r="BL24" s="1">
        <v>0</v>
      </c>
      <c r="BM24" s="1">
        <v>27.4</v>
      </c>
      <c r="BN24" s="1">
        <v>17.27</v>
      </c>
      <c r="BO24" s="1">
        <v>7.07</v>
      </c>
      <c r="BP24" s="1">
        <v>0</v>
      </c>
      <c r="BQ24" s="1">
        <v>12.75</v>
      </c>
      <c r="BR24" s="1">
        <v>1158.7</v>
      </c>
      <c r="BS24" s="1">
        <v>19.97</v>
      </c>
      <c r="BT24" s="1">
        <v>991.09</v>
      </c>
      <c r="BU24" s="1">
        <v>31.22</v>
      </c>
      <c r="BV24" s="1">
        <v>9305.5400000000009</v>
      </c>
      <c r="BW24" s="1">
        <v>83.93</v>
      </c>
      <c r="BX24" s="1">
        <v>118.56</v>
      </c>
      <c r="BY24" s="1">
        <v>32.89</v>
      </c>
      <c r="BZ24" s="1">
        <v>158.76</v>
      </c>
      <c r="CA24" s="1">
        <v>17.829999999999998</v>
      </c>
      <c r="CB24" s="1">
        <v>7.39</v>
      </c>
      <c r="CC24" s="1">
        <v>4.54</v>
      </c>
      <c r="CD24" s="1">
        <v>9.5299999999999994</v>
      </c>
      <c r="CE24" s="1">
        <v>6.02</v>
      </c>
      <c r="CF24" s="1">
        <v>0</v>
      </c>
      <c r="CG24" s="1">
        <v>6.28</v>
      </c>
      <c r="CH24" s="1">
        <v>0</v>
      </c>
      <c r="CI24" s="1">
        <v>4.1399999999999997</v>
      </c>
      <c r="CJ24" s="1">
        <v>8.8699999999999992</v>
      </c>
      <c r="CK24" s="1">
        <v>4.01</v>
      </c>
      <c r="CL24" s="1">
        <v>482655.91</v>
      </c>
      <c r="CM24" s="1">
        <v>1051.05</v>
      </c>
      <c r="CN24" s="1">
        <v>3.37</v>
      </c>
      <c r="CO24" s="1">
        <v>1</v>
      </c>
      <c r="CP24" s="1">
        <v>0</v>
      </c>
      <c r="CQ24" s="1">
        <v>1.5</v>
      </c>
      <c r="CR24" s="1">
        <v>0</v>
      </c>
      <c r="CS24" s="1">
        <v>1.5</v>
      </c>
      <c r="CT24" s="1">
        <v>0</v>
      </c>
      <c r="CU24" s="1">
        <v>1.5</v>
      </c>
      <c r="CV24" s="1">
        <v>0</v>
      </c>
      <c r="CW24" s="1">
        <v>1.5</v>
      </c>
      <c r="CX24" s="1">
        <v>31670.55</v>
      </c>
      <c r="CY24" s="1">
        <v>858.19</v>
      </c>
      <c r="CZ24" s="1">
        <v>0</v>
      </c>
      <c r="DA24" s="1">
        <v>200.49</v>
      </c>
      <c r="DB24" s="1">
        <v>471721.28</v>
      </c>
      <c r="DC24" s="1">
        <v>1097.97</v>
      </c>
      <c r="DD24" s="1">
        <v>0</v>
      </c>
      <c r="DE24" s="1">
        <v>15.92</v>
      </c>
      <c r="DF24" s="1">
        <v>2173.1799999999998</v>
      </c>
      <c r="DG24" s="1">
        <v>852.17</v>
      </c>
      <c r="DH24" s="1">
        <v>0</v>
      </c>
      <c r="DI24" s="1">
        <v>4.45</v>
      </c>
      <c r="DJ24" s="1">
        <v>14.44</v>
      </c>
      <c r="DK24" s="1">
        <v>5.74</v>
      </c>
      <c r="DL24" s="1">
        <v>0</v>
      </c>
      <c r="DM24" s="1">
        <v>18.309999999999999</v>
      </c>
      <c r="DN24" s="16">
        <v>7</v>
      </c>
      <c r="DP24">
        <v>1</v>
      </c>
      <c r="DQ24">
        <v>1.633336845432515</v>
      </c>
      <c r="DR24" s="13">
        <v>60</v>
      </c>
      <c r="DS24" s="10">
        <v>0.3</v>
      </c>
      <c r="DT24" s="10">
        <v>5.9999998658895493E-2</v>
      </c>
      <c r="DU24" s="10">
        <v>6.2399997711181641</v>
      </c>
      <c r="DV24" s="10">
        <v>1.6</v>
      </c>
      <c r="DW24" t="s">
        <v>331</v>
      </c>
      <c r="DX24" s="10">
        <v>2.9057097434997559</v>
      </c>
      <c r="DY24" s="10">
        <v>1.0896410942077637</v>
      </c>
      <c r="DZ24" s="10">
        <v>5.4482059478759766</v>
      </c>
      <c r="EA24" s="10">
        <v>6.5378470420837402</v>
      </c>
      <c r="EB24" s="10">
        <v>63.170127868652344</v>
      </c>
      <c r="EC24" s="10">
        <v>27.386314392089844</v>
      </c>
      <c r="ED24" s="10">
        <v>90.556442260742188</v>
      </c>
      <c r="EE24" s="10">
        <v>1.6317996978759766</v>
      </c>
      <c r="EF24">
        <v>0</v>
      </c>
    </row>
    <row r="25" spans="1:136" ht="15.75" customHeight="1" x14ac:dyDescent="0.3">
      <c r="A25" s="1" t="s">
        <v>487</v>
      </c>
      <c r="B25" s="2">
        <v>26</v>
      </c>
      <c r="C25" s="3">
        <v>44665.295138888891</v>
      </c>
      <c r="D25" s="1">
        <v>360.19</v>
      </c>
      <c r="E25" s="1">
        <v>4</v>
      </c>
      <c r="F25" s="1">
        <v>3.4069999999999999E-4</v>
      </c>
      <c r="G25" s="1">
        <v>1.6739999999999999E-5</v>
      </c>
      <c r="H25" s="1">
        <v>2.81</v>
      </c>
      <c r="I25" s="1" t="s">
        <v>182</v>
      </c>
      <c r="J25" s="1" t="s">
        <v>179</v>
      </c>
      <c r="K25" s="1">
        <v>13.914</v>
      </c>
      <c r="L25" s="1">
        <v>761</v>
      </c>
      <c r="M25" s="1">
        <v>3</v>
      </c>
      <c r="N25" s="1">
        <v>3.1809999999999998E-4</v>
      </c>
      <c r="O25" s="1">
        <v>1.415E-6</v>
      </c>
      <c r="P25" s="1">
        <v>0.25</v>
      </c>
      <c r="Q25" s="1" t="s">
        <v>183</v>
      </c>
      <c r="R25" s="1" t="s">
        <v>180</v>
      </c>
      <c r="S25" s="1">
        <v>24.48612907862584</v>
      </c>
      <c r="T25" s="1">
        <v>22.861865746729912</v>
      </c>
      <c r="U25" s="1">
        <f t="shared" si="0"/>
        <v>1.6242633318959285</v>
      </c>
      <c r="V25" s="1">
        <f t="shared" si="2"/>
        <v>6.6334018197827866</v>
      </c>
      <c r="W25" s="1">
        <f t="shared" si="1"/>
        <v>1.6242633318959285</v>
      </c>
      <c r="X25" s="1">
        <v>875124.31</v>
      </c>
      <c r="Y25" s="1">
        <v>0</v>
      </c>
      <c r="Z25" s="1">
        <v>1869.57</v>
      </c>
      <c r="AA25" s="1">
        <v>0</v>
      </c>
      <c r="AB25" s="1">
        <v>96819.31</v>
      </c>
      <c r="AC25" s="1">
        <v>0</v>
      </c>
      <c r="AD25" s="1">
        <v>9.52</v>
      </c>
      <c r="AE25" s="1">
        <v>1.51</v>
      </c>
      <c r="AF25" s="1">
        <v>641.53</v>
      </c>
      <c r="AG25" s="1">
        <v>3.82</v>
      </c>
      <c r="AH25" s="1">
        <v>74.650000000000006</v>
      </c>
      <c r="AI25" s="1">
        <v>1.44</v>
      </c>
      <c r="AJ25" s="1">
        <v>0</v>
      </c>
      <c r="AK25" s="1">
        <v>3.22</v>
      </c>
      <c r="AL25" s="1">
        <v>62.75</v>
      </c>
      <c r="AM25" s="1">
        <v>1.55</v>
      </c>
      <c r="AN25" s="1">
        <v>6.85</v>
      </c>
      <c r="AO25" s="1">
        <v>1.33</v>
      </c>
      <c r="AP25" s="1">
        <v>34.78</v>
      </c>
      <c r="AQ25" s="1">
        <v>2.63</v>
      </c>
      <c r="AR25" s="1">
        <v>0</v>
      </c>
      <c r="AS25" s="1">
        <v>3.02</v>
      </c>
      <c r="AT25" s="1">
        <v>0</v>
      </c>
      <c r="AU25" s="1">
        <v>1.65</v>
      </c>
      <c r="AV25" s="1">
        <v>7.41</v>
      </c>
      <c r="AW25" s="1">
        <v>2.12</v>
      </c>
      <c r="AX25" s="1">
        <v>0</v>
      </c>
      <c r="AY25" s="1">
        <v>4.0199999999999996</v>
      </c>
      <c r="AZ25" s="1">
        <v>52.55</v>
      </c>
      <c r="BA25" s="1">
        <v>3.8</v>
      </c>
      <c r="BB25" s="1">
        <v>0</v>
      </c>
      <c r="BC25" s="1">
        <v>15.9</v>
      </c>
      <c r="BD25" s="1">
        <v>16.36</v>
      </c>
      <c r="BE25" s="1">
        <v>5.18</v>
      </c>
      <c r="BF25" s="1">
        <v>0</v>
      </c>
      <c r="BG25" s="1">
        <v>15.4</v>
      </c>
      <c r="BH25" s="1">
        <v>0</v>
      </c>
      <c r="BI25" s="1">
        <v>43.77</v>
      </c>
      <c r="BJ25" s="1">
        <v>15177.54</v>
      </c>
      <c r="BK25" s="1">
        <v>102.53</v>
      </c>
      <c r="BL25" s="1">
        <v>402.29</v>
      </c>
      <c r="BM25" s="1">
        <v>25.86</v>
      </c>
      <c r="BN25" s="1">
        <v>72.59</v>
      </c>
      <c r="BO25" s="1">
        <v>5.51</v>
      </c>
      <c r="BP25" s="1">
        <v>66.91</v>
      </c>
      <c r="BQ25" s="1">
        <v>10.23</v>
      </c>
      <c r="BR25" s="1">
        <v>4249.75</v>
      </c>
      <c r="BS25" s="1">
        <v>42.69</v>
      </c>
      <c r="BT25" s="1">
        <v>4072</v>
      </c>
      <c r="BU25" s="1">
        <v>60.64</v>
      </c>
      <c r="BV25" s="1">
        <v>13470.44</v>
      </c>
      <c r="BW25" s="1">
        <v>135.05000000000001</v>
      </c>
      <c r="BX25" s="1">
        <v>201</v>
      </c>
      <c r="BY25" s="1">
        <v>90.73</v>
      </c>
      <c r="BZ25" s="1">
        <v>159.38999999999999</v>
      </c>
      <c r="CA25" s="1">
        <v>22.99</v>
      </c>
      <c r="CB25" s="1">
        <v>0</v>
      </c>
      <c r="CC25" s="1">
        <v>6.99</v>
      </c>
      <c r="CD25" s="1">
        <v>0</v>
      </c>
      <c r="CE25" s="1">
        <v>5.57</v>
      </c>
      <c r="CF25" s="1">
        <v>0</v>
      </c>
      <c r="CG25" s="1">
        <v>6.52</v>
      </c>
      <c r="CH25" s="1">
        <v>0</v>
      </c>
      <c r="CI25" s="1">
        <v>4.25</v>
      </c>
      <c r="CJ25" s="1">
        <v>0</v>
      </c>
      <c r="CK25" s="1">
        <v>6.06</v>
      </c>
      <c r="CL25" s="1">
        <v>499815.88</v>
      </c>
      <c r="CM25" s="1">
        <v>1078.8599999999999</v>
      </c>
      <c r="CN25" s="1">
        <v>12.35</v>
      </c>
      <c r="CO25" s="1">
        <v>1</v>
      </c>
      <c r="CP25" s="1">
        <v>4.5599999999999996</v>
      </c>
      <c r="CQ25" s="1">
        <v>1.81</v>
      </c>
      <c r="CR25" s="1">
        <v>0</v>
      </c>
      <c r="CS25" s="1">
        <v>1.5</v>
      </c>
      <c r="CT25" s="1">
        <v>0</v>
      </c>
      <c r="CU25" s="1">
        <v>1.5</v>
      </c>
      <c r="CV25" s="1">
        <v>0</v>
      </c>
      <c r="CW25" s="1">
        <v>1.5</v>
      </c>
      <c r="CX25" s="1">
        <v>51227.15</v>
      </c>
      <c r="CY25" s="1">
        <v>1101.8800000000001</v>
      </c>
      <c r="CZ25" s="1">
        <v>0</v>
      </c>
      <c r="DA25" s="1">
        <v>2476.44</v>
      </c>
      <c r="DB25" s="1">
        <v>408936.56</v>
      </c>
      <c r="DC25" s="1">
        <v>1290.06</v>
      </c>
      <c r="DD25" s="1">
        <v>0</v>
      </c>
      <c r="DE25" s="1">
        <v>18.77</v>
      </c>
      <c r="DF25" s="1">
        <v>0</v>
      </c>
      <c r="DG25" s="1">
        <v>1455.96</v>
      </c>
      <c r="DH25" s="1">
        <v>0</v>
      </c>
      <c r="DI25" s="1">
        <v>9.07</v>
      </c>
      <c r="DJ25" s="1">
        <v>0</v>
      </c>
      <c r="DK25" s="1">
        <v>8.85</v>
      </c>
      <c r="DL25" s="1">
        <v>0</v>
      </c>
      <c r="DM25" s="1">
        <v>18.73</v>
      </c>
      <c r="DN25" s="9">
        <v>47</v>
      </c>
      <c r="DO25" s="9" t="s">
        <v>285</v>
      </c>
      <c r="DP25" s="35">
        <v>0</v>
      </c>
      <c r="DQ25">
        <v>1.4557640366426812</v>
      </c>
      <c r="DR25">
        <v>5</v>
      </c>
      <c r="DS25" s="10">
        <v>11.74</v>
      </c>
      <c r="DT25" s="10">
        <v>2.3480000495910645</v>
      </c>
      <c r="DU25" s="10">
        <v>6.4699997901916504</v>
      </c>
      <c r="DV25" s="10">
        <v>6.8624811172485352</v>
      </c>
      <c r="DW25" t="s">
        <v>286</v>
      </c>
      <c r="DX25" s="10">
        <v>8.7719297409057617</v>
      </c>
      <c r="DY25" s="10">
        <v>20.733652114868164</v>
      </c>
      <c r="DZ25" s="10">
        <v>55.422649383544922</v>
      </c>
      <c r="EA25" s="10">
        <v>76.156303405761719</v>
      </c>
      <c r="EB25" s="10">
        <v>14.130781173706055</v>
      </c>
      <c r="EC25" s="10">
        <v>0.94098883867263794</v>
      </c>
      <c r="ED25" s="10">
        <v>15.071769714355469</v>
      </c>
      <c r="EE25" s="10">
        <v>2.253119945526123</v>
      </c>
      <c r="EF25" s="10">
        <v>0</v>
      </c>
    </row>
    <row r="26" spans="1:136" ht="15.75" customHeight="1" x14ac:dyDescent="0.3">
      <c r="A26" s="1" t="s">
        <v>488</v>
      </c>
      <c r="B26" s="2">
        <v>37</v>
      </c>
      <c r="C26" s="3">
        <v>44665.425000000003</v>
      </c>
      <c r="D26" s="1">
        <v>361.48</v>
      </c>
      <c r="E26" s="1">
        <v>26</v>
      </c>
      <c r="F26" s="1">
        <v>4.0470000000000002E-4</v>
      </c>
      <c r="G26" s="1">
        <v>1.5849999999999999E-5</v>
      </c>
      <c r="H26" s="1">
        <v>2.2400000000000002</v>
      </c>
      <c r="I26" s="1" t="s">
        <v>184</v>
      </c>
      <c r="J26" s="1" t="s">
        <v>179</v>
      </c>
      <c r="K26" s="1">
        <v>14.224</v>
      </c>
      <c r="L26" s="1">
        <v>791</v>
      </c>
      <c r="M26" s="1">
        <v>3</v>
      </c>
      <c r="N26" s="1">
        <v>3.834E-4</v>
      </c>
      <c r="O26" s="1">
        <v>-1.3009999999999999E-6</v>
      </c>
      <c r="P26" s="1">
        <v>-0.19</v>
      </c>
      <c r="Q26" s="1" t="s">
        <v>185</v>
      </c>
      <c r="R26" s="1" t="s">
        <v>180</v>
      </c>
      <c r="S26" s="1">
        <v>28.451912260967379</v>
      </c>
      <c r="T26" s="1">
        <v>26.954443194600671</v>
      </c>
      <c r="U26" s="1">
        <f t="shared" si="0"/>
        <v>1.4974690663667083</v>
      </c>
      <c r="V26" s="1">
        <f t="shared" si="2"/>
        <v>5.2631578947368558</v>
      </c>
      <c r="W26" s="1">
        <f t="shared" si="1"/>
        <v>1.4974690663667083</v>
      </c>
      <c r="X26" s="1">
        <v>911963.94</v>
      </c>
      <c r="Y26" s="1">
        <v>0</v>
      </c>
      <c r="Z26" s="1">
        <v>4881.66</v>
      </c>
      <c r="AA26" s="1">
        <v>0</v>
      </c>
      <c r="AB26" s="1">
        <v>102246.98</v>
      </c>
      <c r="AC26" s="1">
        <v>0</v>
      </c>
      <c r="AD26" s="1">
        <v>5.14</v>
      </c>
      <c r="AE26" s="1">
        <v>1.5</v>
      </c>
      <c r="AF26" s="1">
        <v>616.19000000000005</v>
      </c>
      <c r="AG26" s="1">
        <v>3.83</v>
      </c>
      <c r="AH26" s="1">
        <v>73.97</v>
      </c>
      <c r="AI26" s="1">
        <v>1.47</v>
      </c>
      <c r="AJ26" s="1">
        <v>0</v>
      </c>
      <c r="AK26" s="1">
        <v>3.32</v>
      </c>
      <c r="AL26" s="1">
        <v>61.06</v>
      </c>
      <c r="AM26" s="1">
        <v>1.57</v>
      </c>
      <c r="AN26" s="1">
        <v>6.84</v>
      </c>
      <c r="AO26" s="1">
        <v>1.36</v>
      </c>
      <c r="AP26" s="1">
        <v>37.549999999999997</v>
      </c>
      <c r="AQ26" s="1">
        <v>2.75</v>
      </c>
      <c r="AR26" s="1">
        <v>0</v>
      </c>
      <c r="AS26" s="1">
        <v>3.3</v>
      </c>
      <c r="AT26" s="1">
        <v>0</v>
      </c>
      <c r="AU26" s="1">
        <v>1.76</v>
      </c>
      <c r="AV26" s="1">
        <v>7.28</v>
      </c>
      <c r="AW26" s="1">
        <v>2.2000000000000002</v>
      </c>
      <c r="AX26" s="1">
        <v>0</v>
      </c>
      <c r="AY26" s="1">
        <v>4.1399999999999997</v>
      </c>
      <c r="AZ26" s="1">
        <v>53.7</v>
      </c>
      <c r="BA26" s="1">
        <v>3.92</v>
      </c>
      <c r="BB26" s="1">
        <v>0</v>
      </c>
      <c r="BC26" s="1">
        <v>16.489999999999998</v>
      </c>
      <c r="BD26" s="1">
        <v>21.87</v>
      </c>
      <c r="BE26" s="1">
        <v>5.39</v>
      </c>
      <c r="BF26" s="1">
        <v>0</v>
      </c>
      <c r="BG26" s="1">
        <v>15.81</v>
      </c>
      <c r="BH26" s="1">
        <v>0</v>
      </c>
      <c r="BI26" s="1">
        <v>43.29</v>
      </c>
      <c r="BJ26" s="1">
        <v>14437.86</v>
      </c>
      <c r="BK26" s="1">
        <v>102.04</v>
      </c>
      <c r="BL26" s="1">
        <v>402.17</v>
      </c>
      <c r="BM26" s="1">
        <v>26.43</v>
      </c>
      <c r="BN26" s="1">
        <v>71.069999999999993</v>
      </c>
      <c r="BO26" s="1">
        <v>5.46</v>
      </c>
      <c r="BP26" s="1">
        <v>68.97</v>
      </c>
      <c r="BQ26" s="1">
        <v>10.17</v>
      </c>
      <c r="BR26" s="1">
        <v>4199.97</v>
      </c>
      <c r="BS26" s="1">
        <v>42.38</v>
      </c>
      <c r="BT26" s="1">
        <v>3675.54</v>
      </c>
      <c r="BU26" s="1">
        <v>58.5</v>
      </c>
      <c r="BV26" s="1">
        <v>13276.66</v>
      </c>
      <c r="BW26" s="1">
        <v>134.33000000000001</v>
      </c>
      <c r="BX26" s="1">
        <v>369.37</v>
      </c>
      <c r="BY26" s="1">
        <v>37.86</v>
      </c>
      <c r="BZ26" s="1">
        <v>210.75</v>
      </c>
      <c r="CA26" s="1">
        <v>23.82</v>
      </c>
      <c r="CB26" s="1">
        <v>0</v>
      </c>
      <c r="CC26" s="1">
        <v>7.01</v>
      </c>
      <c r="CD26" s="1">
        <v>0</v>
      </c>
      <c r="CE26" s="1">
        <v>5.6</v>
      </c>
      <c r="CF26" s="1">
        <v>0</v>
      </c>
      <c r="CG26" s="1">
        <v>6.46</v>
      </c>
      <c r="CH26" s="1">
        <v>0</v>
      </c>
      <c r="CI26" s="1">
        <v>4.24</v>
      </c>
      <c r="CJ26" s="1">
        <v>0</v>
      </c>
      <c r="CK26" s="1">
        <v>5.97</v>
      </c>
      <c r="CL26" s="1">
        <v>478828.28</v>
      </c>
      <c r="CM26" s="1">
        <v>1132.33</v>
      </c>
      <c r="CN26" s="1">
        <v>11.67</v>
      </c>
      <c r="CO26" s="1">
        <v>1</v>
      </c>
      <c r="CP26" s="1">
        <v>5.77</v>
      </c>
      <c r="CQ26" s="1">
        <v>1.87</v>
      </c>
      <c r="CR26" s="1">
        <v>0</v>
      </c>
      <c r="CS26" s="1">
        <v>1.5</v>
      </c>
      <c r="CT26" s="1">
        <v>0</v>
      </c>
      <c r="CU26" s="1">
        <v>1.5</v>
      </c>
      <c r="CV26" s="1">
        <v>0</v>
      </c>
      <c r="CW26" s="1">
        <v>1.5</v>
      </c>
      <c r="CX26" s="1">
        <v>54098.93</v>
      </c>
      <c r="CY26" s="1">
        <v>1102.9100000000001</v>
      </c>
      <c r="CZ26" s="1">
        <v>252.97</v>
      </c>
      <c r="DA26" s="1">
        <v>138.22</v>
      </c>
      <c r="DB26" s="1">
        <v>426151.34</v>
      </c>
      <c r="DC26" s="1">
        <v>1076.57</v>
      </c>
      <c r="DD26" s="1">
        <v>0</v>
      </c>
      <c r="DE26" s="1">
        <v>18.61</v>
      </c>
      <c r="DF26" s="1">
        <v>2940.76</v>
      </c>
      <c r="DG26" s="1">
        <v>985.3</v>
      </c>
      <c r="DH26" s="1">
        <v>0</v>
      </c>
      <c r="DI26" s="1">
        <v>8.7799999999999994</v>
      </c>
      <c r="DJ26" s="1">
        <v>0</v>
      </c>
      <c r="DK26" s="1">
        <v>8.92</v>
      </c>
      <c r="DL26" s="1">
        <v>0</v>
      </c>
      <c r="DM26" s="1">
        <v>18.91</v>
      </c>
      <c r="DN26" s="9">
        <v>17</v>
      </c>
      <c r="DO26" s="9" t="s">
        <v>289</v>
      </c>
      <c r="DP26" s="35">
        <v>0</v>
      </c>
      <c r="DQ26">
        <v>1.4635193234240904</v>
      </c>
      <c r="DR26">
        <v>26</v>
      </c>
      <c r="DS26" s="10">
        <v>10.25</v>
      </c>
      <c r="DT26" s="10">
        <v>2.0499999523162842</v>
      </c>
      <c r="DU26" s="10">
        <v>6.1599998474121094</v>
      </c>
      <c r="DV26" s="10">
        <v>5.6799173355102539</v>
      </c>
      <c r="DW26" t="s">
        <v>290</v>
      </c>
      <c r="DX26" s="10">
        <v>9.5253210067749023</v>
      </c>
      <c r="DY26" s="10">
        <v>20.63819694519043</v>
      </c>
      <c r="DZ26" s="10">
        <v>53.976821899414063</v>
      </c>
      <c r="EA26" s="10">
        <v>74.615020751953125</v>
      </c>
      <c r="EB26" s="10">
        <v>14.573741912841797</v>
      </c>
      <c r="EC26" s="10">
        <v>1.2859183549880981</v>
      </c>
      <c r="ED26" s="10">
        <v>15.859660148620605</v>
      </c>
      <c r="EE26" s="10">
        <v>2.3793220520019531</v>
      </c>
      <c r="EF26" s="10">
        <v>0</v>
      </c>
    </row>
    <row r="27" spans="1:136" ht="15.75" customHeight="1" x14ac:dyDescent="0.3">
      <c r="A27" s="1" t="s">
        <v>489</v>
      </c>
      <c r="B27" s="2">
        <v>49</v>
      </c>
      <c r="C27" s="3">
        <v>44665.519444444442</v>
      </c>
      <c r="D27" s="1">
        <v>360.64</v>
      </c>
      <c r="E27" s="1">
        <v>50</v>
      </c>
      <c r="F27" s="1">
        <v>3.6210000000000002E-4</v>
      </c>
      <c r="G27" s="1">
        <v>2.2520000000000001E-5</v>
      </c>
      <c r="H27" s="1">
        <v>3.56</v>
      </c>
      <c r="I27" s="1" t="s">
        <v>186</v>
      </c>
      <c r="J27" s="1" t="s">
        <v>179</v>
      </c>
      <c r="K27" s="1">
        <v>14.835000000000001</v>
      </c>
      <c r="L27" s="1">
        <v>759</v>
      </c>
      <c r="M27" s="1">
        <v>3</v>
      </c>
      <c r="N27" s="1">
        <v>3.3270000000000001E-4</v>
      </c>
      <c r="O27" s="1">
        <v>4.1479999999999999E-6</v>
      </c>
      <c r="P27" s="1">
        <v>0.71</v>
      </c>
      <c r="Q27" s="1" t="s">
        <v>187</v>
      </c>
      <c r="R27" s="1" t="s">
        <v>180</v>
      </c>
      <c r="S27" s="1">
        <v>24.408493427704752</v>
      </c>
      <c r="T27" s="1">
        <v>22.426693629929218</v>
      </c>
      <c r="U27" s="1">
        <f t="shared" si="0"/>
        <v>1.9817997977755333</v>
      </c>
      <c r="V27" s="1">
        <f t="shared" si="2"/>
        <v>8.1193040596520412</v>
      </c>
      <c r="W27" s="1">
        <f t="shared" si="1"/>
        <v>1.9817997977755333</v>
      </c>
      <c r="X27" s="1">
        <v>901103.63</v>
      </c>
      <c r="Y27" s="1">
        <v>0</v>
      </c>
      <c r="Z27" s="1">
        <v>0</v>
      </c>
      <c r="AA27" s="1">
        <v>0</v>
      </c>
      <c r="AB27" s="1">
        <v>118739.65</v>
      </c>
      <c r="AC27" s="1">
        <v>0</v>
      </c>
      <c r="AD27" s="1">
        <v>9.14</v>
      </c>
      <c r="AE27" s="1">
        <v>1.5</v>
      </c>
      <c r="AF27" s="1">
        <v>614.64</v>
      </c>
      <c r="AG27" s="1">
        <v>3.77</v>
      </c>
      <c r="AH27" s="1">
        <v>77.400000000000006</v>
      </c>
      <c r="AI27" s="1">
        <v>1.47</v>
      </c>
      <c r="AJ27" s="1">
        <v>0</v>
      </c>
      <c r="AK27" s="1">
        <v>3.22</v>
      </c>
      <c r="AL27" s="1">
        <v>65.98</v>
      </c>
      <c r="AM27" s="1">
        <v>1.59</v>
      </c>
      <c r="AN27" s="1">
        <v>7.9</v>
      </c>
      <c r="AO27" s="1">
        <v>1.36</v>
      </c>
      <c r="AP27" s="1">
        <v>33.35</v>
      </c>
      <c r="AQ27" s="1">
        <v>2.61</v>
      </c>
      <c r="AR27" s="1">
        <v>0</v>
      </c>
      <c r="AS27" s="1">
        <v>3.16</v>
      </c>
      <c r="AT27" s="1">
        <v>0</v>
      </c>
      <c r="AU27" s="1">
        <v>1.71</v>
      </c>
      <c r="AV27" s="1">
        <v>7.24</v>
      </c>
      <c r="AW27" s="1">
        <v>2.11</v>
      </c>
      <c r="AX27" s="1">
        <v>0</v>
      </c>
      <c r="AY27" s="1">
        <v>4.0599999999999996</v>
      </c>
      <c r="AZ27" s="1">
        <v>53.77</v>
      </c>
      <c r="BA27" s="1">
        <v>3.85</v>
      </c>
      <c r="BB27" s="1">
        <v>0</v>
      </c>
      <c r="BC27" s="1">
        <v>16.07</v>
      </c>
      <c r="BD27" s="1">
        <v>20.57</v>
      </c>
      <c r="BE27" s="1">
        <v>5.3</v>
      </c>
      <c r="BF27" s="1">
        <v>0</v>
      </c>
      <c r="BG27" s="1">
        <v>15.73</v>
      </c>
      <c r="BH27" s="1">
        <v>0</v>
      </c>
      <c r="BI27" s="1">
        <v>45.11</v>
      </c>
      <c r="BJ27" s="1">
        <v>16139.62</v>
      </c>
      <c r="BK27" s="1">
        <v>106.41</v>
      </c>
      <c r="BL27" s="1">
        <v>323.37</v>
      </c>
      <c r="BM27" s="1">
        <v>25.03</v>
      </c>
      <c r="BN27" s="1">
        <v>80.86</v>
      </c>
      <c r="BO27" s="1">
        <v>5.83</v>
      </c>
      <c r="BP27" s="1">
        <v>58.76</v>
      </c>
      <c r="BQ27" s="1">
        <v>10.88</v>
      </c>
      <c r="BR27" s="1">
        <v>4400.7700000000004</v>
      </c>
      <c r="BS27" s="1">
        <v>45.6</v>
      </c>
      <c r="BT27" s="1">
        <v>3784.46</v>
      </c>
      <c r="BU27" s="1">
        <v>61.99</v>
      </c>
      <c r="BV27" s="1">
        <v>13929.16</v>
      </c>
      <c r="BW27" s="1">
        <v>142.69999999999999</v>
      </c>
      <c r="BX27" s="1">
        <v>288.49</v>
      </c>
      <c r="BY27" s="1">
        <v>38.28</v>
      </c>
      <c r="BZ27" s="1">
        <v>203.9</v>
      </c>
      <c r="CA27" s="1">
        <v>23.82</v>
      </c>
      <c r="CB27" s="1">
        <v>0</v>
      </c>
      <c r="CC27" s="1">
        <v>7.03</v>
      </c>
      <c r="CD27" s="1">
        <v>0</v>
      </c>
      <c r="CE27" s="1">
        <v>5.64</v>
      </c>
      <c r="CF27" s="1">
        <v>0</v>
      </c>
      <c r="CG27" s="1">
        <v>6.57</v>
      </c>
      <c r="CH27" s="1">
        <v>3.14</v>
      </c>
      <c r="CI27" s="1">
        <v>1.93</v>
      </c>
      <c r="CJ27" s="1">
        <v>3.13</v>
      </c>
      <c r="CK27" s="1">
        <v>1.96</v>
      </c>
      <c r="CL27" s="1">
        <v>476057.31</v>
      </c>
      <c r="CM27" s="1">
        <v>1121.68</v>
      </c>
      <c r="CN27" s="1">
        <v>12.6</v>
      </c>
      <c r="CO27" s="1">
        <v>1</v>
      </c>
      <c r="CP27" s="1">
        <v>7.69</v>
      </c>
      <c r="CQ27" s="1">
        <v>1.89</v>
      </c>
      <c r="CR27" s="1">
        <v>0</v>
      </c>
      <c r="CS27" s="1">
        <v>1.5</v>
      </c>
      <c r="CT27" s="1">
        <v>0</v>
      </c>
      <c r="CU27" s="1">
        <v>1.5</v>
      </c>
      <c r="CV27" s="1">
        <v>0</v>
      </c>
      <c r="CW27" s="1">
        <v>1.5</v>
      </c>
      <c r="CX27" s="1">
        <v>62825.21</v>
      </c>
      <c r="CY27" s="1">
        <v>1223.47</v>
      </c>
      <c r="CZ27" s="1">
        <v>0</v>
      </c>
      <c r="DA27" s="1">
        <v>208.14</v>
      </c>
      <c r="DB27" s="1">
        <v>421076.44</v>
      </c>
      <c r="DC27" s="1">
        <v>1073.68</v>
      </c>
      <c r="DD27" s="1">
        <v>0</v>
      </c>
      <c r="DE27" s="1">
        <v>19.010000000000002</v>
      </c>
      <c r="DF27" s="1">
        <v>0</v>
      </c>
      <c r="DG27" s="1">
        <v>2412.08</v>
      </c>
      <c r="DH27" s="1">
        <v>0</v>
      </c>
      <c r="DI27" s="1">
        <v>9.2799999999999994</v>
      </c>
      <c r="DJ27" s="1">
        <v>0</v>
      </c>
      <c r="DK27" s="1">
        <v>8.99</v>
      </c>
      <c r="DL27" s="1">
        <v>0</v>
      </c>
      <c r="DM27" s="1">
        <v>19.05</v>
      </c>
      <c r="DN27" s="9">
        <v>49</v>
      </c>
      <c r="DO27" s="9" t="s">
        <v>292</v>
      </c>
      <c r="DP27" s="35">
        <v>0</v>
      </c>
      <c r="DQ27">
        <v>1.4777748717029131</v>
      </c>
      <c r="DR27">
        <v>51</v>
      </c>
      <c r="DS27" s="10">
        <v>7.35</v>
      </c>
      <c r="DT27" s="10">
        <v>1.4700000286102295</v>
      </c>
      <c r="DU27" s="10">
        <v>6.3499999046325684</v>
      </c>
      <c r="DV27" s="10">
        <v>6.0049605369567871</v>
      </c>
      <c r="DW27" t="s">
        <v>291</v>
      </c>
      <c r="DX27" s="10">
        <v>10.301109313964844</v>
      </c>
      <c r="DY27" s="10">
        <v>21.790807723999023</v>
      </c>
      <c r="DZ27" s="10">
        <v>53.09033203125</v>
      </c>
      <c r="EA27" s="10">
        <v>74.881141662597656</v>
      </c>
      <c r="EB27" s="10">
        <v>13.645008087158203</v>
      </c>
      <c r="EC27" s="10">
        <v>1.1727416515350342</v>
      </c>
      <c r="ED27" s="10">
        <v>14.817749977111816</v>
      </c>
      <c r="EE27" s="10">
        <v>2.9000296592712402</v>
      </c>
      <c r="EF27" s="10">
        <v>0</v>
      </c>
    </row>
    <row r="28" spans="1:136" ht="15.75" customHeight="1" x14ac:dyDescent="0.3">
      <c r="A28" s="1" t="s">
        <v>490</v>
      </c>
      <c r="B28" s="2">
        <v>58</v>
      </c>
      <c r="C28" s="3">
        <v>44665.585416666669</v>
      </c>
      <c r="D28" s="1">
        <v>361.68</v>
      </c>
      <c r="E28" s="1">
        <v>68</v>
      </c>
      <c r="F28" s="1">
        <v>1.8469999999999999E-4</v>
      </c>
      <c r="G28" s="1">
        <v>1.7419999999999999E-5</v>
      </c>
      <c r="H28" s="1">
        <v>5.39</v>
      </c>
      <c r="I28" s="1" t="s">
        <v>188</v>
      </c>
      <c r="J28" s="1" t="s">
        <v>179</v>
      </c>
      <c r="K28" s="1">
        <v>14.147</v>
      </c>
      <c r="L28" s="1">
        <v>796</v>
      </c>
      <c r="M28" s="1">
        <v>3</v>
      </c>
      <c r="N28" s="1">
        <v>1.7009999999999999E-4</v>
      </c>
      <c r="O28" s="1">
        <v>2.8710000000000001E-6</v>
      </c>
      <c r="P28" s="1">
        <v>0.97</v>
      </c>
      <c r="Q28" s="1" t="s">
        <v>189</v>
      </c>
      <c r="R28" s="1" t="s">
        <v>180</v>
      </c>
      <c r="S28" s="1">
        <v>13.055771541669611</v>
      </c>
      <c r="T28" s="1">
        <v>12.023750618505691</v>
      </c>
      <c r="U28" s="1">
        <f t="shared" si="0"/>
        <v>1.0320209231639197</v>
      </c>
      <c r="V28" s="1">
        <f t="shared" si="2"/>
        <v>7.9047103410936508</v>
      </c>
      <c r="W28" s="1">
        <f t="shared" si="1"/>
        <v>1.0320209231639197</v>
      </c>
      <c r="X28" s="1">
        <v>872848.63</v>
      </c>
      <c r="Y28" s="1">
        <v>0</v>
      </c>
      <c r="Z28" s="1">
        <v>1834.01</v>
      </c>
      <c r="AA28" s="1">
        <v>0</v>
      </c>
      <c r="AB28" s="1">
        <v>125927.44</v>
      </c>
      <c r="AC28" s="1">
        <v>0</v>
      </c>
      <c r="AD28" s="1">
        <v>8.01</v>
      </c>
      <c r="AE28" s="1">
        <v>1.53</v>
      </c>
      <c r="AF28" s="1">
        <v>625.82000000000005</v>
      </c>
      <c r="AG28" s="1">
        <v>3.86</v>
      </c>
      <c r="AH28" s="1">
        <v>78.23</v>
      </c>
      <c r="AI28" s="1">
        <v>1.5</v>
      </c>
      <c r="AJ28" s="1">
        <v>0</v>
      </c>
      <c r="AK28" s="1">
        <v>3.32</v>
      </c>
      <c r="AL28" s="1">
        <v>67.69</v>
      </c>
      <c r="AM28" s="1">
        <v>1.63</v>
      </c>
      <c r="AN28" s="1">
        <v>6.34</v>
      </c>
      <c r="AO28" s="1">
        <v>1.32</v>
      </c>
      <c r="AP28" s="1">
        <v>19.96</v>
      </c>
      <c r="AQ28" s="1">
        <v>2.3199999999999998</v>
      </c>
      <c r="AR28" s="1">
        <v>0</v>
      </c>
      <c r="AS28" s="1">
        <v>3.18</v>
      </c>
      <c r="AT28" s="1">
        <v>0</v>
      </c>
      <c r="AU28" s="1">
        <v>1.76</v>
      </c>
      <c r="AV28" s="1">
        <v>6.83</v>
      </c>
      <c r="AW28" s="1">
        <v>1.91</v>
      </c>
      <c r="AX28" s="1">
        <v>0</v>
      </c>
      <c r="AY28" s="1">
        <v>4.1100000000000003</v>
      </c>
      <c r="AZ28" s="1">
        <v>32.81</v>
      </c>
      <c r="BA28" s="1">
        <v>3.5</v>
      </c>
      <c r="BB28" s="1">
        <v>0</v>
      </c>
      <c r="BC28" s="1">
        <v>16.72</v>
      </c>
      <c r="BD28" s="1">
        <v>13.18</v>
      </c>
      <c r="BE28" s="1">
        <v>5.27</v>
      </c>
      <c r="BF28" s="1">
        <v>0</v>
      </c>
      <c r="BG28" s="1">
        <v>16.14</v>
      </c>
      <c r="BH28" s="1">
        <v>0</v>
      </c>
      <c r="BI28" s="1">
        <v>49.63</v>
      </c>
      <c r="BJ28" s="1">
        <v>18925.150000000001</v>
      </c>
      <c r="BK28" s="1">
        <v>116.89</v>
      </c>
      <c r="BL28" s="1">
        <v>331.11</v>
      </c>
      <c r="BM28" s="1">
        <v>25.7</v>
      </c>
      <c r="BN28" s="1">
        <v>87.04</v>
      </c>
      <c r="BO28" s="1">
        <v>6.15</v>
      </c>
      <c r="BP28" s="1">
        <v>58.47</v>
      </c>
      <c r="BQ28" s="1">
        <v>11.29</v>
      </c>
      <c r="BR28" s="1">
        <v>4464.4399999999996</v>
      </c>
      <c r="BS28" s="1">
        <v>47.42</v>
      </c>
      <c r="BT28" s="1">
        <v>3636.22</v>
      </c>
      <c r="BU28" s="1">
        <v>63.99</v>
      </c>
      <c r="BV28" s="1">
        <v>14601.18</v>
      </c>
      <c r="BW28" s="1">
        <v>150.88</v>
      </c>
      <c r="BX28" s="1">
        <v>177.78</v>
      </c>
      <c r="BY28" s="1">
        <v>37.409999999999997</v>
      </c>
      <c r="BZ28" s="1">
        <v>239.83</v>
      </c>
      <c r="CA28" s="1">
        <v>24.26</v>
      </c>
      <c r="CB28" s="1">
        <v>0</v>
      </c>
      <c r="CC28" s="1">
        <v>7.13</v>
      </c>
      <c r="CD28" s="1">
        <v>0</v>
      </c>
      <c r="CE28" s="1">
        <v>5.72</v>
      </c>
      <c r="CF28" s="1">
        <v>0</v>
      </c>
      <c r="CG28" s="1">
        <v>6.5</v>
      </c>
      <c r="CH28" s="1">
        <v>0</v>
      </c>
      <c r="CI28" s="1">
        <v>4.34</v>
      </c>
      <c r="CJ28" s="1">
        <v>0</v>
      </c>
      <c r="CK28" s="1">
        <v>6.07</v>
      </c>
      <c r="CL28" s="1">
        <v>480911</v>
      </c>
      <c r="CM28" s="1">
        <v>1152.3599999999999</v>
      </c>
      <c r="CN28" s="1">
        <v>12.76</v>
      </c>
      <c r="CO28" s="1">
        <v>1</v>
      </c>
      <c r="CP28" s="1">
        <v>4.78</v>
      </c>
      <c r="CQ28" s="1">
        <v>1.84</v>
      </c>
      <c r="CR28" s="1">
        <v>0</v>
      </c>
      <c r="CS28" s="1">
        <v>1.5</v>
      </c>
      <c r="CT28" s="1">
        <v>0</v>
      </c>
      <c r="CU28" s="1">
        <v>1.5</v>
      </c>
      <c r="CV28" s="1">
        <v>0</v>
      </c>
      <c r="CW28" s="1">
        <v>1.5</v>
      </c>
      <c r="CX28" s="1">
        <v>66628.27</v>
      </c>
      <c r="CY28" s="1">
        <v>1216.32</v>
      </c>
      <c r="CZ28" s="1">
        <v>0</v>
      </c>
      <c r="DA28" s="1">
        <v>203.4</v>
      </c>
      <c r="DB28" s="1">
        <v>407873.16</v>
      </c>
      <c r="DC28" s="1">
        <v>1071.24</v>
      </c>
      <c r="DD28" s="1">
        <v>0</v>
      </c>
      <c r="DE28" s="1">
        <v>19.25</v>
      </c>
      <c r="DF28" s="1">
        <v>0</v>
      </c>
      <c r="DG28" s="1">
        <v>1464.94</v>
      </c>
      <c r="DH28" s="1">
        <v>11.54</v>
      </c>
      <c r="DI28" s="1">
        <v>6.43</v>
      </c>
      <c r="DJ28" s="1">
        <v>0</v>
      </c>
      <c r="DK28" s="1">
        <v>9.08</v>
      </c>
      <c r="DL28" s="1">
        <v>0</v>
      </c>
      <c r="DM28" s="1">
        <v>19.21</v>
      </c>
      <c r="DN28" s="9">
        <v>44</v>
      </c>
      <c r="DO28" s="9" t="s">
        <v>293</v>
      </c>
      <c r="DP28" s="35">
        <v>0</v>
      </c>
      <c r="DQ28" s="11">
        <v>1.446999510511455</v>
      </c>
      <c r="DR28" s="11">
        <v>68</v>
      </c>
      <c r="DS28" s="12">
        <v>2.2200000000000002</v>
      </c>
      <c r="DT28" s="12">
        <v>0.4440000057220459</v>
      </c>
      <c r="DU28" s="12">
        <v>6.619999885559082</v>
      </c>
      <c r="DV28" s="12">
        <v>8.7628211975097603</v>
      </c>
      <c r="DW28" s="11" t="s">
        <v>288</v>
      </c>
      <c r="DX28" s="12">
        <v>11.034048080444336</v>
      </c>
      <c r="DY28" s="12">
        <v>27.979192733764648</v>
      </c>
      <c r="DZ28" s="12">
        <v>52.017654418945313</v>
      </c>
      <c r="EA28" s="12">
        <v>79.996849060058594</v>
      </c>
      <c r="EB28" s="12">
        <v>8.7484235763549805</v>
      </c>
      <c r="EC28" s="12">
        <v>0.22068095207214355</v>
      </c>
      <c r="ED28" s="12">
        <v>8.9691047668457031</v>
      </c>
      <c r="EE28" s="12">
        <v>5.2334094047546387</v>
      </c>
      <c r="EF28" s="10">
        <v>0</v>
      </c>
    </row>
    <row r="29" spans="1:136" ht="15.75" customHeight="1" x14ac:dyDescent="0.3">
      <c r="A29" s="1" t="s">
        <v>491</v>
      </c>
      <c r="B29" s="2">
        <v>77</v>
      </c>
      <c r="C29" s="3">
        <v>44665.790277777778</v>
      </c>
      <c r="D29" s="1">
        <v>361.31</v>
      </c>
      <c r="E29" s="1">
        <v>106</v>
      </c>
      <c r="F29" s="1">
        <v>1.417E-4</v>
      </c>
      <c r="G29" s="1">
        <v>6.9249999999999998E-6</v>
      </c>
      <c r="H29" s="1">
        <v>2.8</v>
      </c>
      <c r="I29" s="1" t="s">
        <v>190</v>
      </c>
      <c r="J29" s="1" t="s">
        <v>179</v>
      </c>
      <c r="K29" s="1">
        <v>13.407999999999999</v>
      </c>
      <c r="L29" s="1">
        <v>764</v>
      </c>
      <c r="M29" s="1">
        <v>3</v>
      </c>
      <c r="N29" s="1">
        <v>1.338E-4</v>
      </c>
      <c r="O29" s="1">
        <v>3.7800000000000002E-7</v>
      </c>
      <c r="P29" s="1">
        <v>0.16</v>
      </c>
      <c r="Q29" s="1" t="s">
        <v>191</v>
      </c>
      <c r="R29" s="1" t="s">
        <v>180</v>
      </c>
      <c r="S29" s="1">
        <v>10.568317422434371</v>
      </c>
      <c r="T29" s="1">
        <v>9.9791169451073998</v>
      </c>
      <c r="U29" s="1">
        <f t="shared" ref="U29:U34" si="3">S29-T29</f>
        <v>0.58920047732697078</v>
      </c>
      <c r="V29" s="1">
        <f t="shared" si="2"/>
        <v>5.5751587861679761</v>
      </c>
      <c r="W29" s="1">
        <f t="shared" si="1"/>
        <v>0.58920047732697078</v>
      </c>
      <c r="X29" s="1">
        <v>840324.75</v>
      </c>
      <c r="Y29" s="1">
        <v>0</v>
      </c>
      <c r="Z29" s="1">
        <v>3967.82</v>
      </c>
      <c r="AA29" s="1">
        <v>0</v>
      </c>
      <c r="AB29" s="1">
        <v>118437.23</v>
      </c>
      <c r="AC29" s="1">
        <v>0</v>
      </c>
      <c r="AD29" s="1">
        <v>8.41</v>
      </c>
      <c r="AE29" s="1">
        <v>1.51</v>
      </c>
      <c r="AF29" s="1">
        <v>588.82000000000005</v>
      </c>
      <c r="AG29" s="1">
        <v>3.74</v>
      </c>
      <c r="AH29" s="1">
        <v>78.099999999999994</v>
      </c>
      <c r="AI29" s="1">
        <v>1.5</v>
      </c>
      <c r="AJ29" s="1">
        <v>0</v>
      </c>
      <c r="AK29" s="1">
        <v>3.36</v>
      </c>
      <c r="AL29" s="1">
        <v>68.989999999999995</v>
      </c>
      <c r="AM29" s="1">
        <v>1.65</v>
      </c>
      <c r="AN29" s="1">
        <v>8.32</v>
      </c>
      <c r="AO29" s="1">
        <v>1.36</v>
      </c>
      <c r="AP29" s="1">
        <v>14.25</v>
      </c>
      <c r="AQ29" s="1">
        <v>2.16</v>
      </c>
      <c r="AR29" s="1">
        <v>0</v>
      </c>
      <c r="AS29" s="1">
        <v>3.15</v>
      </c>
      <c r="AT29" s="1">
        <v>0</v>
      </c>
      <c r="AU29" s="1">
        <v>1.73</v>
      </c>
      <c r="AV29" s="1">
        <v>8.5399999999999991</v>
      </c>
      <c r="AW29" s="1">
        <v>1.83</v>
      </c>
      <c r="AX29" s="1">
        <v>0</v>
      </c>
      <c r="AY29" s="1">
        <v>4.0999999999999996</v>
      </c>
      <c r="AZ29" s="1">
        <v>28.56</v>
      </c>
      <c r="BA29" s="1">
        <v>3.39</v>
      </c>
      <c r="BB29" s="1">
        <v>0</v>
      </c>
      <c r="BC29" s="1">
        <v>16.43</v>
      </c>
      <c r="BD29" s="1">
        <v>0</v>
      </c>
      <c r="BE29" s="1">
        <v>7.7</v>
      </c>
      <c r="BF29" s="1">
        <v>0</v>
      </c>
      <c r="BG29" s="1">
        <v>16.05</v>
      </c>
      <c r="BH29" s="1">
        <v>0</v>
      </c>
      <c r="BI29" s="1">
        <v>52.76</v>
      </c>
      <c r="BJ29" s="1">
        <v>21332.880000000001</v>
      </c>
      <c r="BK29" s="1">
        <v>123.82</v>
      </c>
      <c r="BL29" s="1">
        <v>161.6</v>
      </c>
      <c r="BM29" s="1">
        <v>23.01</v>
      </c>
      <c r="BN29" s="1">
        <v>90.94</v>
      </c>
      <c r="BO29" s="1">
        <v>5.94</v>
      </c>
      <c r="BP29" s="1">
        <v>62.05</v>
      </c>
      <c r="BQ29" s="1">
        <v>10.53</v>
      </c>
      <c r="BR29" s="1">
        <v>3862.88</v>
      </c>
      <c r="BS29" s="1">
        <v>43.54</v>
      </c>
      <c r="BT29" s="1">
        <v>3218.56</v>
      </c>
      <c r="BU29" s="1">
        <v>59.82</v>
      </c>
      <c r="BV29" s="1">
        <v>14662.34</v>
      </c>
      <c r="BW29" s="1">
        <v>150.29</v>
      </c>
      <c r="BX29" s="1">
        <v>157.63999999999999</v>
      </c>
      <c r="BY29" s="1">
        <v>94.67</v>
      </c>
      <c r="BZ29" s="1">
        <v>122.26</v>
      </c>
      <c r="CA29" s="1">
        <v>23.89</v>
      </c>
      <c r="CB29" s="1">
        <v>0</v>
      </c>
      <c r="CC29" s="1">
        <v>7.3</v>
      </c>
      <c r="CD29" s="1">
        <v>0</v>
      </c>
      <c r="CE29" s="1">
        <v>5.9</v>
      </c>
      <c r="CF29" s="1">
        <v>10.01</v>
      </c>
      <c r="CG29" s="1">
        <v>3.69</v>
      </c>
      <c r="CH29" s="1">
        <v>4.6900000000000004</v>
      </c>
      <c r="CI29" s="1">
        <v>2</v>
      </c>
      <c r="CJ29" s="1">
        <v>0</v>
      </c>
      <c r="CK29" s="1">
        <v>2.97</v>
      </c>
      <c r="CL29" s="1">
        <v>497515.88</v>
      </c>
      <c r="CM29" s="1">
        <v>1102.45</v>
      </c>
      <c r="CN29" s="1">
        <v>12.63</v>
      </c>
      <c r="CO29" s="1">
        <v>1</v>
      </c>
      <c r="CP29" s="1">
        <v>7.42</v>
      </c>
      <c r="CQ29" s="1">
        <v>1.88</v>
      </c>
      <c r="CR29" s="1">
        <v>0</v>
      </c>
      <c r="CS29" s="1">
        <v>1.5</v>
      </c>
      <c r="CT29" s="1">
        <v>0</v>
      </c>
      <c r="CU29" s="1">
        <v>1.5</v>
      </c>
      <c r="CV29" s="1">
        <v>0</v>
      </c>
      <c r="CW29" s="1">
        <v>1.5</v>
      </c>
      <c r="CX29" s="1">
        <v>62665.2</v>
      </c>
      <c r="CY29" s="1">
        <v>1172.94</v>
      </c>
      <c r="CZ29" s="1">
        <v>0</v>
      </c>
      <c r="DA29" s="1">
        <v>195.95</v>
      </c>
      <c r="DB29" s="1">
        <v>392675.09</v>
      </c>
      <c r="DC29" s="1">
        <v>1036.24</v>
      </c>
      <c r="DD29" s="1">
        <v>0</v>
      </c>
      <c r="DE29" s="1">
        <v>18.64</v>
      </c>
      <c r="DF29" s="1">
        <v>2390.25</v>
      </c>
      <c r="DG29" s="1">
        <v>982.21</v>
      </c>
      <c r="DH29" s="1">
        <v>0</v>
      </c>
      <c r="DI29" s="1">
        <v>8.81</v>
      </c>
      <c r="DJ29" s="1">
        <v>0</v>
      </c>
      <c r="DK29" s="1">
        <v>9.2899999999999991</v>
      </c>
      <c r="DL29" s="1">
        <v>0</v>
      </c>
      <c r="DM29" s="1">
        <v>19.8</v>
      </c>
      <c r="DN29" s="9">
        <v>48</v>
      </c>
      <c r="DO29" s="9" t="s">
        <v>294</v>
      </c>
      <c r="DP29" s="35">
        <v>0</v>
      </c>
      <c r="DQ29">
        <v>1.6264413409332561</v>
      </c>
      <c r="DR29">
        <v>106</v>
      </c>
      <c r="DS29" s="10">
        <v>0.78</v>
      </c>
      <c r="DT29" s="10">
        <v>0.15600000321865082</v>
      </c>
      <c r="DU29" s="10">
        <v>6.8600001335144043</v>
      </c>
      <c r="DV29" s="10">
        <v>8.6029024124145508</v>
      </c>
      <c r="DW29" t="s">
        <v>295</v>
      </c>
      <c r="DX29" s="10">
        <v>12.616306304931641</v>
      </c>
      <c r="DY29" s="10">
        <v>21.290018081665039</v>
      </c>
      <c r="DZ29" s="10">
        <v>54.013561248779297</v>
      </c>
      <c r="EA29" s="10">
        <v>75.303581237792969</v>
      </c>
      <c r="EB29" s="10">
        <v>11.827787399291992</v>
      </c>
      <c r="EC29" s="10">
        <v>0.25232613086700439</v>
      </c>
      <c r="ED29" s="10">
        <v>12.080113410949707</v>
      </c>
      <c r="EE29" s="10">
        <v>5.1103010177612305</v>
      </c>
      <c r="EF29" s="10">
        <v>0</v>
      </c>
    </row>
    <row r="30" spans="1:136" ht="15.75" customHeight="1" x14ac:dyDescent="0.3">
      <c r="A30" s="1" t="s">
        <v>194</v>
      </c>
      <c r="B30" s="2">
        <v>89</v>
      </c>
      <c r="C30" s="3">
        <v>44663.461111111108</v>
      </c>
      <c r="D30" s="1">
        <v>360.66</v>
      </c>
      <c r="E30" s="1">
        <v>10</v>
      </c>
      <c r="F30" s="1">
        <v>1.128E-5</v>
      </c>
      <c r="G30" s="1">
        <v>-8.4799999999999997E-7</v>
      </c>
      <c r="H30" s="1">
        <v>-4.3</v>
      </c>
      <c r="I30" s="1" t="s">
        <v>195</v>
      </c>
      <c r="J30" s="1" t="s">
        <v>168</v>
      </c>
      <c r="K30" s="1">
        <v>17.02</v>
      </c>
      <c r="L30" s="1">
        <v>68</v>
      </c>
      <c r="M30" s="1">
        <v>3</v>
      </c>
      <c r="N30" s="1">
        <v>6.9450000000000004E-6</v>
      </c>
      <c r="O30" s="1">
        <v>1.1850000000000001E-6</v>
      </c>
      <c r="P30" s="1">
        <v>9.68</v>
      </c>
      <c r="Q30" s="1" t="s">
        <v>196</v>
      </c>
      <c r="R30" s="1" t="s">
        <v>168</v>
      </c>
      <c r="S30" s="1">
        <v>0.66274970622796714</v>
      </c>
      <c r="T30" s="1">
        <v>0.40804935370152762</v>
      </c>
      <c r="U30" s="1">
        <f t="shared" si="3"/>
        <v>0.25470035252643952</v>
      </c>
      <c r="V30" s="1">
        <f t="shared" si="2"/>
        <v>38.430851063829792</v>
      </c>
      <c r="W30" s="1">
        <f t="shared" si="1"/>
        <v>0.25470035252643952</v>
      </c>
      <c r="X30" s="1">
        <v>970151.44</v>
      </c>
      <c r="Y30" s="1">
        <v>0</v>
      </c>
      <c r="Z30" s="1">
        <v>0</v>
      </c>
      <c r="AA30" s="1">
        <v>0</v>
      </c>
      <c r="AB30" s="1">
        <v>48907.02</v>
      </c>
      <c r="AC30" s="1">
        <v>0</v>
      </c>
      <c r="AD30" s="1">
        <v>0</v>
      </c>
      <c r="AE30" s="1">
        <v>1.6</v>
      </c>
      <c r="AF30" s="1">
        <v>50.37</v>
      </c>
      <c r="AG30" s="1">
        <v>1.26</v>
      </c>
      <c r="AH30" s="1">
        <v>11.11</v>
      </c>
      <c r="AI30" s="1">
        <v>0.69</v>
      </c>
      <c r="AJ30" s="1">
        <v>0</v>
      </c>
      <c r="AK30" s="1">
        <v>2.0099999999999998</v>
      </c>
      <c r="AL30" s="1">
        <v>9.7899999999999991</v>
      </c>
      <c r="AM30" s="1">
        <v>0.75</v>
      </c>
      <c r="AN30" s="1">
        <v>0</v>
      </c>
      <c r="AO30" s="1">
        <v>1.36</v>
      </c>
      <c r="AP30" s="1">
        <v>4.7300000000000004</v>
      </c>
      <c r="AQ30" s="1">
        <v>1.64</v>
      </c>
      <c r="AR30" s="1">
        <v>0</v>
      </c>
      <c r="AS30" s="1">
        <v>2.81</v>
      </c>
      <c r="AT30" s="1">
        <v>0</v>
      </c>
      <c r="AU30" s="1">
        <v>1.49</v>
      </c>
      <c r="AV30" s="1">
        <v>0</v>
      </c>
      <c r="AW30" s="1">
        <v>1.96</v>
      </c>
      <c r="AX30" s="1">
        <v>0</v>
      </c>
      <c r="AY30" s="1">
        <v>3.61</v>
      </c>
      <c r="AZ30" s="1">
        <v>9.5500000000000007</v>
      </c>
      <c r="BA30" s="1">
        <v>2.65</v>
      </c>
      <c r="BB30" s="1">
        <v>0</v>
      </c>
      <c r="BC30" s="1">
        <v>14.32</v>
      </c>
      <c r="BD30" s="1">
        <v>0</v>
      </c>
      <c r="BE30" s="1">
        <v>6.59</v>
      </c>
      <c r="BF30" s="1">
        <v>0</v>
      </c>
      <c r="BG30" s="1">
        <v>13.6</v>
      </c>
      <c r="BH30" s="1">
        <v>0</v>
      </c>
      <c r="BI30" s="1">
        <v>16.899999999999999</v>
      </c>
      <c r="BJ30" s="1">
        <v>1143.6400000000001</v>
      </c>
      <c r="BK30" s="1">
        <v>24.64</v>
      </c>
      <c r="BL30" s="1">
        <v>0</v>
      </c>
      <c r="BM30" s="1">
        <v>25.03</v>
      </c>
      <c r="BN30" s="1">
        <v>25.43</v>
      </c>
      <c r="BO30" s="1">
        <v>6.62</v>
      </c>
      <c r="BP30" s="1">
        <v>0</v>
      </c>
      <c r="BQ30" s="1">
        <v>6.01</v>
      </c>
      <c r="BR30" s="1">
        <v>518.74</v>
      </c>
      <c r="BS30" s="1">
        <v>14.31</v>
      </c>
      <c r="BT30" s="1">
        <v>140.12</v>
      </c>
      <c r="BU30" s="1">
        <v>21.39</v>
      </c>
      <c r="BV30" s="1">
        <v>4101.96</v>
      </c>
      <c r="BW30" s="1">
        <v>56.01</v>
      </c>
      <c r="BX30" s="1">
        <v>648.53</v>
      </c>
      <c r="BY30" s="1">
        <v>33.9</v>
      </c>
      <c r="BZ30" s="1">
        <v>0</v>
      </c>
      <c r="CA30" s="1">
        <v>26.05</v>
      </c>
      <c r="CB30" s="1">
        <v>0</v>
      </c>
      <c r="CC30" s="1">
        <v>6.79</v>
      </c>
      <c r="CD30" s="1">
        <v>0</v>
      </c>
      <c r="CE30" s="1">
        <v>5.44</v>
      </c>
      <c r="CF30" s="1">
        <v>0</v>
      </c>
      <c r="CG30" s="1">
        <v>4.88</v>
      </c>
      <c r="CH30" s="1">
        <v>0</v>
      </c>
      <c r="CI30" s="1">
        <v>4.1100000000000003</v>
      </c>
      <c r="CJ30" s="1">
        <v>4.59</v>
      </c>
      <c r="CK30" s="1">
        <v>1.84</v>
      </c>
      <c r="CL30" s="1">
        <v>514959.41</v>
      </c>
      <c r="CM30" s="1">
        <v>1016.38</v>
      </c>
      <c r="CN30" s="1">
        <v>0</v>
      </c>
      <c r="CO30" s="1">
        <v>1.5</v>
      </c>
      <c r="CP30" s="1">
        <v>0</v>
      </c>
      <c r="CQ30" s="1">
        <v>1.5</v>
      </c>
      <c r="CR30" s="1">
        <v>0</v>
      </c>
      <c r="CS30" s="1">
        <v>1.5</v>
      </c>
      <c r="CT30" s="1">
        <v>0</v>
      </c>
      <c r="CU30" s="1">
        <v>1.5</v>
      </c>
      <c r="CV30" s="1">
        <v>0</v>
      </c>
      <c r="CW30" s="1">
        <v>1.5</v>
      </c>
      <c r="CX30" s="1">
        <v>25876.73</v>
      </c>
      <c r="CY30" s="1">
        <v>751.16</v>
      </c>
      <c r="CZ30" s="1">
        <v>0</v>
      </c>
      <c r="DA30" s="1">
        <v>184.92</v>
      </c>
      <c r="DB30" s="1">
        <v>453341.78</v>
      </c>
      <c r="DC30" s="1">
        <v>1092.0899999999999</v>
      </c>
      <c r="DD30" s="1">
        <v>20.149999999999999</v>
      </c>
      <c r="DE30" s="1">
        <v>11.05</v>
      </c>
      <c r="DF30" s="1">
        <v>0</v>
      </c>
      <c r="DG30" s="1">
        <v>1780.87</v>
      </c>
      <c r="DH30" s="1">
        <v>0</v>
      </c>
      <c r="DI30" s="1">
        <v>3.28</v>
      </c>
      <c r="DJ30" s="1">
        <v>0</v>
      </c>
      <c r="DK30" s="1">
        <v>8.6</v>
      </c>
      <c r="DL30" s="1">
        <v>0</v>
      </c>
      <c r="DM30" s="1">
        <v>18.36</v>
      </c>
      <c r="DN30">
        <v>8</v>
      </c>
      <c r="DO30" s="15" t="s">
        <v>329</v>
      </c>
      <c r="DP30" s="35">
        <v>1</v>
      </c>
      <c r="DQ30" s="15">
        <v>1.375275901</v>
      </c>
      <c r="DR30" s="15">
        <v>10</v>
      </c>
      <c r="DS30" s="10">
        <v>9</v>
      </c>
      <c r="DT30" s="10">
        <v>1</v>
      </c>
      <c r="DU30" s="10">
        <v>6</v>
      </c>
      <c r="DV30" s="10">
        <v>1.6</v>
      </c>
      <c r="DW30" t="s">
        <v>346</v>
      </c>
      <c r="DX30" s="10">
        <v>1</v>
      </c>
      <c r="DY30" s="10">
        <v>1</v>
      </c>
      <c r="DZ30" s="10">
        <v>1</v>
      </c>
      <c r="EA30" s="10">
        <v>2</v>
      </c>
      <c r="EB30" s="10">
        <v>30</v>
      </c>
      <c r="EC30" s="10">
        <v>67</v>
      </c>
      <c r="ED30" s="10">
        <v>97</v>
      </c>
      <c r="EE30" s="10">
        <v>0</v>
      </c>
      <c r="EF30" s="10">
        <v>0</v>
      </c>
    </row>
    <row r="31" spans="1:136" ht="15.75" customHeight="1" x14ac:dyDescent="0.3">
      <c r="A31" s="1" t="s">
        <v>197</v>
      </c>
      <c r="B31" s="2">
        <v>94</v>
      </c>
      <c r="C31" s="3">
        <v>44663.488194444442</v>
      </c>
      <c r="D31" s="1">
        <v>361.34</v>
      </c>
      <c r="E31" s="1">
        <v>20</v>
      </c>
      <c r="F31" s="1">
        <v>1.0550000000000001E-5</v>
      </c>
      <c r="G31" s="1">
        <v>-1.4410000000000001E-6</v>
      </c>
      <c r="H31" s="1">
        <v>-7.78</v>
      </c>
      <c r="I31" s="1" t="s">
        <v>198</v>
      </c>
      <c r="J31" s="1" t="s">
        <v>168</v>
      </c>
      <c r="K31" s="1">
        <v>17.53</v>
      </c>
      <c r="L31" s="1">
        <v>65</v>
      </c>
      <c r="M31" s="1">
        <v>3</v>
      </c>
      <c r="N31" s="1">
        <v>8.7760000000000003E-6</v>
      </c>
      <c r="O31" s="1">
        <v>1.2669999999999999E-6</v>
      </c>
      <c r="P31" s="1">
        <v>8.2200000000000006</v>
      </c>
      <c r="Q31" s="1" t="s">
        <v>199</v>
      </c>
      <c r="R31" s="1" t="s">
        <v>168</v>
      </c>
      <c r="S31" s="1">
        <v>0.60182544209925837</v>
      </c>
      <c r="T31" s="1">
        <v>0.50062749572162002</v>
      </c>
      <c r="U31" s="1">
        <f t="shared" si="3"/>
        <v>0.10119794637763835</v>
      </c>
      <c r="V31" s="1">
        <f t="shared" si="2"/>
        <v>16.815165876777254</v>
      </c>
      <c r="W31" s="1">
        <f t="shared" si="1"/>
        <v>0.10119794637763835</v>
      </c>
      <c r="X31" s="1">
        <v>993023.75</v>
      </c>
      <c r="Y31" s="1">
        <v>0</v>
      </c>
      <c r="Z31" s="1">
        <v>1901.48</v>
      </c>
      <c r="AA31" s="1">
        <v>0</v>
      </c>
      <c r="AB31" s="1">
        <v>59358.64</v>
      </c>
      <c r="AC31" s="1">
        <v>0</v>
      </c>
      <c r="AD31" s="1">
        <v>0</v>
      </c>
      <c r="AE31" s="1">
        <v>1.66</v>
      </c>
      <c r="AF31" s="1">
        <v>121.19</v>
      </c>
      <c r="AG31" s="1">
        <v>1.73</v>
      </c>
      <c r="AH31" s="1">
        <v>12.13</v>
      </c>
      <c r="AI31" s="1">
        <v>0.71</v>
      </c>
      <c r="AJ31" s="1">
        <v>0</v>
      </c>
      <c r="AK31" s="1">
        <v>2.02</v>
      </c>
      <c r="AL31" s="1">
        <v>9.58</v>
      </c>
      <c r="AM31" s="1">
        <v>0.75</v>
      </c>
      <c r="AN31" s="1">
        <v>0</v>
      </c>
      <c r="AO31" s="1">
        <v>1.34</v>
      </c>
      <c r="AP31" s="1">
        <v>3.61</v>
      </c>
      <c r="AQ31" s="1">
        <v>1.6</v>
      </c>
      <c r="AR31" s="1">
        <v>0</v>
      </c>
      <c r="AS31" s="1">
        <v>2.8</v>
      </c>
      <c r="AT31" s="1">
        <v>0</v>
      </c>
      <c r="AU31" s="1">
        <v>1.47</v>
      </c>
      <c r="AV31" s="1">
        <v>0</v>
      </c>
      <c r="AW31" s="1">
        <v>1.94</v>
      </c>
      <c r="AX31" s="1">
        <v>0</v>
      </c>
      <c r="AY31" s="1">
        <v>3.64</v>
      </c>
      <c r="AZ31" s="1">
        <v>6.28</v>
      </c>
      <c r="BA31" s="1">
        <v>2.59</v>
      </c>
      <c r="BB31" s="1">
        <v>0</v>
      </c>
      <c r="BC31" s="1">
        <v>14.61</v>
      </c>
      <c r="BD31" s="1">
        <v>0</v>
      </c>
      <c r="BE31" s="1">
        <v>6.52</v>
      </c>
      <c r="BF31" s="1">
        <v>0</v>
      </c>
      <c r="BG31" s="1">
        <v>13.78</v>
      </c>
      <c r="BH31" s="1">
        <v>0</v>
      </c>
      <c r="BI31" s="1">
        <v>17.420000000000002</v>
      </c>
      <c r="BJ31" s="1">
        <v>1203.77</v>
      </c>
      <c r="BK31" s="1">
        <v>25.14</v>
      </c>
      <c r="BL31" s="1">
        <v>0</v>
      </c>
      <c r="BM31" s="1">
        <v>26.19</v>
      </c>
      <c r="BN31" s="1">
        <v>0</v>
      </c>
      <c r="BO31" s="1">
        <v>5.27</v>
      </c>
      <c r="BP31" s="1">
        <v>14.87</v>
      </c>
      <c r="BQ31" s="1">
        <v>4.42</v>
      </c>
      <c r="BR31" s="1">
        <v>641.16999999999996</v>
      </c>
      <c r="BS31" s="1">
        <v>15.61</v>
      </c>
      <c r="BT31" s="1">
        <v>247.36</v>
      </c>
      <c r="BU31" s="1">
        <v>22.89</v>
      </c>
      <c r="BV31" s="1">
        <v>4490.3999999999996</v>
      </c>
      <c r="BW31" s="1">
        <v>59.22</v>
      </c>
      <c r="BX31" s="1">
        <v>374.28</v>
      </c>
      <c r="BY31" s="1">
        <v>32.57</v>
      </c>
      <c r="BZ31" s="1">
        <v>37</v>
      </c>
      <c r="CA31" s="1">
        <v>20.69</v>
      </c>
      <c r="CB31" s="1">
        <v>0</v>
      </c>
      <c r="CC31" s="1">
        <v>6.65</v>
      </c>
      <c r="CD31" s="1">
        <v>0</v>
      </c>
      <c r="CE31" s="1">
        <v>8.69</v>
      </c>
      <c r="CF31" s="1">
        <v>0</v>
      </c>
      <c r="CG31" s="1">
        <v>6.14</v>
      </c>
      <c r="CH31" s="1">
        <v>0</v>
      </c>
      <c r="CI31" s="1">
        <v>3.98</v>
      </c>
      <c r="CJ31" s="1">
        <v>0</v>
      </c>
      <c r="CK31" s="1">
        <v>5.81</v>
      </c>
      <c r="CL31" s="1">
        <v>497170.72</v>
      </c>
      <c r="CM31" s="1">
        <v>1040.98</v>
      </c>
      <c r="CN31" s="1">
        <v>0</v>
      </c>
      <c r="CO31" s="1">
        <v>1.5</v>
      </c>
      <c r="CP31" s="1">
        <v>0</v>
      </c>
      <c r="CQ31" s="1">
        <v>1.5</v>
      </c>
      <c r="CR31" s="1">
        <v>0</v>
      </c>
      <c r="CS31" s="1">
        <v>1.5</v>
      </c>
      <c r="CT31" s="1">
        <v>0</v>
      </c>
      <c r="CU31" s="1">
        <v>1.5</v>
      </c>
      <c r="CV31" s="1">
        <v>0</v>
      </c>
      <c r="CW31" s="1">
        <v>1.5</v>
      </c>
      <c r="CX31" s="1">
        <v>31406.69</v>
      </c>
      <c r="CY31" s="1">
        <v>800.36</v>
      </c>
      <c r="CZ31" s="1">
        <v>0</v>
      </c>
      <c r="DA31" s="1">
        <v>188.57</v>
      </c>
      <c r="DB31" s="1">
        <v>464029.78</v>
      </c>
      <c r="DC31" s="1">
        <v>1094.5999999999999</v>
      </c>
      <c r="DD31" s="1">
        <v>0</v>
      </c>
      <c r="DE31" s="1">
        <v>15.76</v>
      </c>
      <c r="DF31" s="1">
        <v>0</v>
      </c>
      <c r="DG31" s="1">
        <v>1167.6300000000001</v>
      </c>
      <c r="DH31" s="1">
        <v>0</v>
      </c>
      <c r="DI31" s="1">
        <v>3.46</v>
      </c>
      <c r="DJ31" s="1">
        <v>0</v>
      </c>
      <c r="DK31" s="1">
        <v>8.39</v>
      </c>
      <c r="DL31" s="1">
        <v>0</v>
      </c>
      <c r="DM31" s="1">
        <v>17.93</v>
      </c>
      <c r="DN31" s="15">
        <v>5</v>
      </c>
      <c r="DO31" s="15" t="s">
        <v>327</v>
      </c>
      <c r="DP31" s="35">
        <v>1</v>
      </c>
      <c r="DQ31" s="15">
        <v>1.712331101</v>
      </c>
      <c r="DR31" s="15">
        <v>20</v>
      </c>
      <c r="DS31" s="10">
        <v>9</v>
      </c>
      <c r="DT31" s="10">
        <v>1</v>
      </c>
      <c r="DU31" s="10">
        <v>6</v>
      </c>
      <c r="DV31" s="10">
        <v>1.6</v>
      </c>
      <c r="DW31" t="s">
        <v>351</v>
      </c>
      <c r="DX31" s="10">
        <v>1</v>
      </c>
      <c r="DY31" s="10">
        <v>1</v>
      </c>
      <c r="DZ31" s="10">
        <v>1</v>
      </c>
      <c r="EA31" s="10">
        <v>2</v>
      </c>
      <c r="EB31" s="10">
        <v>30</v>
      </c>
      <c r="EC31" s="10">
        <v>67</v>
      </c>
      <c r="ED31" s="10">
        <v>97</v>
      </c>
      <c r="EE31" s="10">
        <v>0</v>
      </c>
      <c r="EF31" s="10">
        <v>0</v>
      </c>
    </row>
    <row r="32" spans="1:136" ht="15.75" customHeight="1" x14ac:dyDescent="0.3">
      <c r="A32" s="1" t="s">
        <v>200</v>
      </c>
      <c r="B32" s="2">
        <v>109</v>
      </c>
      <c r="C32" s="3">
        <v>44663.617361111108</v>
      </c>
      <c r="D32" s="1">
        <v>362.27</v>
      </c>
      <c r="E32" s="1">
        <v>50</v>
      </c>
      <c r="F32" s="1">
        <v>3.5619999999999999E-6</v>
      </c>
      <c r="G32" s="1">
        <v>8.8119999999999998E-8</v>
      </c>
      <c r="H32" s="1">
        <v>1.42</v>
      </c>
      <c r="I32" s="1" t="s">
        <v>201</v>
      </c>
      <c r="J32" s="1" t="s">
        <v>168</v>
      </c>
      <c r="K32" s="1">
        <v>16.940000000000001</v>
      </c>
      <c r="L32" s="1">
        <v>79</v>
      </c>
      <c r="M32" s="1">
        <v>3</v>
      </c>
      <c r="N32" s="1">
        <v>2.5809999999999999E-6</v>
      </c>
      <c r="O32" s="1">
        <v>6.6039999999999996E-7</v>
      </c>
      <c r="P32" s="1">
        <v>14.35</v>
      </c>
      <c r="Q32" s="1" t="s">
        <v>202</v>
      </c>
      <c r="R32" s="1" t="s">
        <v>168</v>
      </c>
      <c r="S32" s="1">
        <v>0.21027154663518299</v>
      </c>
      <c r="T32" s="1">
        <v>0.1523612750885478</v>
      </c>
      <c r="U32" s="1">
        <f t="shared" si="3"/>
        <v>5.7910271546635195E-2</v>
      </c>
      <c r="V32" s="1">
        <f t="shared" si="2"/>
        <v>27.540707467714771</v>
      </c>
      <c r="W32" s="1">
        <f t="shared" si="1"/>
        <v>5.7910271546635195E-2</v>
      </c>
      <c r="X32" s="1">
        <v>1035135.75</v>
      </c>
      <c r="Y32" s="1">
        <v>0</v>
      </c>
      <c r="Z32" s="1">
        <v>3696.97</v>
      </c>
      <c r="AA32" s="1">
        <v>0</v>
      </c>
      <c r="AB32" s="1">
        <v>63706.3</v>
      </c>
      <c r="AC32" s="1">
        <v>0</v>
      </c>
      <c r="AD32" s="1">
        <v>1.8</v>
      </c>
      <c r="AE32" s="1">
        <v>1.1299999999999999</v>
      </c>
      <c r="AF32" s="1">
        <v>106.04</v>
      </c>
      <c r="AG32" s="1">
        <v>1.68</v>
      </c>
      <c r="AH32" s="1">
        <v>18.579999999999998</v>
      </c>
      <c r="AI32" s="1">
        <v>0.82</v>
      </c>
      <c r="AJ32" s="1">
        <v>0</v>
      </c>
      <c r="AK32" s="1">
        <v>2.17</v>
      </c>
      <c r="AL32" s="1">
        <v>16.100000000000001</v>
      </c>
      <c r="AM32" s="1">
        <v>0.88</v>
      </c>
      <c r="AN32" s="1">
        <v>1.78</v>
      </c>
      <c r="AO32" s="1">
        <v>0.97</v>
      </c>
      <c r="AP32" s="1">
        <v>3.94</v>
      </c>
      <c r="AQ32" s="1">
        <v>1.66</v>
      </c>
      <c r="AR32" s="1">
        <v>0</v>
      </c>
      <c r="AS32" s="1">
        <v>2.95</v>
      </c>
      <c r="AT32" s="1">
        <v>0</v>
      </c>
      <c r="AU32" s="1">
        <v>1.58</v>
      </c>
      <c r="AV32" s="1">
        <v>0</v>
      </c>
      <c r="AW32" s="1">
        <v>1.99</v>
      </c>
      <c r="AX32" s="1">
        <v>0</v>
      </c>
      <c r="AY32" s="1">
        <v>3.73</v>
      </c>
      <c r="AZ32" s="1">
        <v>8.11</v>
      </c>
      <c r="BA32" s="1">
        <v>2.69</v>
      </c>
      <c r="BB32" s="1">
        <v>0</v>
      </c>
      <c r="BC32" s="1">
        <v>14.98</v>
      </c>
      <c r="BD32" s="1">
        <v>0</v>
      </c>
      <c r="BE32" s="1">
        <v>6.87</v>
      </c>
      <c r="BF32" s="1">
        <v>0</v>
      </c>
      <c r="BG32" s="1">
        <v>14.15</v>
      </c>
      <c r="BH32" s="1">
        <v>0</v>
      </c>
      <c r="BI32" s="1">
        <v>17.899999999999999</v>
      </c>
      <c r="BJ32" s="1">
        <v>1149.6400000000001</v>
      </c>
      <c r="BK32" s="1">
        <v>25.21</v>
      </c>
      <c r="BL32" s="1">
        <v>0</v>
      </c>
      <c r="BM32" s="1">
        <v>26.8</v>
      </c>
      <c r="BN32" s="1">
        <v>0</v>
      </c>
      <c r="BO32" s="1">
        <v>5.23</v>
      </c>
      <c r="BP32" s="1">
        <v>0</v>
      </c>
      <c r="BQ32" s="1">
        <v>6.89</v>
      </c>
      <c r="BR32" s="1">
        <v>784.39</v>
      </c>
      <c r="BS32" s="1">
        <v>16.920000000000002</v>
      </c>
      <c r="BT32" s="1">
        <v>199.02</v>
      </c>
      <c r="BU32" s="1">
        <v>22.78</v>
      </c>
      <c r="BV32" s="1">
        <v>5033.63</v>
      </c>
      <c r="BW32" s="1">
        <v>61.93</v>
      </c>
      <c r="BX32" s="1">
        <v>129.37</v>
      </c>
      <c r="BY32" s="1">
        <v>31.24</v>
      </c>
      <c r="BZ32" s="1">
        <v>64.819999999999993</v>
      </c>
      <c r="CA32" s="1">
        <v>21.39</v>
      </c>
      <c r="CB32" s="1">
        <v>0</v>
      </c>
      <c r="CC32" s="1">
        <v>6.6</v>
      </c>
      <c r="CD32" s="1">
        <v>0</v>
      </c>
      <c r="CE32" s="1">
        <v>5.29</v>
      </c>
      <c r="CF32" s="1">
        <v>0</v>
      </c>
      <c r="CG32" s="1">
        <v>6.13</v>
      </c>
      <c r="CH32" s="1">
        <v>3.01</v>
      </c>
      <c r="CI32" s="1">
        <v>1.8</v>
      </c>
      <c r="CJ32" s="1">
        <v>0</v>
      </c>
      <c r="CK32" s="1">
        <v>5.76</v>
      </c>
      <c r="CL32" s="1">
        <v>473969.38</v>
      </c>
      <c r="CM32" s="1">
        <v>1088.3</v>
      </c>
      <c r="CN32" s="1">
        <v>0</v>
      </c>
      <c r="CO32" s="1">
        <v>1.5</v>
      </c>
      <c r="CP32" s="1">
        <v>0</v>
      </c>
      <c r="CQ32" s="1">
        <v>1.5</v>
      </c>
      <c r="CR32" s="1">
        <v>0</v>
      </c>
      <c r="CS32" s="1">
        <v>1.5</v>
      </c>
      <c r="CT32" s="1">
        <v>0</v>
      </c>
      <c r="CU32" s="1">
        <v>1.5</v>
      </c>
      <c r="CV32" s="1">
        <v>0</v>
      </c>
      <c r="CW32" s="1">
        <v>1.5</v>
      </c>
      <c r="CX32" s="1">
        <v>33707.040000000001</v>
      </c>
      <c r="CY32" s="1">
        <v>833.31</v>
      </c>
      <c r="CZ32" s="1">
        <v>0</v>
      </c>
      <c r="DA32" s="1">
        <v>192.97</v>
      </c>
      <c r="DB32" s="1">
        <v>483708.28</v>
      </c>
      <c r="DC32" s="1">
        <v>1128.92</v>
      </c>
      <c r="DD32" s="1">
        <v>0</v>
      </c>
      <c r="DE32" s="1">
        <v>15.7</v>
      </c>
      <c r="DF32" s="1">
        <v>2227.09</v>
      </c>
      <c r="DG32" s="1">
        <v>808.06</v>
      </c>
      <c r="DH32" s="1">
        <v>0</v>
      </c>
      <c r="DI32" s="1">
        <v>3.36</v>
      </c>
      <c r="DJ32" s="1">
        <v>0</v>
      </c>
      <c r="DK32" s="1">
        <v>8.3800000000000008</v>
      </c>
      <c r="DL32" s="1">
        <v>0</v>
      </c>
      <c r="DM32" s="1">
        <v>17.82</v>
      </c>
      <c r="DN32" s="15">
        <v>7</v>
      </c>
      <c r="DO32" s="15" t="s">
        <v>312</v>
      </c>
      <c r="DP32" s="35">
        <v>1</v>
      </c>
      <c r="DQ32" s="16">
        <v>1.7524460319999999</v>
      </c>
      <c r="DR32">
        <v>50</v>
      </c>
      <c r="DS32" s="10">
        <v>0</v>
      </c>
      <c r="DT32" s="10">
        <v>0</v>
      </c>
      <c r="DU32" s="10">
        <v>6</v>
      </c>
      <c r="DV32" s="10">
        <v>1.6</v>
      </c>
      <c r="DW32" t="s">
        <v>354</v>
      </c>
      <c r="DX32" s="10">
        <v>1</v>
      </c>
      <c r="DY32" s="10">
        <v>1</v>
      </c>
      <c r="DZ32" s="10">
        <v>1</v>
      </c>
      <c r="EA32" s="10">
        <v>2</v>
      </c>
      <c r="EB32" s="10">
        <v>30</v>
      </c>
      <c r="EC32" s="10">
        <v>67</v>
      </c>
      <c r="ED32" s="10">
        <v>97</v>
      </c>
      <c r="EE32" s="10">
        <v>0</v>
      </c>
      <c r="EF32" s="10">
        <v>0</v>
      </c>
    </row>
    <row r="33" spans="1:136" ht="15.75" customHeight="1" x14ac:dyDescent="0.3">
      <c r="A33" s="1" t="s">
        <v>203</v>
      </c>
      <c r="B33" s="2">
        <v>119</v>
      </c>
      <c r="C33" s="3">
        <v>44663.686805555553</v>
      </c>
      <c r="D33" s="1">
        <v>362.13</v>
      </c>
      <c r="E33" s="1">
        <v>70</v>
      </c>
      <c r="F33" s="1">
        <v>3.7249999999999999E-6</v>
      </c>
      <c r="G33" s="1">
        <v>1.2500000000000001E-6</v>
      </c>
      <c r="H33" s="1">
        <v>18.559999999999999</v>
      </c>
      <c r="I33" s="1" t="s">
        <v>204</v>
      </c>
      <c r="J33" s="1" t="s">
        <v>168</v>
      </c>
      <c r="K33" s="1">
        <v>17.260000000000002</v>
      </c>
      <c r="L33" s="1">
        <v>84</v>
      </c>
      <c r="M33" s="1">
        <v>3</v>
      </c>
      <c r="N33" s="1">
        <v>1.392E-6</v>
      </c>
      <c r="O33" s="1">
        <v>5.3239999999999998E-7</v>
      </c>
      <c r="P33" s="1">
        <v>20.93</v>
      </c>
      <c r="Q33" s="1" t="s">
        <v>205</v>
      </c>
      <c r="R33" s="1" t="s">
        <v>168</v>
      </c>
      <c r="S33" s="1">
        <v>0.21581691772885281</v>
      </c>
      <c r="T33" s="1">
        <v>8.0648899188875994E-2</v>
      </c>
      <c r="U33" s="1">
        <f t="shared" si="3"/>
        <v>0.13516801853997681</v>
      </c>
      <c r="V33" s="1">
        <f t="shared" si="2"/>
        <v>62.630872483221474</v>
      </c>
      <c r="W33" s="1">
        <f t="shared" si="1"/>
        <v>0.13516801853997681</v>
      </c>
      <c r="X33" s="1">
        <v>1087543.75</v>
      </c>
      <c r="Y33" s="1">
        <v>0</v>
      </c>
      <c r="Z33" s="1">
        <v>1785.27</v>
      </c>
      <c r="AA33" s="1">
        <v>0</v>
      </c>
      <c r="AB33" s="1">
        <v>30473.5</v>
      </c>
      <c r="AC33" s="1">
        <v>0</v>
      </c>
      <c r="AD33" s="1">
        <v>3.21</v>
      </c>
      <c r="AE33" s="1">
        <v>1.0900000000000001</v>
      </c>
      <c r="AF33" s="1">
        <v>61.62</v>
      </c>
      <c r="AG33" s="1">
        <v>1.36</v>
      </c>
      <c r="AH33" s="1">
        <v>17.82</v>
      </c>
      <c r="AI33" s="1">
        <v>0.79</v>
      </c>
      <c r="AJ33" s="1">
        <v>0</v>
      </c>
      <c r="AK33" s="1">
        <v>2.02</v>
      </c>
      <c r="AL33" s="1">
        <v>12.16</v>
      </c>
      <c r="AM33" s="1">
        <v>0.79</v>
      </c>
      <c r="AN33" s="1">
        <v>0</v>
      </c>
      <c r="AO33" s="1">
        <v>1.38</v>
      </c>
      <c r="AP33" s="1">
        <v>2.85</v>
      </c>
      <c r="AQ33" s="1">
        <v>1.58</v>
      </c>
      <c r="AR33" s="1">
        <v>0</v>
      </c>
      <c r="AS33" s="1">
        <v>2.8</v>
      </c>
      <c r="AT33" s="1">
        <v>0</v>
      </c>
      <c r="AU33" s="1">
        <v>1.48</v>
      </c>
      <c r="AV33" s="1">
        <v>0</v>
      </c>
      <c r="AW33" s="1">
        <v>1.84</v>
      </c>
      <c r="AX33" s="1">
        <v>0</v>
      </c>
      <c r="AY33" s="1">
        <v>3.58</v>
      </c>
      <c r="AZ33" s="1">
        <v>0</v>
      </c>
      <c r="BA33" s="1">
        <v>3.64</v>
      </c>
      <c r="BB33" s="1">
        <v>0</v>
      </c>
      <c r="BC33" s="1">
        <v>14.22</v>
      </c>
      <c r="BD33" s="1">
        <v>0</v>
      </c>
      <c r="BE33" s="1">
        <v>6.52</v>
      </c>
      <c r="BF33" s="1">
        <v>0</v>
      </c>
      <c r="BG33" s="1">
        <v>13.66</v>
      </c>
      <c r="BH33" s="1">
        <v>0</v>
      </c>
      <c r="BI33" s="1">
        <v>13.38</v>
      </c>
      <c r="BJ33" s="1">
        <v>274.88</v>
      </c>
      <c r="BK33" s="1">
        <v>15.44</v>
      </c>
      <c r="BL33" s="1">
        <v>0</v>
      </c>
      <c r="BM33" s="1">
        <v>25.57</v>
      </c>
      <c r="BN33" s="1">
        <v>0</v>
      </c>
      <c r="BO33" s="1">
        <v>5.2</v>
      </c>
      <c r="BP33" s="1">
        <v>8.09</v>
      </c>
      <c r="BQ33" s="1">
        <v>4.1900000000000004</v>
      </c>
      <c r="BR33" s="1">
        <v>333.13</v>
      </c>
      <c r="BS33" s="1">
        <v>13.94</v>
      </c>
      <c r="BT33" s="1">
        <v>100.88</v>
      </c>
      <c r="BU33" s="1">
        <v>21.25</v>
      </c>
      <c r="BV33" s="1">
        <v>3623.69</v>
      </c>
      <c r="BW33" s="1">
        <v>54.45</v>
      </c>
      <c r="BX33" s="1">
        <v>126.96</v>
      </c>
      <c r="BY33" s="1">
        <v>52.25</v>
      </c>
      <c r="BZ33" s="1">
        <v>66.52</v>
      </c>
      <c r="CA33" s="1">
        <v>20.43</v>
      </c>
      <c r="CB33" s="1">
        <v>0</v>
      </c>
      <c r="CC33" s="1">
        <v>6.4</v>
      </c>
      <c r="CD33" s="1">
        <v>0</v>
      </c>
      <c r="CE33" s="1">
        <v>5.13</v>
      </c>
      <c r="CF33" s="1">
        <v>0</v>
      </c>
      <c r="CG33" s="1">
        <v>5.94</v>
      </c>
      <c r="CH33" s="1">
        <v>0</v>
      </c>
      <c r="CI33" s="1">
        <v>2.5499999999999998</v>
      </c>
      <c r="CJ33" s="1">
        <v>0</v>
      </c>
      <c r="CK33" s="1">
        <v>2.6</v>
      </c>
      <c r="CL33" s="1">
        <v>471236.16</v>
      </c>
      <c r="CM33" s="1">
        <v>983.42</v>
      </c>
      <c r="CN33" s="1">
        <v>0</v>
      </c>
      <c r="CO33" s="1">
        <v>1.5</v>
      </c>
      <c r="CP33" s="1">
        <v>0</v>
      </c>
      <c r="CQ33" s="1">
        <v>1.5</v>
      </c>
      <c r="CR33" s="1">
        <v>0</v>
      </c>
      <c r="CS33" s="1">
        <v>1.5</v>
      </c>
      <c r="CT33" s="1">
        <v>0</v>
      </c>
      <c r="CU33" s="1">
        <v>1.5</v>
      </c>
      <c r="CV33" s="1">
        <v>0</v>
      </c>
      <c r="CW33" s="1">
        <v>1.5</v>
      </c>
      <c r="CX33" s="1">
        <v>16123.54</v>
      </c>
      <c r="CY33" s="1">
        <v>703.5</v>
      </c>
      <c r="CZ33" s="1">
        <v>0</v>
      </c>
      <c r="DA33" s="1">
        <v>196.23</v>
      </c>
      <c r="DB33" s="1">
        <v>508198</v>
      </c>
      <c r="DC33" s="1">
        <v>1085.42</v>
      </c>
      <c r="DD33" s="1">
        <v>55.69</v>
      </c>
      <c r="DE33" s="1">
        <v>11.12</v>
      </c>
      <c r="DF33" s="1">
        <v>0</v>
      </c>
      <c r="DG33" s="1">
        <v>1178.6600000000001</v>
      </c>
      <c r="DH33" s="1">
        <v>0</v>
      </c>
      <c r="DI33" s="1">
        <v>3.28</v>
      </c>
      <c r="DJ33" s="1">
        <v>0</v>
      </c>
      <c r="DK33" s="1">
        <v>8.1199999999999992</v>
      </c>
      <c r="DL33" s="1">
        <v>0</v>
      </c>
      <c r="DM33" s="1">
        <v>17.34</v>
      </c>
      <c r="DN33" s="16">
        <v>3</v>
      </c>
      <c r="DO33" s="15" t="s">
        <v>212</v>
      </c>
      <c r="DP33" s="35">
        <v>1</v>
      </c>
      <c r="DQ33" s="16">
        <v>1.637824269</v>
      </c>
      <c r="DR33">
        <v>75</v>
      </c>
      <c r="DS33" s="10">
        <v>0</v>
      </c>
      <c r="DT33" s="10">
        <v>0</v>
      </c>
      <c r="DU33" s="10">
        <v>6</v>
      </c>
      <c r="DV33" s="10">
        <v>1.6</v>
      </c>
      <c r="DW33" t="s">
        <v>355</v>
      </c>
      <c r="DX33" s="10">
        <v>1</v>
      </c>
      <c r="DY33" s="10">
        <v>1</v>
      </c>
      <c r="DZ33" s="10">
        <v>1</v>
      </c>
      <c r="EA33" s="10">
        <v>2</v>
      </c>
      <c r="EB33" s="10">
        <v>30</v>
      </c>
      <c r="EC33" s="10">
        <v>67</v>
      </c>
      <c r="ED33" s="10">
        <v>97</v>
      </c>
      <c r="EE33" s="10">
        <v>0</v>
      </c>
      <c r="EF33" s="10">
        <v>0</v>
      </c>
    </row>
    <row r="34" spans="1:136" ht="15.75" customHeight="1" x14ac:dyDescent="0.3">
      <c r="A34" s="1" t="s">
        <v>206</v>
      </c>
      <c r="B34" s="2">
        <v>123</v>
      </c>
      <c r="C34" s="3">
        <v>44663.709722222222</v>
      </c>
      <c r="D34" s="1">
        <v>360.77</v>
      </c>
      <c r="E34" s="1">
        <v>78</v>
      </c>
      <c r="F34" s="1">
        <v>1.011E-5</v>
      </c>
      <c r="G34" s="1">
        <v>1.3039999999999999E-6</v>
      </c>
      <c r="H34" s="1">
        <v>7.35</v>
      </c>
      <c r="I34" s="1" t="s">
        <v>207</v>
      </c>
      <c r="J34" s="1" t="s">
        <v>168</v>
      </c>
      <c r="K34" s="1">
        <v>17.43</v>
      </c>
      <c r="L34" s="1">
        <v>70</v>
      </c>
      <c r="M34" s="1">
        <v>3</v>
      </c>
      <c r="N34" s="1">
        <v>8.9509999999999995E-6</v>
      </c>
      <c r="O34" s="1">
        <v>5.5290000000000003E-7</v>
      </c>
      <c r="P34" s="1">
        <v>3.53</v>
      </c>
      <c r="Q34" s="1" t="s">
        <v>208</v>
      </c>
      <c r="R34" s="1" t="s">
        <v>168</v>
      </c>
      <c r="S34" s="1">
        <v>0.58003442340791733</v>
      </c>
      <c r="T34" s="1">
        <v>0.51353987378083754</v>
      </c>
      <c r="U34" s="1">
        <f t="shared" si="3"/>
        <v>6.6494549627079791E-2</v>
      </c>
      <c r="V34" s="1">
        <f t="shared" si="2"/>
        <v>11.463897131552928</v>
      </c>
      <c r="W34" s="1">
        <f t="shared" si="1"/>
        <v>6.6494549627079791E-2</v>
      </c>
      <c r="X34" s="1">
        <v>1065756</v>
      </c>
      <c r="Y34" s="1">
        <v>0</v>
      </c>
      <c r="Z34" s="1">
        <v>3340.17</v>
      </c>
      <c r="AA34" s="1">
        <v>0</v>
      </c>
      <c r="AB34" s="1">
        <v>48412.71</v>
      </c>
      <c r="AC34" s="1">
        <v>0</v>
      </c>
      <c r="AD34" s="1">
        <v>7.51</v>
      </c>
      <c r="AE34" s="1">
        <v>1.26</v>
      </c>
      <c r="AF34" s="1">
        <v>319</v>
      </c>
      <c r="AG34" s="1">
        <v>2.6</v>
      </c>
      <c r="AH34" s="1">
        <v>20.51</v>
      </c>
      <c r="AI34" s="1">
        <v>0.83</v>
      </c>
      <c r="AJ34" s="1">
        <v>0</v>
      </c>
      <c r="AK34" s="1">
        <v>2.16</v>
      </c>
      <c r="AL34" s="1">
        <v>15.04</v>
      </c>
      <c r="AM34" s="1">
        <v>0.85</v>
      </c>
      <c r="AN34" s="1">
        <v>0</v>
      </c>
      <c r="AO34" s="1">
        <v>1.39</v>
      </c>
      <c r="AP34" s="1">
        <v>3.89</v>
      </c>
      <c r="AQ34" s="1">
        <v>1.64</v>
      </c>
      <c r="AR34" s="1">
        <v>0</v>
      </c>
      <c r="AS34" s="1">
        <v>2.85</v>
      </c>
      <c r="AT34" s="1">
        <v>0</v>
      </c>
      <c r="AU34" s="1">
        <v>1.51</v>
      </c>
      <c r="AV34" s="1">
        <v>0</v>
      </c>
      <c r="AW34" s="1">
        <v>1.93</v>
      </c>
      <c r="AX34" s="1">
        <v>0</v>
      </c>
      <c r="AY34" s="1">
        <v>3.57</v>
      </c>
      <c r="AZ34" s="1">
        <v>7.2</v>
      </c>
      <c r="BA34" s="1">
        <v>2.57</v>
      </c>
      <c r="BB34" s="1">
        <v>0</v>
      </c>
      <c r="BC34" s="1">
        <v>14</v>
      </c>
      <c r="BD34" s="1">
        <v>0</v>
      </c>
      <c r="BE34" s="1">
        <v>6.71</v>
      </c>
      <c r="BF34" s="1">
        <v>0</v>
      </c>
      <c r="BG34" s="1">
        <v>13.64</v>
      </c>
      <c r="BH34" s="1">
        <v>0</v>
      </c>
      <c r="BI34" s="1">
        <v>16.18</v>
      </c>
      <c r="BJ34" s="1">
        <v>877.91</v>
      </c>
      <c r="BK34" s="1">
        <v>22.09</v>
      </c>
      <c r="BL34" s="1">
        <v>0</v>
      </c>
      <c r="BM34" s="1">
        <v>25.64</v>
      </c>
      <c r="BN34" s="1">
        <v>27.54</v>
      </c>
      <c r="BO34" s="1">
        <v>3.68</v>
      </c>
      <c r="BP34" s="1">
        <v>0</v>
      </c>
      <c r="BQ34" s="1">
        <v>7.53</v>
      </c>
      <c r="BR34" s="1">
        <v>1223.55</v>
      </c>
      <c r="BS34" s="1">
        <v>19.59</v>
      </c>
      <c r="BT34" s="1">
        <v>277.29000000000002</v>
      </c>
      <c r="BU34" s="1">
        <v>24.39</v>
      </c>
      <c r="BV34" s="1">
        <v>7103.44</v>
      </c>
      <c r="BW34" s="1">
        <v>71.41</v>
      </c>
      <c r="BX34" s="1">
        <v>102.49</v>
      </c>
      <c r="BY34" s="1">
        <v>32.33</v>
      </c>
      <c r="BZ34" s="1">
        <v>0</v>
      </c>
      <c r="CA34" s="1">
        <v>25.22</v>
      </c>
      <c r="CB34" s="1">
        <v>0</v>
      </c>
      <c r="CC34" s="1">
        <v>6.56</v>
      </c>
      <c r="CD34" s="1">
        <v>0</v>
      </c>
      <c r="CE34" s="1">
        <v>5.23</v>
      </c>
      <c r="CF34" s="1">
        <v>0</v>
      </c>
      <c r="CG34" s="1">
        <v>6.06</v>
      </c>
      <c r="CH34" s="1">
        <v>0</v>
      </c>
      <c r="CI34" s="1">
        <v>3.97</v>
      </c>
      <c r="CJ34" s="1">
        <v>0</v>
      </c>
      <c r="CK34" s="1">
        <v>5.68</v>
      </c>
      <c r="CL34" s="1">
        <v>466172.15999999997</v>
      </c>
      <c r="CM34" s="1">
        <v>1041.51</v>
      </c>
      <c r="CN34" s="1">
        <v>2.02</v>
      </c>
      <c r="CO34" s="1">
        <v>1</v>
      </c>
      <c r="CP34" s="1">
        <v>0</v>
      </c>
      <c r="CQ34" s="1">
        <v>1.5</v>
      </c>
      <c r="CR34" s="1">
        <v>0</v>
      </c>
      <c r="CS34" s="1">
        <v>1.5</v>
      </c>
      <c r="CT34" s="1">
        <v>0</v>
      </c>
      <c r="CU34" s="1">
        <v>1.5</v>
      </c>
      <c r="CV34" s="1">
        <v>0</v>
      </c>
      <c r="CW34" s="1">
        <v>1.5</v>
      </c>
      <c r="CX34" s="1">
        <v>25615.19</v>
      </c>
      <c r="CY34" s="1">
        <v>811.91</v>
      </c>
      <c r="CZ34" s="1">
        <v>0</v>
      </c>
      <c r="DA34" s="1">
        <v>204.49</v>
      </c>
      <c r="DB34" s="1">
        <v>498016.81</v>
      </c>
      <c r="DC34" s="1">
        <v>1127.05</v>
      </c>
      <c r="DD34" s="1">
        <v>0</v>
      </c>
      <c r="DE34" s="1">
        <v>16.170000000000002</v>
      </c>
      <c r="DF34" s="1">
        <v>2012.15</v>
      </c>
      <c r="DG34" s="1">
        <v>846.21</v>
      </c>
      <c r="DH34" s="1">
        <v>0</v>
      </c>
      <c r="DI34" s="1">
        <v>3.54</v>
      </c>
      <c r="DJ34" s="1">
        <v>0</v>
      </c>
      <c r="DK34" s="1">
        <v>8.27</v>
      </c>
      <c r="DL34" s="1">
        <v>0</v>
      </c>
      <c r="DM34" s="1">
        <v>17.64</v>
      </c>
      <c r="DN34" s="16">
        <v>3</v>
      </c>
      <c r="DO34" s="15" t="s">
        <v>212</v>
      </c>
      <c r="DP34" s="35">
        <v>1</v>
      </c>
      <c r="DQ34" s="16">
        <v>1.637824269</v>
      </c>
      <c r="DR34">
        <v>75</v>
      </c>
      <c r="DS34" s="10">
        <v>0</v>
      </c>
      <c r="DT34" s="10">
        <v>0</v>
      </c>
      <c r="DU34" s="10">
        <v>6</v>
      </c>
      <c r="DV34" s="10">
        <v>1.6</v>
      </c>
      <c r="DW34" t="s">
        <v>356</v>
      </c>
      <c r="DX34" s="10">
        <v>1</v>
      </c>
      <c r="DY34" s="10">
        <v>1</v>
      </c>
      <c r="DZ34" s="10">
        <v>1</v>
      </c>
      <c r="EA34" s="10">
        <v>2</v>
      </c>
      <c r="EB34" s="10">
        <v>30</v>
      </c>
      <c r="EC34" s="10">
        <v>67</v>
      </c>
      <c r="ED34" s="10">
        <v>97</v>
      </c>
      <c r="EE34" s="10">
        <v>0</v>
      </c>
      <c r="EF34" s="10">
        <v>0</v>
      </c>
    </row>
    <row r="35" spans="1:136" ht="15.75" customHeight="1" x14ac:dyDescent="0.3">
      <c r="A35" s="1" t="s">
        <v>209</v>
      </c>
      <c r="B35" s="2">
        <v>141</v>
      </c>
      <c r="C35" s="3">
        <v>44664.44027777778</v>
      </c>
      <c r="D35" s="1">
        <v>361.48</v>
      </c>
      <c r="E35" s="1">
        <v>114</v>
      </c>
      <c r="F35" s="1">
        <v>2.729E-6</v>
      </c>
      <c r="G35" s="1">
        <v>-2.1260000000000001E-6</v>
      </c>
      <c r="H35" s="1">
        <v>-37.92</v>
      </c>
      <c r="I35" s="1" t="s">
        <v>210</v>
      </c>
      <c r="J35" s="1" t="s">
        <v>193</v>
      </c>
      <c r="K35" s="1">
        <v>16.97</v>
      </c>
      <c r="L35" s="1">
        <v>143</v>
      </c>
      <c r="M35" s="1">
        <v>3</v>
      </c>
      <c r="N35" s="1">
        <v>2.526E-6</v>
      </c>
      <c r="O35" s="1">
        <v>2.161E-8</v>
      </c>
      <c r="P35" s="1">
        <v>0.49</v>
      </c>
      <c r="Q35" s="1" t="s">
        <v>211</v>
      </c>
      <c r="R35" s="1" t="s">
        <v>193</v>
      </c>
      <c r="S35" s="1">
        <v>0.1608131997642899</v>
      </c>
      <c r="T35" s="1">
        <v>0.14885091337654691</v>
      </c>
      <c r="U35" s="1">
        <f t="shared" ref="U35:U39" si="4">S35-T35</f>
        <v>1.1962286387742993E-2</v>
      </c>
      <c r="V35" s="1">
        <f t="shared" si="2"/>
        <v>7.4386222059361895</v>
      </c>
      <c r="W35" s="1">
        <f t="shared" si="1"/>
        <v>1.1962286387742993E-2</v>
      </c>
      <c r="X35" s="1">
        <v>1016197</v>
      </c>
      <c r="Y35" s="1">
        <v>0</v>
      </c>
      <c r="Z35" s="1">
        <v>1788.52</v>
      </c>
      <c r="AA35" s="1">
        <v>0</v>
      </c>
      <c r="AB35" s="1">
        <v>54705.38</v>
      </c>
      <c r="AC35" s="1">
        <v>0</v>
      </c>
      <c r="AD35" s="1">
        <v>0</v>
      </c>
      <c r="AE35" s="1">
        <v>1.58</v>
      </c>
      <c r="AF35" s="1">
        <v>43.12</v>
      </c>
      <c r="AG35" s="1">
        <v>1.19</v>
      </c>
      <c r="AH35" s="1">
        <v>11.54</v>
      </c>
      <c r="AI35" s="1">
        <v>0.69</v>
      </c>
      <c r="AJ35" s="1">
        <v>0</v>
      </c>
      <c r="AK35" s="1">
        <v>1.94</v>
      </c>
      <c r="AL35" s="1">
        <v>10.050000000000001</v>
      </c>
      <c r="AM35" s="1">
        <v>0.74</v>
      </c>
      <c r="AN35" s="1">
        <v>0</v>
      </c>
      <c r="AO35" s="1">
        <v>1.3</v>
      </c>
      <c r="AP35" s="1">
        <v>3.53</v>
      </c>
      <c r="AQ35" s="1">
        <v>1.57</v>
      </c>
      <c r="AR35" s="1">
        <v>0</v>
      </c>
      <c r="AS35" s="1">
        <v>2.74</v>
      </c>
      <c r="AT35" s="1">
        <v>0</v>
      </c>
      <c r="AU35" s="1">
        <v>1.45</v>
      </c>
      <c r="AV35" s="1">
        <v>0</v>
      </c>
      <c r="AW35" s="1">
        <v>1.82</v>
      </c>
      <c r="AX35" s="1">
        <v>0</v>
      </c>
      <c r="AY35" s="1">
        <v>3.49</v>
      </c>
      <c r="AZ35" s="1">
        <v>4.74</v>
      </c>
      <c r="BA35" s="1">
        <v>2.5</v>
      </c>
      <c r="BB35" s="1">
        <v>0</v>
      </c>
      <c r="BC35" s="1">
        <v>14.2</v>
      </c>
      <c r="BD35" s="1">
        <v>0</v>
      </c>
      <c r="BE35" s="1">
        <v>6.56</v>
      </c>
      <c r="BF35" s="1">
        <v>0</v>
      </c>
      <c r="BG35" s="1">
        <v>13.43</v>
      </c>
      <c r="BH35" s="1">
        <v>0</v>
      </c>
      <c r="BI35" s="1">
        <v>16.420000000000002</v>
      </c>
      <c r="BJ35" s="1">
        <v>1000.67</v>
      </c>
      <c r="BK35" s="1">
        <v>23.05</v>
      </c>
      <c r="BL35" s="1">
        <v>0</v>
      </c>
      <c r="BM35" s="1">
        <v>25.19</v>
      </c>
      <c r="BN35" s="1">
        <v>0</v>
      </c>
      <c r="BO35" s="1">
        <v>5.05</v>
      </c>
      <c r="BP35" s="1">
        <v>0</v>
      </c>
      <c r="BQ35" s="1">
        <v>6.46</v>
      </c>
      <c r="BR35" s="1">
        <v>397.96</v>
      </c>
      <c r="BS35" s="1">
        <v>14.77</v>
      </c>
      <c r="BT35" s="1">
        <v>0</v>
      </c>
      <c r="BU35" s="1">
        <v>30.49</v>
      </c>
      <c r="BV35" s="1">
        <v>4209.08</v>
      </c>
      <c r="BW35" s="1">
        <v>57.51</v>
      </c>
      <c r="BX35" s="1">
        <v>107.81</v>
      </c>
      <c r="BY35" s="1">
        <v>31.33</v>
      </c>
      <c r="BZ35" s="1">
        <v>0</v>
      </c>
      <c r="CA35" s="1">
        <v>25.28</v>
      </c>
      <c r="CB35" s="1">
        <v>0</v>
      </c>
      <c r="CC35" s="1">
        <v>8.5500000000000007</v>
      </c>
      <c r="CD35" s="1">
        <v>0</v>
      </c>
      <c r="CE35" s="1">
        <v>5.28</v>
      </c>
      <c r="CF35" s="1">
        <v>0</v>
      </c>
      <c r="CG35" s="1">
        <v>4.8</v>
      </c>
      <c r="CH35" s="1">
        <v>2.96</v>
      </c>
      <c r="CI35" s="1">
        <v>1.74</v>
      </c>
      <c r="CJ35" s="1">
        <v>0</v>
      </c>
      <c r="CK35" s="1">
        <v>5.72</v>
      </c>
      <c r="CL35" s="1">
        <v>490366.94</v>
      </c>
      <c r="CM35" s="1">
        <v>1008.81</v>
      </c>
      <c r="CN35" s="1">
        <v>0</v>
      </c>
      <c r="CO35" s="1">
        <v>1.5</v>
      </c>
      <c r="CP35" s="1">
        <v>0</v>
      </c>
      <c r="CQ35" s="1">
        <v>1.5</v>
      </c>
      <c r="CR35" s="1">
        <v>0</v>
      </c>
      <c r="CS35" s="1">
        <v>1.5</v>
      </c>
      <c r="CT35" s="1">
        <v>0</v>
      </c>
      <c r="CU35" s="1">
        <v>1.5</v>
      </c>
      <c r="CV35" s="1">
        <v>0</v>
      </c>
      <c r="CW35" s="1">
        <v>1.5</v>
      </c>
      <c r="CX35" s="1">
        <v>28944.639999999999</v>
      </c>
      <c r="CY35" s="1">
        <v>797.79</v>
      </c>
      <c r="CZ35" s="1">
        <v>0</v>
      </c>
      <c r="DA35" s="1">
        <v>191.01</v>
      </c>
      <c r="DB35" s="1">
        <v>474858.38</v>
      </c>
      <c r="DC35" s="1">
        <v>1079.06</v>
      </c>
      <c r="DD35" s="1">
        <v>0</v>
      </c>
      <c r="DE35" s="1">
        <v>15.76</v>
      </c>
      <c r="DF35" s="1">
        <v>0</v>
      </c>
      <c r="DG35" s="1">
        <v>1178.43</v>
      </c>
      <c r="DH35" s="1">
        <v>0</v>
      </c>
      <c r="DI35" s="1">
        <v>3.02</v>
      </c>
      <c r="DJ35" s="1">
        <v>0</v>
      </c>
      <c r="DK35" s="1">
        <v>8.35</v>
      </c>
      <c r="DL35" s="1">
        <v>0</v>
      </c>
      <c r="DM35" s="1">
        <v>17.809999999999999</v>
      </c>
      <c r="DN35" s="16">
        <v>2</v>
      </c>
      <c r="DO35" s="15" t="s">
        <v>330</v>
      </c>
      <c r="DP35" s="35">
        <v>1</v>
      </c>
      <c r="DQ35" s="16">
        <v>1.6619534419999999</v>
      </c>
      <c r="DR35">
        <v>115</v>
      </c>
      <c r="DS35" s="10">
        <v>0</v>
      </c>
      <c r="DT35" s="10">
        <v>0</v>
      </c>
      <c r="DU35" s="10">
        <v>6</v>
      </c>
      <c r="DV35" s="10">
        <v>1.6</v>
      </c>
      <c r="DW35" t="s">
        <v>357</v>
      </c>
      <c r="DX35" s="10">
        <v>1</v>
      </c>
      <c r="DY35" s="10">
        <v>1</v>
      </c>
      <c r="DZ35" s="10">
        <v>1</v>
      </c>
      <c r="EA35" s="10">
        <v>2</v>
      </c>
      <c r="EB35" s="10">
        <v>30</v>
      </c>
      <c r="EC35" s="10">
        <v>67</v>
      </c>
      <c r="ED35" s="10">
        <v>97</v>
      </c>
      <c r="EE35" s="10">
        <v>0</v>
      </c>
      <c r="EF35" s="10">
        <v>0</v>
      </c>
    </row>
    <row r="36" spans="1:136" ht="15.75" customHeight="1" x14ac:dyDescent="0.3">
      <c r="A36" s="1" t="s">
        <v>482</v>
      </c>
      <c r="B36" s="2">
        <v>154</v>
      </c>
      <c r="C36" s="3">
        <v>44664.760416666657</v>
      </c>
      <c r="D36" s="1">
        <v>360.52</v>
      </c>
      <c r="E36" s="1">
        <v>20</v>
      </c>
      <c r="F36" s="1">
        <v>1.4559999999999999E-4</v>
      </c>
      <c r="G36" s="1">
        <v>5.711E-6</v>
      </c>
      <c r="H36" s="1">
        <v>2.25</v>
      </c>
      <c r="I36" s="1" t="s">
        <v>213</v>
      </c>
      <c r="J36" s="1" t="s">
        <v>179</v>
      </c>
      <c r="K36" s="1">
        <v>13.96</v>
      </c>
      <c r="L36" s="1">
        <v>498</v>
      </c>
      <c r="M36" s="1">
        <v>3</v>
      </c>
      <c r="N36" s="1">
        <v>1.3760000000000001E-4</v>
      </c>
      <c r="O36" s="1">
        <v>6.8220000000000001E-7</v>
      </c>
      <c r="P36" s="1">
        <v>0.28000000000000003</v>
      </c>
      <c r="Q36" s="1" t="s">
        <v>214</v>
      </c>
      <c r="R36" s="1" t="s">
        <v>110</v>
      </c>
      <c r="S36" s="1">
        <v>10.4297994269341</v>
      </c>
      <c r="T36" s="1">
        <v>9.8567335243553025</v>
      </c>
      <c r="U36" s="1">
        <f t="shared" si="4"/>
        <v>0.57306590257879719</v>
      </c>
      <c r="V36" s="1">
        <f t="shared" si="2"/>
        <v>5.494505494505499</v>
      </c>
      <c r="W36" s="1">
        <f t="shared" si="1"/>
        <v>0.57306590257879719</v>
      </c>
      <c r="X36" s="1">
        <v>712846</v>
      </c>
      <c r="Y36" s="1">
        <v>0</v>
      </c>
      <c r="Z36" s="1">
        <v>8267.11</v>
      </c>
      <c r="AA36" s="1">
        <v>0</v>
      </c>
      <c r="AB36" s="1">
        <v>125422.35</v>
      </c>
      <c r="AC36" s="1">
        <v>0</v>
      </c>
      <c r="AD36" s="1">
        <v>4.08</v>
      </c>
      <c r="AE36" s="1">
        <v>1.36</v>
      </c>
      <c r="AF36" s="1">
        <v>318.37</v>
      </c>
      <c r="AG36" s="1">
        <v>2.93</v>
      </c>
      <c r="AH36" s="1">
        <v>143.58000000000001</v>
      </c>
      <c r="AI36" s="1">
        <v>2</v>
      </c>
      <c r="AJ36" s="1">
        <v>0</v>
      </c>
      <c r="AK36" s="1">
        <v>3.49</v>
      </c>
      <c r="AL36" s="1">
        <v>72.040000000000006</v>
      </c>
      <c r="AM36" s="1">
        <v>1.71</v>
      </c>
      <c r="AN36" s="1">
        <v>6.11</v>
      </c>
      <c r="AO36" s="1">
        <v>1.34</v>
      </c>
      <c r="AP36" s="1">
        <v>18.32</v>
      </c>
      <c r="AQ36" s="1">
        <v>2.2999999999999998</v>
      </c>
      <c r="AR36" s="1">
        <v>0</v>
      </c>
      <c r="AS36" s="1">
        <v>3.3</v>
      </c>
      <c r="AT36" s="1">
        <v>0</v>
      </c>
      <c r="AU36" s="1">
        <v>1.79</v>
      </c>
      <c r="AV36" s="1">
        <v>13.36</v>
      </c>
      <c r="AW36" s="1">
        <v>2.0099999999999998</v>
      </c>
      <c r="AX36" s="1">
        <v>0</v>
      </c>
      <c r="AY36" s="1">
        <v>4.25</v>
      </c>
      <c r="AZ36" s="1">
        <v>57.24</v>
      </c>
      <c r="BA36" s="1">
        <v>4.0599999999999996</v>
      </c>
      <c r="BB36" s="1">
        <v>0</v>
      </c>
      <c r="BC36" s="1">
        <v>17.11</v>
      </c>
      <c r="BD36" s="1">
        <v>16.55</v>
      </c>
      <c r="BE36" s="1">
        <v>5.48</v>
      </c>
      <c r="BF36" s="1">
        <v>0</v>
      </c>
      <c r="BG36" s="1">
        <v>16.54</v>
      </c>
      <c r="BH36" s="1">
        <v>0</v>
      </c>
      <c r="BI36" s="1">
        <v>53.65</v>
      </c>
      <c r="BJ36" s="1">
        <v>21500.07</v>
      </c>
      <c r="BK36" s="1">
        <v>128.33000000000001</v>
      </c>
      <c r="BL36" s="1">
        <v>260.89</v>
      </c>
      <c r="BM36" s="1">
        <v>25.19</v>
      </c>
      <c r="BN36" s="1">
        <v>78.73</v>
      </c>
      <c r="BO36" s="1">
        <v>6.36</v>
      </c>
      <c r="BP36" s="1">
        <v>67.44</v>
      </c>
      <c r="BQ36" s="1">
        <v>10.71</v>
      </c>
      <c r="BR36" s="1">
        <v>3233.42</v>
      </c>
      <c r="BS36" s="1">
        <v>43.95</v>
      </c>
      <c r="BT36" s="1">
        <v>53151.75</v>
      </c>
      <c r="BU36" s="1">
        <v>433.93</v>
      </c>
      <c r="BV36" s="1">
        <v>15110.27</v>
      </c>
      <c r="BW36" s="1">
        <v>157.38999999999999</v>
      </c>
      <c r="BX36" s="1">
        <v>638.99</v>
      </c>
      <c r="BY36" s="1">
        <v>46.03</v>
      </c>
      <c r="BZ36" s="1">
        <v>161.41</v>
      </c>
      <c r="CA36" s="1">
        <v>24.77</v>
      </c>
      <c r="CB36" s="1">
        <v>0</v>
      </c>
      <c r="CC36" s="1">
        <v>7.28</v>
      </c>
      <c r="CD36" s="1">
        <v>0</v>
      </c>
      <c r="CE36" s="1">
        <v>5.82</v>
      </c>
      <c r="CF36" s="1">
        <v>0</v>
      </c>
      <c r="CG36" s="1">
        <v>6.71</v>
      </c>
      <c r="CH36" s="1">
        <v>0</v>
      </c>
      <c r="CI36" s="1">
        <v>4.41</v>
      </c>
      <c r="CJ36" s="1">
        <v>0</v>
      </c>
      <c r="CK36" s="1">
        <v>3.04</v>
      </c>
      <c r="CL36" s="1">
        <v>500480.88</v>
      </c>
      <c r="CM36" s="1">
        <v>1137.81</v>
      </c>
      <c r="CN36" s="1">
        <v>9.48</v>
      </c>
      <c r="CO36" s="1">
        <v>1</v>
      </c>
      <c r="CP36" s="1">
        <v>3.35</v>
      </c>
      <c r="CQ36" s="1">
        <v>1.83</v>
      </c>
      <c r="CR36" s="1">
        <v>0</v>
      </c>
      <c r="CS36" s="1">
        <v>1.5</v>
      </c>
      <c r="CT36" s="1">
        <v>0</v>
      </c>
      <c r="CU36" s="1">
        <v>1.5</v>
      </c>
      <c r="CV36" s="1">
        <v>0</v>
      </c>
      <c r="CW36" s="1">
        <v>1.5</v>
      </c>
      <c r="CX36" s="1">
        <v>66361.03</v>
      </c>
      <c r="CY36" s="1">
        <v>1400.3</v>
      </c>
      <c r="CZ36" s="1">
        <v>640.25</v>
      </c>
      <c r="DA36" s="1">
        <v>140.74</v>
      </c>
      <c r="DB36" s="1">
        <v>333105.59000000003</v>
      </c>
      <c r="DC36" s="1">
        <v>1027.56</v>
      </c>
      <c r="DD36" s="1">
        <v>0</v>
      </c>
      <c r="DE36" s="1">
        <v>21.29</v>
      </c>
      <c r="DF36" s="1">
        <v>4980.1899999999996</v>
      </c>
      <c r="DG36" s="1">
        <v>1286.4100000000001</v>
      </c>
      <c r="DH36" s="1">
        <v>52.31</v>
      </c>
      <c r="DI36" s="1">
        <v>20.77</v>
      </c>
      <c r="DJ36" s="1">
        <v>0</v>
      </c>
      <c r="DK36" s="1">
        <v>9.2899999999999991</v>
      </c>
      <c r="DL36" s="1">
        <v>0</v>
      </c>
      <c r="DM36" s="1">
        <v>19.690000000000001</v>
      </c>
      <c r="DN36">
        <v>16</v>
      </c>
      <c r="DO36" t="s">
        <v>285</v>
      </c>
      <c r="DP36" s="35">
        <v>0</v>
      </c>
      <c r="DQ36">
        <v>1.6103648365666894</v>
      </c>
      <c r="DR36" s="13">
        <v>20</v>
      </c>
      <c r="DS36" s="10">
        <v>12.93</v>
      </c>
      <c r="DT36" s="10">
        <v>2.5859999656677246</v>
      </c>
      <c r="DU36" s="10">
        <v>8.369999885559082</v>
      </c>
      <c r="DV36" s="10">
        <v>12.502411842346191</v>
      </c>
      <c r="DW36" t="s">
        <v>298</v>
      </c>
      <c r="DX36" s="10">
        <v>20.934516906738281</v>
      </c>
      <c r="DY36" s="10">
        <v>21.353206634521484</v>
      </c>
      <c r="DZ36" s="10">
        <v>25.540109634399414</v>
      </c>
      <c r="EA36" s="10">
        <v>46.893318176269531</v>
      </c>
      <c r="EB36" s="10">
        <v>31.870708465576172</v>
      </c>
      <c r="EC36" s="10">
        <v>0.30145704746246338</v>
      </c>
      <c r="ED36" s="10">
        <v>32.172164916992188</v>
      </c>
      <c r="EE36" s="10">
        <v>0.81982243061065674</v>
      </c>
      <c r="EF36" s="10">
        <v>9.1</v>
      </c>
    </row>
    <row r="37" spans="1:136" ht="15.75" customHeight="1" x14ac:dyDescent="0.3">
      <c r="A37" s="1" t="s">
        <v>483</v>
      </c>
      <c r="B37" s="2">
        <v>161</v>
      </c>
      <c r="C37" s="3">
        <v>44678.704861111109</v>
      </c>
      <c r="D37" s="1">
        <v>361.65</v>
      </c>
      <c r="E37" s="1">
        <v>34</v>
      </c>
      <c r="F37" s="1">
        <v>1.206E-4</v>
      </c>
      <c r="G37" s="1">
        <v>4.1540000000000004E-6</v>
      </c>
      <c r="H37" s="1">
        <v>1.97</v>
      </c>
      <c r="I37" s="1" t="s">
        <v>215</v>
      </c>
      <c r="J37" s="1" t="s">
        <v>179</v>
      </c>
      <c r="K37" s="1">
        <v>13.54</v>
      </c>
      <c r="L37" s="1">
        <v>521</v>
      </c>
      <c r="M37" s="1">
        <v>3</v>
      </c>
      <c r="N37" s="1">
        <v>1.142E-4</v>
      </c>
      <c r="O37" s="1">
        <v>1.1310000000000001E-6</v>
      </c>
      <c r="P37" s="1">
        <v>0.56999999999999995</v>
      </c>
      <c r="Q37" s="1" t="s">
        <v>216</v>
      </c>
      <c r="R37" s="1" t="s">
        <v>110</v>
      </c>
      <c r="S37" s="1">
        <v>8.9069423929098974</v>
      </c>
      <c r="T37" s="1">
        <v>8.4342688330871507</v>
      </c>
      <c r="U37" s="1">
        <f t="shared" si="4"/>
        <v>0.47267355982274672</v>
      </c>
      <c r="V37" s="1">
        <f t="shared" si="2"/>
        <v>5.3067993366500747</v>
      </c>
      <c r="W37" s="1">
        <f t="shared" si="1"/>
        <v>0.47267355982274672</v>
      </c>
      <c r="X37" s="1">
        <v>717746</v>
      </c>
      <c r="Y37" s="1">
        <v>0</v>
      </c>
      <c r="Z37" s="1">
        <v>5709.52</v>
      </c>
      <c r="AA37" s="1">
        <v>0</v>
      </c>
      <c r="AB37" s="1">
        <v>137863.72</v>
      </c>
      <c r="AC37" s="1">
        <v>0</v>
      </c>
      <c r="AD37" s="1">
        <v>7.01</v>
      </c>
      <c r="AE37" s="1">
        <v>1.43</v>
      </c>
      <c r="AF37" s="1">
        <v>370.66</v>
      </c>
      <c r="AG37" s="1">
        <v>3.16</v>
      </c>
      <c r="AH37" s="1">
        <v>147.87</v>
      </c>
      <c r="AI37" s="1">
        <v>2.0499999999999998</v>
      </c>
      <c r="AJ37" s="1">
        <v>0</v>
      </c>
      <c r="AK37" s="1">
        <v>3.51</v>
      </c>
      <c r="AL37" s="1">
        <v>76.209999999999994</v>
      </c>
      <c r="AM37" s="1">
        <v>1.76</v>
      </c>
      <c r="AN37" s="1">
        <v>6.78</v>
      </c>
      <c r="AO37" s="1">
        <v>1.38</v>
      </c>
      <c r="AP37" s="1">
        <v>18.16</v>
      </c>
      <c r="AQ37" s="1">
        <v>2.31</v>
      </c>
      <c r="AR37" s="1">
        <v>0</v>
      </c>
      <c r="AS37" s="1">
        <v>3.34</v>
      </c>
      <c r="AT37" s="1">
        <v>0</v>
      </c>
      <c r="AU37" s="1">
        <v>1.77</v>
      </c>
      <c r="AV37" s="1">
        <v>14.47</v>
      </c>
      <c r="AW37" s="1">
        <v>2.59</v>
      </c>
      <c r="AX37" s="1">
        <v>0</v>
      </c>
      <c r="AY37" s="1">
        <v>4.24</v>
      </c>
      <c r="AZ37" s="1">
        <v>41.09</v>
      </c>
      <c r="BA37" s="1">
        <v>3.78</v>
      </c>
      <c r="BB37" s="1">
        <v>0</v>
      </c>
      <c r="BC37" s="1">
        <v>17.28</v>
      </c>
      <c r="BD37" s="1">
        <v>11.27</v>
      </c>
      <c r="BE37" s="1">
        <v>5.48</v>
      </c>
      <c r="BF37" s="1">
        <v>0</v>
      </c>
      <c r="BG37" s="1">
        <v>16.84</v>
      </c>
      <c r="BH37" s="1">
        <v>0</v>
      </c>
      <c r="BI37" s="1">
        <v>58.4</v>
      </c>
      <c r="BJ37" s="1">
        <v>24245.65</v>
      </c>
      <c r="BK37" s="1">
        <v>138.24</v>
      </c>
      <c r="BL37" s="1">
        <v>278.7</v>
      </c>
      <c r="BM37" s="1">
        <v>26.07</v>
      </c>
      <c r="BN37" s="1">
        <v>110.58</v>
      </c>
      <c r="BO37" s="1">
        <v>6.89</v>
      </c>
      <c r="BP37" s="1">
        <v>70.099999999999994</v>
      </c>
      <c r="BQ37" s="1">
        <v>11.41</v>
      </c>
      <c r="BR37" s="1">
        <v>3473.93</v>
      </c>
      <c r="BS37" s="1">
        <v>46.94</v>
      </c>
      <c r="BT37" s="1">
        <v>54453.34</v>
      </c>
      <c r="BU37" s="1">
        <v>457.63</v>
      </c>
      <c r="BV37" s="1">
        <v>14907.38</v>
      </c>
      <c r="BW37" s="1">
        <v>162.19999999999999</v>
      </c>
      <c r="BX37" s="1">
        <v>310.79000000000002</v>
      </c>
      <c r="BY37" s="1">
        <v>45.17</v>
      </c>
      <c r="BZ37" s="1">
        <v>153.13999999999999</v>
      </c>
      <c r="CA37" s="1">
        <v>25.13</v>
      </c>
      <c r="CB37" s="1">
        <v>0</v>
      </c>
      <c r="CC37" s="1">
        <v>7.57</v>
      </c>
      <c r="CD37" s="1">
        <v>0</v>
      </c>
      <c r="CE37" s="1">
        <v>6.09</v>
      </c>
      <c r="CF37" s="1">
        <v>0</v>
      </c>
      <c r="CG37" s="1">
        <v>7.05</v>
      </c>
      <c r="CH37" s="1">
        <v>4.2300000000000004</v>
      </c>
      <c r="CI37" s="1">
        <v>2.0699999999999998</v>
      </c>
      <c r="CJ37" s="1">
        <v>0</v>
      </c>
      <c r="CK37" s="1">
        <v>3.1</v>
      </c>
      <c r="CL37" s="1">
        <v>489854.53</v>
      </c>
      <c r="CM37" s="1">
        <v>1202.3399999999999</v>
      </c>
      <c r="CN37" s="1">
        <v>10.38</v>
      </c>
      <c r="CO37" s="1">
        <v>1</v>
      </c>
      <c r="CP37" s="1">
        <v>7.31</v>
      </c>
      <c r="CQ37" s="1">
        <v>1.95</v>
      </c>
      <c r="CR37" s="1">
        <v>0</v>
      </c>
      <c r="CS37" s="1">
        <v>1.5</v>
      </c>
      <c r="CT37" s="1">
        <v>0</v>
      </c>
      <c r="CU37" s="1">
        <v>1.5</v>
      </c>
      <c r="CV37" s="1">
        <v>0</v>
      </c>
      <c r="CW37" s="1">
        <v>1.5</v>
      </c>
      <c r="CX37" s="1">
        <v>72943.77</v>
      </c>
      <c r="CY37" s="1">
        <v>1488.99</v>
      </c>
      <c r="CZ37" s="1">
        <v>0</v>
      </c>
      <c r="DA37" s="1">
        <v>211.14</v>
      </c>
      <c r="DB37" s="1">
        <v>335395.31</v>
      </c>
      <c r="DC37" s="1">
        <v>1065.8800000000001</v>
      </c>
      <c r="DD37" s="1">
        <v>0</v>
      </c>
      <c r="DE37" s="1">
        <v>21.78</v>
      </c>
      <c r="DF37" s="1">
        <v>3439.47</v>
      </c>
      <c r="DG37" s="1">
        <v>1301.6099999999999</v>
      </c>
      <c r="DH37" s="1">
        <v>0</v>
      </c>
      <c r="DI37" s="1">
        <v>32.11</v>
      </c>
      <c r="DJ37" s="1">
        <v>0</v>
      </c>
      <c r="DK37" s="1">
        <v>9.67</v>
      </c>
      <c r="DL37" s="1">
        <v>0</v>
      </c>
      <c r="DM37" s="1">
        <v>20.36</v>
      </c>
      <c r="DN37">
        <v>44</v>
      </c>
      <c r="DO37" t="s">
        <v>307</v>
      </c>
      <c r="DP37" s="35">
        <v>0</v>
      </c>
      <c r="DQ37" s="11">
        <v>1.6014841809717832</v>
      </c>
      <c r="DR37" s="14">
        <v>35</v>
      </c>
      <c r="DS37" s="12">
        <v>5.0599999999999996</v>
      </c>
      <c r="DT37" s="12">
        <v>1.0119999647140501</v>
      </c>
      <c r="DU37" s="12">
        <v>8.5</v>
      </c>
      <c r="DV37" s="12">
        <v>9.6101655960083008</v>
      </c>
      <c r="DW37" s="11" t="s">
        <v>308</v>
      </c>
      <c r="DX37" s="12">
        <v>23.232658386230469</v>
      </c>
      <c r="DY37" s="12">
        <v>15.765018463134766</v>
      </c>
      <c r="DZ37" s="12">
        <v>25.721872329711914</v>
      </c>
      <c r="EA37" s="12">
        <v>41.486892700195313</v>
      </c>
      <c r="EB37" s="12">
        <v>35.26385498046875</v>
      </c>
      <c r="EC37" s="12">
        <v>1.659475639462471E-2</v>
      </c>
      <c r="ED37" s="12">
        <v>35.280448913574219</v>
      </c>
      <c r="EE37" s="12">
        <v>0.98742163181304932</v>
      </c>
      <c r="EF37" s="12">
        <v>9.1999999999999993</v>
      </c>
    </row>
    <row r="38" spans="1:136" ht="15.75" customHeight="1" x14ac:dyDescent="0.3">
      <c r="A38" s="1" t="s">
        <v>484</v>
      </c>
      <c r="B38" s="2">
        <v>175</v>
      </c>
      <c r="C38" s="3">
        <v>44678.750694444447</v>
      </c>
      <c r="D38" s="1">
        <v>360.47</v>
      </c>
      <c r="E38" s="1">
        <v>62</v>
      </c>
      <c r="F38" s="1">
        <v>1.016E-4</v>
      </c>
      <c r="G38" s="1">
        <v>2.9629999999999998E-6</v>
      </c>
      <c r="H38" s="1">
        <v>1.67</v>
      </c>
      <c r="I38" s="1" t="s">
        <v>217</v>
      </c>
      <c r="J38" s="1" t="s">
        <v>179</v>
      </c>
      <c r="K38" s="1">
        <v>13.61</v>
      </c>
      <c r="L38" s="1">
        <v>496</v>
      </c>
      <c r="M38" s="1">
        <v>3</v>
      </c>
      <c r="N38" s="1">
        <v>9.692E-5</v>
      </c>
      <c r="O38" s="1">
        <v>8.1009999999999998E-7</v>
      </c>
      <c r="P38" s="1">
        <v>0.48</v>
      </c>
      <c r="Q38" s="1" t="s">
        <v>218</v>
      </c>
      <c r="R38" s="1" t="s">
        <v>110</v>
      </c>
      <c r="S38" s="1">
        <v>7.4650991917707579</v>
      </c>
      <c r="T38" s="1">
        <v>7.1212343864805296</v>
      </c>
      <c r="U38" s="1">
        <f t="shared" si="4"/>
        <v>0.34386480529022823</v>
      </c>
      <c r="V38" s="1">
        <f t="shared" si="2"/>
        <v>4.6062992125984303</v>
      </c>
      <c r="W38" s="1">
        <f t="shared" si="1"/>
        <v>0.34386480529022823</v>
      </c>
      <c r="X38" s="1">
        <v>652565.06000000006</v>
      </c>
      <c r="Y38" s="1">
        <v>0</v>
      </c>
      <c r="Z38" s="1">
        <v>5314.75</v>
      </c>
      <c r="AA38" s="1">
        <v>0</v>
      </c>
      <c r="AB38" s="1">
        <v>113460.09</v>
      </c>
      <c r="AC38" s="1">
        <v>0</v>
      </c>
      <c r="AD38" s="1">
        <v>9.07</v>
      </c>
      <c r="AE38" s="1">
        <v>1.45</v>
      </c>
      <c r="AF38" s="1">
        <v>384.73</v>
      </c>
      <c r="AG38" s="1">
        <v>3.22</v>
      </c>
      <c r="AH38" s="1">
        <v>162.84</v>
      </c>
      <c r="AI38" s="1">
        <v>2.15</v>
      </c>
      <c r="AJ38" s="1">
        <v>0</v>
      </c>
      <c r="AK38" s="1">
        <v>3.41</v>
      </c>
      <c r="AL38" s="1">
        <v>70.540000000000006</v>
      </c>
      <c r="AM38" s="1">
        <v>1.71</v>
      </c>
      <c r="AN38" s="1">
        <v>5.59</v>
      </c>
      <c r="AO38" s="1">
        <v>1.34</v>
      </c>
      <c r="AP38" s="1">
        <v>13.8</v>
      </c>
      <c r="AQ38" s="1">
        <v>2.2000000000000002</v>
      </c>
      <c r="AR38" s="1">
        <v>0</v>
      </c>
      <c r="AS38" s="1">
        <v>3.34</v>
      </c>
      <c r="AT38" s="1">
        <v>0</v>
      </c>
      <c r="AU38" s="1">
        <v>1.8</v>
      </c>
      <c r="AV38" s="1">
        <v>20.28</v>
      </c>
      <c r="AW38" s="1">
        <v>2.61</v>
      </c>
      <c r="AX38" s="1">
        <v>0</v>
      </c>
      <c r="AY38" s="1">
        <v>4.3</v>
      </c>
      <c r="AZ38" s="1">
        <v>39.39</v>
      </c>
      <c r="BA38" s="1">
        <v>3.75</v>
      </c>
      <c r="BB38" s="1">
        <v>0</v>
      </c>
      <c r="BC38" s="1">
        <v>17.260000000000002</v>
      </c>
      <c r="BD38" s="1">
        <v>14.31</v>
      </c>
      <c r="BE38" s="1">
        <v>5.56</v>
      </c>
      <c r="BF38" s="1">
        <v>22.28</v>
      </c>
      <c r="BG38" s="1">
        <v>11.47</v>
      </c>
      <c r="BH38" s="1">
        <v>73.099999999999994</v>
      </c>
      <c r="BI38" s="1">
        <v>39.71</v>
      </c>
      <c r="BJ38" s="1">
        <v>24848.93</v>
      </c>
      <c r="BK38" s="1">
        <v>140.18</v>
      </c>
      <c r="BL38" s="1">
        <v>455.45</v>
      </c>
      <c r="BM38" s="1">
        <v>28.68</v>
      </c>
      <c r="BN38" s="1">
        <v>74.680000000000007</v>
      </c>
      <c r="BO38" s="1">
        <v>6.57</v>
      </c>
      <c r="BP38" s="1">
        <v>61.89</v>
      </c>
      <c r="BQ38" s="1">
        <v>11.33</v>
      </c>
      <c r="BR38" s="1">
        <v>3342.04</v>
      </c>
      <c r="BS38" s="1">
        <v>46.74</v>
      </c>
      <c r="BT38" s="1">
        <v>60188.45</v>
      </c>
      <c r="BU38" s="1">
        <v>478.36</v>
      </c>
      <c r="BV38" s="1">
        <v>13891.42</v>
      </c>
      <c r="BW38" s="1">
        <v>155.59</v>
      </c>
      <c r="BX38" s="1">
        <v>364.55</v>
      </c>
      <c r="BY38" s="1">
        <v>45.45</v>
      </c>
      <c r="BZ38" s="1">
        <v>133.46</v>
      </c>
      <c r="CA38" s="1">
        <v>20.16</v>
      </c>
      <c r="CB38" s="1">
        <v>0</v>
      </c>
      <c r="CC38" s="1">
        <v>7.63</v>
      </c>
      <c r="CD38" s="1">
        <v>0</v>
      </c>
      <c r="CE38" s="1">
        <v>6.13</v>
      </c>
      <c r="CF38" s="1">
        <v>0</v>
      </c>
      <c r="CG38" s="1">
        <v>7.13</v>
      </c>
      <c r="CH38" s="1">
        <v>4.9400000000000004</v>
      </c>
      <c r="CI38" s="1">
        <v>2.1</v>
      </c>
      <c r="CJ38" s="1">
        <v>0</v>
      </c>
      <c r="CK38" s="1">
        <v>6.72</v>
      </c>
      <c r="CL38" s="1">
        <v>528177.63</v>
      </c>
      <c r="CM38" s="1">
        <v>1117.94</v>
      </c>
      <c r="CN38" s="1">
        <v>10.210000000000001</v>
      </c>
      <c r="CO38" s="1">
        <v>1</v>
      </c>
      <c r="CP38" s="1">
        <v>5.61</v>
      </c>
      <c r="CQ38" s="1">
        <v>1.89</v>
      </c>
      <c r="CR38" s="1">
        <v>0</v>
      </c>
      <c r="CS38" s="1">
        <v>1.5</v>
      </c>
      <c r="CT38" s="1">
        <v>0</v>
      </c>
      <c r="CU38" s="1">
        <v>1.5</v>
      </c>
      <c r="CV38" s="1">
        <v>0</v>
      </c>
      <c r="CW38" s="1">
        <v>1.5</v>
      </c>
      <c r="CX38" s="1">
        <v>60031.8</v>
      </c>
      <c r="CY38" s="1">
        <v>1390.18</v>
      </c>
      <c r="CZ38" s="1">
        <v>0</v>
      </c>
      <c r="DA38" s="1">
        <v>201.95</v>
      </c>
      <c r="DB38" s="1">
        <v>304936.94</v>
      </c>
      <c r="DC38" s="1">
        <v>1035.49</v>
      </c>
      <c r="DD38" s="1">
        <v>0</v>
      </c>
      <c r="DE38" s="1">
        <v>21.9</v>
      </c>
      <c r="DF38" s="1">
        <v>3201.66</v>
      </c>
      <c r="DG38" s="1">
        <v>1299.9100000000001</v>
      </c>
      <c r="DH38" s="1">
        <v>0</v>
      </c>
      <c r="DI38" s="1">
        <v>34.590000000000003</v>
      </c>
      <c r="DJ38" s="1">
        <v>0</v>
      </c>
      <c r="DK38" s="1">
        <v>9.68</v>
      </c>
      <c r="DL38" s="1">
        <v>0</v>
      </c>
      <c r="DM38" s="1">
        <v>20.66</v>
      </c>
      <c r="DN38">
        <v>47</v>
      </c>
      <c r="DO38" t="s">
        <v>311</v>
      </c>
      <c r="DP38" s="35">
        <v>0</v>
      </c>
      <c r="DQ38">
        <v>1.6130463714552983</v>
      </c>
      <c r="DR38" s="13">
        <v>62</v>
      </c>
      <c r="DS38" s="10">
        <v>4.29</v>
      </c>
      <c r="DT38" s="10">
        <v>0.85799998044967651</v>
      </c>
      <c r="DU38" s="10">
        <v>8.6000003814697266</v>
      </c>
      <c r="DV38" s="10">
        <v>9.1997413635253906</v>
      </c>
      <c r="DW38" t="s">
        <v>301</v>
      </c>
      <c r="DX38" s="10">
        <v>22.466300964355469</v>
      </c>
      <c r="DY38" s="10">
        <v>16.225662231445313</v>
      </c>
      <c r="DZ38" s="10">
        <v>25.794641494750977</v>
      </c>
      <c r="EA38" s="10">
        <v>42.020301818847656</v>
      </c>
      <c r="EB38" s="10">
        <v>35.297054290771484</v>
      </c>
      <c r="EC38" s="10">
        <v>0.21634215116500854</v>
      </c>
      <c r="ED38" s="10">
        <v>35.513397216796875</v>
      </c>
      <c r="EE38" s="10">
        <v>1.0870749950408936</v>
      </c>
      <c r="EF38" s="10">
        <v>10.9</v>
      </c>
    </row>
    <row r="39" spans="1:136" ht="15.75" customHeight="1" x14ac:dyDescent="0.3">
      <c r="A39" s="1" t="s">
        <v>485</v>
      </c>
      <c r="B39" s="2">
        <v>189</v>
      </c>
      <c r="C39" s="3">
        <v>44678.803472222222</v>
      </c>
      <c r="D39" s="1">
        <v>360.8</v>
      </c>
      <c r="E39" s="1">
        <v>90</v>
      </c>
      <c r="F39" s="1">
        <v>9.9389999999999995E-5</v>
      </c>
      <c r="G39" s="1">
        <v>3.1970000000000001E-6</v>
      </c>
      <c r="H39" s="1">
        <v>1.84</v>
      </c>
      <c r="I39" s="1" t="s">
        <v>219</v>
      </c>
      <c r="J39" s="1" t="s">
        <v>179</v>
      </c>
      <c r="K39" s="1">
        <v>13.26</v>
      </c>
      <c r="L39" s="1">
        <v>499</v>
      </c>
      <c r="M39" s="1">
        <v>3</v>
      </c>
      <c r="N39" s="1">
        <v>9.5849999999999999E-5</v>
      </c>
      <c r="O39" s="1">
        <v>4.8889999999999999E-7</v>
      </c>
      <c r="P39" s="1">
        <v>0.28999999999999998</v>
      </c>
      <c r="Q39" s="1" t="s">
        <v>220</v>
      </c>
      <c r="R39" s="1" t="s">
        <v>110</v>
      </c>
      <c r="S39" s="1">
        <v>7.495475113122172</v>
      </c>
      <c r="T39" s="1">
        <v>7.2285067873303168</v>
      </c>
      <c r="U39" s="1">
        <f t="shared" si="4"/>
        <v>0.26696832579185514</v>
      </c>
      <c r="V39" s="1">
        <f t="shared" si="2"/>
        <v>3.5617265318442493</v>
      </c>
      <c r="W39" s="1">
        <f t="shared" si="1"/>
        <v>0.26696832579185514</v>
      </c>
      <c r="X39" s="1">
        <v>706464</v>
      </c>
      <c r="Y39" s="1">
        <v>0</v>
      </c>
      <c r="Z39" s="1">
        <v>4106.75</v>
      </c>
      <c r="AA39" s="1">
        <v>0</v>
      </c>
      <c r="AB39" s="1">
        <v>135897.19</v>
      </c>
      <c r="AC39" s="1">
        <v>0</v>
      </c>
      <c r="AD39" s="1">
        <v>6.53</v>
      </c>
      <c r="AE39" s="1">
        <v>1.44</v>
      </c>
      <c r="AF39" s="1">
        <v>357.98</v>
      </c>
      <c r="AG39" s="1">
        <v>3.16</v>
      </c>
      <c r="AH39" s="1">
        <v>163.6</v>
      </c>
      <c r="AI39" s="1">
        <v>2.1800000000000002</v>
      </c>
      <c r="AJ39" s="1">
        <v>0</v>
      </c>
      <c r="AK39" s="1">
        <v>3.59</v>
      </c>
      <c r="AL39" s="1">
        <v>75.05</v>
      </c>
      <c r="AM39" s="1">
        <v>1.78</v>
      </c>
      <c r="AN39" s="1">
        <v>7.25</v>
      </c>
      <c r="AO39" s="1">
        <v>1.4</v>
      </c>
      <c r="AP39" s="1">
        <v>15.48</v>
      </c>
      <c r="AQ39" s="1">
        <v>2.2799999999999998</v>
      </c>
      <c r="AR39" s="1">
        <v>0</v>
      </c>
      <c r="AS39" s="1">
        <v>3.33</v>
      </c>
      <c r="AT39" s="1">
        <v>0</v>
      </c>
      <c r="AU39" s="1">
        <v>1.83</v>
      </c>
      <c r="AV39" s="1">
        <v>17.2</v>
      </c>
      <c r="AW39" s="1">
        <v>2.62</v>
      </c>
      <c r="AX39" s="1">
        <v>0</v>
      </c>
      <c r="AY39" s="1">
        <v>4.42</v>
      </c>
      <c r="AZ39" s="1">
        <v>35.14</v>
      </c>
      <c r="BA39" s="1">
        <v>3.73</v>
      </c>
      <c r="BB39" s="1">
        <v>0</v>
      </c>
      <c r="BC39" s="1">
        <v>17.91</v>
      </c>
      <c r="BD39" s="1">
        <v>8.91</v>
      </c>
      <c r="BE39" s="1">
        <v>5.53</v>
      </c>
      <c r="BF39" s="1">
        <v>0</v>
      </c>
      <c r="BG39" s="1">
        <v>17.22</v>
      </c>
      <c r="BH39" s="1">
        <v>0</v>
      </c>
      <c r="BI39" s="1">
        <v>60.05</v>
      </c>
      <c r="BJ39" s="1">
        <v>24902.85</v>
      </c>
      <c r="BK39" s="1">
        <v>141.87</v>
      </c>
      <c r="BL39" s="1">
        <v>256.32</v>
      </c>
      <c r="BM39" s="1">
        <v>26.05</v>
      </c>
      <c r="BN39" s="1">
        <v>101.48</v>
      </c>
      <c r="BO39" s="1">
        <v>6.91</v>
      </c>
      <c r="BP39" s="1">
        <v>78.58</v>
      </c>
      <c r="BQ39" s="1">
        <v>11.48</v>
      </c>
      <c r="BR39" s="1">
        <v>3252.95</v>
      </c>
      <c r="BS39" s="1">
        <v>46.65</v>
      </c>
      <c r="BT39" s="1">
        <v>62565.31</v>
      </c>
      <c r="BU39" s="1">
        <v>489.64</v>
      </c>
      <c r="BV39" s="1">
        <v>14618.2</v>
      </c>
      <c r="BW39" s="1">
        <v>162.21</v>
      </c>
      <c r="BX39" s="1">
        <v>469.15</v>
      </c>
      <c r="BY39" s="1">
        <v>47.18</v>
      </c>
      <c r="BZ39" s="1">
        <v>168.66</v>
      </c>
      <c r="CA39" s="1">
        <v>25.22</v>
      </c>
      <c r="CB39" s="1">
        <v>0</v>
      </c>
      <c r="CC39" s="1">
        <v>7.38</v>
      </c>
      <c r="CD39" s="1">
        <v>0</v>
      </c>
      <c r="CE39" s="1">
        <v>5.95</v>
      </c>
      <c r="CF39" s="1">
        <v>0</v>
      </c>
      <c r="CG39" s="1">
        <v>6.82</v>
      </c>
      <c r="CH39" s="1">
        <v>0</v>
      </c>
      <c r="CI39" s="1">
        <v>4.51</v>
      </c>
      <c r="CJ39" s="1">
        <v>0</v>
      </c>
      <c r="CK39" s="1">
        <v>6.36</v>
      </c>
      <c r="CL39" s="1">
        <v>488768.88</v>
      </c>
      <c r="CM39" s="1">
        <v>1174.79</v>
      </c>
      <c r="CN39" s="1">
        <v>10.130000000000001</v>
      </c>
      <c r="CO39" s="1">
        <v>1</v>
      </c>
      <c r="CP39" s="1">
        <v>6.34</v>
      </c>
      <c r="CQ39" s="1">
        <v>1.95</v>
      </c>
      <c r="CR39" s="1">
        <v>0</v>
      </c>
      <c r="CS39" s="1">
        <v>1.5</v>
      </c>
      <c r="CT39" s="1">
        <v>0</v>
      </c>
      <c r="CU39" s="1">
        <v>1.5</v>
      </c>
      <c r="CV39" s="1">
        <v>0</v>
      </c>
      <c r="CW39" s="1">
        <v>1.5</v>
      </c>
      <c r="CX39" s="1">
        <v>71903.27</v>
      </c>
      <c r="CY39" s="1">
        <v>1513.11</v>
      </c>
      <c r="CZ39" s="1">
        <v>0</v>
      </c>
      <c r="DA39" s="1">
        <v>213.88</v>
      </c>
      <c r="DB39" s="1">
        <v>330123.34000000003</v>
      </c>
      <c r="DC39" s="1">
        <v>1049.3800000000001</v>
      </c>
      <c r="DD39" s="1">
        <v>0</v>
      </c>
      <c r="DE39" s="1">
        <v>22.27</v>
      </c>
      <c r="DF39" s="1">
        <v>2473.94</v>
      </c>
      <c r="DG39" s="1">
        <v>1328.96</v>
      </c>
      <c r="DH39" s="1">
        <v>0</v>
      </c>
      <c r="DI39" s="1">
        <v>35</v>
      </c>
      <c r="DJ39" s="1">
        <v>0</v>
      </c>
      <c r="DK39" s="1">
        <v>9.44</v>
      </c>
      <c r="DL39" s="1">
        <v>0</v>
      </c>
      <c r="DM39" s="1">
        <v>19.96</v>
      </c>
      <c r="DN39">
        <v>48</v>
      </c>
      <c r="DO39" t="s">
        <v>312</v>
      </c>
      <c r="DP39" s="35">
        <v>0</v>
      </c>
      <c r="DQ39">
        <v>1.5536770538966296</v>
      </c>
      <c r="DR39" s="13">
        <v>90</v>
      </c>
      <c r="DS39" s="10">
        <v>6.21</v>
      </c>
      <c r="DT39" s="10">
        <v>1.2419999837875366</v>
      </c>
      <c r="DU39" s="10">
        <v>8.5</v>
      </c>
      <c r="DV39" s="10">
        <v>11.93738842010498</v>
      </c>
      <c r="DW39" t="s">
        <v>300</v>
      </c>
      <c r="DX39" s="10">
        <v>25.445293426513672</v>
      </c>
      <c r="DY39" s="10">
        <v>21.628498077392578</v>
      </c>
      <c r="DZ39" s="10">
        <v>28.413909912109375</v>
      </c>
      <c r="EA39" s="10">
        <v>50.042407989501953</v>
      </c>
      <c r="EB39" s="10">
        <v>24.427480697631836</v>
      </c>
      <c r="EC39" s="10">
        <v>8.4817640483379364E-2</v>
      </c>
      <c r="ED39" s="10">
        <v>24.512298583984375</v>
      </c>
      <c r="EE39" s="10">
        <v>1.1195895671844482</v>
      </c>
      <c r="EF39" s="10">
        <v>11.3</v>
      </c>
    </row>
    <row r="40" spans="1:136" ht="15.75" customHeight="1" x14ac:dyDescent="0.3">
      <c r="A40" s="1" t="s">
        <v>486</v>
      </c>
      <c r="B40" s="2">
        <v>199</v>
      </c>
      <c r="C40" s="3">
        <v>44678.837500000001</v>
      </c>
      <c r="D40" s="1">
        <v>361.9</v>
      </c>
      <c r="E40" s="1">
        <v>110</v>
      </c>
      <c r="F40" s="1">
        <v>8.0530000000000003E-5</v>
      </c>
      <c r="G40" s="1">
        <v>1.945E-6</v>
      </c>
      <c r="H40" s="1">
        <v>1.38</v>
      </c>
      <c r="I40" s="1" t="s">
        <v>221</v>
      </c>
      <c r="J40" s="1" t="s">
        <v>179</v>
      </c>
      <c r="K40" s="1">
        <v>13.58</v>
      </c>
      <c r="L40" s="1">
        <v>508</v>
      </c>
      <c r="M40" s="1">
        <v>3</v>
      </c>
      <c r="N40" s="1">
        <v>7.716E-5</v>
      </c>
      <c r="O40" s="1">
        <v>7.1740000000000001E-7</v>
      </c>
      <c r="P40" s="1">
        <v>0.53</v>
      </c>
      <c r="Q40" s="1" t="s">
        <v>222</v>
      </c>
      <c r="R40" s="1" t="s">
        <v>110</v>
      </c>
      <c r="S40" s="1">
        <v>5.9300441826215016</v>
      </c>
      <c r="T40" s="1">
        <v>5.6818851251840936</v>
      </c>
      <c r="U40" s="1">
        <f t="shared" ref="U40:U45" si="5">S40-T40</f>
        <v>0.24815905743740796</v>
      </c>
      <c r="V40" s="1">
        <f t="shared" si="2"/>
        <v>4.1847758599279778</v>
      </c>
      <c r="W40" s="1">
        <f t="shared" si="1"/>
        <v>0.24815905743740796</v>
      </c>
      <c r="X40" s="1">
        <v>724303.31</v>
      </c>
      <c r="Y40" s="1">
        <v>0</v>
      </c>
      <c r="Z40" s="1">
        <v>3477.95</v>
      </c>
      <c r="AA40" s="1">
        <v>0</v>
      </c>
      <c r="AB40" s="1">
        <v>125251.27</v>
      </c>
      <c r="AC40" s="1">
        <v>0</v>
      </c>
      <c r="AD40" s="1">
        <v>4.76</v>
      </c>
      <c r="AE40" s="1">
        <v>1.31</v>
      </c>
      <c r="AF40" s="1">
        <v>255.8</v>
      </c>
      <c r="AG40" s="1">
        <v>2.63</v>
      </c>
      <c r="AH40" s="1">
        <v>160.19999999999999</v>
      </c>
      <c r="AI40" s="1">
        <v>2.0699999999999998</v>
      </c>
      <c r="AJ40" s="1">
        <v>0</v>
      </c>
      <c r="AK40" s="1">
        <v>3.3</v>
      </c>
      <c r="AL40" s="1">
        <v>64.52</v>
      </c>
      <c r="AM40" s="1">
        <v>1.6</v>
      </c>
      <c r="AN40" s="1">
        <v>5.32</v>
      </c>
      <c r="AO40" s="1">
        <v>1.26</v>
      </c>
      <c r="AP40" s="1">
        <v>13.18</v>
      </c>
      <c r="AQ40" s="1">
        <v>2.1</v>
      </c>
      <c r="AR40" s="1">
        <v>0</v>
      </c>
      <c r="AS40" s="1">
        <v>3.15</v>
      </c>
      <c r="AT40" s="1">
        <v>0</v>
      </c>
      <c r="AU40" s="1">
        <v>1.72</v>
      </c>
      <c r="AV40" s="1">
        <v>7.39</v>
      </c>
      <c r="AW40" s="1">
        <v>1.76</v>
      </c>
      <c r="AX40" s="1">
        <v>0</v>
      </c>
      <c r="AY40" s="1">
        <v>4.1500000000000004</v>
      </c>
      <c r="AZ40" s="1">
        <v>29.4</v>
      </c>
      <c r="BA40" s="1">
        <v>3.4</v>
      </c>
      <c r="BB40" s="1">
        <v>0</v>
      </c>
      <c r="BC40" s="1">
        <v>16.440000000000001</v>
      </c>
      <c r="BD40" s="1">
        <v>12.54</v>
      </c>
      <c r="BE40" s="1">
        <v>5.26</v>
      </c>
      <c r="BF40" s="1">
        <v>0</v>
      </c>
      <c r="BG40" s="1">
        <v>15.94</v>
      </c>
      <c r="BH40" s="1">
        <v>0</v>
      </c>
      <c r="BI40" s="1">
        <v>49.88</v>
      </c>
      <c r="BJ40" s="1">
        <v>19081.25</v>
      </c>
      <c r="BK40" s="1">
        <v>118.29</v>
      </c>
      <c r="BL40" s="1">
        <v>141.61000000000001</v>
      </c>
      <c r="BM40" s="1">
        <v>22.65</v>
      </c>
      <c r="BN40" s="1">
        <v>69.569999999999993</v>
      </c>
      <c r="BO40" s="1">
        <v>6.14</v>
      </c>
      <c r="BP40" s="1">
        <v>100.02</v>
      </c>
      <c r="BQ40" s="1">
        <v>17.75</v>
      </c>
      <c r="BR40" s="1">
        <v>2946.91</v>
      </c>
      <c r="BS40" s="1">
        <v>41.82</v>
      </c>
      <c r="BT40" s="1">
        <v>60157.58</v>
      </c>
      <c r="BU40" s="1">
        <v>451.07</v>
      </c>
      <c r="BV40" s="1">
        <v>13350.62</v>
      </c>
      <c r="BW40" s="1">
        <v>145.77000000000001</v>
      </c>
      <c r="BX40" s="1">
        <v>279.55</v>
      </c>
      <c r="BY40" s="1">
        <v>43.86</v>
      </c>
      <c r="BZ40" s="1">
        <v>143.71</v>
      </c>
      <c r="CA40" s="1">
        <v>24.35</v>
      </c>
      <c r="CB40" s="1">
        <v>0</v>
      </c>
      <c r="CC40" s="1">
        <v>7.23</v>
      </c>
      <c r="CD40" s="1">
        <v>0</v>
      </c>
      <c r="CE40" s="1">
        <v>5.79</v>
      </c>
      <c r="CF40" s="1">
        <v>0</v>
      </c>
      <c r="CG40" s="1">
        <v>6.7</v>
      </c>
      <c r="CH40" s="1">
        <v>4.47</v>
      </c>
      <c r="CI40" s="1">
        <v>2.02</v>
      </c>
      <c r="CJ40" s="1">
        <v>0</v>
      </c>
      <c r="CK40" s="1">
        <v>6.33</v>
      </c>
      <c r="CL40" s="1">
        <v>496797</v>
      </c>
      <c r="CM40" s="1">
        <v>1109.8599999999999</v>
      </c>
      <c r="CN40" s="1">
        <v>8.6199999999999992</v>
      </c>
      <c r="CO40" s="1">
        <v>1</v>
      </c>
      <c r="CP40" s="1">
        <v>3.45</v>
      </c>
      <c r="CQ40" s="1">
        <v>1.76</v>
      </c>
      <c r="CR40" s="1">
        <v>0</v>
      </c>
      <c r="CS40" s="1">
        <v>1.5</v>
      </c>
      <c r="CT40" s="1">
        <v>0</v>
      </c>
      <c r="CU40" s="1">
        <v>1.5</v>
      </c>
      <c r="CV40" s="1">
        <v>0</v>
      </c>
      <c r="CW40" s="1">
        <v>1.5</v>
      </c>
      <c r="CX40" s="1">
        <v>66270.52</v>
      </c>
      <c r="CY40" s="1">
        <v>1404.78</v>
      </c>
      <c r="CZ40" s="1">
        <v>0</v>
      </c>
      <c r="DA40" s="1">
        <v>209.43</v>
      </c>
      <c r="DB40" s="1">
        <v>338459.47</v>
      </c>
      <c r="DC40" s="1">
        <v>1029.3900000000001</v>
      </c>
      <c r="DD40" s="1">
        <v>0</v>
      </c>
      <c r="DE40" s="1">
        <v>21.15</v>
      </c>
      <c r="DF40" s="1">
        <v>2095.15</v>
      </c>
      <c r="DG40" s="1">
        <v>1241.04</v>
      </c>
      <c r="DH40" s="1">
        <v>0</v>
      </c>
      <c r="DI40" s="1">
        <v>32.880000000000003</v>
      </c>
      <c r="DJ40" s="1">
        <v>0</v>
      </c>
      <c r="DK40" s="1">
        <v>9.2200000000000006</v>
      </c>
      <c r="DL40" s="1">
        <v>0</v>
      </c>
      <c r="DM40" s="1">
        <v>19.61</v>
      </c>
      <c r="DN40">
        <v>49</v>
      </c>
      <c r="DO40" t="s">
        <v>312</v>
      </c>
      <c r="DP40" s="35">
        <v>0</v>
      </c>
      <c r="DQ40">
        <v>1.5380666762086077</v>
      </c>
      <c r="DR40" s="13">
        <v>113</v>
      </c>
      <c r="DS40" s="10">
        <v>5.16</v>
      </c>
      <c r="DT40" s="10">
        <v>1.031999945640564</v>
      </c>
      <c r="DU40" s="10">
        <v>8.5</v>
      </c>
      <c r="DV40" s="10">
        <v>9.942906379699707</v>
      </c>
      <c r="DW40" t="s">
        <v>299</v>
      </c>
      <c r="DX40" s="10">
        <v>20.532194137573242</v>
      </c>
      <c r="DY40" s="10">
        <v>16.015111923217773</v>
      </c>
      <c r="DZ40" s="10">
        <v>27.923784255981445</v>
      </c>
      <c r="EA40" s="10">
        <v>43.938896179199219</v>
      </c>
      <c r="EB40" s="10">
        <v>34.4776611328125</v>
      </c>
      <c r="EC40" s="10">
        <v>1.05124831199646</v>
      </c>
      <c r="ED40" s="10">
        <v>35.528907775878906</v>
      </c>
      <c r="EE40" s="10">
        <v>1.1574492454528809</v>
      </c>
      <c r="EF40" s="10">
        <v>9.5</v>
      </c>
    </row>
    <row r="41" spans="1:136" ht="15.75" customHeight="1" x14ac:dyDescent="0.3">
      <c r="A41" t="s">
        <v>358</v>
      </c>
      <c r="B41" s="2">
        <v>210</v>
      </c>
      <c r="C41" s="3">
        <v>44664.972916666673</v>
      </c>
      <c r="D41" s="1">
        <v>361.72</v>
      </c>
      <c r="E41" s="1">
        <v>20</v>
      </c>
      <c r="F41" s="1">
        <v>3.835E-4</v>
      </c>
      <c r="G41" s="1">
        <v>1.345E-5</v>
      </c>
      <c r="H41" s="1">
        <v>2.0099999999999998</v>
      </c>
      <c r="I41" s="1" t="s">
        <v>192</v>
      </c>
      <c r="J41" s="1" t="s">
        <v>179</v>
      </c>
      <c r="K41" s="1">
        <v>13.882999999999999</v>
      </c>
      <c r="L41" s="1">
        <v>698</v>
      </c>
      <c r="M41" s="1">
        <v>3</v>
      </c>
      <c r="N41" s="1">
        <v>3.6709999999999998E-4</v>
      </c>
      <c r="O41" s="1">
        <v>-5.0699999999999997E-6</v>
      </c>
      <c r="P41" s="1">
        <v>-0.79</v>
      </c>
      <c r="Q41" s="1" t="s">
        <v>223</v>
      </c>
      <c r="R41" s="1" t="s">
        <v>180</v>
      </c>
      <c r="S41" s="1">
        <v>27.623712454080529</v>
      </c>
      <c r="T41" s="1">
        <v>26.442411582510989</v>
      </c>
      <c r="U41" s="1">
        <f t="shared" si="5"/>
        <v>1.1813008715695403</v>
      </c>
      <c r="V41" s="1">
        <f t="shared" si="2"/>
        <v>4.2764015645371396</v>
      </c>
      <c r="W41" s="1">
        <f t="shared" si="1"/>
        <v>1.1813008715695403</v>
      </c>
      <c r="X41" s="1">
        <v>652691.75</v>
      </c>
      <c r="Y41" s="1">
        <v>0</v>
      </c>
      <c r="Z41" s="1">
        <v>4170.8</v>
      </c>
      <c r="AA41" s="1">
        <v>0</v>
      </c>
      <c r="AB41" s="1">
        <v>155513.75</v>
      </c>
      <c r="AC41" s="1">
        <v>0</v>
      </c>
      <c r="AD41" s="1">
        <v>4.41</v>
      </c>
      <c r="AE41" s="1">
        <v>1.4</v>
      </c>
      <c r="AF41" s="1">
        <v>262.70999999999998</v>
      </c>
      <c r="AG41" s="1">
        <v>2.8</v>
      </c>
      <c r="AH41" s="1">
        <v>79</v>
      </c>
      <c r="AI41" s="1">
        <v>1.61</v>
      </c>
      <c r="AJ41" s="1">
        <v>0</v>
      </c>
      <c r="AK41" s="1">
        <v>3.79</v>
      </c>
      <c r="AL41" s="1">
        <v>90.98</v>
      </c>
      <c r="AM41" s="1">
        <v>1.98</v>
      </c>
      <c r="AN41" s="1">
        <v>8.7799999999999994</v>
      </c>
      <c r="AO41" s="1">
        <v>1.62</v>
      </c>
      <c r="AP41" s="1">
        <v>43.18</v>
      </c>
      <c r="AQ41" s="1">
        <v>3.05</v>
      </c>
      <c r="AR41" s="1">
        <v>0</v>
      </c>
      <c r="AS41" s="1">
        <v>3.53</v>
      </c>
      <c r="AT41" s="1">
        <v>0</v>
      </c>
      <c r="AU41" s="1">
        <v>1.93</v>
      </c>
      <c r="AV41" s="1">
        <v>23.93</v>
      </c>
      <c r="AW41" s="1">
        <v>3.36</v>
      </c>
      <c r="AX41" s="1">
        <v>0</v>
      </c>
      <c r="AY41" s="1">
        <v>4.59</v>
      </c>
      <c r="AZ41" s="1">
        <v>263.38</v>
      </c>
      <c r="BA41" s="1">
        <v>7.34</v>
      </c>
      <c r="BB41" s="1">
        <v>0</v>
      </c>
      <c r="BC41" s="1">
        <v>18.88</v>
      </c>
      <c r="BD41" s="1">
        <v>27.53</v>
      </c>
      <c r="BE41" s="1">
        <v>6.1</v>
      </c>
      <c r="BF41" s="1">
        <v>24.78</v>
      </c>
      <c r="BG41" s="1">
        <v>12.35</v>
      </c>
      <c r="BH41" s="1">
        <v>137.06</v>
      </c>
      <c r="BI41" s="1">
        <v>60.47</v>
      </c>
      <c r="BJ41" s="1">
        <v>49413.63</v>
      </c>
      <c r="BK41" s="1">
        <v>210.22</v>
      </c>
      <c r="BL41" s="1">
        <v>1164.49</v>
      </c>
      <c r="BM41" s="1">
        <v>40.119999999999997</v>
      </c>
      <c r="BN41" s="1">
        <v>202.73</v>
      </c>
      <c r="BO41" s="1">
        <v>15.12</v>
      </c>
      <c r="BP41" s="1">
        <v>93.69</v>
      </c>
      <c r="BQ41" s="1">
        <v>15.35</v>
      </c>
      <c r="BR41" s="1">
        <v>4547.38</v>
      </c>
      <c r="BS41" s="1">
        <v>62.23</v>
      </c>
      <c r="BT41" s="1">
        <v>12737.76</v>
      </c>
      <c r="BU41" s="1">
        <v>282.05</v>
      </c>
      <c r="BV41" s="1">
        <v>13343.62</v>
      </c>
      <c r="BW41" s="1">
        <v>173.83</v>
      </c>
      <c r="BX41" s="1">
        <v>869.87</v>
      </c>
      <c r="BY41" s="1">
        <v>42.41</v>
      </c>
      <c r="BZ41" s="1">
        <v>227.96</v>
      </c>
      <c r="CA41" s="1">
        <v>26.48</v>
      </c>
      <c r="CB41" s="1">
        <v>0</v>
      </c>
      <c r="CC41" s="1">
        <v>7.78</v>
      </c>
      <c r="CD41" s="1">
        <v>12.58</v>
      </c>
      <c r="CE41" s="1">
        <v>7.15</v>
      </c>
      <c r="CF41" s="1">
        <v>6.5</v>
      </c>
      <c r="CG41" s="1">
        <v>3.92</v>
      </c>
      <c r="CH41" s="1">
        <v>0</v>
      </c>
      <c r="CI41" s="1">
        <v>3.17</v>
      </c>
      <c r="CJ41" s="1">
        <v>0</v>
      </c>
      <c r="CK41" s="1">
        <v>6.72</v>
      </c>
      <c r="CL41" s="1">
        <v>526509.38</v>
      </c>
      <c r="CM41" s="1">
        <v>1177.79</v>
      </c>
      <c r="CN41" s="1">
        <v>11.8</v>
      </c>
      <c r="CO41" s="1">
        <v>1</v>
      </c>
      <c r="CP41" s="1">
        <v>9.2799999999999994</v>
      </c>
      <c r="CQ41" s="1">
        <v>2.2400000000000002</v>
      </c>
      <c r="CR41" s="1">
        <v>0</v>
      </c>
      <c r="CS41" s="1">
        <v>1.5</v>
      </c>
      <c r="CT41" s="1">
        <v>0</v>
      </c>
      <c r="CU41" s="1">
        <v>1.5</v>
      </c>
      <c r="CV41" s="1">
        <v>0</v>
      </c>
      <c r="CW41" s="1">
        <v>1.5</v>
      </c>
      <c r="CX41" s="1">
        <v>82282.41</v>
      </c>
      <c r="CY41" s="1">
        <v>1387.99</v>
      </c>
      <c r="CZ41" s="1">
        <v>619.79</v>
      </c>
      <c r="DA41" s="1">
        <v>121.75</v>
      </c>
      <c r="DB41" s="1">
        <v>304996.13</v>
      </c>
      <c r="DC41" s="1">
        <v>979.82</v>
      </c>
      <c r="DD41" s="1">
        <v>227.82</v>
      </c>
      <c r="DE41" s="1">
        <v>15.59</v>
      </c>
      <c r="DF41" s="1">
        <v>2512.5300000000002</v>
      </c>
      <c r="DG41" s="1">
        <v>1098.21</v>
      </c>
      <c r="DH41" s="1">
        <v>23.37</v>
      </c>
      <c r="DI41" s="1">
        <v>12.92</v>
      </c>
      <c r="DJ41" s="1">
        <v>0</v>
      </c>
      <c r="DK41" s="1">
        <v>9.9499999999999993</v>
      </c>
      <c r="DL41" s="1">
        <v>0</v>
      </c>
      <c r="DM41" s="1">
        <v>21.07</v>
      </c>
      <c r="DN41">
        <v>1</v>
      </c>
      <c r="DO41" t="s">
        <v>285</v>
      </c>
      <c r="DP41" s="35">
        <v>0</v>
      </c>
      <c r="DQ41">
        <v>1.195912992</v>
      </c>
      <c r="DR41">
        <v>20</v>
      </c>
      <c r="DS41" s="10">
        <v>28.5</v>
      </c>
      <c r="DT41" s="10">
        <v>5.6999998092651367</v>
      </c>
      <c r="DU41" s="10">
        <v>7.8400001525878906</v>
      </c>
      <c r="DV41" s="10">
        <v>39.483188629150391</v>
      </c>
      <c r="DW41" t="s">
        <v>296</v>
      </c>
      <c r="DX41" s="10">
        <v>52.891395568847656</v>
      </c>
      <c r="DY41" s="10">
        <v>21.597320556640625</v>
      </c>
      <c r="DZ41" s="10">
        <v>15.867419242858887</v>
      </c>
      <c r="EA41" s="10">
        <v>37.464740753173828</v>
      </c>
      <c r="EB41" s="10">
        <v>7.5987305641174316</v>
      </c>
      <c r="EC41" s="10">
        <v>2.0451340675354004</v>
      </c>
      <c r="ED41" s="10">
        <v>9.643864631652832</v>
      </c>
      <c r="EE41" s="10">
        <v>0.23509381711483002</v>
      </c>
      <c r="EF41" s="10">
        <v>0</v>
      </c>
    </row>
    <row r="42" spans="1:136" ht="15.75" customHeight="1" x14ac:dyDescent="0.3">
      <c r="A42" t="s">
        <v>359</v>
      </c>
      <c r="B42" s="2">
        <v>224</v>
      </c>
      <c r="C42" s="3">
        <v>44665.060416666667</v>
      </c>
      <c r="D42" s="1">
        <v>361.26</v>
      </c>
      <c r="E42" s="1">
        <v>48</v>
      </c>
      <c r="F42" s="1">
        <v>1.941E-4</v>
      </c>
      <c r="G42" s="1">
        <v>4.9350000000000002E-6</v>
      </c>
      <c r="H42" s="1">
        <v>1.46</v>
      </c>
      <c r="I42" s="1" t="s">
        <v>224</v>
      </c>
      <c r="J42" s="1" t="s">
        <v>179</v>
      </c>
      <c r="K42" s="1">
        <v>14.553000000000001</v>
      </c>
      <c r="L42" s="1">
        <v>715</v>
      </c>
      <c r="M42" s="1">
        <v>3</v>
      </c>
      <c r="N42" s="1">
        <v>1.872E-4</v>
      </c>
      <c r="O42" s="1">
        <v>-2.1110000000000002E-6</v>
      </c>
      <c r="P42" s="1">
        <v>-0.65</v>
      </c>
      <c r="Q42" s="1" t="s">
        <v>225</v>
      </c>
      <c r="R42" s="1" t="s">
        <v>180</v>
      </c>
      <c r="S42" s="1">
        <v>13.337456194599049</v>
      </c>
      <c r="T42" s="1">
        <v>12.86332714904143</v>
      </c>
      <c r="U42" s="1">
        <f t="shared" si="5"/>
        <v>0.47412904555761948</v>
      </c>
      <c r="V42" s="1">
        <f t="shared" si="2"/>
        <v>3.5548686244204211</v>
      </c>
      <c r="W42" s="1">
        <f t="shared" si="1"/>
        <v>0.47412904555761948</v>
      </c>
      <c r="X42" s="1">
        <v>758801</v>
      </c>
      <c r="Y42" s="1">
        <v>0</v>
      </c>
      <c r="Z42" s="1">
        <v>3224.15</v>
      </c>
      <c r="AA42" s="1">
        <v>0</v>
      </c>
      <c r="AB42" s="1">
        <v>128649.74</v>
      </c>
      <c r="AC42" s="1">
        <v>0</v>
      </c>
      <c r="AD42" s="1">
        <v>3.96</v>
      </c>
      <c r="AE42" s="1">
        <v>1.47</v>
      </c>
      <c r="AF42" s="1">
        <v>404.92</v>
      </c>
      <c r="AG42" s="1">
        <v>3.35</v>
      </c>
      <c r="AH42" s="1">
        <v>79.84</v>
      </c>
      <c r="AI42" s="1">
        <v>1.6</v>
      </c>
      <c r="AJ42" s="1">
        <v>0</v>
      </c>
      <c r="AK42" s="1">
        <v>3.45</v>
      </c>
      <c r="AL42" s="1">
        <v>59.3</v>
      </c>
      <c r="AM42" s="1">
        <v>1.65</v>
      </c>
      <c r="AN42" s="1">
        <v>6.06</v>
      </c>
      <c r="AO42" s="1">
        <v>1.44</v>
      </c>
      <c r="AP42" s="1">
        <v>21.59</v>
      </c>
      <c r="AQ42" s="1">
        <v>2.48</v>
      </c>
      <c r="AR42" s="1">
        <v>0</v>
      </c>
      <c r="AS42" s="1">
        <v>3.51</v>
      </c>
      <c r="AT42" s="1">
        <v>0</v>
      </c>
      <c r="AU42" s="1">
        <v>1.87</v>
      </c>
      <c r="AV42" s="1">
        <v>11.67</v>
      </c>
      <c r="AW42" s="1">
        <v>2.71</v>
      </c>
      <c r="AX42" s="1">
        <v>0</v>
      </c>
      <c r="AY42" s="1">
        <v>4.54</v>
      </c>
      <c r="AZ42" s="1">
        <v>55.3</v>
      </c>
      <c r="BA42" s="1">
        <v>4.2300000000000004</v>
      </c>
      <c r="BB42" s="1">
        <v>0</v>
      </c>
      <c r="BC42" s="1">
        <v>18.440000000000001</v>
      </c>
      <c r="BD42" s="1">
        <v>15.96</v>
      </c>
      <c r="BE42" s="1">
        <v>5.81</v>
      </c>
      <c r="BF42" s="1">
        <v>25.21</v>
      </c>
      <c r="BG42" s="1">
        <v>12.05</v>
      </c>
      <c r="BH42" s="1">
        <v>0</v>
      </c>
      <c r="BI42" s="1">
        <v>81.319999999999993</v>
      </c>
      <c r="BJ42" s="1">
        <v>42232.01</v>
      </c>
      <c r="BK42" s="1">
        <v>191.56</v>
      </c>
      <c r="BL42" s="1">
        <v>1812.97</v>
      </c>
      <c r="BM42" s="1">
        <v>45.97</v>
      </c>
      <c r="BN42" s="1">
        <v>113.2</v>
      </c>
      <c r="BO42" s="1">
        <v>8.35</v>
      </c>
      <c r="BP42" s="1">
        <v>77.02</v>
      </c>
      <c r="BQ42" s="1">
        <v>14.61</v>
      </c>
      <c r="BR42" s="1">
        <v>4181.16</v>
      </c>
      <c r="BS42" s="1">
        <v>59.21</v>
      </c>
      <c r="BT42" s="1">
        <v>13993.46</v>
      </c>
      <c r="BU42" s="1">
        <v>286.22000000000003</v>
      </c>
      <c r="BV42" s="1">
        <v>11246.96</v>
      </c>
      <c r="BW42" s="1">
        <v>159.6</v>
      </c>
      <c r="BX42" s="1">
        <v>275.39999999999998</v>
      </c>
      <c r="BY42" s="1">
        <v>39.549999999999997</v>
      </c>
      <c r="BZ42" s="1">
        <v>237.62</v>
      </c>
      <c r="CA42" s="1">
        <v>20.78</v>
      </c>
      <c r="CB42" s="1">
        <v>0</v>
      </c>
      <c r="CC42" s="1">
        <v>7.58</v>
      </c>
      <c r="CD42" s="1">
        <v>0</v>
      </c>
      <c r="CE42" s="1">
        <v>6.09</v>
      </c>
      <c r="CF42" s="1">
        <v>0</v>
      </c>
      <c r="CG42" s="1">
        <v>7.08</v>
      </c>
      <c r="CH42" s="1">
        <v>0</v>
      </c>
      <c r="CI42" s="1">
        <v>4.57</v>
      </c>
      <c r="CJ42" s="1">
        <v>0</v>
      </c>
      <c r="CK42" s="1">
        <v>6.71</v>
      </c>
      <c r="CL42" s="1">
        <v>500807.22</v>
      </c>
      <c r="CM42" s="1">
        <v>1191.06</v>
      </c>
      <c r="CN42" s="1">
        <v>12.32</v>
      </c>
      <c r="CO42" s="1">
        <v>1</v>
      </c>
      <c r="CP42" s="1">
        <v>3.09</v>
      </c>
      <c r="CQ42" s="1">
        <v>1.93</v>
      </c>
      <c r="CR42" s="1">
        <v>0</v>
      </c>
      <c r="CS42" s="1">
        <v>1.5</v>
      </c>
      <c r="CT42" s="1">
        <v>0</v>
      </c>
      <c r="CU42" s="1">
        <v>1.5</v>
      </c>
      <c r="CV42" s="1">
        <v>0</v>
      </c>
      <c r="CW42" s="1">
        <v>1.5</v>
      </c>
      <c r="CX42" s="1">
        <v>68068.649999999994</v>
      </c>
      <c r="CY42" s="1">
        <v>1320.24</v>
      </c>
      <c r="CZ42" s="1">
        <v>0</v>
      </c>
      <c r="DA42" s="1">
        <v>197.38</v>
      </c>
      <c r="DB42" s="1">
        <v>354579.88</v>
      </c>
      <c r="DC42" s="1">
        <v>1058.05</v>
      </c>
      <c r="DD42" s="1">
        <v>0</v>
      </c>
      <c r="DE42" s="1">
        <v>20.02</v>
      </c>
      <c r="DF42" s="1">
        <v>1942.26</v>
      </c>
      <c r="DG42" s="1">
        <v>1102.07</v>
      </c>
      <c r="DH42" s="1">
        <v>0</v>
      </c>
      <c r="DI42" s="1">
        <v>19.37</v>
      </c>
      <c r="DJ42" s="1">
        <v>0</v>
      </c>
      <c r="DK42" s="1">
        <v>9.77</v>
      </c>
      <c r="DL42" s="1">
        <v>0</v>
      </c>
      <c r="DM42" s="1">
        <v>20.66</v>
      </c>
      <c r="DN42">
        <v>3</v>
      </c>
      <c r="DO42" t="s">
        <v>315</v>
      </c>
      <c r="DP42" s="35">
        <v>0</v>
      </c>
      <c r="DQ42" s="11">
        <v>1.408691554</v>
      </c>
      <c r="DR42" s="11">
        <v>48</v>
      </c>
      <c r="DS42" s="12">
        <v>8.35</v>
      </c>
      <c r="DT42" s="12">
        <v>1.6699999570846558</v>
      </c>
      <c r="DU42" s="12">
        <v>8.3000001907348633</v>
      </c>
      <c r="DV42" s="12">
        <v>32.478816986083984</v>
      </c>
      <c r="DW42" s="11" t="s">
        <v>297</v>
      </c>
      <c r="DX42" s="12">
        <v>38.511962890625</v>
      </c>
      <c r="DY42" s="12">
        <v>17.207473754882813</v>
      </c>
      <c r="DZ42" s="12">
        <v>29.498525619506836</v>
      </c>
      <c r="EA42" s="12">
        <v>46.706001281738281</v>
      </c>
      <c r="EB42" s="12">
        <v>12.42215633392334</v>
      </c>
      <c r="EC42" s="12">
        <v>2.359882116317749</v>
      </c>
      <c r="ED42" s="12">
        <v>14.782038688659668</v>
      </c>
      <c r="EE42" s="12">
        <v>0.60820144414901733</v>
      </c>
      <c r="EF42" s="10">
        <v>0</v>
      </c>
    </row>
    <row r="43" spans="1:136" ht="15.75" customHeight="1" x14ac:dyDescent="0.3">
      <c r="A43" t="s">
        <v>360</v>
      </c>
      <c r="B43" s="2">
        <v>232</v>
      </c>
      <c r="C43" s="3">
        <v>44665.100694444453</v>
      </c>
      <c r="D43" s="1">
        <v>361.97</v>
      </c>
      <c r="E43" s="1">
        <v>64</v>
      </c>
      <c r="F43" s="1">
        <v>1.8770000000000001E-4</v>
      </c>
      <c r="G43" s="1">
        <v>5.7130000000000002E-6</v>
      </c>
      <c r="H43" s="1">
        <v>1.74</v>
      </c>
      <c r="I43" s="1" t="s">
        <v>226</v>
      </c>
      <c r="J43" s="1" t="s">
        <v>179</v>
      </c>
      <c r="K43" s="1">
        <v>13.06</v>
      </c>
      <c r="L43" s="1">
        <v>734</v>
      </c>
      <c r="M43" s="1">
        <v>3</v>
      </c>
      <c r="N43" s="26">
        <v>1.817E-4</v>
      </c>
      <c r="O43" s="1">
        <v>-2.2510000000000001E-6</v>
      </c>
      <c r="P43" s="1">
        <v>-0.71</v>
      </c>
      <c r="Q43" s="1" t="s">
        <v>227</v>
      </c>
      <c r="R43" s="1" t="s">
        <v>180</v>
      </c>
      <c r="S43" s="1">
        <v>14.372128637059729</v>
      </c>
      <c r="T43" s="1">
        <v>13.912710566615621</v>
      </c>
      <c r="U43" s="1">
        <f t="shared" si="5"/>
        <v>0.45941807044410865</v>
      </c>
      <c r="V43" s="1">
        <f t="shared" si="2"/>
        <v>3.1965903036761092</v>
      </c>
      <c r="W43" s="1">
        <f t="shared" si="1"/>
        <v>0.45941807044410865</v>
      </c>
      <c r="X43" s="1">
        <v>744232.56</v>
      </c>
      <c r="Y43" s="1">
        <v>0</v>
      </c>
      <c r="Z43" s="1">
        <v>0</v>
      </c>
      <c r="AA43" s="1">
        <v>0</v>
      </c>
      <c r="AB43" s="1">
        <v>118206.41</v>
      </c>
      <c r="AC43" s="1">
        <v>0</v>
      </c>
      <c r="AD43" s="1">
        <v>2.78</v>
      </c>
      <c r="AE43" s="1">
        <v>1.47</v>
      </c>
      <c r="AF43" s="1">
        <v>405.86</v>
      </c>
      <c r="AG43" s="1">
        <v>3.38</v>
      </c>
      <c r="AH43" s="1">
        <v>78.59</v>
      </c>
      <c r="AI43" s="1">
        <v>1.61</v>
      </c>
      <c r="AJ43" s="1">
        <v>0</v>
      </c>
      <c r="AK43" s="1">
        <v>3.2</v>
      </c>
      <c r="AL43" s="1">
        <v>44.27</v>
      </c>
      <c r="AM43" s="1">
        <v>1.47</v>
      </c>
      <c r="AN43" s="1">
        <v>4.9000000000000004</v>
      </c>
      <c r="AO43" s="1">
        <v>1.41</v>
      </c>
      <c r="AP43" s="1">
        <v>14.62</v>
      </c>
      <c r="AQ43" s="1">
        <v>2.29</v>
      </c>
      <c r="AR43" s="1">
        <v>0</v>
      </c>
      <c r="AS43" s="1">
        <v>3.46</v>
      </c>
      <c r="AT43" s="1">
        <v>0</v>
      </c>
      <c r="AU43" s="1">
        <v>1.88</v>
      </c>
      <c r="AV43" s="1">
        <v>10.65</v>
      </c>
      <c r="AW43" s="1">
        <v>2.48</v>
      </c>
      <c r="AX43" s="1">
        <v>0</v>
      </c>
      <c r="AY43" s="1">
        <v>4.5999999999999996</v>
      </c>
      <c r="AZ43" s="1">
        <v>55.29</v>
      </c>
      <c r="BA43" s="1">
        <v>4.25</v>
      </c>
      <c r="BB43" s="1">
        <v>0</v>
      </c>
      <c r="BC43" s="1">
        <v>18.37</v>
      </c>
      <c r="BD43" s="1">
        <v>15.51</v>
      </c>
      <c r="BE43" s="1">
        <v>5.88</v>
      </c>
      <c r="BF43" s="1">
        <v>42.49</v>
      </c>
      <c r="BG43" s="1">
        <v>12.44</v>
      </c>
      <c r="BH43" s="1">
        <v>0</v>
      </c>
      <c r="BI43" s="1">
        <v>87.72</v>
      </c>
      <c r="BJ43" s="1">
        <v>47513.79</v>
      </c>
      <c r="BK43" s="1">
        <v>205.92</v>
      </c>
      <c r="BL43" s="1">
        <v>1852.61</v>
      </c>
      <c r="BM43" s="1">
        <v>46.86</v>
      </c>
      <c r="BN43" s="1">
        <v>116.39</v>
      </c>
      <c r="BO43" s="1">
        <v>8.6999999999999993</v>
      </c>
      <c r="BP43" s="1">
        <v>84.84</v>
      </c>
      <c r="BQ43" s="1">
        <v>14.62</v>
      </c>
      <c r="BR43" s="1">
        <v>3958.95</v>
      </c>
      <c r="BS43" s="1">
        <v>58.78</v>
      </c>
      <c r="BT43" s="1">
        <v>17048.61</v>
      </c>
      <c r="BU43" s="1">
        <v>314.43</v>
      </c>
      <c r="BV43" s="1">
        <v>12712.9</v>
      </c>
      <c r="BW43" s="1">
        <v>168.9</v>
      </c>
      <c r="BX43" s="1">
        <v>191.88</v>
      </c>
      <c r="BY43" s="1">
        <v>38.049999999999997</v>
      </c>
      <c r="BZ43" s="1">
        <v>203.66</v>
      </c>
      <c r="CA43" s="1">
        <v>21.14</v>
      </c>
      <c r="CB43" s="1">
        <v>0</v>
      </c>
      <c r="CC43" s="1">
        <v>7.82</v>
      </c>
      <c r="CD43" s="1">
        <v>0</v>
      </c>
      <c r="CE43" s="1">
        <v>6.29</v>
      </c>
      <c r="CF43" s="1">
        <v>0</v>
      </c>
      <c r="CG43" s="1">
        <v>7.27</v>
      </c>
      <c r="CH43" s="1">
        <v>0</v>
      </c>
      <c r="CI43" s="1">
        <v>4.74</v>
      </c>
      <c r="CJ43" s="1">
        <v>0</v>
      </c>
      <c r="CK43" s="1">
        <v>6.77</v>
      </c>
      <c r="CL43" s="1">
        <v>508668.72</v>
      </c>
      <c r="CM43" s="1">
        <v>1162.57</v>
      </c>
      <c r="CN43" s="1">
        <v>11.29</v>
      </c>
      <c r="CO43" s="1">
        <v>1</v>
      </c>
      <c r="CP43" s="1">
        <v>0</v>
      </c>
      <c r="CQ43" s="1">
        <v>2.8</v>
      </c>
      <c r="CR43" s="1">
        <v>0</v>
      </c>
      <c r="CS43" s="1">
        <v>1.5</v>
      </c>
      <c r="CT43" s="1">
        <v>0</v>
      </c>
      <c r="CU43" s="1">
        <v>1.5</v>
      </c>
      <c r="CV43" s="1">
        <v>0</v>
      </c>
      <c r="CW43" s="1">
        <v>1.5</v>
      </c>
      <c r="CX43" s="1">
        <v>62543.08</v>
      </c>
      <c r="CY43" s="1">
        <v>1291.43</v>
      </c>
      <c r="CZ43" s="1">
        <v>0</v>
      </c>
      <c r="DA43" s="1">
        <v>192.25</v>
      </c>
      <c r="DB43" s="1">
        <v>347772.22</v>
      </c>
      <c r="DC43" s="1">
        <v>1040.94</v>
      </c>
      <c r="DD43" s="1">
        <v>0</v>
      </c>
      <c r="DE43" s="1">
        <v>19.149999999999999</v>
      </c>
      <c r="DF43" s="1">
        <v>0</v>
      </c>
      <c r="DG43" s="1">
        <v>2618.7199999999998</v>
      </c>
      <c r="DH43" s="1">
        <v>0</v>
      </c>
      <c r="DI43" s="1">
        <v>21.6</v>
      </c>
      <c r="DJ43" s="1">
        <v>0</v>
      </c>
      <c r="DK43" s="1">
        <v>9.9499999999999993</v>
      </c>
      <c r="DL43" s="1">
        <v>0</v>
      </c>
      <c r="DM43" s="1">
        <v>21.21</v>
      </c>
      <c r="DN43">
        <v>7</v>
      </c>
      <c r="DO43" t="s">
        <v>316</v>
      </c>
      <c r="DP43" s="35">
        <v>0</v>
      </c>
      <c r="DQ43">
        <v>1.455126581</v>
      </c>
      <c r="DR43">
        <v>65</v>
      </c>
      <c r="DS43" s="10">
        <v>3.17</v>
      </c>
      <c r="DT43" s="10">
        <v>0.63400000333786011</v>
      </c>
      <c r="DU43" s="10">
        <v>8.5200004577636719</v>
      </c>
      <c r="DV43" s="10">
        <v>30.812074661254883</v>
      </c>
      <c r="DW43" t="s">
        <v>313</v>
      </c>
      <c r="DX43" s="10">
        <v>32.339939117431641</v>
      </c>
      <c r="DY43" s="10">
        <v>18.421483993530273</v>
      </c>
      <c r="DZ43" s="10">
        <v>36.842967987060547</v>
      </c>
      <c r="EA43" s="10">
        <v>55.264450073242188</v>
      </c>
      <c r="EB43" s="10">
        <v>9.2025547027587891</v>
      </c>
      <c r="EC43" s="10">
        <v>3.1930570602416992</v>
      </c>
      <c r="ED43" s="10">
        <v>12.395611763000488</v>
      </c>
      <c r="EE43" s="10">
        <v>1.1247625350952148</v>
      </c>
      <c r="EF43" s="10">
        <v>0</v>
      </c>
    </row>
    <row r="44" spans="1:136" ht="15.75" customHeight="1" x14ac:dyDescent="0.3">
      <c r="A44" t="s">
        <v>361</v>
      </c>
      <c r="B44" s="2">
        <v>242</v>
      </c>
      <c r="C44" s="3">
        <v>44679.055555555547</v>
      </c>
      <c r="D44" s="1">
        <v>360.68</v>
      </c>
      <c r="E44" s="1">
        <v>86</v>
      </c>
      <c r="F44" s="1">
        <v>1.716E-4</v>
      </c>
      <c r="G44" s="1">
        <v>2.0669999999999999E-6</v>
      </c>
      <c r="H44" s="1">
        <v>0.69</v>
      </c>
      <c r="I44" s="1" t="s">
        <v>228</v>
      </c>
      <c r="J44" s="1" t="s">
        <v>179</v>
      </c>
      <c r="K44" s="1">
        <v>13.145</v>
      </c>
      <c r="L44" s="1">
        <v>724</v>
      </c>
      <c r="M44" s="1">
        <v>3</v>
      </c>
      <c r="N44" s="26">
        <v>1.6530000000000001E-4</v>
      </c>
      <c r="O44" s="1">
        <v>-1.6339999999999999E-6</v>
      </c>
      <c r="P44" s="1">
        <v>-0.56999999999999995</v>
      </c>
      <c r="Q44" s="1" t="s">
        <v>229</v>
      </c>
      <c r="R44" s="1" t="s">
        <v>180</v>
      </c>
      <c r="S44" s="1">
        <v>13.05439330543933</v>
      </c>
      <c r="T44" s="1">
        <v>12.57512362114873</v>
      </c>
      <c r="U44" s="1">
        <f t="shared" si="5"/>
        <v>0.47926968429059968</v>
      </c>
      <c r="V44" s="1">
        <f t="shared" si="2"/>
        <v>3.6713286713286322</v>
      </c>
      <c r="W44" s="1">
        <f t="shared" si="1"/>
        <v>0.47926968429059968</v>
      </c>
      <c r="X44" s="1">
        <v>706812.25</v>
      </c>
      <c r="Y44" s="1">
        <v>0</v>
      </c>
      <c r="Z44" s="1">
        <v>3772.57</v>
      </c>
      <c r="AA44" s="1">
        <v>0</v>
      </c>
      <c r="AB44" s="1">
        <v>106029.43</v>
      </c>
      <c r="AC44" s="1">
        <v>0</v>
      </c>
      <c r="AD44" s="1">
        <v>9.4700000000000006</v>
      </c>
      <c r="AE44" s="1">
        <v>1.54</v>
      </c>
      <c r="AF44" s="1">
        <v>424.72</v>
      </c>
      <c r="AG44" s="1">
        <v>3.47</v>
      </c>
      <c r="AH44" s="1">
        <v>78.819999999999993</v>
      </c>
      <c r="AI44" s="1">
        <v>1.62</v>
      </c>
      <c r="AJ44" s="1">
        <v>0</v>
      </c>
      <c r="AK44" s="1">
        <v>3.17</v>
      </c>
      <c r="AL44" s="1">
        <v>47.17</v>
      </c>
      <c r="AM44" s="1">
        <v>1.51</v>
      </c>
      <c r="AN44" s="1">
        <v>4.82</v>
      </c>
      <c r="AO44" s="1">
        <v>1.43</v>
      </c>
      <c r="AP44" s="1">
        <v>15.43</v>
      </c>
      <c r="AQ44" s="1">
        <v>2.33</v>
      </c>
      <c r="AR44" s="1">
        <v>0</v>
      </c>
      <c r="AS44" s="1">
        <v>3.52</v>
      </c>
      <c r="AT44" s="1">
        <v>0</v>
      </c>
      <c r="AU44" s="1">
        <v>1.9</v>
      </c>
      <c r="AV44" s="1">
        <v>11.5</v>
      </c>
      <c r="AW44" s="1">
        <v>2.59</v>
      </c>
      <c r="AX44" s="1">
        <v>0</v>
      </c>
      <c r="AY44" s="1">
        <v>4.58</v>
      </c>
      <c r="AZ44" s="1">
        <v>45.25</v>
      </c>
      <c r="BA44" s="1">
        <v>4.08</v>
      </c>
      <c r="BB44" s="1">
        <v>0</v>
      </c>
      <c r="BC44" s="1">
        <v>18.5</v>
      </c>
      <c r="BD44" s="1">
        <v>14.39</v>
      </c>
      <c r="BE44" s="1">
        <v>5.91</v>
      </c>
      <c r="BF44" s="1">
        <v>27.81</v>
      </c>
      <c r="BG44" s="1">
        <v>12.56</v>
      </c>
      <c r="BH44" s="1">
        <v>191.53</v>
      </c>
      <c r="BI44" s="1">
        <v>61.7</v>
      </c>
      <c r="BJ44" s="1">
        <v>50312.83</v>
      </c>
      <c r="BK44" s="1">
        <v>212.92</v>
      </c>
      <c r="BL44" s="1">
        <v>771.86</v>
      </c>
      <c r="BM44" s="1">
        <v>35.909999999999997</v>
      </c>
      <c r="BN44" s="1">
        <v>101.25</v>
      </c>
      <c r="BO44" s="1">
        <v>8.49</v>
      </c>
      <c r="BP44" s="1">
        <v>58.93</v>
      </c>
      <c r="BQ44" s="1">
        <v>14.66</v>
      </c>
      <c r="BR44" s="1">
        <v>4033</v>
      </c>
      <c r="BS44" s="1">
        <v>59.76</v>
      </c>
      <c r="BT44" s="1">
        <v>13271.52</v>
      </c>
      <c r="BU44" s="1">
        <v>290.79000000000002</v>
      </c>
      <c r="BV44" s="1">
        <v>10119.629999999999</v>
      </c>
      <c r="BW44" s="1">
        <v>155.33000000000001</v>
      </c>
      <c r="BX44" s="1">
        <v>0</v>
      </c>
      <c r="BY44" s="1">
        <v>55</v>
      </c>
      <c r="BZ44" s="1">
        <v>196.15</v>
      </c>
      <c r="CA44" s="1">
        <v>20.89</v>
      </c>
      <c r="CB44" s="1">
        <v>0</v>
      </c>
      <c r="CC44" s="1">
        <v>10.55</v>
      </c>
      <c r="CD44" s="1">
        <v>14.96</v>
      </c>
      <c r="CE44" s="1">
        <v>7.21</v>
      </c>
      <c r="CF44" s="1">
        <v>0</v>
      </c>
      <c r="CG44" s="1">
        <v>7.19</v>
      </c>
      <c r="CH44" s="1">
        <v>0</v>
      </c>
      <c r="CI44" s="1">
        <v>4.7</v>
      </c>
      <c r="CJ44" s="1">
        <v>0</v>
      </c>
      <c r="CK44" s="1">
        <v>6.66</v>
      </c>
      <c r="CL44" s="1">
        <v>532186.88</v>
      </c>
      <c r="CM44" s="1">
        <v>1112.82</v>
      </c>
      <c r="CN44" s="1">
        <v>10.95</v>
      </c>
      <c r="CO44" s="1">
        <v>1</v>
      </c>
      <c r="CP44" s="1">
        <v>0</v>
      </c>
      <c r="CQ44" s="1">
        <v>2.87</v>
      </c>
      <c r="CR44" s="1">
        <v>0</v>
      </c>
      <c r="CS44" s="1">
        <v>1.5</v>
      </c>
      <c r="CT44" s="1">
        <v>0</v>
      </c>
      <c r="CU44" s="1">
        <v>1.5</v>
      </c>
      <c r="CV44" s="1">
        <v>0</v>
      </c>
      <c r="CW44" s="1">
        <v>1.5</v>
      </c>
      <c r="CX44" s="1">
        <v>56100.23</v>
      </c>
      <c r="CY44" s="1">
        <v>1214.18</v>
      </c>
      <c r="CZ44" s="1">
        <v>0</v>
      </c>
      <c r="DA44" s="1">
        <v>182.6</v>
      </c>
      <c r="DB44" s="1">
        <v>330286.09000000003</v>
      </c>
      <c r="DC44" s="1">
        <v>1015.6</v>
      </c>
      <c r="DD44" s="1">
        <v>0</v>
      </c>
      <c r="DE44" s="1">
        <v>19.489999999999998</v>
      </c>
      <c r="DF44" s="1">
        <v>2272.63</v>
      </c>
      <c r="DG44" s="1">
        <v>1076.72</v>
      </c>
      <c r="DH44" s="1">
        <v>23.3</v>
      </c>
      <c r="DI44" s="1">
        <v>13.26</v>
      </c>
      <c r="DJ44" s="1">
        <v>0</v>
      </c>
      <c r="DK44" s="1">
        <v>9.9499999999999993</v>
      </c>
      <c r="DL44" s="1">
        <v>0</v>
      </c>
      <c r="DM44" s="1">
        <v>21</v>
      </c>
      <c r="DN44">
        <v>7</v>
      </c>
      <c r="DO44" t="s">
        <v>316</v>
      </c>
      <c r="DP44" s="35">
        <v>0</v>
      </c>
      <c r="DQ44">
        <v>1.455126581</v>
      </c>
      <c r="DR44">
        <v>65</v>
      </c>
      <c r="DS44" s="10">
        <v>3.17</v>
      </c>
      <c r="DT44" s="10">
        <v>0.63400000333786011</v>
      </c>
      <c r="DU44" s="10">
        <v>8.5200004577636719</v>
      </c>
      <c r="DV44" s="10">
        <v>30.812074661254883</v>
      </c>
      <c r="DW44" t="s">
        <v>313</v>
      </c>
      <c r="DX44" s="10">
        <v>32.339939117431641</v>
      </c>
      <c r="DY44" s="10">
        <v>18.421483993530273</v>
      </c>
      <c r="DZ44" s="10">
        <v>36.842967987060547</v>
      </c>
      <c r="EA44" s="10">
        <v>55.264450073242188</v>
      </c>
      <c r="EB44" s="10">
        <v>9.2025547027587891</v>
      </c>
      <c r="EC44" s="10">
        <v>3.1930570602416992</v>
      </c>
      <c r="ED44" s="10">
        <v>12.395611763000488</v>
      </c>
      <c r="EE44" s="10">
        <v>1.1247625350952148</v>
      </c>
      <c r="EF44" s="10">
        <v>0</v>
      </c>
    </row>
    <row r="45" spans="1:136" ht="15.75" customHeight="1" x14ac:dyDescent="0.3">
      <c r="A45" t="s">
        <v>362</v>
      </c>
      <c r="B45" s="2">
        <v>246</v>
      </c>
      <c r="C45" s="3">
        <v>44679.06527777778</v>
      </c>
      <c r="D45" s="1">
        <v>360.26</v>
      </c>
      <c r="E45" s="1">
        <v>94</v>
      </c>
      <c r="F45" s="1">
        <v>1.35E-4</v>
      </c>
      <c r="G45" s="1">
        <v>1.4399999999999999E-5</v>
      </c>
      <c r="H45" s="1">
        <v>6.09</v>
      </c>
      <c r="I45" s="1" t="s">
        <v>230</v>
      </c>
      <c r="J45" s="1" t="s">
        <v>179</v>
      </c>
      <c r="K45" s="1">
        <v>12.441000000000001</v>
      </c>
      <c r="L45" s="1">
        <v>737</v>
      </c>
      <c r="M45" s="1">
        <v>3</v>
      </c>
      <c r="N45" s="26">
        <v>1.2870000000000001E-4</v>
      </c>
      <c r="O45" s="1">
        <v>-1.3570000000000001E-6</v>
      </c>
      <c r="P45" s="1">
        <v>-0.6</v>
      </c>
      <c r="Q45" s="1" t="s">
        <v>231</v>
      </c>
      <c r="R45" s="1" t="s">
        <v>180</v>
      </c>
      <c r="S45" s="1">
        <v>10.85121774776947</v>
      </c>
      <c r="T45" s="1">
        <v>10.3448275862069</v>
      </c>
      <c r="U45" s="1">
        <f t="shared" si="5"/>
        <v>0.50639016156256922</v>
      </c>
      <c r="V45" s="1">
        <f t="shared" si="2"/>
        <v>4.666666666666611</v>
      </c>
      <c r="W45" s="1">
        <f t="shared" si="1"/>
        <v>0.50639016156256922</v>
      </c>
      <c r="X45" s="1">
        <v>691054.06</v>
      </c>
      <c r="Y45" s="1">
        <v>0</v>
      </c>
      <c r="Z45" s="1">
        <v>6274.82</v>
      </c>
      <c r="AA45" s="1">
        <v>0</v>
      </c>
      <c r="AB45" s="1">
        <v>90135.98</v>
      </c>
      <c r="AC45" s="1">
        <v>0</v>
      </c>
      <c r="AD45" s="1">
        <v>8.02</v>
      </c>
      <c r="AE45" s="1">
        <v>1.46</v>
      </c>
      <c r="AF45" s="1">
        <v>356.44</v>
      </c>
      <c r="AG45" s="1">
        <v>3.14</v>
      </c>
      <c r="AH45" s="1">
        <v>60.88</v>
      </c>
      <c r="AI45" s="1">
        <v>1.42</v>
      </c>
      <c r="AJ45" s="1">
        <v>0</v>
      </c>
      <c r="AK45" s="1">
        <v>2.86</v>
      </c>
      <c r="AL45" s="1">
        <v>33.5</v>
      </c>
      <c r="AM45" s="1">
        <v>1.29</v>
      </c>
      <c r="AN45" s="1">
        <v>2.2599999999999998</v>
      </c>
      <c r="AO45" s="1">
        <v>1.3</v>
      </c>
      <c r="AP45" s="1">
        <v>11.86</v>
      </c>
      <c r="AQ45" s="1">
        <v>2.17</v>
      </c>
      <c r="AR45" s="1">
        <v>0</v>
      </c>
      <c r="AS45" s="1">
        <v>3.52</v>
      </c>
      <c r="AT45" s="1">
        <v>0</v>
      </c>
      <c r="AU45" s="1">
        <v>1.91</v>
      </c>
      <c r="AV45" s="1">
        <v>12.32</v>
      </c>
      <c r="AW45" s="1">
        <v>2.46</v>
      </c>
      <c r="AX45" s="1">
        <v>0</v>
      </c>
      <c r="AY45" s="1">
        <v>4.45</v>
      </c>
      <c r="AZ45" s="1">
        <v>29.03</v>
      </c>
      <c r="BA45" s="1">
        <v>3.64</v>
      </c>
      <c r="BB45" s="1">
        <v>0</v>
      </c>
      <c r="BC45" s="1">
        <v>17.98</v>
      </c>
      <c r="BD45" s="1">
        <v>0</v>
      </c>
      <c r="BE45" s="1">
        <v>8.44</v>
      </c>
      <c r="BF45" s="1">
        <v>27.26</v>
      </c>
      <c r="BG45" s="1">
        <v>12.11</v>
      </c>
      <c r="BH45" s="1">
        <v>0</v>
      </c>
      <c r="BI45" s="1">
        <v>87.39</v>
      </c>
      <c r="BJ45" s="1">
        <v>47948.959999999999</v>
      </c>
      <c r="BK45" s="1">
        <v>203.17</v>
      </c>
      <c r="BL45" s="1">
        <v>601.49</v>
      </c>
      <c r="BM45" s="1">
        <v>32.99</v>
      </c>
      <c r="BN45" s="1">
        <v>92.37</v>
      </c>
      <c r="BO45" s="1">
        <v>8.0500000000000007</v>
      </c>
      <c r="BP45" s="1">
        <v>65.150000000000006</v>
      </c>
      <c r="BQ45" s="1">
        <v>13.01</v>
      </c>
      <c r="BR45" s="1">
        <v>3270.57</v>
      </c>
      <c r="BS45" s="1">
        <v>51.98</v>
      </c>
      <c r="BT45" s="1">
        <v>12031.17</v>
      </c>
      <c r="BU45" s="1">
        <v>265.19</v>
      </c>
      <c r="BV45" s="1">
        <v>10446.370000000001</v>
      </c>
      <c r="BW45" s="1">
        <v>148.76</v>
      </c>
      <c r="BX45" s="1">
        <v>86.73</v>
      </c>
      <c r="BY45" s="1">
        <v>34.72</v>
      </c>
      <c r="BZ45" s="1">
        <v>188.73</v>
      </c>
      <c r="CA45" s="1">
        <v>20.93</v>
      </c>
      <c r="CB45" s="1">
        <v>0</v>
      </c>
      <c r="CC45" s="1">
        <v>7.9</v>
      </c>
      <c r="CD45" s="1">
        <v>0</v>
      </c>
      <c r="CE45" s="1">
        <v>10.73</v>
      </c>
      <c r="CF45" s="1">
        <v>0</v>
      </c>
      <c r="CG45" s="1">
        <v>7.3</v>
      </c>
      <c r="CH45" s="1">
        <v>0</v>
      </c>
      <c r="CI45" s="1">
        <v>3.17</v>
      </c>
      <c r="CJ45" s="1">
        <v>0</v>
      </c>
      <c r="CK45" s="1">
        <v>6.79</v>
      </c>
      <c r="CL45" s="1">
        <v>553417.56000000006</v>
      </c>
      <c r="CM45" s="1">
        <v>1059.73</v>
      </c>
      <c r="CN45" s="1">
        <v>6.88</v>
      </c>
      <c r="CO45" s="1">
        <v>1</v>
      </c>
      <c r="CP45" s="1">
        <v>0</v>
      </c>
      <c r="CQ45" s="1">
        <v>1.74</v>
      </c>
      <c r="CR45" s="1">
        <v>0</v>
      </c>
      <c r="CS45" s="1">
        <v>1.5</v>
      </c>
      <c r="CT45" s="1">
        <v>0</v>
      </c>
      <c r="CU45" s="1">
        <v>1.5</v>
      </c>
      <c r="CV45" s="1">
        <v>0</v>
      </c>
      <c r="CW45" s="1">
        <v>1.5</v>
      </c>
      <c r="CX45" s="1">
        <v>47690.99</v>
      </c>
      <c r="CY45" s="1">
        <v>1084.8900000000001</v>
      </c>
      <c r="CZ45" s="1">
        <v>0</v>
      </c>
      <c r="DA45" s="1">
        <v>173.44</v>
      </c>
      <c r="DB45" s="1">
        <v>322922.44</v>
      </c>
      <c r="DC45" s="1">
        <v>985.59</v>
      </c>
      <c r="DD45" s="1">
        <v>0</v>
      </c>
      <c r="DE45" s="1">
        <v>17.809999999999999</v>
      </c>
      <c r="DF45" s="1">
        <v>3780.01</v>
      </c>
      <c r="DG45" s="1">
        <v>1026.4100000000001</v>
      </c>
      <c r="DH45" s="1">
        <v>0</v>
      </c>
      <c r="DI45" s="1">
        <v>18.27</v>
      </c>
      <c r="DJ45" s="1">
        <v>0</v>
      </c>
      <c r="DK45" s="1">
        <v>10</v>
      </c>
      <c r="DL45" s="1">
        <v>0</v>
      </c>
      <c r="DM45" s="1">
        <v>21.33</v>
      </c>
      <c r="DN45">
        <v>6</v>
      </c>
      <c r="DO45" t="s">
        <v>317</v>
      </c>
      <c r="DP45" s="35">
        <v>0</v>
      </c>
      <c r="DQ45">
        <v>1.592167844</v>
      </c>
      <c r="DR45">
        <v>86</v>
      </c>
      <c r="DS45" s="10">
        <v>1.57</v>
      </c>
      <c r="DT45" s="10">
        <v>0.31400001049041748</v>
      </c>
      <c r="DU45" s="10">
        <v>8.6999998092651367</v>
      </c>
      <c r="DV45" s="10">
        <v>16.007236480712891</v>
      </c>
      <c r="DW45" t="s">
        <v>314</v>
      </c>
      <c r="DX45" s="10">
        <v>16.966541290283203</v>
      </c>
      <c r="DY45" s="10">
        <v>8.285984992980957</v>
      </c>
      <c r="DZ45" s="10">
        <v>20.912246704101563</v>
      </c>
      <c r="EA45" s="10">
        <v>29.198230743408203</v>
      </c>
      <c r="EB45" s="10">
        <v>41.603534698486328</v>
      </c>
      <c r="EC45" s="10">
        <v>12.231692314147949</v>
      </c>
      <c r="ED45" s="10">
        <v>53.835227966308594</v>
      </c>
      <c r="EE45" s="10">
        <v>1.0582098960876465</v>
      </c>
      <c r="EF45" s="10">
        <v>0</v>
      </c>
    </row>
    <row r="46" spans="1:136" ht="15.75" customHeight="1" x14ac:dyDescent="0.3">
      <c r="A46" s="1" t="s">
        <v>232</v>
      </c>
      <c r="B46" s="2">
        <v>274</v>
      </c>
      <c r="C46" s="3">
        <v>44664.51458333333</v>
      </c>
      <c r="D46" s="1">
        <v>361.62</v>
      </c>
      <c r="E46" s="1">
        <v>32</v>
      </c>
      <c r="F46" s="29">
        <v>1.585E-4</v>
      </c>
      <c r="G46" s="1">
        <v>7.272E-6</v>
      </c>
      <c r="H46" s="1">
        <v>2.63</v>
      </c>
      <c r="I46" s="1" t="s">
        <v>233</v>
      </c>
      <c r="J46" s="1" t="s">
        <v>179</v>
      </c>
      <c r="K46" s="1">
        <v>14.41</v>
      </c>
      <c r="L46" s="1">
        <v>599</v>
      </c>
      <c r="M46" s="1">
        <v>3</v>
      </c>
      <c r="N46" s="26">
        <v>1.4880000000000001E-4</v>
      </c>
      <c r="O46" s="1">
        <v>1.891E-6</v>
      </c>
      <c r="P46" s="1">
        <v>0.73</v>
      </c>
      <c r="Q46" s="1" t="s">
        <v>234</v>
      </c>
      <c r="R46" s="1" t="s">
        <v>180</v>
      </c>
      <c r="S46" s="1">
        <v>10.99930603747398</v>
      </c>
      <c r="T46" s="1">
        <v>10.32616238723109</v>
      </c>
      <c r="U46" s="1">
        <f t="shared" ref="U46:U51" si="6">S46-T46</f>
        <v>0.67314365024289025</v>
      </c>
      <c r="V46" s="1">
        <f t="shared" si="2"/>
        <v>6.1198738170347298</v>
      </c>
      <c r="W46" s="1">
        <f t="shared" si="1"/>
        <v>0.67314365024289025</v>
      </c>
      <c r="X46" s="1">
        <v>909889.44</v>
      </c>
      <c r="Y46" s="1">
        <v>0</v>
      </c>
      <c r="Z46" s="1">
        <v>3680.85</v>
      </c>
      <c r="AA46" s="1">
        <v>0</v>
      </c>
      <c r="AB46" s="1">
        <v>95459.18</v>
      </c>
      <c r="AC46" s="1">
        <v>0</v>
      </c>
      <c r="AD46" s="1">
        <v>7.36</v>
      </c>
      <c r="AE46" s="1">
        <v>1.38</v>
      </c>
      <c r="AF46" s="1">
        <v>457.53</v>
      </c>
      <c r="AG46" s="1">
        <v>3.21</v>
      </c>
      <c r="AH46" s="1">
        <v>61</v>
      </c>
      <c r="AI46" s="1">
        <v>1.3</v>
      </c>
      <c r="AJ46" s="1">
        <v>0</v>
      </c>
      <c r="AK46" s="1">
        <v>2.92</v>
      </c>
      <c r="AL46" s="1">
        <v>49.66</v>
      </c>
      <c r="AM46" s="1">
        <v>1.38</v>
      </c>
      <c r="AN46" s="1">
        <v>4.5199999999999996</v>
      </c>
      <c r="AO46" s="1">
        <v>1.18</v>
      </c>
      <c r="AP46" s="1">
        <v>20.77</v>
      </c>
      <c r="AQ46" s="1">
        <v>2.23</v>
      </c>
      <c r="AR46" s="1">
        <v>0</v>
      </c>
      <c r="AS46" s="1">
        <v>3.02</v>
      </c>
      <c r="AT46" s="1">
        <v>0</v>
      </c>
      <c r="AU46" s="1">
        <v>1.62</v>
      </c>
      <c r="AV46" s="1">
        <v>3.37</v>
      </c>
      <c r="AW46" s="1">
        <v>1.77</v>
      </c>
      <c r="AX46" s="1">
        <v>0</v>
      </c>
      <c r="AY46" s="1">
        <v>3.87</v>
      </c>
      <c r="AZ46" s="1">
        <v>40.770000000000003</v>
      </c>
      <c r="BA46" s="1">
        <v>3.5</v>
      </c>
      <c r="BB46" s="1">
        <v>0</v>
      </c>
      <c r="BC46" s="1">
        <v>15.58</v>
      </c>
      <c r="BD46" s="1">
        <v>18.600000000000001</v>
      </c>
      <c r="BE46" s="1">
        <v>5.04</v>
      </c>
      <c r="BF46" s="1">
        <v>0</v>
      </c>
      <c r="BG46" s="1">
        <v>14.78</v>
      </c>
      <c r="BH46" s="1">
        <v>0</v>
      </c>
      <c r="BI46" s="1">
        <v>35.22</v>
      </c>
      <c r="BJ46" s="1">
        <v>10236.15</v>
      </c>
      <c r="BK46" s="1">
        <v>83.71</v>
      </c>
      <c r="BL46" s="1">
        <v>188.31</v>
      </c>
      <c r="BM46" s="1">
        <v>21.91</v>
      </c>
      <c r="BN46" s="1">
        <v>48.64</v>
      </c>
      <c r="BO46" s="1">
        <v>4.9800000000000004</v>
      </c>
      <c r="BP46" s="1">
        <v>32.42</v>
      </c>
      <c r="BQ46" s="1">
        <v>8.6199999999999992</v>
      </c>
      <c r="BR46" s="1">
        <v>3081.68</v>
      </c>
      <c r="BS46" s="1">
        <v>35.700000000000003</v>
      </c>
      <c r="BT46" s="1">
        <v>3776.47</v>
      </c>
      <c r="BU46" s="1">
        <v>55.88</v>
      </c>
      <c r="BV46" s="1">
        <v>11710.94</v>
      </c>
      <c r="BW46" s="1">
        <v>119.56</v>
      </c>
      <c r="BX46" s="1">
        <v>582.74</v>
      </c>
      <c r="BY46" s="1">
        <v>38.4</v>
      </c>
      <c r="BZ46" s="1">
        <v>165.18</v>
      </c>
      <c r="CA46" s="1">
        <v>22.9</v>
      </c>
      <c r="CB46" s="1">
        <v>0</v>
      </c>
      <c r="CC46" s="1">
        <v>6.82</v>
      </c>
      <c r="CD46" s="1">
        <v>0</v>
      </c>
      <c r="CE46" s="1">
        <v>5.47</v>
      </c>
      <c r="CF46" s="1">
        <v>0</v>
      </c>
      <c r="CG46" s="1">
        <v>6.33</v>
      </c>
      <c r="CH46" s="1">
        <v>0</v>
      </c>
      <c r="CI46" s="1">
        <v>4.18</v>
      </c>
      <c r="CJ46" s="1">
        <v>0</v>
      </c>
      <c r="CK46" s="1">
        <v>2.85</v>
      </c>
      <c r="CL46" s="1">
        <v>490495.75</v>
      </c>
      <c r="CM46" s="1">
        <v>1079.82</v>
      </c>
      <c r="CN46" s="1">
        <v>7.41</v>
      </c>
      <c r="CO46" s="1">
        <v>1</v>
      </c>
      <c r="CP46" s="1">
        <v>0</v>
      </c>
      <c r="CQ46" s="1">
        <v>2.44</v>
      </c>
      <c r="CR46" s="1">
        <v>0</v>
      </c>
      <c r="CS46" s="1">
        <v>1.5</v>
      </c>
      <c r="CT46" s="1">
        <v>0</v>
      </c>
      <c r="CU46" s="1">
        <v>1.5</v>
      </c>
      <c r="CV46" s="1">
        <v>0</v>
      </c>
      <c r="CW46" s="1">
        <v>1.5</v>
      </c>
      <c r="CX46" s="1">
        <v>50507.5</v>
      </c>
      <c r="CY46" s="1">
        <v>1052.3699999999999</v>
      </c>
      <c r="CZ46" s="1">
        <v>1296.6600000000001</v>
      </c>
      <c r="DA46" s="1">
        <v>139.18</v>
      </c>
      <c r="DB46" s="1">
        <v>425181.97</v>
      </c>
      <c r="DC46" s="1">
        <v>1063.6600000000001</v>
      </c>
      <c r="DD46" s="1">
        <v>0</v>
      </c>
      <c r="DE46" s="1">
        <v>17.72</v>
      </c>
      <c r="DF46" s="1">
        <v>2217.38</v>
      </c>
      <c r="DG46" s="1">
        <v>943.23</v>
      </c>
      <c r="DH46" s="1">
        <v>0</v>
      </c>
      <c r="DI46" s="1">
        <v>8.32</v>
      </c>
      <c r="DJ46" s="1">
        <v>0</v>
      </c>
      <c r="DK46" s="1">
        <v>8.74</v>
      </c>
      <c r="DL46" s="1">
        <v>0</v>
      </c>
      <c r="DM46" s="1">
        <v>18.5</v>
      </c>
      <c r="DN46">
        <v>16</v>
      </c>
      <c r="DO46" t="s">
        <v>285</v>
      </c>
      <c r="DP46" s="35">
        <v>0</v>
      </c>
      <c r="DQ46">
        <v>1.589</v>
      </c>
      <c r="DR46" s="13">
        <v>32</v>
      </c>
      <c r="DS46" s="10">
        <v>10.18</v>
      </c>
      <c r="DT46" s="10">
        <v>2.0360000133514404</v>
      </c>
      <c r="DU46" s="10">
        <v>6.369999885559082</v>
      </c>
      <c r="DV46" s="10">
        <v>4.1489219665527344</v>
      </c>
      <c r="DW46" t="s">
        <v>323</v>
      </c>
      <c r="DX46" s="10">
        <v>9.8425197601318359</v>
      </c>
      <c r="DY46" s="10">
        <v>9.8425197601318359</v>
      </c>
      <c r="DZ46" s="10">
        <v>29.14900016784668</v>
      </c>
      <c r="EA46" s="10">
        <v>38.991519927978516</v>
      </c>
      <c r="EB46" s="10">
        <v>45.699577331542969</v>
      </c>
      <c r="EC46" s="10">
        <v>5.4663839340209961</v>
      </c>
      <c r="ED46" s="10">
        <v>51.165962219238281</v>
      </c>
      <c r="EE46" s="10">
        <v>1.2126647233963013</v>
      </c>
      <c r="EF46" s="10">
        <v>0</v>
      </c>
    </row>
    <row r="47" spans="1:136" ht="15.75" customHeight="1" x14ac:dyDescent="0.3">
      <c r="A47" s="1" t="s">
        <v>235</v>
      </c>
      <c r="B47" s="2">
        <v>287</v>
      </c>
      <c r="C47" s="3">
        <v>44679.320138888892</v>
      </c>
      <c r="D47" s="1">
        <v>362.66</v>
      </c>
      <c r="E47" s="1">
        <v>58</v>
      </c>
      <c r="F47" s="29">
        <v>8.4699999999999999E-5</v>
      </c>
      <c r="G47" s="1">
        <v>4.3139999999999997E-6</v>
      </c>
      <c r="H47" s="1">
        <v>2.92</v>
      </c>
      <c r="I47" s="1" t="s">
        <v>236</v>
      </c>
      <c r="J47" s="1" t="s">
        <v>179</v>
      </c>
      <c r="K47" s="1">
        <v>15.33</v>
      </c>
      <c r="L47" s="1">
        <v>563</v>
      </c>
      <c r="M47" s="1">
        <v>3</v>
      </c>
      <c r="N47" s="26">
        <v>7.7459999999999994E-5</v>
      </c>
      <c r="O47" s="1">
        <v>2.407E-6</v>
      </c>
      <c r="P47" s="1">
        <v>1.78</v>
      </c>
      <c r="Q47" s="1" t="s">
        <v>237</v>
      </c>
      <c r="R47" s="1" t="s">
        <v>180</v>
      </c>
      <c r="S47" s="1">
        <v>5.525114155251142</v>
      </c>
      <c r="T47" s="1">
        <v>5.052837573385518</v>
      </c>
      <c r="U47" s="1">
        <f t="shared" si="6"/>
        <v>0.47227658186562405</v>
      </c>
      <c r="V47" s="1">
        <f t="shared" si="2"/>
        <v>8.5478158205431125</v>
      </c>
      <c r="W47" s="1">
        <f t="shared" si="1"/>
        <v>0.47227658186562405</v>
      </c>
      <c r="X47" s="1">
        <v>856801.5</v>
      </c>
      <c r="Y47" s="1">
        <v>0</v>
      </c>
      <c r="Z47" s="1">
        <v>2571.38</v>
      </c>
      <c r="AA47" s="1">
        <v>0</v>
      </c>
      <c r="AB47" s="1">
        <v>91007.82</v>
      </c>
      <c r="AC47" s="1">
        <v>0</v>
      </c>
      <c r="AD47" s="1">
        <v>5.72</v>
      </c>
      <c r="AE47" s="1">
        <v>1.37</v>
      </c>
      <c r="AF47" s="1">
        <v>441.32</v>
      </c>
      <c r="AG47" s="1">
        <v>3.16</v>
      </c>
      <c r="AH47" s="1">
        <v>53.28</v>
      </c>
      <c r="AI47" s="1">
        <v>1.23</v>
      </c>
      <c r="AJ47" s="1">
        <v>0</v>
      </c>
      <c r="AK47" s="1">
        <v>2.91</v>
      </c>
      <c r="AL47" s="1">
        <v>49.89</v>
      </c>
      <c r="AM47" s="1">
        <v>1.38</v>
      </c>
      <c r="AN47" s="1">
        <v>5.14</v>
      </c>
      <c r="AO47" s="1">
        <v>1.17</v>
      </c>
      <c r="AP47" s="1">
        <v>10.73</v>
      </c>
      <c r="AQ47" s="1">
        <v>1.96</v>
      </c>
      <c r="AR47" s="1">
        <v>0</v>
      </c>
      <c r="AS47" s="1">
        <v>3</v>
      </c>
      <c r="AT47" s="1">
        <v>0</v>
      </c>
      <c r="AU47" s="1">
        <v>1.61</v>
      </c>
      <c r="AV47" s="1">
        <v>4.87</v>
      </c>
      <c r="AW47" s="1">
        <v>1.61</v>
      </c>
      <c r="AX47" s="1">
        <v>0</v>
      </c>
      <c r="AY47" s="1">
        <v>3.92</v>
      </c>
      <c r="AZ47" s="1">
        <v>18.95</v>
      </c>
      <c r="BA47" s="1">
        <v>3.04</v>
      </c>
      <c r="BB47" s="1">
        <v>0</v>
      </c>
      <c r="BC47" s="1">
        <v>15.57</v>
      </c>
      <c r="BD47" s="1">
        <v>0</v>
      </c>
      <c r="BE47" s="1">
        <v>7.23</v>
      </c>
      <c r="BF47" s="1">
        <v>0</v>
      </c>
      <c r="BG47" s="1">
        <v>14.82</v>
      </c>
      <c r="BH47" s="1">
        <v>0</v>
      </c>
      <c r="BI47" s="1">
        <v>36.28</v>
      </c>
      <c r="BJ47" s="1">
        <v>10992.38</v>
      </c>
      <c r="BK47" s="1">
        <v>86.94</v>
      </c>
      <c r="BL47" s="1">
        <v>181.55</v>
      </c>
      <c r="BM47" s="1">
        <v>21.85</v>
      </c>
      <c r="BN47" s="1">
        <v>91.7</v>
      </c>
      <c r="BO47" s="1">
        <v>9.01</v>
      </c>
      <c r="BP47" s="1">
        <v>37.92</v>
      </c>
      <c r="BQ47" s="1">
        <v>8.49</v>
      </c>
      <c r="BR47" s="1">
        <v>3312.72</v>
      </c>
      <c r="BS47" s="1">
        <v>35.4</v>
      </c>
      <c r="BT47" s="1">
        <v>2469.69</v>
      </c>
      <c r="BU47" s="1">
        <v>47.54</v>
      </c>
      <c r="BV47" s="1">
        <v>10722.38</v>
      </c>
      <c r="BW47" s="1">
        <v>112.34</v>
      </c>
      <c r="BX47" s="1">
        <v>183.16</v>
      </c>
      <c r="BY47" s="1">
        <v>33.79</v>
      </c>
      <c r="BZ47" s="1">
        <v>137.63999999999999</v>
      </c>
      <c r="CA47" s="1">
        <v>22.44</v>
      </c>
      <c r="CB47" s="1">
        <v>0</v>
      </c>
      <c r="CC47" s="1">
        <v>6.84</v>
      </c>
      <c r="CD47" s="1">
        <v>0</v>
      </c>
      <c r="CE47" s="1">
        <v>5.49</v>
      </c>
      <c r="CF47" s="1">
        <v>0</v>
      </c>
      <c r="CG47" s="1">
        <v>6.33</v>
      </c>
      <c r="CH47" s="1">
        <v>0</v>
      </c>
      <c r="CI47" s="1">
        <v>4.1500000000000004</v>
      </c>
      <c r="CJ47" s="1">
        <v>0</v>
      </c>
      <c r="CK47" s="1">
        <v>5.9</v>
      </c>
      <c r="CL47" s="1">
        <v>521374.69</v>
      </c>
      <c r="CM47" s="1">
        <v>1054.68</v>
      </c>
      <c r="CN47" s="1">
        <v>7.57</v>
      </c>
      <c r="CO47" s="1">
        <v>1</v>
      </c>
      <c r="CP47" s="1">
        <v>3.45</v>
      </c>
      <c r="CQ47" s="1">
        <v>1.64</v>
      </c>
      <c r="CR47" s="1">
        <v>0</v>
      </c>
      <c r="CS47" s="1">
        <v>1.5</v>
      </c>
      <c r="CT47" s="1">
        <v>0</v>
      </c>
      <c r="CU47" s="1">
        <v>1.5</v>
      </c>
      <c r="CV47" s="1">
        <v>0</v>
      </c>
      <c r="CW47" s="1">
        <v>1.5</v>
      </c>
      <c r="CX47" s="1">
        <v>48152.29</v>
      </c>
      <c r="CY47" s="1">
        <v>977.79</v>
      </c>
      <c r="CZ47" s="1">
        <v>0</v>
      </c>
      <c r="DA47" s="1">
        <v>184.17</v>
      </c>
      <c r="DB47" s="1">
        <v>400374.5</v>
      </c>
      <c r="DC47" s="1">
        <v>1042.98</v>
      </c>
      <c r="DD47" s="1">
        <v>0</v>
      </c>
      <c r="DE47" s="1">
        <v>16.73</v>
      </c>
      <c r="DF47" s="1">
        <v>1549.03</v>
      </c>
      <c r="DG47" s="1">
        <v>855.89</v>
      </c>
      <c r="DH47" s="1">
        <v>8.6</v>
      </c>
      <c r="DI47" s="1">
        <v>4.7699999999999996</v>
      </c>
      <c r="DJ47" s="1">
        <v>0</v>
      </c>
      <c r="DK47" s="1">
        <v>8.67</v>
      </c>
      <c r="DL47" s="1">
        <v>0</v>
      </c>
      <c r="DM47" s="1">
        <v>18.399999999999999</v>
      </c>
      <c r="DN47">
        <v>17</v>
      </c>
      <c r="DO47" t="s">
        <v>293</v>
      </c>
      <c r="DP47" s="35">
        <v>0</v>
      </c>
      <c r="DQ47" s="11">
        <v>1.5840000000000001</v>
      </c>
      <c r="DR47" s="14">
        <v>59</v>
      </c>
      <c r="DS47" s="12">
        <v>4.84</v>
      </c>
      <c r="DT47" s="12">
        <v>0.96799999475479126</v>
      </c>
      <c r="DU47" s="12">
        <v>6.0300002098083398</v>
      </c>
      <c r="DV47" s="12">
        <v>2.42479395866394</v>
      </c>
      <c r="DW47" s="11" t="s">
        <v>325</v>
      </c>
      <c r="DX47" s="12">
        <v>10.979857444763184</v>
      </c>
      <c r="DY47" s="12">
        <v>11.737089157104492</v>
      </c>
      <c r="DZ47" s="12">
        <v>31.42510986328125</v>
      </c>
      <c r="EA47" s="12">
        <v>43.162200927734375</v>
      </c>
      <c r="EB47" s="12">
        <v>41.208541870117188</v>
      </c>
      <c r="EC47" s="12">
        <v>4.6494016647338867</v>
      </c>
      <c r="ED47" s="12">
        <v>45.857944488525391</v>
      </c>
      <c r="EE47" s="12">
        <v>1.9929693937301636</v>
      </c>
      <c r="EF47" s="10">
        <v>0</v>
      </c>
    </row>
    <row r="48" spans="1:136" ht="15.75" customHeight="1" x14ac:dyDescent="0.3">
      <c r="A48" s="1" t="s">
        <v>238</v>
      </c>
      <c r="B48" s="2">
        <v>297</v>
      </c>
      <c r="C48" s="3">
        <v>44679.361111111109</v>
      </c>
      <c r="D48" s="1">
        <v>362.46</v>
      </c>
      <c r="E48" s="1">
        <v>78</v>
      </c>
      <c r="F48" s="29">
        <v>7.2780000000000005E-5</v>
      </c>
      <c r="G48" s="1">
        <v>5.0010000000000001E-6</v>
      </c>
      <c r="H48" s="1">
        <v>3.93</v>
      </c>
      <c r="I48" s="1" t="s">
        <v>239</v>
      </c>
      <c r="J48" s="1" t="s">
        <v>179</v>
      </c>
      <c r="K48" s="1">
        <v>15.43</v>
      </c>
      <c r="L48" s="1">
        <v>601</v>
      </c>
      <c r="M48" s="1">
        <v>3</v>
      </c>
      <c r="N48" s="26">
        <v>6.6699999999999995E-5</v>
      </c>
      <c r="O48" s="1">
        <v>1.968E-6</v>
      </c>
      <c r="P48" s="1">
        <v>1.69</v>
      </c>
      <c r="Q48" s="1" t="s">
        <v>240</v>
      </c>
      <c r="R48" s="1" t="s">
        <v>180</v>
      </c>
      <c r="S48" s="1">
        <v>4.7167854828256646</v>
      </c>
      <c r="T48" s="1">
        <v>4.3227478937135446</v>
      </c>
      <c r="U48" s="1">
        <f t="shared" si="6"/>
        <v>0.39403758911211995</v>
      </c>
      <c r="V48" s="1">
        <f t="shared" si="2"/>
        <v>8.3539433910415095</v>
      </c>
      <c r="W48" s="1">
        <f t="shared" si="1"/>
        <v>0.39403758911211995</v>
      </c>
      <c r="X48" s="1">
        <v>926804</v>
      </c>
      <c r="Y48" s="1">
        <v>0</v>
      </c>
      <c r="Z48" s="1">
        <v>2468.19</v>
      </c>
      <c r="AA48" s="1">
        <v>0</v>
      </c>
      <c r="AB48" s="1">
        <v>107111.38</v>
      </c>
      <c r="AC48" s="1">
        <v>0</v>
      </c>
      <c r="AD48" s="1">
        <v>4.8099999999999996</v>
      </c>
      <c r="AE48" s="1">
        <v>1.41</v>
      </c>
      <c r="AF48" s="1">
        <v>509.19</v>
      </c>
      <c r="AG48" s="1">
        <v>3.41</v>
      </c>
      <c r="AH48" s="1">
        <v>55.27</v>
      </c>
      <c r="AI48" s="1">
        <v>1.26</v>
      </c>
      <c r="AJ48" s="1">
        <v>0</v>
      </c>
      <c r="AK48" s="1">
        <v>2.97</v>
      </c>
      <c r="AL48" s="1">
        <v>50.54</v>
      </c>
      <c r="AM48" s="1">
        <v>1.4</v>
      </c>
      <c r="AN48" s="1">
        <v>6.05</v>
      </c>
      <c r="AO48" s="1">
        <v>1.21</v>
      </c>
      <c r="AP48" s="1">
        <v>10.039999999999999</v>
      </c>
      <c r="AQ48" s="1">
        <v>1.96</v>
      </c>
      <c r="AR48" s="1">
        <v>0</v>
      </c>
      <c r="AS48" s="1">
        <v>3.01</v>
      </c>
      <c r="AT48" s="1">
        <v>0</v>
      </c>
      <c r="AU48" s="1">
        <v>1.65</v>
      </c>
      <c r="AV48" s="1">
        <v>3.57</v>
      </c>
      <c r="AW48" s="1">
        <v>1.59</v>
      </c>
      <c r="AX48" s="1">
        <v>0</v>
      </c>
      <c r="AY48" s="1">
        <v>3.91</v>
      </c>
      <c r="AZ48" s="1">
        <v>16.8</v>
      </c>
      <c r="BA48" s="1">
        <v>3.01</v>
      </c>
      <c r="BB48" s="1">
        <v>0</v>
      </c>
      <c r="BC48" s="1">
        <v>15.69</v>
      </c>
      <c r="BD48" s="1">
        <v>8.67</v>
      </c>
      <c r="BE48" s="1">
        <v>4.93</v>
      </c>
      <c r="BF48" s="1">
        <v>0</v>
      </c>
      <c r="BG48" s="1">
        <v>15.03</v>
      </c>
      <c r="BH48" s="1">
        <v>0</v>
      </c>
      <c r="BI48" s="1">
        <v>35.96</v>
      </c>
      <c r="BJ48" s="1">
        <v>10644.33</v>
      </c>
      <c r="BK48" s="1">
        <v>86.03</v>
      </c>
      <c r="BL48" s="1">
        <v>205.72</v>
      </c>
      <c r="BM48" s="1">
        <v>22.6</v>
      </c>
      <c r="BN48" s="1">
        <v>60.69</v>
      </c>
      <c r="BO48" s="1">
        <v>5.17</v>
      </c>
      <c r="BP48" s="1">
        <v>47.77</v>
      </c>
      <c r="BQ48" s="1">
        <v>9.19</v>
      </c>
      <c r="BR48" s="1">
        <v>3685.72</v>
      </c>
      <c r="BS48" s="1">
        <v>38.44</v>
      </c>
      <c r="BT48" s="1">
        <v>2169.92</v>
      </c>
      <c r="BU48" s="1">
        <v>48.53</v>
      </c>
      <c r="BV48" s="1">
        <v>11998.47</v>
      </c>
      <c r="BW48" s="1">
        <v>122.68</v>
      </c>
      <c r="BX48" s="1">
        <v>182.67</v>
      </c>
      <c r="BY48" s="1">
        <v>35.479999999999997</v>
      </c>
      <c r="BZ48" s="1">
        <v>142.71</v>
      </c>
      <c r="CA48" s="1">
        <v>18.45</v>
      </c>
      <c r="CB48" s="1">
        <v>0</v>
      </c>
      <c r="CC48" s="1">
        <v>6.91</v>
      </c>
      <c r="CD48" s="1">
        <v>0</v>
      </c>
      <c r="CE48" s="1">
        <v>5.56</v>
      </c>
      <c r="CF48" s="1">
        <v>0</v>
      </c>
      <c r="CG48" s="1">
        <v>6.4</v>
      </c>
      <c r="CH48" s="1">
        <v>0</v>
      </c>
      <c r="CI48" s="1">
        <v>4.17</v>
      </c>
      <c r="CJ48" s="1">
        <v>8.1300000000000008</v>
      </c>
      <c r="CK48" s="1">
        <v>4.1399999999999997</v>
      </c>
      <c r="CL48" s="1">
        <v>479244.56</v>
      </c>
      <c r="CM48" s="1">
        <v>1119.75</v>
      </c>
      <c r="CN48" s="1">
        <v>8.74</v>
      </c>
      <c r="CO48" s="1">
        <v>1</v>
      </c>
      <c r="CP48" s="1">
        <v>4.0199999999999996</v>
      </c>
      <c r="CQ48" s="1">
        <v>1.67</v>
      </c>
      <c r="CR48" s="1">
        <v>0</v>
      </c>
      <c r="CS48" s="1">
        <v>1.5</v>
      </c>
      <c r="CT48" s="1">
        <v>0</v>
      </c>
      <c r="CU48" s="1">
        <v>1.5</v>
      </c>
      <c r="CV48" s="1">
        <v>0</v>
      </c>
      <c r="CW48" s="1">
        <v>1.5</v>
      </c>
      <c r="CX48" s="1">
        <v>56672.68</v>
      </c>
      <c r="CY48" s="1">
        <v>1087.8900000000001</v>
      </c>
      <c r="CZ48" s="1">
        <v>0</v>
      </c>
      <c r="DA48" s="1">
        <v>202.12</v>
      </c>
      <c r="DB48" s="1">
        <v>433085.97</v>
      </c>
      <c r="DC48" s="1">
        <v>1078.44</v>
      </c>
      <c r="DD48" s="1">
        <v>0</v>
      </c>
      <c r="DE48" s="1">
        <v>17.59</v>
      </c>
      <c r="DF48" s="1">
        <v>1486.86</v>
      </c>
      <c r="DG48" s="1">
        <v>915.03</v>
      </c>
      <c r="DH48" s="1">
        <v>0</v>
      </c>
      <c r="DI48" s="1">
        <v>7.11</v>
      </c>
      <c r="DJ48" s="1">
        <v>0</v>
      </c>
      <c r="DK48" s="1">
        <v>8.82</v>
      </c>
      <c r="DL48" s="1">
        <v>0</v>
      </c>
      <c r="DM48" s="1">
        <v>18.82</v>
      </c>
      <c r="DN48">
        <v>21</v>
      </c>
      <c r="DO48" t="s">
        <v>181</v>
      </c>
      <c r="DP48" s="35">
        <v>0</v>
      </c>
      <c r="DQ48">
        <v>1.52</v>
      </c>
      <c r="DR48" s="13">
        <v>78</v>
      </c>
      <c r="DS48" s="10">
        <v>3.66</v>
      </c>
      <c r="DT48" s="10">
        <v>0.73199999332427979</v>
      </c>
      <c r="DU48" s="10">
        <v>5.6100001335144043</v>
      </c>
      <c r="DV48" s="10">
        <v>1.6</v>
      </c>
      <c r="DW48" t="s">
        <v>326</v>
      </c>
      <c r="DX48" s="10">
        <v>11.257880210876465</v>
      </c>
      <c r="DY48" s="10">
        <v>12.383668899536133</v>
      </c>
      <c r="DZ48" s="10">
        <v>34.148902893066406</v>
      </c>
      <c r="EA48" s="10">
        <v>46.532569885253906</v>
      </c>
      <c r="EB48" s="10">
        <v>37.856498718261719</v>
      </c>
      <c r="EC48" s="10">
        <v>4.3530473709106445</v>
      </c>
      <c r="ED48" s="10">
        <v>42.209545135498047</v>
      </c>
      <c r="EE48" s="10">
        <v>2.3784832954406738</v>
      </c>
      <c r="EF48" s="10">
        <v>0</v>
      </c>
    </row>
    <row r="49" spans="1:136" ht="15.75" customHeight="1" x14ac:dyDescent="0.3">
      <c r="A49" s="1" t="s">
        <v>241</v>
      </c>
      <c r="B49" s="2">
        <v>304</v>
      </c>
      <c r="C49" s="3">
        <v>44664.629861111112</v>
      </c>
      <c r="D49" s="1">
        <v>361.23</v>
      </c>
      <c r="E49" s="1">
        <v>92</v>
      </c>
      <c r="F49" s="29">
        <v>5.8950000000000003E-5</v>
      </c>
      <c r="G49" s="1">
        <v>2.1670000000000002E-6</v>
      </c>
      <c r="H49" s="1">
        <v>2.11</v>
      </c>
      <c r="I49" s="1" t="s">
        <v>242</v>
      </c>
      <c r="J49" s="1" t="s">
        <v>168</v>
      </c>
      <c r="K49" s="1">
        <v>15.37</v>
      </c>
      <c r="L49" s="1">
        <v>99</v>
      </c>
      <c r="M49" s="1">
        <v>3</v>
      </c>
      <c r="N49" s="26">
        <v>5.4979999999999999E-5</v>
      </c>
      <c r="O49" s="1">
        <v>1.4899999999999999E-6</v>
      </c>
      <c r="P49" s="1">
        <v>1.55</v>
      </c>
      <c r="Q49" s="1" t="s">
        <v>243</v>
      </c>
      <c r="R49" s="1" t="s">
        <v>168</v>
      </c>
      <c r="S49" s="1">
        <v>3.8353936239427462</v>
      </c>
      <c r="T49" s="1">
        <v>3.577098243331164</v>
      </c>
      <c r="U49" s="1">
        <f t="shared" si="6"/>
        <v>0.25829538061158219</v>
      </c>
      <c r="V49" s="1">
        <f t="shared" si="2"/>
        <v>6.7345207803223364</v>
      </c>
      <c r="W49" s="1">
        <f t="shared" si="1"/>
        <v>0.25829538061158219</v>
      </c>
      <c r="X49" s="1">
        <v>929883.69</v>
      </c>
      <c r="Y49" s="1">
        <v>0</v>
      </c>
      <c r="Z49" s="1">
        <v>3952.02</v>
      </c>
      <c r="AA49" s="1">
        <v>0</v>
      </c>
      <c r="AB49" s="1">
        <v>106932.48</v>
      </c>
      <c r="AC49" s="1">
        <v>0</v>
      </c>
      <c r="AD49" s="1">
        <v>9.16</v>
      </c>
      <c r="AE49" s="1">
        <v>1.45</v>
      </c>
      <c r="AF49" s="1">
        <v>519.62</v>
      </c>
      <c r="AG49" s="1">
        <v>3.46</v>
      </c>
      <c r="AH49" s="1">
        <v>58.49</v>
      </c>
      <c r="AI49" s="1">
        <v>1.3</v>
      </c>
      <c r="AJ49" s="1">
        <v>0</v>
      </c>
      <c r="AK49" s="1">
        <v>2.97</v>
      </c>
      <c r="AL49" s="1">
        <v>51.15</v>
      </c>
      <c r="AM49" s="1">
        <v>1.42</v>
      </c>
      <c r="AN49" s="1">
        <v>4.8499999999999996</v>
      </c>
      <c r="AO49" s="1">
        <v>1.19</v>
      </c>
      <c r="AP49" s="1">
        <v>10.71</v>
      </c>
      <c r="AQ49" s="1">
        <v>2</v>
      </c>
      <c r="AR49" s="1">
        <v>0</v>
      </c>
      <c r="AS49" s="1">
        <v>3.13</v>
      </c>
      <c r="AT49" s="1">
        <v>0</v>
      </c>
      <c r="AU49" s="1">
        <v>1.71</v>
      </c>
      <c r="AV49" s="1">
        <v>2.76</v>
      </c>
      <c r="AW49" s="1">
        <v>1.6</v>
      </c>
      <c r="AX49" s="1">
        <v>0</v>
      </c>
      <c r="AY49" s="1">
        <v>4.03</v>
      </c>
      <c r="AZ49" s="1">
        <v>18.190000000000001</v>
      </c>
      <c r="BA49" s="1">
        <v>3.07</v>
      </c>
      <c r="BB49" s="1">
        <v>0</v>
      </c>
      <c r="BC49" s="1">
        <v>15.72</v>
      </c>
      <c r="BD49" s="1">
        <v>7.88</v>
      </c>
      <c r="BE49" s="1">
        <v>4.96</v>
      </c>
      <c r="BF49" s="1">
        <v>0</v>
      </c>
      <c r="BG49" s="1">
        <v>15.26</v>
      </c>
      <c r="BH49" s="1">
        <v>0</v>
      </c>
      <c r="BI49" s="1">
        <v>38.479999999999997</v>
      </c>
      <c r="BJ49" s="1">
        <v>11859.57</v>
      </c>
      <c r="BK49" s="1">
        <v>91.02</v>
      </c>
      <c r="BL49" s="1">
        <v>116.38</v>
      </c>
      <c r="BM49" s="1">
        <v>21.23</v>
      </c>
      <c r="BN49" s="1">
        <v>58.24</v>
      </c>
      <c r="BO49" s="1">
        <v>5.17</v>
      </c>
      <c r="BP49" s="1">
        <v>45.82</v>
      </c>
      <c r="BQ49" s="1">
        <v>9.35</v>
      </c>
      <c r="BR49" s="1">
        <v>3752.14</v>
      </c>
      <c r="BS49" s="1">
        <v>39.08</v>
      </c>
      <c r="BT49" s="1">
        <v>2468.9899999999998</v>
      </c>
      <c r="BU49" s="1">
        <v>49.94</v>
      </c>
      <c r="BV49" s="1">
        <v>11779.59</v>
      </c>
      <c r="BW49" s="1">
        <v>120.89</v>
      </c>
      <c r="BX49" s="1">
        <v>205.64</v>
      </c>
      <c r="BY49" s="1">
        <v>36.090000000000003</v>
      </c>
      <c r="BZ49" s="1">
        <v>154.15</v>
      </c>
      <c r="CA49" s="1">
        <v>22.86</v>
      </c>
      <c r="CB49" s="1">
        <v>0</v>
      </c>
      <c r="CC49" s="1">
        <v>6.84</v>
      </c>
      <c r="CD49" s="1">
        <v>0</v>
      </c>
      <c r="CE49" s="1">
        <v>5.45</v>
      </c>
      <c r="CF49" s="1">
        <v>0</v>
      </c>
      <c r="CG49" s="1">
        <v>6.33</v>
      </c>
      <c r="CH49" s="1">
        <v>0</v>
      </c>
      <c r="CI49" s="1">
        <v>4.17</v>
      </c>
      <c r="CJ49" s="1">
        <v>0</v>
      </c>
      <c r="CK49" s="1">
        <v>5.92</v>
      </c>
      <c r="CL49" s="1">
        <v>475532.19</v>
      </c>
      <c r="CM49" s="1">
        <v>1127.3800000000001</v>
      </c>
      <c r="CN49" s="1">
        <v>9.35</v>
      </c>
      <c r="CO49" s="1">
        <v>1</v>
      </c>
      <c r="CP49" s="1">
        <v>3.56</v>
      </c>
      <c r="CQ49" s="1">
        <v>1.68</v>
      </c>
      <c r="CR49" s="1">
        <v>0</v>
      </c>
      <c r="CS49" s="1">
        <v>1.5</v>
      </c>
      <c r="CT49" s="1">
        <v>0</v>
      </c>
      <c r="CU49" s="1">
        <v>1.5</v>
      </c>
      <c r="CV49" s="1">
        <v>0</v>
      </c>
      <c r="CW49" s="1">
        <v>1.5</v>
      </c>
      <c r="CX49" s="1">
        <v>56578.04</v>
      </c>
      <c r="CY49" s="1">
        <v>1107.1099999999999</v>
      </c>
      <c r="CZ49" s="1">
        <v>0</v>
      </c>
      <c r="DA49" s="1">
        <v>203.98</v>
      </c>
      <c r="DB49" s="1">
        <v>434525.06</v>
      </c>
      <c r="DC49" s="1">
        <v>1082.8599999999999</v>
      </c>
      <c r="DD49" s="1">
        <v>0</v>
      </c>
      <c r="DE49" s="1">
        <v>18.89</v>
      </c>
      <c r="DF49" s="1">
        <v>2380.73</v>
      </c>
      <c r="DG49" s="1">
        <v>947.98</v>
      </c>
      <c r="DH49" s="1">
        <v>0</v>
      </c>
      <c r="DI49" s="1">
        <v>7.38</v>
      </c>
      <c r="DJ49" s="1">
        <v>0</v>
      </c>
      <c r="DK49" s="1">
        <v>8.69</v>
      </c>
      <c r="DL49" s="1">
        <v>0</v>
      </c>
      <c r="DM49" s="1">
        <v>18.47</v>
      </c>
      <c r="DN49">
        <v>22</v>
      </c>
      <c r="DO49" t="s">
        <v>319</v>
      </c>
      <c r="DP49" s="35">
        <v>0</v>
      </c>
      <c r="DQ49">
        <v>1.512</v>
      </c>
      <c r="DR49" s="13">
        <v>93</v>
      </c>
      <c r="DS49" s="10">
        <v>3.07</v>
      </c>
      <c r="DT49" s="10">
        <v>0.61400002241134644</v>
      </c>
      <c r="DU49" s="10">
        <v>5.7100000381469727</v>
      </c>
      <c r="DV49" s="10">
        <v>2.4258079528808594</v>
      </c>
      <c r="DW49" t="s">
        <v>310</v>
      </c>
      <c r="DX49" s="10">
        <v>10.158013343811035</v>
      </c>
      <c r="DY49" s="10">
        <v>12.039127349853516</v>
      </c>
      <c r="DZ49" s="10">
        <v>34.612491607666016</v>
      </c>
      <c r="EA49" s="10">
        <v>46.651618957519531</v>
      </c>
      <c r="EB49" s="10">
        <v>38.796089172363281</v>
      </c>
      <c r="EC49" s="10">
        <v>4.3942813873291016</v>
      </c>
      <c r="ED49" s="10">
        <v>43.19036865234375</v>
      </c>
      <c r="EE49" s="10">
        <v>2.7008235454559326</v>
      </c>
      <c r="EF49" s="10">
        <v>0</v>
      </c>
    </row>
    <row r="50" spans="1:136" ht="15.75" customHeight="1" x14ac:dyDescent="0.3">
      <c r="A50" s="1" t="s">
        <v>244</v>
      </c>
      <c r="B50" s="2">
        <v>312</v>
      </c>
      <c r="C50" s="3">
        <v>44679.417361111111</v>
      </c>
      <c r="D50" s="1">
        <v>362.24</v>
      </c>
      <c r="E50" s="1">
        <v>110</v>
      </c>
      <c r="F50" s="29">
        <v>4.5639999999999997E-5</v>
      </c>
      <c r="G50" s="1">
        <v>1.7269999999999999E-6</v>
      </c>
      <c r="H50" s="1">
        <v>2.17</v>
      </c>
      <c r="I50" s="1" t="s">
        <v>245</v>
      </c>
      <c r="J50" s="1" t="s">
        <v>179</v>
      </c>
      <c r="K50" s="1">
        <v>15.8</v>
      </c>
      <c r="L50" s="1">
        <v>550</v>
      </c>
      <c r="M50" s="1">
        <v>3</v>
      </c>
      <c r="N50" s="26">
        <v>4.2769999999999999E-5</v>
      </c>
      <c r="O50" s="1">
        <v>1.083E-6</v>
      </c>
      <c r="P50" s="1">
        <v>1.45</v>
      </c>
      <c r="Q50" s="1" t="s">
        <v>246</v>
      </c>
      <c r="R50" s="1" t="s">
        <v>180</v>
      </c>
      <c r="S50" s="1">
        <v>2.8886075949367078</v>
      </c>
      <c r="T50" s="1">
        <v>2.706962025316455</v>
      </c>
      <c r="U50" s="1">
        <f t="shared" si="6"/>
        <v>0.1816455696202528</v>
      </c>
      <c r="V50" s="1">
        <f t="shared" si="2"/>
        <v>6.2883435582821985</v>
      </c>
      <c r="W50" s="1">
        <f t="shared" si="1"/>
        <v>0.1816455696202528</v>
      </c>
      <c r="X50" s="1">
        <v>955594.19</v>
      </c>
      <c r="Y50" s="1">
        <v>0</v>
      </c>
      <c r="Z50" s="1">
        <v>1928.5</v>
      </c>
      <c r="AA50" s="1">
        <v>0</v>
      </c>
      <c r="AB50" s="1">
        <v>112016.88</v>
      </c>
      <c r="AC50" s="1">
        <v>0</v>
      </c>
      <c r="AD50" s="1">
        <v>6.56</v>
      </c>
      <c r="AE50" s="1">
        <v>1.46</v>
      </c>
      <c r="AF50" s="1">
        <v>569.96</v>
      </c>
      <c r="AG50" s="1">
        <v>3.62</v>
      </c>
      <c r="AH50" s="1">
        <v>56.73</v>
      </c>
      <c r="AI50" s="1">
        <v>1.29</v>
      </c>
      <c r="AJ50" s="1">
        <v>0</v>
      </c>
      <c r="AK50" s="1">
        <v>2.91</v>
      </c>
      <c r="AL50" s="1">
        <v>46.27</v>
      </c>
      <c r="AM50" s="1">
        <v>1.36</v>
      </c>
      <c r="AN50" s="1">
        <v>4.88</v>
      </c>
      <c r="AO50" s="1">
        <v>1.18</v>
      </c>
      <c r="AP50" s="1">
        <v>9.5399999999999991</v>
      </c>
      <c r="AQ50" s="1">
        <v>1.97</v>
      </c>
      <c r="AR50" s="1">
        <v>0</v>
      </c>
      <c r="AS50" s="1">
        <v>3.07</v>
      </c>
      <c r="AT50" s="1">
        <v>0</v>
      </c>
      <c r="AU50" s="1">
        <v>1.68</v>
      </c>
      <c r="AV50" s="1">
        <v>0</v>
      </c>
      <c r="AW50" s="1">
        <v>2.35</v>
      </c>
      <c r="AX50" s="1">
        <v>0</v>
      </c>
      <c r="AY50" s="1">
        <v>3.9</v>
      </c>
      <c r="AZ50" s="1">
        <v>15.26</v>
      </c>
      <c r="BA50" s="1">
        <v>2.98</v>
      </c>
      <c r="BB50" s="1">
        <v>0</v>
      </c>
      <c r="BC50" s="1">
        <v>15.46</v>
      </c>
      <c r="BD50" s="1">
        <v>9.16</v>
      </c>
      <c r="BE50" s="1">
        <v>4.95</v>
      </c>
      <c r="BF50" s="1">
        <v>0</v>
      </c>
      <c r="BG50" s="1">
        <v>15.17</v>
      </c>
      <c r="BH50" s="1">
        <v>0</v>
      </c>
      <c r="BI50" s="1">
        <v>32.520000000000003</v>
      </c>
      <c r="BJ50" s="1">
        <v>5809.39</v>
      </c>
      <c r="BK50" s="1">
        <v>53.49</v>
      </c>
      <c r="BL50" s="1">
        <v>50.44</v>
      </c>
      <c r="BM50" s="1">
        <v>19.95</v>
      </c>
      <c r="BN50" s="1">
        <v>55.42</v>
      </c>
      <c r="BO50" s="1">
        <v>4.95</v>
      </c>
      <c r="BP50" s="1">
        <v>38.619999999999997</v>
      </c>
      <c r="BQ50" s="1">
        <v>8.9600000000000009</v>
      </c>
      <c r="BR50" s="1">
        <v>3791.66</v>
      </c>
      <c r="BS50" s="1">
        <v>37.840000000000003</v>
      </c>
      <c r="BT50" s="1">
        <v>2313.79</v>
      </c>
      <c r="BU50" s="1">
        <v>48.04</v>
      </c>
      <c r="BV50" s="1">
        <v>11987.46</v>
      </c>
      <c r="BW50" s="1">
        <v>118.1</v>
      </c>
      <c r="BX50" s="1">
        <v>80.69</v>
      </c>
      <c r="BY50" s="1">
        <v>33.380000000000003</v>
      </c>
      <c r="BZ50" s="1">
        <v>153.88999999999999</v>
      </c>
      <c r="CA50" s="1">
        <v>18.27</v>
      </c>
      <c r="CB50" s="1">
        <v>0</v>
      </c>
      <c r="CC50" s="1">
        <v>6.92</v>
      </c>
      <c r="CD50" s="1">
        <v>9.4700000000000006</v>
      </c>
      <c r="CE50" s="1">
        <v>6.2</v>
      </c>
      <c r="CF50" s="1">
        <v>0</v>
      </c>
      <c r="CG50" s="1">
        <v>6.41</v>
      </c>
      <c r="CH50" s="1">
        <v>2.85</v>
      </c>
      <c r="CI50" s="1">
        <v>1.85</v>
      </c>
      <c r="CJ50" s="1">
        <v>0</v>
      </c>
      <c r="CK50" s="1">
        <v>6.03</v>
      </c>
      <c r="CL50" s="1">
        <v>465954.72</v>
      </c>
      <c r="CM50" s="1">
        <v>1150.8499999999999</v>
      </c>
      <c r="CN50" s="1">
        <v>8.34</v>
      </c>
      <c r="CO50" s="1">
        <v>1</v>
      </c>
      <c r="CP50" s="1">
        <v>0</v>
      </c>
      <c r="CQ50" s="1">
        <v>2.44</v>
      </c>
      <c r="CR50" s="1">
        <v>0</v>
      </c>
      <c r="CS50" s="1">
        <v>1.5</v>
      </c>
      <c r="CT50" s="1">
        <v>0</v>
      </c>
      <c r="CU50" s="1">
        <v>1.5</v>
      </c>
      <c r="CV50" s="1">
        <v>0</v>
      </c>
      <c r="CW50" s="1">
        <v>1.5</v>
      </c>
      <c r="CX50" s="1">
        <v>59268.19</v>
      </c>
      <c r="CY50" s="1">
        <v>1071.57</v>
      </c>
      <c r="CZ50" s="1">
        <v>0</v>
      </c>
      <c r="DA50" s="1">
        <v>196.25</v>
      </c>
      <c r="DB50" s="1">
        <v>446539.31</v>
      </c>
      <c r="DC50" s="1">
        <v>1086.69</v>
      </c>
      <c r="DD50" s="1">
        <v>0</v>
      </c>
      <c r="DE50" s="1">
        <v>16.989999999999998</v>
      </c>
      <c r="DF50" s="1">
        <v>0</v>
      </c>
      <c r="DG50" s="1">
        <v>1308.78</v>
      </c>
      <c r="DH50" s="1">
        <v>0</v>
      </c>
      <c r="DI50" s="1">
        <v>7.03</v>
      </c>
      <c r="DJ50" s="1">
        <v>0</v>
      </c>
      <c r="DK50" s="1">
        <v>8.76</v>
      </c>
      <c r="DL50" s="1">
        <v>0</v>
      </c>
      <c r="DM50" s="1">
        <v>18.61</v>
      </c>
      <c r="DN50">
        <v>42</v>
      </c>
      <c r="DO50" t="s">
        <v>320</v>
      </c>
      <c r="DP50" s="35">
        <v>0</v>
      </c>
      <c r="DQ50">
        <v>1.649</v>
      </c>
      <c r="DR50" s="13">
        <v>110</v>
      </c>
      <c r="DS50" s="10">
        <v>1.38</v>
      </c>
      <c r="DT50" s="10">
        <v>0.27599999308586121</v>
      </c>
      <c r="DU50" s="10">
        <v>5.6999998092651367</v>
      </c>
      <c r="DV50" s="10">
        <v>1.6</v>
      </c>
      <c r="DW50" t="s">
        <v>318</v>
      </c>
      <c r="DX50" s="10">
        <v>7.8971118927001953</v>
      </c>
      <c r="DY50" s="10">
        <v>12.033694267272949</v>
      </c>
      <c r="DZ50" s="10">
        <v>33.092658996582031</v>
      </c>
      <c r="EA50" s="10">
        <v>45.126354217529297</v>
      </c>
      <c r="EB50" s="10">
        <v>42.343563079833984</v>
      </c>
      <c r="EC50" s="10">
        <v>4.632972240447998</v>
      </c>
      <c r="ED50" s="10">
        <v>46.976535797119141</v>
      </c>
      <c r="EE50" s="10">
        <v>4.0226693153381348</v>
      </c>
      <c r="EF50" s="10">
        <v>0</v>
      </c>
    </row>
    <row r="51" spans="1:136" ht="15.75" customHeight="1" x14ac:dyDescent="0.3">
      <c r="A51" s="1" t="s">
        <v>247</v>
      </c>
      <c r="B51" s="2">
        <v>318</v>
      </c>
      <c r="C51" s="3">
        <v>44679.433333333327</v>
      </c>
      <c r="D51" s="1">
        <v>360.22</v>
      </c>
      <c r="E51" s="1">
        <v>122</v>
      </c>
      <c r="F51" s="29">
        <v>5.3959999999999998E-5</v>
      </c>
      <c r="G51" s="1">
        <v>3.2650000000000001E-6</v>
      </c>
      <c r="H51" s="1">
        <v>3.46</v>
      </c>
      <c r="I51" s="1" t="s">
        <v>248</v>
      </c>
      <c r="J51" s="1" t="s">
        <v>179</v>
      </c>
      <c r="K51" s="1">
        <v>16.63</v>
      </c>
      <c r="L51" s="1">
        <v>586</v>
      </c>
      <c r="M51" s="1">
        <v>3</v>
      </c>
      <c r="N51" s="26">
        <v>5.24E-5</v>
      </c>
      <c r="O51" s="1">
        <v>8.2679999999999997E-7</v>
      </c>
      <c r="P51" s="1">
        <v>0.9</v>
      </c>
      <c r="Q51" s="1" t="s">
        <v>249</v>
      </c>
      <c r="R51" s="1" t="s">
        <v>180</v>
      </c>
      <c r="S51" s="1">
        <v>3.244738424533975</v>
      </c>
      <c r="T51" s="1">
        <v>3.1509320505111251</v>
      </c>
      <c r="U51" s="1">
        <f t="shared" si="6"/>
        <v>9.3806374022849859E-2</v>
      </c>
      <c r="V51" s="1">
        <f t="shared" si="2"/>
        <v>2.8910303928836045</v>
      </c>
      <c r="W51" s="1">
        <f t="shared" si="1"/>
        <v>9.3806374022849859E-2</v>
      </c>
      <c r="X51" s="1">
        <v>911790.63</v>
      </c>
      <c r="Y51" s="1">
        <v>0</v>
      </c>
      <c r="Z51" s="1">
        <v>2636.94</v>
      </c>
      <c r="AA51" s="1">
        <v>0</v>
      </c>
      <c r="AB51" s="1">
        <v>116638.87</v>
      </c>
      <c r="AC51" s="1">
        <v>0</v>
      </c>
      <c r="AD51" s="1">
        <v>5.48</v>
      </c>
      <c r="AE51" s="1">
        <v>1.4</v>
      </c>
      <c r="AF51" s="1">
        <v>467.14</v>
      </c>
      <c r="AG51" s="1">
        <v>3.3</v>
      </c>
      <c r="AH51" s="1">
        <v>54.28</v>
      </c>
      <c r="AI51" s="1">
        <v>1.26</v>
      </c>
      <c r="AJ51" s="1">
        <v>0</v>
      </c>
      <c r="AK51" s="1">
        <v>2.85</v>
      </c>
      <c r="AL51" s="1">
        <v>45.13</v>
      </c>
      <c r="AM51" s="1">
        <v>1.34</v>
      </c>
      <c r="AN51" s="1">
        <v>4.99</v>
      </c>
      <c r="AO51" s="1">
        <v>1.18</v>
      </c>
      <c r="AP51" s="1">
        <v>8.66</v>
      </c>
      <c r="AQ51" s="1">
        <v>1.93</v>
      </c>
      <c r="AR51" s="1">
        <v>0</v>
      </c>
      <c r="AS51" s="1">
        <v>3.05</v>
      </c>
      <c r="AT51" s="1">
        <v>0</v>
      </c>
      <c r="AU51" s="1">
        <v>1.65</v>
      </c>
      <c r="AV51" s="1">
        <v>0</v>
      </c>
      <c r="AW51" s="1">
        <v>2.31</v>
      </c>
      <c r="AX51" s="1">
        <v>0</v>
      </c>
      <c r="AY51" s="1">
        <v>3.97</v>
      </c>
      <c r="AZ51" s="1">
        <v>14.03</v>
      </c>
      <c r="BA51" s="1">
        <v>2.96</v>
      </c>
      <c r="BB51" s="1">
        <v>0</v>
      </c>
      <c r="BC51" s="1">
        <v>15.7</v>
      </c>
      <c r="BD51" s="1">
        <v>10.69</v>
      </c>
      <c r="BE51" s="1">
        <v>4.99</v>
      </c>
      <c r="BF51" s="1">
        <v>0</v>
      </c>
      <c r="BG51" s="1">
        <v>15.27</v>
      </c>
      <c r="BH51" s="1">
        <v>0</v>
      </c>
      <c r="BI51" s="1">
        <v>36.409999999999997</v>
      </c>
      <c r="BJ51" s="1">
        <v>10556.82</v>
      </c>
      <c r="BK51" s="1">
        <v>86.75</v>
      </c>
      <c r="BL51" s="1">
        <v>130.22999999999999</v>
      </c>
      <c r="BM51" s="1">
        <v>21.5</v>
      </c>
      <c r="BN51" s="1">
        <v>62.11</v>
      </c>
      <c r="BO51" s="1">
        <v>5.15</v>
      </c>
      <c r="BP51" s="1">
        <v>36.44</v>
      </c>
      <c r="BQ51" s="1">
        <v>8.7200000000000006</v>
      </c>
      <c r="BR51" s="1">
        <v>3169.94</v>
      </c>
      <c r="BS51" s="1">
        <v>36.15</v>
      </c>
      <c r="BT51" s="1">
        <v>2612.1</v>
      </c>
      <c r="BU51" s="1">
        <v>51.26</v>
      </c>
      <c r="BV51" s="1">
        <v>12647.37</v>
      </c>
      <c r="BW51" s="1">
        <v>124.22</v>
      </c>
      <c r="BX51" s="1">
        <v>72.52</v>
      </c>
      <c r="BY51" s="1">
        <v>33.94</v>
      </c>
      <c r="BZ51" s="1">
        <v>180.61</v>
      </c>
      <c r="CA51" s="1">
        <v>18.82</v>
      </c>
      <c r="CB51" s="1">
        <v>0</v>
      </c>
      <c r="CC51" s="1">
        <v>7.08</v>
      </c>
      <c r="CD51" s="1">
        <v>0</v>
      </c>
      <c r="CE51" s="1">
        <v>5.68</v>
      </c>
      <c r="CF51" s="1">
        <v>0</v>
      </c>
      <c r="CG51" s="1">
        <v>6.58</v>
      </c>
      <c r="CH51" s="1">
        <v>0</v>
      </c>
      <c r="CI51" s="1">
        <v>2.82</v>
      </c>
      <c r="CJ51" s="1">
        <v>0</v>
      </c>
      <c r="CK51" s="1">
        <v>6.19</v>
      </c>
      <c r="CL51" s="1">
        <v>480917.44</v>
      </c>
      <c r="CM51" s="1">
        <v>1136.3800000000001</v>
      </c>
      <c r="CN51" s="1">
        <v>6.34</v>
      </c>
      <c r="CO51" s="1">
        <v>1</v>
      </c>
      <c r="CP51" s="1">
        <v>2.96</v>
      </c>
      <c r="CQ51" s="1">
        <v>1.64</v>
      </c>
      <c r="CR51" s="1">
        <v>0</v>
      </c>
      <c r="CS51" s="1">
        <v>1.5</v>
      </c>
      <c r="CT51" s="1">
        <v>0</v>
      </c>
      <c r="CU51" s="1">
        <v>1.5</v>
      </c>
      <c r="CV51" s="1">
        <v>0</v>
      </c>
      <c r="CW51" s="1">
        <v>1.5</v>
      </c>
      <c r="CX51" s="1">
        <v>61713.69</v>
      </c>
      <c r="CY51" s="1">
        <v>1109.5</v>
      </c>
      <c r="CZ51" s="1">
        <v>0</v>
      </c>
      <c r="DA51" s="1">
        <v>195.36</v>
      </c>
      <c r="DB51" s="1">
        <v>426070.38</v>
      </c>
      <c r="DC51" s="1">
        <v>1076.83</v>
      </c>
      <c r="DD51" s="1">
        <v>0</v>
      </c>
      <c r="DE51" s="1">
        <v>17.28</v>
      </c>
      <c r="DF51" s="1">
        <v>1588.52</v>
      </c>
      <c r="DG51" s="1">
        <v>894.96</v>
      </c>
      <c r="DH51" s="1">
        <v>0</v>
      </c>
      <c r="DI51" s="1">
        <v>7.42</v>
      </c>
      <c r="DJ51" s="1">
        <v>11.06</v>
      </c>
      <c r="DK51" s="1">
        <v>6.02</v>
      </c>
      <c r="DL51" s="1">
        <v>0</v>
      </c>
      <c r="DM51" s="1">
        <v>19.18</v>
      </c>
      <c r="DN51">
        <v>44</v>
      </c>
      <c r="DO51" t="s">
        <v>321</v>
      </c>
      <c r="DP51" s="35">
        <v>0</v>
      </c>
      <c r="DQ51" s="13">
        <v>1.65</v>
      </c>
      <c r="DR51" s="13">
        <v>123</v>
      </c>
      <c r="DS51" s="10">
        <v>0.57999999999999996</v>
      </c>
      <c r="DT51" s="10">
        <v>0.11599999666213989</v>
      </c>
      <c r="DU51" s="10">
        <v>6.0900001525878906</v>
      </c>
      <c r="DV51" s="10">
        <v>2.9750950336456299</v>
      </c>
      <c r="DW51" t="s">
        <v>309</v>
      </c>
      <c r="DX51" s="10">
        <v>10.750296592712402</v>
      </c>
      <c r="DY51" s="10">
        <v>2.9655990600585938</v>
      </c>
      <c r="DZ51" s="10">
        <v>13.345195770263672</v>
      </c>
      <c r="EA51" s="10">
        <v>16.310794830322266</v>
      </c>
      <c r="EB51" s="10">
        <v>67.482208251953125</v>
      </c>
      <c r="EC51" s="10">
        <v>5.4567022323608398</v>
      </c>
      <c r="ED51" s="10">
        <v>72.938911437988281</v>
      </c>
      <c r="EE51" s="10">
        <v>1.2138484716415405</v>
      </c>
      <c r="EF51" s="10">
        <v>0</v>
      </c>
    </row>
    <row r="52" spans="1:136" ht="15.75" customHeight="1" x14ac:dyDescent="0.3">
      <c r="A52" s="1" t="s">
        <v>250</v>
      </c>
      <c r="B52" s="2">
        <v>329</v>
      </c>
      <c r="C52" s="3">
        <v>44664.709027777782</v>
      </c>
      <c r="D52" s="1">
        <v>361.28</v>
      </c>
      <c r="E52" s="1">
        <v>144</v>
      </c>
      <c r="F52" s="29">
        <v>5.8239999999999998E-5</v>
      </c>
      <c r="G52" s="1">
        <v>2.7860000000000001E-6</v>
      </c>
      <c r="H52" s="1">
        <v>2.74</v>
      </c>
      <c r="I52" s="1" t="s">
        <v>251</v>
      </c>
      <c r="J52" s="1" t="s">
        <v>179</v>
      </c>
      <c r="K52" s="1">
        <v>15.45</v>
      </c>
      <c r="L52" s="1">
        <v>579</v>
      </c>
      <c r="M52" s="1">
        <v>3</v>
      </c>
      <c r="N52" s="26">
        <v>5.5649999999999997E-5</v>
      </c>
      <c r="O52" s="1">
        <v>9.9919999999999989E-7</v>
      </c>
      <c r="P52" s="1">
        <v>1.03</v>
      </c>
      <c r="Q52" s="1" t="s">
        <v>252</v>
      </c>
      <c r="R52" s="1" t="s">
        <v>180</v>
      </c>
      <c r="S52" s="1">
        <v>3.76957928802589</v>
      </c>
      <c r="T52" s="1">
        <v>3.6019417475728162</v>
      </c>
      <c r="U52" s="1">
        <f t="shared" ref="U52:U55" si="7">S52-T52</f>
        <v>0.16763754045307389</v>
      </c>
      <c r="V52" s="1">
        <f t="shared" si="2"/>
        <v>4.4471153846153699</v>
      </c>
      <c r="W52" s="1">
        <f t="shared" si="1"/>
        <v>0.16763754045307389</v>
      </c>
      <c r="X52" s="1">
        <v>860981.38</v>
      </c>
      <c r="Y52" s="1">
        <v>0</v>
      </c>
      <c r="Z52" s="1">
        <v>3267.23</v>
      </c>
      <c r="AA52" s="1">
        <v>0</v>
      </c>
      <c r="AB52" s="1">
        <v>123204.2</v>
      </c>
      <c r="AC52" s="1">
        <v>0</v>
      </c>
      <c r="AD52" s="1">
        <v>5.32</v>
      </c>
      <c r="AE52" s="1">
        <v>1.31</v>
      </c>
      <c r="AF52" s="1">
        <v>344.52</v>
      </c>
      <c r="AG52" s="1">
        <v>2.82</v>
      </c>
      <c r="AH52" s="1">
        <v>55.31</v>
      </c>
      <c r="AI52" s="1">
        <v>1.25</v>
      </c>
      <c r="AJ52" s="1">
        <v>0</v>
      </c>
      <c r="AK52" s="1">
        <v>2.8</v>
      </c>
      <c r="AL52" s="1">
        <v>46.32</v>
      </c>
      <c r="AM52" s="1">
        <v>1.33</v>
      </c>
      <c r="AN52" s="1">
        <v>3.42</v>
      </c>
      <c r="AO52" s="1">
        <v>1.1100000000000001</v>
      </c>
      <c r="AP52" s="1">
        <v>7.72</v>
      </c>
      <c r="AQ52" s="1">
        <v>1.85</v>
      </c>
      <c r="AR52" s="1">
        <v>0</v>
      </c>
      <c r="AS52" s="1">
        <v>3.03</v>
      </c>
      <c r="AT52" s="1">
        <v>0</v>
      </c>
      <c r="AU52" s="1">
        <v>1.61</v>
      </c>
      <c r="AV52" s="1">
        <v>0</v>
      </c>
      <c r="AW52" s="1">
        <v>2.21</v>
      </c>
      <c r="AX52" s="1">
        <v>0</v>
      </c>
      <c r="AY52" s="1">
        <v>3.89</v>
      </c>
      <c r="AZ52" s="1">
        <v>14.6</v>
      </c>
      <c r="BA52" s="1">
        <v>2.92</v>
      </c>
      <c r="BB52" s="1">
        <v>0</v>
      </c>
      <c r="BC52" s="1">
        <v>15.48</v>
      </c>
      <c r="BD52" s="1">
        <v>0</v>
      </c>
      <c r="BE52" s="1">
        <v>7.15</v>
      </c>
      <c r="BF52" s="1">
        <v>0</v>
      </c>
      <c r="BG52" s="1">
        <v>14.78</v>
      </c>
      <c r="BH52" s="1">
        <v>0</v>
      </c>
      <c r="BI52" s="1">
        <v>37.79</v>
      </c>
      <c r="BJ52" s="1">
        <v>12173.34</v>
      </c>
      <c r="BK52" s="1">
        <v>91.01</v>
      </c>
      <c r="BL52" s="1">
        <v>71.13</v>
      </c>
      <c r="BM52" s="1">
        <v>20.07</v>
      </c>
      <c r="BN52" s="1">
        <v>77.92</v>
      </c>
      <c r="BO52" s="1">
        <v>5.31</v>
      </c>
      <c r="BP52" s="1">
        <v>39.17</v>
      </c>
      <c r="BQ52" s="1">
        <v>8.2899999999999991</v>
      </c>
      <c r="BR52" s="1">
        <v>2483.2800000000002</v>
      </c>
      <c r="BS52" s="1">
        <v>33.25</v>
      </c>
      <c r="BT52" s="1">
        <v>2718.68</v>
      </c>
      <c r="BU52" s="1">
        <v>51.69</v>
      </c>
      <c r="BV52" s="1">
        <v>12314.41</v>
      </c>
      <c r="BW52" s="1">
        <v>123.12</v>
      </c>
      <c r="BX52" s="1">
        <v>101.53</v>
      </c>
      <c r="BY52" s="1">
        <v>33.950000000000003</v>
      </c>
      <c r="BZ52" s="1">
        <v>139.16999999999999</v>
      </c>
      <c r="CA52" s="1">
        <v>22.84</v>
      </c>
      <c r="CB52" s="1">
        <v>0</v>
      </c>
      <c r="CC52" s="1">
        <v>6.99</v>
      </c>
      <c r="CD52" s="1">
        <v>0</v>
      </c>
      <c r="CE52" s="1">
        <v>5.61</v>
      </c>
      <c r="CF52" s="1">
        <v>0</v>
      </c>
      <c r="CG52" s="1">
        <v>6.5</v>
      </c>
      <c r="CH52" s="1">
        <v>0</v>
      </c>
      <c r="CI52" s="1">
        <v>4.22</v>
      </c>
      <c r="CJ52" s="1">
        <v>0</v>
      </c>
      <c r="CK52" s="1">
        <v>6.07</v>
      </c>
      <c r="CL52" s="1">
        <v>499919.94</v>
      </c>
      <c r="CM52" s="1">
        <v>1114.6300000000001</v>
      </c>
      <c r="CN52" s="1">
        <v>5.62</v>
      </c>
      <c r="CO52" s="1">
        <v>1</v>
      </c>
      <c r="CP52" s="1">
        <v>0</v>
      </c>
      <c r="CQ52" s="1">
        <v>1.77</v>
      </c>
      <c r="CR52" s="1">
        <v>0</v>
      </c>
      <c r="CS52" s="1">
        <v>1.5</v>
      </c>
      <c r="CT52" s="1">
        <v>0</v>
      </c>
      <c r="CU52" s="1">
        <v>1.5</v>
      </c>
      <c r="CV52" s="1">
        <v>0</v>
      </c>
      <c r="CW52" s="1">
        <v>1.5</v>
      </c>
      <c r="CX52" s="1">
        <v>65187.41</v>
      </c>
      <c r="CY52" s="1">
        <v>1116.24</v>
      </c>
      <c r="CZ52" s="1">
        <v>0</v>
      </c>
      <c r="DA52" s="1">
        <v>187.51</v>
      </c>
      <c r="DB52" s="1">
        <v>402327.72</v>
      </c>
      <c r="DC52" s="1">
        <v>1047.83</v>
      </c>
      <c r="DD52" s="1">
        <v>0</v>
      </c>
      <c r="DE52" s="1">
        <v>17.690000000000001</v>
      </c>
      <c r="DF52" s="1">
        <v>1968.21</v>
      </c>
      <c r="DG52" s="1">
        <v>888</v>
      </c>
      <c r="DH52" s="1">
        <v>0</v>
      </c>
      <c r="DI52" s="1">
        <v>7.51</v>
      </c>
      <c r="DJ52" s="1">
        <v>0</v>
      </c>
      <c r="DK52" s="1">
        <v>8.86</v>
      </c>
      <c r="DL52" s="1">
        <v>0</v>
      </c>
      <c r="DM52" s="1">
        <v>18.88</v>
      </c>
      <c r="DN52">
        <v>48</v>
      </c>
      <c r="DO52" t="s">
        <v>322</v>
      </c>
      <c r="DP52" s="35">
        <v>0</v>
      </c>
      <c r="DQ52" s="13">
        <v>1.77</v>
      </c>
      <c r="DR52" s="13">
        <v>144</v>
      </c>
      <c r="DS52" s="10">
        <v>0.08</v>
      </c>
      <c r="DT52" s="10">
        <v>1.6000000759959221E-2</v>
      </c>
      <c r="DU52" s="10">
        <v>5.9000000953674316</v>
      </c>
      <c r="DV52" s="10">
        <v>2.4051077365875244</v>
      </c>
      <c r="DW52" t="s">
        <v>324</v>
      </c>
      <c r="DX52" s="10">
        <v>7.7342367172241211</v>
      </c>
      <c r="DY52" s="10">
        <v>2.2097818851470947</v>
      </c>
      <c r="DZ52" s="10">
        <v>10.312315940856934</v>
      </c>
      <c r="EA52" s="10">
        <v>12.522097587585449</v>
      </c>
      <c r="EB52" s="10">
        <v>74.572776794433594</v>
      </c>
      <c r="EC52" s="10">
        <v>5.1708898544311523</v>
      </c>
      <c r="ED52" s="10">
        <v>79.743667602539063</v>
      </c>
      <c r="EE52" s="10">
        <v>1.3996173143386841</v>
      </c>
      <c r="EF52" s="10">
        <v>0</v>
      </c>
    </row>
    <row r="53" spans="1:136" s="22" customFormat="1" ht="15.75" customHeight="1" x14ac:dyDescent="0.3">
      <c r="A53" s="19" t="s">
        <v>253</v>
      </c>
      <c r="B53" s="20">
        <v>345</v>
      </c>
      <c r="C53" s="21">
        <v>44666.02847222222</v>
      </c>
      <c r="D53" s="19">
        <v>361.33</v>
      </c>
      <c r="E53" s="19">
        <v>28</v>
      </c>
      <c r="F53" s="30">
        <v>7.2599999999999997E-4</v>
      </c>
      <c r="G53" s="19">
        <v>1.825E-5</v>
      </c>
      <c r="H53" s="19">
        <v>1.44</v>
      </c>
      <c r="I53" s="19" t="s">
        <v>254</v>
      </c>
      <c r="J53" s="19" t="s">
        <v>168</v>
      </c>
      <c r="K53" s="19">
        <v>15.9</v>
      </c>
      <c r="L53" s="19">
        <v>101</v>
      </c>
      <c r="M53" s="19">
        <v>4</v>
      </c>
      <c r="N53" s="27">
        <v>7.0220000000000005E-4</v>
      </c>
      <c r="O53" s="19">
        <v>-6.0719999999999996E-6</v>
      </c>
      <c r="P53" s="19">
        <v>-0.5</v>
      </c>
      <c r="Q53" s="19" t="s">
        <v>255</v>
      </c>
      <c r="R53" s="19" t="s">
        <v>168</v>
      </c>
      <c r="S53" s="19">
        <v>45.660377358490557</v>
      </c>
      <c r="T53" s="19">
        <v>44.163522012578618</v>
      </c>
      <c r="U53" s="19">
        <f t="shared" si="7"/>
        <v>1.4968553459119391</v>
      </c>
      <c r="V53" s="1">
        <f t="shared" si="2"/>
        <v>3.2782369146005284</v>
      </c>
      <c r="W53" s="1">
        <f t="shared" si="1"/>
        <v>1.4968553459119391</v>
      </c>
      <c r="X53" s="19">
        <v>903005.56</v>
      </c>
      <c r="Y53" s="19">
        <v>0</v>
      </c>
      <c r="Z53" s="19">
        <v>0</v>
      </c>
      <c r="AA53" s="19">
        <v>0</v>
      </c>
      <c r="AB53" s="19">
        <v>85012.72</v>
      </c>
      <c r="AC53" s="19">
        <v>0</v>
      </c>
      <c r="AD53" s="19">
        <v>5.29</v>
      </c>
      <c r="AE53" s="19">
        <v>1.32</v>
      </c>
      <c r="AF53" s="19">
        <v>374.84</v>
      </c>
      <c r="AG53" s="19">
        <v>2.92</v>
      </c>
      <c r="AH53" s="19">
        <v>50.34</v>
      </c>
      <c r="AI53" s="19">
        <v>1.2</v>
      </c>
      <c r="AJ53" s="19">
        <v>0</v>
      </c>
      <c r="AK53" s="19">
        <v>2.71</v>
      </c>
      <c r="AL53" s="19">
        <v>39.78</v>
      </c>
      <c r="AM53" s="19">
        <v>1.25</v>
      </c>
      <c r="AN53" s="19">
        <v>2.96</v>
      </c>
      <c r="AO53" s="19">
        <v>1.1200000000000001</v>
      </c>
      <c r="AP53" s="19">
        <v>20.149999999999999</v>
      </c>
      <c r="AQ53" s="19">
        <v>2.2000000000000002</v>
      </c>
      <c r="AR53" s="19">
        <v>0</v>
      </c>
      <c r="AS53" s="19">
        <v>2.99</v>
      </c>
      <c r="AT53" s="19">
        <v>0</v>
      </c>
      <c r="AU53" s="19">
        <v>1.62</v>
      </c>
      <c r="AV53" s="19">
        <v>5.77</v>
      </c>
      <c r="AW53" s="19">
        <v>1.79</v>
      </c>
      <c r="AX53" s="19">
        <v>0</v>
      </c>
      <c r="AY53" s="19">
        <v>3.89</v>
      </c>
      <c r="AZ53" s="19">
        <v>44.42</v>
      </c>
      <c r="BA53" s="19">
        <v>3.56</v>
      </c>
      <c r="BB53" s="19">
        <v>0</v>
      </c>
      <c r="BC53" s="19">
        <v>15.45</v>
      </c>
      <c r="BD53" s="19">
        <v>26.16</v>
      </c>
      <c r="BE53" s="19">
        <v>5.15</v>
      </c>
      <c r="BF53" s="19">
        <v>0</v>
      </c>
      <c r="BG53" s="19">
        <v>14.78</v>
      </c>
      <c r="BH53" s="19">
        <v>0</v>
      </c>
      <c r="BI53" s="19">
        <v>34.479999999999997</v>
      </c>
      <c r="BJ53" s="19">
        <v>7076.45</v>
      </c>
      <c r="BK53" s="19">
        <v>57.58</v>
      </c>
      <c r="BL53" s="19">
        <v>129</v>
      </c>
      <c r="BM53" s="19">
        <v>20.96</v>
      </c>
      <c r="BN53" s="19">
        <v>82.29</v>
      </c>
      <c r="BO53" s="19">
        <v>8.92</v>
      </c>
      <c r="BP53" s="19">
        <v>28.79</v>
      </c>
      <c r="BQ53" s="19">
        <v>7.78</v>
      </c>
      <c r="BR53" s="19">
        <v>2195.9299999999998</v>
      </c>
      <c r="BS53" s="19">
        <v>31.11</v>
      </c>
      <c r="BT53" s="19">
        <v>4242.5600000000004</v>
      </c>
      <c r="BU53" s="19">
        <v>57</v>
      </c>
      <c r="BV53" s="19">
        <v>12989.91</v>
      </c>
      <c r="BW53" s="19">
        <v>116.75</v>
      </c>
      <c r="BX53" s="19">
        <v>774.61</v>
      </c>
      <c r="BY53" s="19">
        <v>38.950000000000003</v>
      </c>
      <c r="BZ53" s="19">
        <v>126.37</v>
      </c>
      <c r="CA53" s="19">
        <v>22.38</v>
      </c>
      <c r="CB53" s="19">
        <v>0</v>
      </c>
      <c r="CC53" s="19">
        <v>6.68</v>
      </c>
      <c r="CD53" s="19">
        <v>0</v>
      </c>
      <c r="CE53" s="19">
        <v>5.37</v>
      </c>
      <c r="CF53" s="19">
        <v>0</v>
      </c>
      <c r="CG53" s="19">
        <v>6.21</v>
      </c>
      <c r="CH53" s="19">
        <v>0</v>
      </c>
      <c r="CI53" s="19">
        <v>4.0599999999999996</v>
      </c>
      <c r="CJ53" s="19">
        <v>0</v>
      </c>
      <c r="CK53" s="19">
        <v>5.76</v>
      </c>
      <c r="CL53" s="19">
        <v>503184</v>
      </c>
      <c r="CM53" s="19">
        <v>1055</v>
      </c>
      <c r="CN53" s="19">
        <v>4.68</v>
      </c>
      <c r="CO53" s="19">
        <v>1</v>
      </c>
      <c r="CP53" s="19">
        <v>0</v>
      </c>
      <c r="CQ53" s="19">
        <v>1.5</v>
      </c>
      <c r="CR53" s="19">
        <v>0</v>
      </c>
      <c r="CS53" s="19">
        <v>1.5</v>
      </c>
      <c r="CT53" s="19">
        <v>0</v>
      </c>
      <c r="CU53" s="19">
        <v>1.5</v>
      </c>
      <c r="CV53" s="19">
        <v>0</v>
      </c>
      <c r="CW53" s="19">
        <v>1.5</v>
      </c>
      <c r="CX53" s="19">
        <v>44980.27</v>
      </c>
      <c r="CY53" s="19">
        <v>1001.76</v>
      </c>
      <c r="CZ53" s="19">
        <v>1985.68</v>
      </c>
      <c r="DA53" s="19">
        <v>138.08000000000001</v>
      </c>
      <c r="DB53" s="19">
        <v>421965.19</v>
      </c>
      <c r="DC53" s="19">
        <v>1061.3800000000001</v>
      </c>
      <c r="DD53" s="19">
        <v>0</v>
      </c>
      <c r="DE53" s="19">
        <v>17.39</v>
      </c>
      <c r="DF53" s="19">
        <v>0</v>
      </c>
      <c r="DG53" s="19">
        <v>1990.73</v>
      </c>
      <c r="DH53" s="19">
        <v>0</v>
      </c>
      <c r="DI53" s="19">
        <v>8.49</v>
      </c>
      <c r="DJ53" s="19">
        <v>0</v>
      </c>
      <c r="DK53" s="19">
        <v>8.5299999999999994</v>
      </c>
      <c r="DL53" s="19">
        <v>0</v>
      </c>
      <c r="DM53" s="19">
        <v>18.16</v>
      </c>
      <c r="DN53" s="22">
        <v>21</v>
      </c>
      <c r="DO53" s="22" t="s">
        <v>285</v>
      </c>
      <c r="DP53" s="22">
        <v>0</v>
      </c>
      <c r="DQ53" s="22">
        <v>1.5130358475669119</v>
      </c>
      <c r="DR53" s="22">
        <v>28</v>
      </c>
      <c r="DS53" s="23">
        <v>9.91</v>
      </c>
      <c r="DT53" s="23">
        <v>1.9819999933242798</v>
      </c>
      <c r="DU53" s="23">
        <v>6.8899998664855957</v>
      </c>
      <c r="DV53" s="23">
        <v>4.6787176132202148</v>
      </c>
      <c r="DW53" s="22" t="s">
        <v>304</v>
      </c>
      <c r="DX53" s="23">
        <v>7.4805507659912109</v>
      </c>
      <c r="DY53" s="23">
        <v>3.3662476539611816</v>
      </c>
      <c r="DZ53" s="23">
        <v>6.3584680557250977</v>
      </c>
      <c r="EA53" s="23">
        <v>9.7247161865234375</v>
      </c>
      <c r="EB53" s="23">
        <v>74.341712951660156</v>
      </c>
      <c r="EC53" s="23">
        <v>8.4530220031738281</v>
      </c>
      <c r="ED53" s="23">
        <v>82.79473876953125</v>
      </c>
      <c r="EE53" s="23">
        <v>0.35963460803031921</v>
      </c>
      <c r="EF53" s="23">
        <v>0</v>
      </c>
    </row>
    <row r="54" spans="1:136" s="22" customFormat="1" ht="15.75" customHeight="1" x14ac:dyDescent="0.3">
      <c r="A54" s="19" t="s">
        <v>256</v>
      </c>
      <c r="B54" s="20">
        <v>355</v>
      </c>
      <c r="C54" s="21">
        <v>44676.609722222223</v>
      </c>
      <c r="D54" s="19">
        <v>362</v>
      </c>
      <c r="E54" s="19">
        <v>48</v>
      </c>
      <c r="F54" s="30">
        <v>2.363E-4</v>
      </c>
      <c r="G54" s="19">
        <v>1.198E-5</v>
      </c>
      <c r="H54" s="19">
        <v>2.9</v>
      </c>
      <c r="I54" s="19" t="s">
        <v>257</v>
      </c>
      <c r="J54" s="19" t="s">
        <v>110</v>
      </c>
      <c r="K54" s="19">
        <v>15.46</v>
      </c>
      <c r="L54" s="19">
        <v>486</v>
      </c>
      <c r="M54" s="19">
        <v>3</v>
      </c>
      <c r="N54" s="27">
        <v>2.2039999999999999E-4</v>
      </c>
      <c r="O54" s="19">
        <v>1.9479999999999998E-6</v>
      </c>
      <c r="P54" s="19">
        <v>0.51</v>
      </c>
      <c r="Q54" s="19" t="s">
        <v>258</v>
      </c>
      <c r="R54" s="19" t="s">
        <v>110</v>
      </c>
      <c r="S54" s="19">
        <v>15.284605433376459</v>
      </c>
      <c r="T54" s="19">
        <v>14.25614489003881</v>
      </c>
      <c r="U54" s="19">
        <f t="shared" si="7"/>
        <v>1.0284605433376495</v>
      </c>
      <c r="V54" s="1">
        <f t="shared" si="2"/>
        <v>6.7287346593313826</v>
      </c>
      <c r="W54" s="1">
        <f t="shared" si="1"/>
        <v>1.0284605433376495</v>
      </c>
      <c r="X54" s="19">
        <v>868452.25</v>
      </c>
      <c r="Y54" s="19">
        <v>0</v>
      </c>
      <c r="Z54" s="19">
        <v>1444.52</v>
      </c>
      <c r="AA54" s="19">
        <v>0</v>
      </c>
      <c r="AB54" s="19">
        <v>88110.16</v>
      </c>
      <c r="AC54" s="19">
        <v>0</v>
      </c>
      <c r="AD54" s="19">
        <v>3.55</v>
      </c>
      <c r="AE54" s="19">
        <v>1.2</v>
      </c>
      <c r="AF54" s="19">
        <v>199.67</v>
      </c>
      <c r="AG54" s="19">
        <v>2.19</v>
      </c>
      <c r="AH54" s="19">
        <v>45.63</v>
      </c>
      <c r="AI54" s="19">
        <v>1.1299999999999999</v>
      </c>
      <c r="AJ54" s="19">
        <v>0</v>
      </c>
      <c r="AK54" s="19">
        <v>2.64</v>
      </c>
      <c r="AL54" s="19">
        <v>38.96</v>
      </c>
      <c r="AM54" s="19">
        <v>1.22</v>
      </c>
      <c r="AN54" s="19">
        <v>2.61</v>
      </c>
      <c r="AO54" s="19">
        <v>1.07</v>
      </c>
      <c r="AP54" s="19">
        <v>17.46</v>
      </c>
      <c r="AQ54" s="19">
        <v>2.09</v>
      </c>
      <c r="AR54" s="19">
        <v>0</v>
      </c>
      <c r="AS54" s="19">
        <v>2.9</v>
      </c>
      <c r="AT54" s="19">
        <v>0</v>
      </c>
      <c r="AU54" s="19">
        <v>1.6</v>
      </c>
      <c r="AV54" s="19">
        <v>3.11</v>
      </c>
      <c r="AW54" s="19">
        <v>1.66</v>
      </c>
      <c r="AX54" s="19">
        <v>0</v>
      </c>
      <c r="AY54" s="19">
        <v>3.79</v>
      </c>
      <c r="AZ54" s="19">
        <v>24.54</v>
      </c>
      <c r="BA54" s="19">
        <v>3.1</v>
      </c>
      <c r="BB54" s="19">
        <v>0</v>
      </c>
      <c r="BC54" s="19">
        <v>15.12</v>
      </c>
      <c r="BD54" s="19">
        <v>21.17</v>
      </c>
      <c r="BE54" s="19">
        <v>4.96</v>
      </c>
      <c r="BF54" s="19">
        <v>0</v>
      </c>
      <c r="BG54" s="19">
        <v>14.43</v>
      </c>
      <c r="BH54" s="19">
        <v>0</v>
      </c>
      <c r="BI54" s="19">
        <v>30.13</v>
      </c>
      <c r="BJ54" s="19">
        <v>5483.51</v>
      </c>
      <c r="BK54" s="19">
        <v>50.33</v>
      </c>
      <c r="BL54" s="19">
        <v>84.45</v>
      </c>
      <c r="BM54" s="19">
        <v>19.670000000000002</v>
      </c>
      <c r="BN54" s="19">
        <v>59.53</v>
      </c>
      <c r="BO54" s="19">
        <v>8.34</v>
      </c>
      <c r="BP54" s="19">
        <v>30.77</v>
      </c>
      <c r="BQ54" s="19">
        <v>6.99</v>
      </c>
      <c r="BR54" s="19">
        <v>1924.78</v>
      </c>
      <c r="BS54" s="19">
        <v>27.62</v>
      </c>
      <c r="BT54" s="19">
        <v>3579.69</v>
      </c>
      <c r="BU54" s="19">
        <v>51.15</v>
      </c>
      <c r="BV54" s="19">
        <v>13249.86</v>
      </c>
      <c r="BW54" s="19">
        <v>111.63</v>
      </c>
      <c r="BX54" s="19">
        <v>669.96</v>
      </c>
      <c r="BY54" s="19">
        <v>36.81</v>
      </c>
      <c r="BZ54" s="19">
        <v>142.24</v>
      </c>
      <c r="CA54" s="19">
        <v>22.4</v>
      </c>
      <c r="CB54" s="19">
        <v>0</v>
      </c>
      <c r="CC54" s="19">
        <v>6.76</v>
      </c>
      <c r="CD54" s="19">
        <v>0</v>
      </c>
      <c r="CE54" s="19">
        <v>5.4</v>
      </c>
      <c r="CF54" s="19">
        <v>0</v>
      </c>
      <c r="CG54" s="19">
        <v>6.28</v>
      </c>
      <c r="CH54" s="19">
        <v>0</v>
      </c>
      <c r="CI54" s="19">
        <v>4.05</v>
      </c>
      <c r="CJ54" s="19">
        <v>0</v>
      </c>
      <c r="CK54" s="19">
        <v>5.81</v>
      </c>
      <c r="CL54" s="19">
        <v>520437.25</v>
      </c>
      <c r="CM54" s="19">
        <v>1051.51</v>
      </c>
      <c r="CN54" s="19">
        <v>2.92</v>
      </c>
      <c r="CO54" s="19">
        <v>1</v>
      </c>
      <c r="CP54" s="19">
        <v>0</v>
      </c>
      <c r="CQ54" s="19">
        <v>1.5</v>
      </c>
      <c r="CR54" s="19">
        <v>0</v>
      </c>
      <c r="CS54" s="19">
        <v>1.5</v>
      </c>
      <c r="CT54" s="19">
        <v>0</v>
      </c>
      <c r="CU54" s="19">
        <v>1.5</v>
      </c>
      <c r="CV54" s="19">
        <v>0</v>
      </c>
      <c r="CW54" s="19">
        <v>1.5</v>
      </c>
      <c r="CX54" s="19">
        <v>46619.13</v>
      </c>
      <c r="CY54" s="19">
        <v>957.7</v>
      </c>
      <c r="CZ54" s="19">
        <v>1694.95</v>
      </c>
      <c r="DA54" s="19">
        <v>129.97</v>
      </c>
      <c r="DB54" s="19">
        <v>405818.78</v>
      </c>
      <c r="DC54" s="19">
        <v>1046.21</v>
      </c>
      <c r="DD54" s="19">
        <v>0</v>
      </c>
      <c r="DE54" s="19">
        <v>16.61</v>
      </c>
      <c r="DF54" s="19">
        <v>0</v>
      </c>
      <c r="DG54" s="19">
        <v>1277.06</v>
      </c>
      <c r="DH54" s="19">
        <v>0</v>
      </c>
      <c r="DI54" s="19">
        <v>7.54</v>
      </c>
      <c r="DJ54" s="19">
        <v>0</v>
      </c>
      <c r="DK54" s="19">
        <v>8.58</v>
      </c>
      <c r="DL54" s="19">
        <v>0</v>
      </c>
      <c r="DM54" s="19">
        <v>18.29</v>
      </c>
      <c r="DN54" s="22">
        <v>17</v>
      </c>
      <c r="DO54" s="22" t="s">
        <v>293</v>
      </c>
      <c r="DP54" s="22">
        <v>0</v>
      </c>
      <c r="DQ54" s="22">
        <v>1.7548339728332061</v>
      </c>
      <c r="DR54" s="22">
        <v>48</v>
      </c>
      <c r="DS54" s="23">
        <v>6.83</v>
      </c>
      <c r="DT54" s="23">
        <v>1.3660000562667847</v>
      </c>
      <c r="DU54" s="23">
        <v>7.130000114440918</v>
      </c>
      <c r="DV54" s="23">
        <v>4.106865406036377</v>
      </c>
      <c r="DW54" s="22" t="s">
        <v>302</v>
      </c>
      <c r="DX54" s="23">
        <v>6.6509017944335938</v>
      </c>
      <c r="DY54" s="23">
        <v>3.6949453353881836</v>
      </c>
      <c r="DZ54" s="23">
        <v>5.1729235649108887</v>
      </c>
      <c r="EA54" s="23">
        <v>8.8678684234619141</v>
      </c>
      <c r="EB54" s="23">
        <v>75.642921447753906</v>
      </c>
      <c r="EC54" s="23">
        <v>8.8383092880249023</v>
      </c>
      <c r="ED54" s="23">
        <v>84.481231689453125</v>
      </c>
      <c r="EE54" s="23">
        <v>0.43789422512054443</v>
      </c>
      <c r="EF54" s="23">
        <v>0</v>
      </c>
    </row>
    <row r="55" spans="1:136" s="22" customFormat="1" ht="15.75" customHeight="1" x14ac:dyDescent="0.3">
      <c r="A55" s="19" t="s">
        <v>259</v>
      </c>
      <c r="B55" s="20">
        <v>363</v>
      </c>
      <c r="C55" s="19">
        <v>44676.691666666673</v>
      </c>
      <c r="D55" s="19">
        <v>361.02</v>
      </c>
      <c r="E55" s="19">
        <v>64</v>
      </c>
      <c r="F55" s="30">
        <v>6.3429999999999994E-5</v>
      </c>
      <c r="G55" s="19">
        <v>2.0229999999999999E-6</v>
      </c>
      <c r="H55" s="19">
        <v>1.83</v>
      </c>
      <c r="I55" s="19" t="s">
        <v>260</v>
      </c>
      <c r="J55" s="19" t="s">
        <v>110</v>
      </c>
      <c r="K55" s="19">
        <v>14.99</v>
      </c>
      <c r="L55" s="19">
        <v>430</v>
      </c>
      <c r="M55" s="19">
        <v>3</v>
      </c>
      <c r="N55" s="27">
        <v>6.0050000000000003E-5</v>
      </c>
      <c r="O55" s="19">
        <v>8.5600000000000004E-7</v>
      </c>
      <c r="P55" s="19">
        <v>0.82</v>
      </c>
      <c r="Q55" s="19" t="s">
        <v>261</v>
      </c>
      <c r="R55" s="19" t="s">
        <v>110</v>
      </c>
      <c r="S55" s="19">
        <v>4.2314876584389589</v>
      </c>
      <c r="T55" s="19">
        <v>4.0060040026684458</v>
      </c>
      <c r="U55" s="19">
        <f t="shared" si="7"/>
        <v>0.2254836557705131</v>
      </c>
      <c r="V55" s="1">
        <f t="shared" si="2"/>
        <v>5.3287088128645621</v>
      </c>
      <c r="W55" s="1">
        <f t="shared" si="1"/>
        <v>0.2254836557705131</v>
      </c>
      <c r="X55" s="19">
        <v>816205.81</v>
      </c>
      <c r="Y55" s="19">
        <v>0</v>
      </c>
      <c r="Z55" s="19">
        <v>2744.44</v>
      </c>
      <c r="AA55" s="19">
        <v>0</v>
      </c>
      <c r="AB55" s="19">
        <v>99702.93</v>
      </c>
      <c r="AC55" s="19">
        <v>0</v>
      </c>
      <c r="AD55" s="19">
        <v>2.75</v>
      </c>
      <c r="AE55" s="19">
        <v>1.27</v>
      </c>
      <c r="AF55" s="19">
        <v>282.73</v>
      </c>
      <c r="AG55" s="19">
        <v>2.6</v>
      </c>
      <c r="AH55" s="19">
        <v>50.96</v>
      </c>
      <c r="AI55" s="19">
        <v>1.22</v>
      </c>
      <c r="AJ55" s="19">
        <v>0</v>
      </c>
      <c r="AK55" s="19">
        <v>2.68</v>
      </c>
      <c r="AL55" s="19">
        <v>34.270000000000003</v>
      </c>
      <c r="AM55" s="19">
        <v>1.2</v>
      </c>
      <c r="AN55" s="19">
        <v>3.15</v>
      </c>
      <c r="AO55" s="19">
        <v>1.1200000000000001</v>
      </c>
      <c r="AP55" s="19">
        <v>9.68</v>
      </c>
      <c r="AQ55" s="19">
        <v>1.92</v>
      </c>
      <c r="AR55" s="19">
        <v>0</v>
      </c>
      <c r="AS55" s="19">
        <v>3.09</v>
      </c>
      <c r="AT55" s="19">
        <v>0</v>
      </c>
      <c r="AU55" s="19">
        <v>1.66</v>
      </c>
      <c r="AV55" s="19">
        <v>9.3699999999999992</v>
      </c>
      <c r="AW55" s="19">
        <v>1.68</v>
      </c>
      <c r="AX55" s="19">
        <v>0</v>
      </c>
      <c r="AY55" s="19">
        <v>4</v>
      </c>
      <c r="AZ55" s="19">
        <v>12.69</v>
      </c>
      <c r="BA55" s="19">
        <v>2.91</v>
      </c>
      <c r="BB55" s="19">
        <v>0</v>
      </c>
      <c r="BC55" s="19">
        <v>15.66</v>
      </c>
      <c r="BD55" s="19">
        <v>0</v>
      </c>
      <c r="BE55" s="19">
        <v>7.32</v>
      </c>
      <c r="BF55" s="19">
        <v>0</v>
      </c>
      <c r="BG55" s="19">
        <v>15.22</v>
      </c>
      <c r="BH55" s="19">
        <v>0</v>
      </c>
      <c r="BI55" s="19">
        <v>43</v>
      </c>
      <c r="BJ55" s="19">
        <v>16019.79</v>
      </c>
      <c r="BK55" s="19">
        <v>105.25</v>
      </c>
      <c r="BL55" s="19">
        <v>153.88999999999999</v>
      </c>
      <c r="BM55" s="19">
        <v>22.07</v>
      </c>
      <c r="BN55" s="19">
        <v>55.57</v>
      </c>
      <c r="BO55" s="19">
        <v>5.51</v>
      </c>
      <c r="BP55" s="19">
        <v>38.299999999999997</v>
      </c>
      <c r="BQ55" s="19">
        <v>7.69</v>
      </c>
      <c r="BR55" s="19">
        <v>1343.07</v>
      </c>
      <c r="BS55" s="19">
        <v>28.51</v>
      </c>
      <c r="BT55" s="19">
        <v>3493.94</v>
      </c>
      <c r="BU55" s="19">
        <v>57.29</v>
      </c>
      <c r="BV55" s="19">
        <v>11569.3</v>
      </c>
      <c r="BW55" s="19">
        <v>119.74</v>
      </c>
      <c r="BX55" s="19">
        <v>197.06</v>
      </c>
      <c r="BY55" s="19">
        <v>33.83</v>
      </c>
      <c r="BZ55" s="19">
        <v>144.33000000000001</v>
      </c>
      <c r="CA55" s="19">
        <v>23.13</v>
      </c>
      <c r="CB55" s="19">
        <v>0</v>
      </c>
      <c r="CC55" s="19">
        <v>7</v>
      </c>
      <c r="CD55" s="19">
        <v>0</v>
      </c>
      <c r="CE55" s="19">
        <v>5.6</v>
      </c>
      <c r="CF55" s="19">
        <v>0</v>
      </c>
      <c r="CG55" s="19">
        <v>6.5</v>
      </c>
      <c r="CH55" s="19">
        <v>0</v>
      </c>
      <c r="CI55" s="19">
        <v>4.2300000000000004</v>
      </c>
      <c r="CJ55" s="19">
        <v>0</v>
      </c>
      <c r="CK55" s="19">
        <v>6.09</v>
      </c>
      <c r="CL55" s="19">
        <v>533561.81000000006</v>
      </c>
      <c r="CM55" s="19">
        <v>1057.47</v>
      </c>
      <c r="CN55" s="19">
        <v>4.0599999999999996</v>
      </c>
      <c r="CO55" s="19">
        <v>1</v>
      </c>
      <c r="CP55" s="19">
        <v>0</v>
      </c>
      <c r="CQ55" s="19">
        <v>1.5</v>
      </c>
      <c r="CR55" s="19">
        <v>0</v>
      </c>
      <c r="CS55" s="19">
        <v>1.5</v>
      </c>
      <c r="CT55" s="19">
        <v>0</v>
      </c>
      <c r="CU55" s="19">
        <v>1.5</v>
      </c>
      <c r="CV55" s="19">
        <v>0</v>
      </c>
      <c r="CW55" s="19">
        <v>1.5</v>
      </c>
      <c r="CX55" s="19">
        <v>52752.88</v>
      </c>
      <c r="CY55" s="19">
        <v>1014.86</v>
      </c>
      <c r="CZ55" s="19">
        <v>0</v>
      </c>
      <c r="DA55" s="19">
        <v>180.2</v>
      </c>
      <c r="DB55" s="19">
        <v>381404.56</v>
      </c>
      <c r="DC55" s="19">
        <v>1035.3800000000001</v>
      </c>
      <c r="DD55" s="19">
        <v>0</v>
      </c>
      <c r="DE55" s="19">
        <v>16.850000000000001</v>
      </c>
      <c r="DF55" s="19">
        <v>1653.28</v>
      </c>
      <c r="DG55" s="19">
        <v>860.45</v>
      </c>
      <c r="DH55" s="19">
        <v>0</v>
      </c>
      <c r="DI55" s="19">
        <v>8.7100000000000009</v>
      </c>
      <c r="DJ55" s="19">
        <v>0</v>
      </c>
      <c r="DK55" s="19">
        <v>8.91</v>
      </c>
      <c r="DL55" s="19">
        <v>0</v>
      </c>
      <c r="DM55" s="19">
        <v>18.97</v>
      </c>
      <c r="DN55" s="22">
        <v>23</v>
      </c>
      <c r="DO55" s="22" t="s">
        <v>327</v>
      </c>
      <c r="DP55" s="22">
        <v>0</v>
      </c>
      <c r="DQ55" s="22">
        <v>1.707957202642614</v>
      </c>
      <c r="DR55" s="22">
        <v>64</v>
      </c>
      <c r="DS55" s="23">
        <v>1.34</v>
      </c>
      <c r="DT55" s="23">
        <v>0.26800000667572021</v>
      </c>
      <c r="DU55" s="23">
        <v>7.1700000762939453</v>
      </c>
      <c r="DV55" s="23">
        <v>3.7884933948516846</v>
      </c>
      <c r="DW55" s="22" t="s">
        <v>306</v>
      </c>
      <c r="DX55" s="23">
        <v>5.0827765464782715</v>
      </c>
      <c r="DY55" s="23">
        <v>2.5413882732391357</v>
      </c>
      <c r="DZ55" s="23">
        <v>1.4522218704223633</v>
      </c>
      <c r="EA55" s="23">
        <v>3.993610143661499</v>
      </c>
      <c r="EB55" s="23">
        <v>80.685447692871094</v>
      </c>
      <c r="EC55" s="23">
        <v>10.238163948059082</v>
      </c>
      <c r="ED55" s="23">
        <v>90.923614501953125</v>
      </c>
      <c r="EE55" s="23">
        <v>0.59737831354141235</v>
      </c>
      <c r="EF55" s="23">
        <v>0</v>
      </c>
    </row>
    <row r="56" spans="1:136" s="22" customFormat="1" ht="15.75" customHeight="1" x14ac:dyDescent="0.3">
      <c r="A56" s="19" t="s">
        <v>262</v>
      </c>
      <c r="B56" s="20">
        <v>386</v>
      </c>
      <c r="C56" s="21">
        <v>44676.871527777781</v>
      </c>
      <c r="D56" s="19">
        <v>360.52</v>
      </c>
      <c r="E56" s="19">
        <v>110</v>
      </c>
      <c r="F56" s="30">
        <v>4.6570000000000003E-5</v>
      </c>
      <c r="G56" s="19">
        <v>3.3019999999999999E-6</v>
      </c>
      <c r="H56" s="19">
        <v>4.0599999999999996</v>
      </c>
      <c r="I56" s="19" t="s">
        <v>263</v>
      </c>
      <c r="J56" s="19" t="s">
        <v>110</v>
      </c>
      <c r="K56" s="19">
        <v>15.02</v>
      </c>
      <c r="L56" s="19">
        <v>427</v>
      </c>
      <c r="M56" s="19">
        <v>3</v>
      </c>
      <c r="N56" s="27">
        <v>4.2280000000000002E-5</v>
      </c>
      <c r="O56" s="19">
        <v>1.2249999999999999E-6</v>
      </c>
      <c r="P56" s="19">
        <v>1.66</v>
      </c>
      <c r="Q56" s="19" t="s">
        <v>264</v>
      </c>
      <c r="R56" s="19" t="s">
        <v>110</v>
      </c>
      <c r="S56" s="19">
        <v>3.1005326231691082</v>
      </c>
      <c r="T56" s="19">
        <v>2.81491344873502</v>
      </c>
      <c r="U56" s="19">
        <f t="shared" ref="U56:U57" si="8">S56-T56</f>
        <v>0.28561917443408813</v>
      </c>
      <c r="V56" s="1">
        <f t="shared" si="2"/>
        <v>9.2119390165342558</v>
      </c>
      <c r="W56" s="1">
        <f t="shared" si="1"/>
        <v>0.28561917443408813</v>
      </c>
      <c r="X56" s="19">
        <v>856803.94</v>
      </c>
      <c r="Y56" s="19">
        <v>0</v>
      </c>
      <c r="Z56" s="19">
        <v>3664.22</v>
      </c>
      <c r="AA56" s="19">
        <v>0</v>
      </c>
      <c r="AB56" s="19">
        <v>95295.42</v>
      </c>
      <c r="AC56" s="19">
        <v>0</v>
      </c>
      <c r="AD56" s="19">
        <v>1.92</v>
      </c>
      <c r="AE56" s="19">
        <v>1.1399999999999999</v>
      </c>
      <c r="AF56" s="19">
        <v>105.44</v>
      </c>
      <c r="AG56" s="19">
        <v>1.71</v>
      </c>
      <c r="AH56" s="19">
        <v>38.81</v>
      </c>
      <c r="AI56" s="19">
        <v>1.07</v>
      </c>
      <c r="AJ56" s="19">
        <v>0</v>
      </c>
      <c r="AK56" s="19">
        <v>2.57</v>
      </c>
      <c r="AL56" s="19">
        <v>32.700000000000003</v>
      </c>
      <c r="AM56" s="19">
        <v>1.1499999999999999</v>
      </c>
      <c r="AN56" s="19">
        <v>2.83</v>
      </c>
      <c r="AO56" s="19">
        <v>1.05</v>
      </c>
      <c r="AP56" s="19">
        <v>7.14</v>
      </c>
      <c r="AQ56" s="19">
        <v>1.79</v>
      </c>
      <c r="AR56" s="19">
        <v>0</v>
      </c>
      <c r="AS56" s="19">
        <v>2.91</v>
      </c>
      <c r="AT56" s="19">
        <v>0</v>
      </c>
      <c r="AU56" s="19">
        <v>1.58</v>
      </c>
      <c r="AV56" s="19">
        <v>2.73</v>
      </c>
      <c r="AW56" s="19">
        <v>1.45</v>
      </c>
      <c r="AX56" s="19">
        <v>0</v>
      </c>
      <c r="AY56" s="19">
        <v>3.82</v>
      </c>
      <c r="AZ56" s="19">
        <v>6.32</v>
      </c>
      <c r="BA56" s="19">
        <v>2.68</v>
      </c>
      <c r="BB56" s="19">
        <v>0</v>
      </c>
      <c r="BC56" s="19">
        <v>15.29</v>
      </c>
      <c r="BD56" s="19">
        <v>0</v>
      </c>
      <c r="BE56" s="19">
        <v>6.86</v>
      </c>
      <c r="BF56" s="19">
        <v>0</v>
      </c>
      <c r="BG56" s="19">
        <v>14.58</v>
      </c>
      <c r="BH56" s="19">
        <v>0</v>
      </c>
      <c r="BI56" s="19">
        <v>32.799999999999997</v>
      </c>
      <c r="BJ56" s="19">
        <v>6622.75</v>
      </c>
      <c r="BK56" s="19">
        <v>55.56</v>
      </c>
      <c r="BL56" s="19">
        <v>45.59</v>
      </c>
      <c r="BM56" s="19">
        <v>19.420000000000002</v>
      </c>
      <c r="BN56" s="19">
        <v>51.05</v>
      </c>
      <c r="BO56" s="19">
        <v>8.17</v>
      </c>
      <c r="BP56" s="19">
        <v>34.75</v>
      </c>
      <c r="BQ56" s="19">
        <v>9.93</v>
      </c>
      <c r="BR56" s="19">
        <v>1019.91</v>
      </c>
      <c r="BS56" s="19">
        <v>22.63</v>
      </c>
      <c r="BT56" s="19">
        <v>2170.86</v>
      </c>
      <c r="BU56" s="19">
        <v>44.05</v>
      </c>
      <c r="BV56" s="19">
        <v>10870.34</v>
      </c>
      <c r="BW56" s="19">
        <v>103.81</v>
      </c>
      <c r="BX56" s="19">
        <v>161.12</v>
      </c>
      <c r="BY56" s="19">
        <v>32.229999999999997</v>
      </c>
      <c r="BZ56" s="19">
        <v>192.79</v>
      </c>
      <c r="CA56" s="19">
        <v>18.29</v>
      </c>
      <c r="CB56" s="19">
        <v>0</v>
      </c>
      <c r="CC56" s="19">
        <v>6.9</v>
      </c>
      <c r="CD56" s="19">
        <v>0</v>
      </c>
      <c r="CE56" s="19">
        <v>5.51</v>
      </c>
      <c r="CF56" s="19">
        <v>0</v>
      </c>
      <c r="CG56" s="19">
        <v>6.33</v>
      </c>
      <c r="CH56" s="19">
        <v>0</v>
      </c>
      <c r="CI56" s="19">
        <v>4.1900000000000004</v>
      </c>
      <c r="CJ56" s="19">
        <v>0</v>
      </c>
      <c r="CK56" s="19">
        <v>5.96</v>
      </c>
      <c r="CL56" s="19">
        <v>525480.13</v>
      </c>
      <c r="CM56" s="19">
        <v>1066.8399999999999</v>
      </c>
      <c r="CN56" s="19">
        <v>1.94</v>
      </c>
      <c r="CO56" s="19">
        <v>1</v>
      </c>
      <c r="CP56" s="19">
        <v>0</v>
      </c>
      <c r="CQ56" s="19">
        <v>1.5</v>
      </c>
      <c r="CR56" s="19">
        <v>0</v>
      </c>
      <c r="CS56" s="19">
        <v>1.5</v>
      </c>
      <c r="CT56" s="19">
        <v>0</v>
      </c>
      <c r="CU56" s="19">
        <v>1.5</v>
      </c>
      <c r="CV56" s="19">
        <v>0</v>
      </c>
      <c r="CW56" s="19">
        <v>1.5</v>
      </c>
      <c r="CX56" s="19">
        <v>50420.86</v>
      </c>
      <c r="CY56" s="19">
        <v>957.96</v>
      </c>
      <c r="CZ56" s="19">
        <v>0</v>
      </c>
      <c r="DA56" s="19">
        <v>180.45</v>
      </c>
      <c r="DB56" s="19">
        <v>400375.66</v>
      </c>
      <c r="DC56" s="19">
        <v>1047.1500000000001</v>
      </c>
      <c r="DD56" s="19">
        <v>0</v>
      </c>
      <c r="DE56" s="19">
        <v>16.21</v>
      </c>
      <c r="DF56" s="19">
        <v>2207.36</v>
      </c>
      <c r="DG56" s="19">
        <v>826.86</v>
      </c>
      <c r="DH56" s="19">
        <v>0</v>
      </c>
      <c r="DI56" s="19">
        <v>6.45</v>
      </c>
      <c r="DJ56" s="19">
        <v>19.13</v>
      </c>
      <c r="DK56" s="19">
        <v>5.86</v>
      </c>
      <c r="DL56" s="19">
        <v>0</v>
      </c>
      <c r="DM56" s="19">
        <v>18.760000000000002</v>
      </c>
      <c r="DN56" s="22">
        <v>49</v>
      </c>
      <c r="DO56" s="22" t="s">
        <v>328</v>
      </c>
      <c r="DP56" s="22">
        <v>0</v>
      </c>
      <c r="DQ56" s="22">
        <v>1.699551696063877</v>
      </c>
      <c r="DR56" s="22">
        <v>111</v>
      </c>
      <c r="DS56" s="23">
        <v>0.17</v>
      </c>
      <c r="DT56" s="23">
        <v>3.4000001847744002E-2</v>
      </c>
      <c r="DU56" s="23">
        <v>7.0999999046325684</v>
      </c>
      <c r="DV56" s="23">
        <v>2.4192814826965332</v>
      </c>
      <c r="DW56" s="22" t="s">
        <v>303</v>
      </c>
      <c r="DX56" s="23">
        <v>6.1195106506347656</v>
      </c>
      <c r="DY56" s="23">
        <v>1.0799136161804199</v>
      </c>
      <c r="DZ56" s="23">
        <v>0</v>
      </c>
      <c r="EA56" s="23">
        <v>1.0799136161804199</v>
      </c>
      <c r="EB56" s="23">
        <v>82.75018310546875</v>
      </c>
      <c r="EC56" s="23">
        <v>10.050395965576172</v>
      </c>
      <c r="ED56" s="23">
        <v>92.800582885742188</v>
      </c>
      <c r="EE56" s="23">
        <v>0.23077294230461121</v>
      </c>
      <c r="EF56" s="23">
        <v>0</v>
      </c>
    </row>
    <row r="57" spans="1:136" s="22" customFormat="1" ht="15.75" customHeight="1" x14ac:dyDescent="0.3">
      <c r="A57" s="19" t="s">
        <v>265</v>
      </c>
      <c r="B57" s="20">
        <v>396</v>
      </c>
      <c r="C57" s="19">
        <v>44677.022222222222</v>
      </c>
      <c r="D57" s="19">
        <v>360.9</v>
      </c>
      <c r="E57" s="19">
        <v>130</v>
      </c>
      <c r="F57" s="30">
        <v>2.8929999999999999E-5</v>
      </c>
      <c r="G57" s="19">
        <v>4.629E-7</v>
      </c>
      <c r="H57" s="19">
        <v>0.92</v>
      </c>
      <c r="I57" s="19" t="s">
        <v>266</v>
      </c>
      <c r="J57" s="19" t="s">
        <v>110</v>
      </c>
      <c r="K57" s="19">
        <v>15.33</v>
      </c>
      <c r="L57" s="19">
        <v>433</v>
      </c>
      <c r="M57" s="19">
        <v>3</v>
      </c>
      <c r="N57" s="27">
        <v>2.6449999999999999E-5</v>
      </c>
      <c r="O57" s="19">
        <v>5.552E-7</v>
      </c>
      <c r="P57" s="19">
        <v>1.2</v>
      </c>
      <c r="Q57" s="19" t="s">
        <v>267</v>
      </c>
      <c r="R57" s="19" t="s">
        <v>110</v>
      </c>
      <c r="S57" s="19">
        <v>1.887149380300065</v>
      </c>
      <c r="T57" s="19">
        <v>1.7253750815394651</v>
      </c>
      <c r="U57" s="19">
        <f t="shared" si="8"/>
        <v>0.1617742987605999</v>
      </c>
      <c r="V57" s="1">
        <f t="shared" si="2"/>
        <v>8.5724161769789031</v>
      </c>
      <c r="W57" s="1">
        <f t="shared" si="1"/>
        <v>0.1617742987605999</v>
      </c>
      <c r="X57" s="19">
        <v>921084.44</v>
      </c>
      <c r="Y57" s="19">
        <v>0</v>
      </c>
      <c r="Z57" s="19">
        <v>2034.47</v>
      </c>
      <c r="AA57" s="19">
        <v>0</v>
      </c>
      <c r="AB57" s="19">
        <v>87990.88</v>
      </c>
      <c r="AC57" s="19">
        <v>0</v>
      </c>
      <c r="AD57" s="19">
        <v>5</v>
      </c>
      <c r="AE57" s="19">
        <v>1.21</v>
      </c>
      <c r="AF57" s="19">
        <v>195.44</v>
      </c>
      <c r="AG57" s="19">
        <v>2.17</v>
      </c>
      <c r="AH57" s="19">
        <v>46.03</v>
      </c>
      <c r="AI57" s="19">
        <v>1.1399999999999999</v>
      </c>
      <c r="AJ57" s="19">
        <v>0</v>
      </c>
      <c r="AK57" s="19">
        <v>2.6</v>
      </c>
      <c r="AL57" s="19">
        <v>36.049999999999997</v>
      </c>
      <c r="AM57" s="19">
        <v>1.19</v>
      </c>
      <c r="AN57" s="19">
        <v>0</v>
      </c>
      <c r="AO57" s="19">
        <v>1.49</v>
      </c>
      <c r="AP57" s="19">
        <v>7.16</v>
      </c>
      <c r="AQ57" s="19">
        <v>1.78</v>
      </c>
      <c r="AR57" s="19">
        <v>0</v>
      </c>
      <c r="AS57" s="19">
        <v>2.96</v>
      </c>
      <c r="AT57" s="19">
        <v>0</v>
      </c>
      <c r="AU57" s="19">
        <v>1.55</v>
      </c>
      <c r="AV57" s="19">
        <v>0</v>
      </c>
      <c r="AW57" s="19">
        <v>2.14</v>
      </c>
      <c r="AX57" s="19">
        <v>0</v>
      </c>
      <c r="AY57" s="19">
        <v>3.76</v>
      </c>
      <c r="AZ57" s="19">
        <v>5.05</v>
      </c>
      <c r="BA57" s="19">
        <v>2.63</v>
      </c>
      <c r="BB57" s="19">
        <v>0</v>
      </c>
      <c r="BC57" s="19">
        <v>15.13</v>
      </c>
      <c r="BD57" s="19">
        <v>0</v>
      </c>
      <c r="BE57" s="19">
        <v>6.95</v>
      </c>
      <c r="BF57" s="19">
        <v>0</v>
      </c>
      <c r="BG57" s="19">
        <v>14.37</v>
      </c>
      <c r="BH57" s="19">
        <v>0</v>
      </c>
      <c r="BI57" s="19">
        <v>25.92</v>
      </c>
      <c r="BJ57" s="19">
        <v>3610.89</v>
      </c>
      <c r="BK57" s="19">
        <v>41.45</v>
      </c>
      <c r="BL57" s="19">
        <v>0</v>
      </c>
      <c r="BM57" s="19">
        <v>27.73</v>
      </c>
      <c r="BN57" s="19">
        <v>63.31</v>
      </c>
      <c r="BO57" s="19">
        <v>7.65</v>
      </c>
      <c r="BP57" s="19">
        <v>10.68</v>
      </c>
      <c r="BQ57" s="19">
        <v>6.39</v>
      </c>
      <c r="BR57" s="19">
        <v>1904.15</v>
      </c>
      <c r="BS57" s="19">
        <v>25.87</v>
      </c>
      <c r="BT57" s="19">
        <v>2046.29</v>
      </c>
      <c r="BU57" s="19">
        <v>40.369999999999997</v>
      </c>
      <c r="BV57" s="19">
        <v>12009.39</v>
      </c>
      <c r="BW57" s="19">
        <v>100.2</v>
      </c>
      <c r="BX57" s="19">
        <v>90.62</v>
      </c>
      <c r="BY57" s="19">
        <v>33.090000000000003</v>
      </c>
      <c r="BZ57" s="19">
        <v>126.44</v>
      </c>
      <c r="CA57" s="19">
        <v>17.86</v>
      </c>
      <c r="CB57" s="19">
        <v>0</v>
      </c>
      <c r="CC57" s="19">
        <v>6.74</v>
      </c>
      <c r="CD57" s="19">
        <v>0</v>
      </c>
      <c r="CE57" s="19">
        <v>9.1999999999999993</v>
      </c>
      <c r="CF57" s="19">
        <v>0</v>
      </c>
      <c r="CG57" s="19">
        <v>6.27</v>
      </c>
      <c r="CH57" s="19">
        <v>0</v>
      </c>
      <c r="CI57" s="19">
        <v>4.12</v>
      </c>
      <c r="CJ57" s="19">
        <v>0</v>
      </c>
      <c r="CK57" s="19">
        <v>5.75</v>
      </c>
      <c r="CL57" s="19">
        <v>502841.94</v>
      </c>
      <c r="CM57" s="19">
        <v>1074.9100000000001</v>
      </c>
      <c r="CN57" s="19">
        <v>2.39</v>
      </c>
      <c r="CO57" s="19">
        <v>1</v>
      </c>
      <c r="CP57" s="19">
        <v>0</v>
      </c>
      <c r="CQ57" s="19">
        <v>1.5</v>
      </c>
      <c r="CR57" s="19">
        <v>0</v>
      </c>
      <c r="CS57" s="19">
        <v>1.5</v>
      </c>
      <c r="CT57" s="19">
        <v>0</v>
      </c>
      <c r="CU57" s="19">
        <v>1.5</v>
      </c>
      <c r="CV57" s="19">
        <v>0</v>
      </c>
      <c r="CW57" s="19">
        <v>1.5</v>
      </c>
      <c r="CX57" s="19">
        <v>46556.02</v>
      </c>
      <c r="CY57" s="19">
        <v>964.22</v>
      </c>
      <c r="CZ57" s="19">
        <v>0</v>
      </c>
      <c r="DA57" s="19">
        <v>190.73</v>
      </c>
      <c r="DB57" s="19">
        <v>430413.28</v>
      </c>
      <c r="DC57" s="19">
        <v>1078.06</v>
      </c>
      <c r="DD57" s="19">
        <v>0</v>
      </c>
      <c r="DE57" s="19">
        <v>17.190000000000001</v>
      </c>
      <c r="DF57" s="19">
        <v>0</v>
      </c>
      <c r="DG57" s="19">
        <v>1261.97</v>
      </c>
      <c r="DH57" s="19">
        <v>0</v>
      </c>
      <c r="DI57" s="19">
        <v>5.83</v>
      </c>
      <c r="DJ57" s="19">
        <v>0</v>
      </c>
      <c r="DK57" s="19">
        <v>8.61</v>
      </c>
      <c r="DL57" s="19">
        <v>0</v>
      </c>
      <c r="DM57" s="19">
        <v>18.329999999999998</v>
      </c>
      <c r="DN57" s="22">
        <v>42</v>
      </c>
      <c r="DO57" s="22" t="s">
        <v>312</v>
      </c>
      <c r="DP57" s="22">
        <v>0</v>
      </c>
      <c r="DQ57" s="22">
        <v>1.6352206022649458</v>
      </c>
      <c r="DR57" s="22">
        <v>130</v>
      </c>
      <c r="DS57" s="23">
        <v>-0.08</v>
      </c>
      <c r="DT57" s="23">
        <v>-1.6000000759959221E-2</v>
      </c>
      <c r="DU57" s="23">
        <v>7.2199997901916504</v>
      </c>
      <c r="DV57" s="23">
        <v>2.2618300914764404</v>
      </c>
      <c r="DW57" s="22" t="s">
        <v>305</v>
      </c>
      <c r="DX57" s="23">
        <v>5.6939501762390137</v>
      </c>
      <c r="DY57" s="23">
        <v>0</v>
      </c>
      <c r="DZ57" s="23">
        <v>1.0676156282424927</v>
      </c>
      <c r="EA57" s="23">
        <v>1.0676156282424927</v>
      </c>
      <c r="EB57" s="23">
        <v>83.259788513183594</v>
      </c>
      <c r="EC57" s="23">
        <v>9.9786472320556641</v>
      </c>
      <c r="ED57" s="23">
        <v>93.238433837890625</v>
      </c>
      <c r="EE57" s="23">
        <v>0.10069084912538528</v>
      </c>
      <c r="EF57" s="23">
        <v>0</v>
      </c>
    </row>
    <row r="58" spans="1:136" ht="15" customHeight="1" x14ac:dyDescent="0.3">
      <c r="A58" t="s">
        <v>363</v>
      </c>
      <c r="F58" s="31">
        <f>163*0.00001</f>
        <v>1.6300000000000002E-3</v>
      </c>
      <c r="G58" s="24"/>
      <c r="K58">
        <v>11.940000000000001</v>
      </c>
      <c r="N58" s="28">
        <f>150*0.00001</f>
        <v>1.5E-3</v>
      </c>
      <c r="O58" s="22"/>
      <c r="S58" s="24">
        <v>13.651591289782242</v>
      </c>
      <c r="T58" s="24">
        <v>12.562814070351756</v>
      </c>
      <c r="U58" s="25">
        <f>S58-T58</f>
        <v>1.0887772194304866</v>
      </c>
      <c r="V58" s="33">
        <f>100*(S58-T58)/S58</f>
        <v>7.9754601226993938</v>
      </c>
      <c r="W58" s="1">
        <f t="shared" si="1"/>
        <v>1.0887772194304866</v>
      </c>
      <c r="DP58" s="22">
        <v>1</v>
      </c>
      <c r="DS58" s="10">
        <v>28.33</v>
      </c>
      <c r="DT58" s="10">
        <v>5.6659998893737793</v>
      </c>
      <c r="DU58" s="10">
        <v>8</v>
      </c>
      <c r="DV58" s="10">
        <v>19.565601348876953</v>
      </c>
      <c r="DX58" s="10">
        <v>29.317697525024414</v>
      </c>
      <c r="DY58" s="10">
        <v>26.271701812744141</v>
      </c>
      <c r="DZ58" s="10">
        <v>13.326226234436035</v>
      </c>
      <c r="EA58" s="10">
        <v>39.597927093505859</v>
      </c>
      <c r="EB58" s="10">
        <v>17.544927597045898</v>
      </c>
      <c r="EC58" s="10">
        <v>13.539445877075195</v>
      </c>
      <c r="ED58" s="10">
        <v>31.084373474121094</v>
      </c>
      <c r="EE58" s="10">
        <v>0.37459343671798706</v>
      </c>
      <c r="EF58" s="10">
        <v>53.5</v>
      </c>
    </row>
    <row r="59" spans="1:136" ht="15" customHeight="1" x14ac:dyDescent="0.3">
      <c r="A59" t="s">
        <v>364</v>
      </c>
      <c r="F59" s="31">
        <f>68*0.00001</f>
        <v>6.8000000000000005E-4</v>
      </c>
      <c r="G59" s="24"/>
      <c r="K59">
        <v>10.68</v>
      </c>
      <c r="N59" s="28">
        <f>63*0.00001</f>
        <v>6.3000000000000003E-4</v>
      </c>
      <c r="O59" s="22"/>
      <c r="S59" s="24">
        <v>6.3670411985018731</v>
      </c>
      <c r="T59" s="24">
        <v>5.8988764044943824</v>
      </c>
      <c r="U59" s="25">
        <f t="shared" ref="U59:U122" si="9">S59-T59</f>
        <v>0.46816479400749067</v>
      </c>
      <c r="V59" s="1">
        <f t="shared" si="2"/>
        <v>7.3529411764705879</v>
      </c>
      <c r="W59" s="1">
        <f t="shared" si="1"/>
        <v>0.46816479400749067</v>
      </c>
      <c r="DP59" s="22">
        <v>1</v>
      </c>
      <c r="DS59" s="10">
        <v>22.33</v>
      </c>
      <c r="DT59" s="10">
        <v>4.4660000801086426</v>
      </c>
      <c r="DU59" s="10">
        <v>8.1899995803833008</v>
      </c>
      <c r="DV59" s="10">
        <v>17.877105712890625</v>
      </c>
      <c r="DX59" s="10">
        <v>28.42201042175293</v>
      </c>
      <c r="DY59" s="10">
        <v>31.832651138305664</v>
      </c>
      <c r="DZ59" s="10">
        <v>12.505684852600098</v>
      </c>
      <c r="EA59" s="10">
        <v>44.338336944580078</v>
      </c>
      <c r="EB59" s="10">
        <v>14.733969688415527</v>
      </c>
      <c r="EC59" s="10">
        <v>12.505684852600098</v>
      </c>
      <c r="ED59" s="10">
        <v>27.239654541015625</v>
      </c>
      <c r="EE59" s="10">
        <v>0.54370057582855225</v>
      </c>
      <c r="EF59" s="10">
        <v>67</v>
      </c>
    </row>
    <row r="60" spans="1:136" ht="15" customHeight="1" x14ac:dyDescent="0.3">
      <c r="A60" t="s">
        <v>365</v>
      </c>
      <c r="F60" s="31">
        <f>263*0.00001</f>
        <v>2.6300000000000004E-3</v>
      </c>
      <c r="G60" s="24"/>
      <c r="K60">
        <v>11.78</v>
      </c>
      <c r="N60" s="28">
        <f>241*0.00001</f>
        <v>2.4100000000000002E-3</v>
      </c>
      <c r="O60" s="22"/>
      <c r="S60" s="24">
        <v>22.32597623089983</v>
      </c>
      <c r="T60" s="24">
        <v>20.458404074702887</v>
      </c>
      <c r="U60" s="25">
        <f t="shared" si="9"/>
        <v>1.8675721561969425</v>
      </c>
      <c r="V60" s="1">
        <f t="shared" si="2"/>
        <v>8.3650190114068383</v>
      </c>
      <c r="W60" s="1">
        <f t="shared" si="1"/>
        <v>1.8675721561969425</v>
      </c>
      <c r="DP60" s="22">
        <v>1</v>
      </c>
      <c r="DS60" s="10">
        <v>24.75</v>
      </c>
      <c r="DT60" s="10">
        <v>4.9499998092651367</v>
      </c>
      <c r="DU60" s="10">
        <v>8.119999885559082</v>
      </c>
      <c r="DV60" s="10">
        <v>19.741983413696289</v>
      </c>
      <c r="DX60" s="10">
        <v>23.45286750793457</v>
      </c>
      <c r="DY60" s="10">
        <v>16.643970489501953</v>
      </c>
      <c r="DZ60" s="10">
        <v>9.4568014144897461</v>
      </c>
      <c r="EA60" s="10">
        <v>26.100772857666016</v>
      </c>
      <c r="EB60" s="10">
        <v>26.811923980712891</v>
      </c>
      <c r="EC60" s="10">
        <v>23.634437561035156</v>
      </c>
      <c r="ED60" s="10">
        <v>50.446361541748047</v>
      </c>
      <c r="EE60" s="10">
        <v>0.21544207632541656</v>
      </c>
      <c r="EF60" s="10">
        <v>33.1</v>
      </c>
    </row>
    <row r="61" spans="1:136" ht="15" customHeight="1" x14ac:dyDescent="0.3">
      <c r="A61" t="s">
        <v>366</v>
      </c>
      <c r="F61" s="31">
        <f>393*0.00001</f>
        <v>3.9300000000000003E-3</v>
      </c>
      <c r="G61" s="24"/>
      <c r="K61">
        <v>12.97</v>
      </c>
      <c r="N61" s="28">
        <f>366*0.00001</f>
        <v>3.6600000000000005E-3</v>
      </c>
      <c r="O61" s="22"/>
      <c r="S61" s="24">
        <v>30.300693909020811</v>
      </c>
      <c r="T61" s="24">
        <v>28.218966846569003</v>
      </c>
      <c r="U61" s="25">
        <f t="shared" si="9"/>
        <v>2.0817270624518081</v>
      </c>
      <c r="V61" s="1">
        <f t="shared" si="2"/>
        <v>6.8702290076335757</v>
      </c>
      <c r="W61" s="1">
        <f t="shared" si="1"/>
        <v>2.0817270624518081</v>
      </c>
      <c r="DP61" s="22">
        <v>1</v>
      </c>
      <c r="DS61" s="10">
        <v>11</v>
      </c>
      <c r="DT61" s="10">
        <v>2.2000000476837158</v>
      </c>
      <c r="DU61" s="10">
        <v>8.4099998474121094</v>
      </c>
      <c r="DV61" s="10">
        <v>15.477461814880371</v>
      </c>
      <c r="DX61" s="10">
        <v>20.697811126708984</v>
      </c>
      <c r="DY61" s="10">
        <v>9.9793024063110352</v>
      </c>
      <c r="DZ61" s="10">
        <v>6.6528682708740234</v>
      </c>
      <c r="EA61" s="10">
        <v>16.632171630859375</v>
      </c>
      <c r="EB61" s="10">
        <v>30.987581253051758</v>
      </c>
      <c r="EC61" s="10">
        <v>31.682435989379883</v>
      </c>
      <c r="ED61" s="10">
        <v>62.670017242431641</v>
      </c>
      <c r="EE61" s="10">
        <v>0.1854386180639267</v>
      </c>
      <c r="EF61" s="10">
        <v>16.899999999999999</v>
      </c>
    </row>
    <row r="62" spans="1:136" ht="15" customHeight="1" x14ac:dyDescent="0.3">
      <c r="A62" t="s">
        <v>367</v>
      </c>
      <c r="F62" s="31">
        <f>318*0.00001</f>
        <v>3.1800000000000001E-3</v>
      </c>
      <c r="G62" s="24"/>
      <c r="K62">
        <v>12.5</v>
      </c>
      <c r="N62" s="28">
        <f>294*0.00001</f>
        <v>2.9400000000000003E-3</v>
      </c>
      <c r="O62" s="22"/>
      <c r="S62" s="24">
        <v>25.439999999999998</v>
      </c>
      <c r="T62" s="24">
        <v>23.52</v>
      </c>
      <c r="U62" s="25">
        <f t="shared" si="9"/>
        <v>1.9199999999999982</v>
      </c>
      <c r="V62" s="1">
        <f t="shared" si="2"/>
        <v>7.5471698113207486</v>
      </c>
      <c r="W62" s="1">
        <f t="shared" si="1"/>
        <v>1.9199999999999982</v>
      </c>
      <c r="DP62" s="22">
        <v>1</v>
      </c>
      <c r="DS62" s="10">
        <v>18.48</v>
      </c>
      <c r="DT62" s="10">
        <v>3.6960000991821289</v>
      </c>
      <c r="DU62" s="10">
        <v>8.3299999237060547</v>
      </c>
      <c r="DV62" s="10">
        <v>15.850910186767578</v>
      </c>
      <c r="DX62" s="10">
        <v>18.576311111450195</v>
      </c>
      <c r="DY62" s="10">
        <v>6.6874723434448242</v>
      </c>
      <c r="DZ62" s="10">
        <v>6.6874723434448242</v>
      </c>
      <c r="EA62" s="10">
        <v>13.374944686889648</v>
      </c>
      <c r="EB62" s="10">
        <v>39.188587188720703</v>
      </c>
      <c r="EC62" s="10">
        <v>28.860157012939453</v>
      </c>
      <c r="ED62" s="10">
        <v>68.048744201660156</v>
      </c>
      <c r="EE62" s="10">
        <v>4.9365111626684666E-3</v>
      </c>
      <c r="EF62" s="10">
        <v>12.8</v>
      </c>
    </row>
    <row r="63" spans="1:136" ht="15" customHeight="1" x14ac:dyDescent="0.3">
      <c r="A63" t="s">
        <v>368</v>
      </c>
      <c r="F63" s="31">
        <f>347*0.00001</f>
        <v>3.4700000000000004E-3</v>
      </c>
      <c r="G63" s="24"/>
      <c r="K63">
        <v>11.370000000000001</v>
      </c>
      <c r="N63" s="28">
        <f>320*0.00001</f>
        <v>3.2000000000000002E-3</v>
      </c>
      <c r="O63" s="22"/>
      <c r="S63" s="24">
        <v>30.518909410729986</v>
      </c>
      <c r="T63" s="24">
        <v>28.144239226033413</v>
      </c>
      <c r="U63" s="25">
        <f t="shared" si="9"/>
        <v>2.3746701846965728</v>
      </c>
      <c r="V63" s="1">
        <f t="shared" si="2"/>
        <v>7.7809798270893475</v>
      </c>
      <c r="W63" s="1">
        <f t="shared" si="1"/>
        <v>2.3746701846965728</v>
      </c>
      <c r="DP63" s="22">
        <v>1</v>
      </c>
      <c r="DS63" s="10">
        <v>27.4</v>
      </c>
      <c r="DT63" s="10">
        <v>5.4800000190734863</v>
      </c>
      <c r="DU63" s="10">
        <v>8.2100000381469727</v>
      </c>
      <c r="DV63" s="10">
        <v>22.596475601196289</v>
      </c>
      <c r="DX63" s="10">
        <v>27.447393417358398</v>
      </c>
      <c r="DY63" s="10">
        <v>15.629765510559082</v>
      </c>
      <c r="DZ63" s="10">
        <v>9.1491308212280273</v>
      </c>
      <c r="EA63" s="10">
        <v>24.778896331787109</v>
      </c>
      <c r="EB63" s="10">
        <v>27.721866607666016</v>
      </c>
      <c r="EC63" s="10">
        <v>20.051845550537109</v>
      </c>
      <c r="ED63" s="10">
        <v>47.773712158203125</v>
      </c>
      <c r="EE63" s="10">
        <v>0.12647973001003265</v>
      </c>
      <c r="EF63" s="10">
        <v>28.5</v>
      </c>
    </row>
    <row r="64" spans="1:136" ht="15" customHeight="1" x14ac:dyDescent="0.3">
      <c r="A64" t="s">
        <v>369</v>
      </c>
      <c r="F64" s="31">
        <f>301*0.00001</f>
        <v>3.0100000000000001E-3</v>
      </c>
      <c r="G64" s="24"/>
      <c r="K64">
        <v>15.430000000000001</v>
      </c>
      <c r="N64" s="28">
        <f>283*0.00001</f>
        <v>2.8300000000000001E-3</v>
      </c>
      <c r="O64" s="22"/>
      <c r="S64" s="24">
        <v>19.507453013609847</v>
      </c>
      <c r="T64" s="24">
        <v>18.340894361633183</v>
      </c>
      <c r="U64" s="25">
        <f t="shared" si="9"/>
        <v>1.1665586519766649</v>
      </c>
      <c r="V64" s="1">
        <f t="shared" si="2"/>
        <v>5.9800664451827048</v>
      </c>
      <c r="W64" s="1">
        <f t="shared" si="1"/>
        <v>1.1665586519766649</v>
      </c>
      <c r="DP64" s="22">
        <v>1</v>
      </c>
      <c r="DS64" s="10">
        <v>13.98</v>
      </c>
      <c r="DT64" s="10">
        <v>2.7960000038146973</v>
      </c>
      <c r="DU64" s="10">
        <v>7.559999942779541</v>
      </c>
      <c r="DV64" s="10">
        <v>7.210442066192627</v>
      </c>
      <c r="DX64" s="10">
        <v>5.5555553436279297</v>
      </c>
      <c r="DY64" s="10">
        <v>1.4814814329147339</v>
      </c>
      <c r="DZ64" s="10">
        <v>1.8518518209457397</v>
      </c>
      <c r="EA64" s="10">
        <v>3.3333332538604736</v>
      </c>
      <c r="EB64" s="10">
        <v>38.711112976074219</v>
      </c>
      <c r="EC64" s="10">
        <v>52.400001525878906</v>
      </c>
      <c r="ED64" s="10">
        <v>91.111114501953125</v>
      </c>
      <c r="EE64" s="10">
        <v>-4.2556631378829479E-3</v>
      </c>
    </row>
    <row r="65" spans="1:136" ht="15" customHeight="1" x14ac:dyDescent="0.3">
      <c r="A65" t="s">
        <v>370</v>
      </c>
      <c r="F65" s="31">
        <f>275*0.00001</f>
        <v>2.7500000000000003E-3</v>
      </c>
      <c r="G65" s="24"/>
      <c r="K65">
        <v>16.78</v>
      </c>
      <c r="N65" s="28">
        <f>259*0.00001</f>
        <v>2.5900000000000003E-3</v>
      </c>
      <c r="O65" s="22"/>
      <c r="S65" s="24">
        <v>16.388557806912988</v>
      </c>
      <c r="T65" s="24">
        <v>15.435041716328962</v>
      </c>
      <c r="U65" s="25">
        <f t="shared" si="9"/>
        <v>0.95351609058402609</v>
      </c>
      <c r="V65" s="1">
        <f t="shared" si="2"/>
        <v>5.8181818181818032</v>
      </c>
      <c r="W65" s="1">
        <f t="shared" si="1"/>
        <v>0.95351609058402609</v>
      </c>
      <c r="DP65" s="22">
        <v>1</v>
      </c>
      <c r="DS65" s="10">
        <v>11.96</v>
      </c>
      <c r="DT65" s="10">
        <v>2.3919999599456787</v>
      </c>
      <c r="DU65" s="10">
        <v>7.6399998664855957</v>
      </c>
      <c r="DV65" s="10">
        <v>8.2249517440795898</v>
      </c>
      <c r="DX65" s="10">
        <v>4.7238373756408691</v>
      </c>
      <c r="DY65" s="10">
        <v>1.0901162624359131</v>
      </c>
      <c r="DZ65" s="10">
        <v>1.0901162624359131</v>
      </c>
      <c r="EA65" s="10">
        <v>2.1802325248718262</v>
      </c>
      <c r="EB65" s="10">
        <v>23.51744270324707</v>
      </c>
      <c r="EC65" s="10">
        <v>69.5784912109375</v>
      </c>
      <c r="ED65" s="10">
        <v>93.095932006835938</v>
      </c>
      <c r="EE65" s="10">
        <v>-4.2370326817035675E-2</v>
      </c>
    </row>
    <row r="66" spans="1:136" ht="15" customHeight="1" x14ac:dyDescent="0.3">
      <c r="A66" t="s">
        <v>371</v>
      </c>
      <c r="F66" s="31">
        <f>254*0.00001</f>
        <v>2.5400000000000002E-3</v>
      </c>
      <c r="G66" s="24"/>
      <c r="K66">
        <v>16.48</v>
      </c>
      <c r="N66" s="28">
        <f>240*0.00001</f>
        <v>2.4000000000000002E-3</v>
      </c>
      <c r="O66" s="22"/>
      <c r="S66" s="24">
        <v>15.4126213592233</v>
      </c>
      <c r="T66" s="24">
        <v>14.563106796116504</v>
      </c>
      <c r="U66" s="25">
        <f t="shared" si="9"/>
        <v>0.84951456310679596</v>
      </c>
      <c r="V66" s="1">
        <f t="shared" si="2"/>
        <v>5.5118110236220463</v>
      </c>
      <c r="W66" s="1">
        <f t="shared" si="1"/>
        <v>0.84951456310679596</v>
      </c>
      <c r="DP66" s="22">
        <v>1</v>
      </c>
      <c r="DS66" s="10">
        <v>13.22</v>
      </c>
      <c r="DT66" s="10">
        <v>2.6440000534057617</v>
      </c>
      <c r="DU66" s="10">
        <v>7.880000114440918</v>
      </c>
      <c r="DV66" s="10">
        <v>8.0794391632080078</v>
      </c>
      <c r="DX66" s="10">
        <v>5.1349763870239258</v>
      </c>
      <c r="DY66" s="10">
        <v>1.1003521680831909</v>
      </c>
      <c r="DZ66" s="10">
        <v>1.4671361446380615</v>
      </c>
      <c r="EA66" s="10">
        <v>2.5674881935119629</v>
      </c>
      <c r="EB66" s="10">
        <v>30.985916137695313</v>
      </c>
      <c r="EC66" s="10">
        <v>61.311618804931641</v>
      </c>
      <c r="ED66" s="10">
        <v>92.297531127929688</v>
      </c>
      <c r="EE66" s="10">
        <v>-8.8877856731414795E-2</v>
      </c>
    </row>
    <row r="67" spans="1:136" ht="15" customHeight="1" x14ac:dyDescent="0.3">
      <c r="A67" t="s">
        <v>372</v>
      </c>
      <c r="F67" s="31">
        <f>319*0.00001</f>
        <v>3.1900000000000001E-3</v>
      </c>
      <c r="G67" s="24"/>
      <c r="K67">
        <v>16.64</v>
      </c>
      <c r="N67" s="28">
        <f>299*0.00001</f>
        <v>2.99E-3</v>
      </c>
      <c r="O67" s="22"/>
      <c r="S67" s="24">
        <v>19.170673076923073</v>
      </c>
      <c r="T67" s="24">
        <v>17.96875</v>
      </c>
      <c r="U67" s="25">
        <f t="shared" si="9"/>
        <v>1.2019230769230731</v>
      </c>
      <c r="V67" s="1">
        <f t="shared" si="2"/>
        <v>6.2695924764890094</v>
      </c>
      <c r="W67" s="1">
        <f t="shared" ref="W67:W130" si="10">S67-T67</f>
        <v>1.2019230769230731</v>
      </c>
      <c r="DP67" s="22">
        <v>1</v>
      </c>
      <c r="DS67" s="10">
        <v>14.3</v>
      </c>
      <c r="DT67" s="10">
        <v>2.8599998950958252</v>
      </c>
      <c r="DU67" s="10">
        <v>7.7100000381469727</v>
      </c>
      <c r="DV67" s="10">
        <v>8.3067188262939453</v>
      </c>
      <c r="DX67" s="10">
        <v>5.9058022499084473</v>
      </c>
      <c r="DY67" s="10">
        <v>1.8455632925033569</v>
      </c>
      <c r="DZ67" s="10">
        <v>1.1073379516601563</v>
      </c>
      <c r="EA67" s="10">
        <v>2.9529013633728027</v>
      </c>
      <c r="EB67" s="10">
        <v>27.727743148803711</v>
      </c>
      <c r="EC67" s="10">
        <v>63.413555145263672</v>
      </c>
      <c r="ED67" s="10">
        <v>91.14129638671875</v>
      </c>
      <c r="EE67" s="10">
        <v>-3.7703100591897964E-2</v>
      </c>
    </row>
    <row r="68" spans="1:136" ht="15" customHeight="1" x14ac:dyDescent="0.3">
      <c r="A68" t="s">
        <v>373</v>
      </c>
      <c r="F68" s="31">
        <f>558*0.00001</f>
        <v>5.5800000000000008E-3</v>
      </c>
      <c r="G68" s="24"/>
      <c r="K68">
        <v>15.530000000000001</v>
      </c>
      <c r="N68" s="28">
        <f>518*0.00001</f>
        <v>5.1800000000000006E-3</v>
      </c>
      <c r="O68" s="22"/>
      <c r="S68" s="24">
        <v>35.930457179652286</v>
      </c>
      <c r="T68" s="24">
        <v>33.354797166773984</v>
      </c>
      <c r="U68" s="25">
        <f t="shared" si="9"/>
        <v>2.575660012878302</v>
      </c>
      <c r="V68" s="1">
        <f t="shared" ref="V68:V131" si="11">100*(S68-T68)/S68</f>
        <v>7.1684587813620126</v>
      </c>
      <c r="W68" s="1">
        <f t="shared" si="10"/>
        <v>2.575660012878302</v>
      </c>
      <c r="DP68" s="22">
        <v>1</v>
      </c>
      <c r="DS68" s="10">
        <v>13.89</v>
      </c>
      <c r="DT68" s="10">
        <v>2.7780001163482666</v>
      </c>
      <c r="DU68" s="10">
        <v>7.9800000190734863</v>
      </c>
      <c r="DV68" s="10">
        <v>12.548153877258301</v>
      </c>
      <c r="DX68" s="10">
        <v>9.5888309478759766</v>
      </c>
      <c r="DY68" s="10">
        <v>3.8355324268341064</v>
      </c>
      <c r="DZ68" s="10">
        <v>3.0684258937835693</v>
      </c>
      <c r="EA68" s="10">
        <v>6.9039583206176758</v>
      </c>
      <c r="EB68" s="10">
        <v>35.563056945800781</v>
      </c>
      <c r="EC68" s="10">
        <v>47.94415283203125</v>
      </c>
      <c r="ED68" s="10">
        <v>83.507209777832031</v>
      </c>
      <c r="EE68" s="10">
        <v>1.9543744623661041E-2</v>
      </c>
      <c r="EF68" s="10">
        <v>1.5</v>
      </c>
    </row>
    <row r="69" spans="1:136" ht="15" customHeight="1" x14ac:dyDescent="0.3">
      <c r="A69" t="s">
        <v>374</v>
      </c>
      <c r="F69" s="31">
        <f>380*0.00001</f>
        <v>3.8000000000000004E-3</v>
      </c>
      <c r="G69" s="24"/>
      <c r="K69">
        <v>14.919999999999998</v>
      </c>
      <c r="N69" s="28">
        <f>352*0.00001</f>
        <v>3.5200000000000001E-3</v>
      </c>
      <c r="O69" s="22"/>
      <c r="S69" s="24">
        <v>25.469168900804291</v>
      </c>
      <c r="T69" s="24">
        <v>23.592493297587133</v>
      </c>
      <c r="U69" s="25">
        <f t="shared" si="9"/>
        <v>1.8766756032171585</v>
      </c>
      <c r="V69" s="1">
        <f t="shared" si="11"/>
        <v>7.3684210526315796</v>
      </c>
      <c r="W69" s="1">
        <f t="shared" si="10"/>
        <v>1.8766756032171585</v>
      </c>
      <c r="DP69" s="22">
        <v>1</v>
      </c>
      <c r="DS69" s="10">
        <v>17.670000000000002</v>
      </c>
      <c r="DT69" s="10">
        <v>3.5339999198913574</v>
      </c>
      <c r="DU69" s="10">
        <v>7.9499998092651367</v>
      </c>
      <c r="DV69" s="10">
        <v>16.026405334472656</v>
      </c>
      <c r="DX69" s="10">
        <v>9.6704320907592773</v>
      </c>
      <c r="DY69" s="10">
        <v>6.1890764236450195</v>
      </c>
      <c r="DZ69" s="10">
        <v>3.4813554286956787</v>
      </c>
      <c r="EA69" s="10">
        <v>9.6704320907592773</v>
      </c>
      <c r="EB69" s="10">
        <v>31.579761505126953</v>
      </c>
      <c r="EC69" s="10">
        <v>49.079376220703125</v>
      </c>
      <c r="ED69" s="10">
        <v>80.659133911132813</v>
      </c>
      <c r="EE69" s="10">
        <v>7.4263907968997955E-2</v>
      </c>
      <c r="EF69" s="10">
        <v>1.4</v>
      </c>
    </row>
    <row r="70" spans="1:136" ht="15" customHeight="1" x14ac:dyDescent="0.3">
      <c r="A70" t="s">
        <v>375</v>
      </c>
      <c r="F70" s="31">
        <f>132*0.00001</f>
        <v>1.3200000000000002E-3</v>
      </c>
      <c r="G70" s="24"/>
      <c r="K70">
        <v>13.34</v>
      </c>
      <c r="N70" s="28">
        <f>122*0.00001</f>
        <v>1.2200000000000002E-3</v>
      </c>
      <c r="O70" s="22"/>
      <c r="S70" s="24">
        <v>9.8950524737631174</v>
      </c>
      <c r="T70" s="24">
        <v>9.1454272863568207</v>
      </c>
      <c r="U70" s="25">
        <f t="shared" si="9"/>
        <v>0.74962518740629669</v>
      </c>
      <c r="V70" s="1">
        <f t="shared" si="11"/>
        <v>7.5757575757575744</v>
      </c>
      <c r="W70" s="1">
        <f t="shared" si="10"/>
        <v>0.74962518740629669</v>
      </c>
      <c r="DP70" s="22">
        <v>1</v>
      </c>
      <c r="DS70" s="10">
        <v>20.05</v>
      </c>
      <c r="DT70" s="10">
        <v>4.0100002288818359</v>
      </c>
      <c r="DU70" s="10">
        <v>8.0900001525878906</v>
      </c>
      <c r="DV70" s="10">
        <v>15.530913352966309</v>
      </c>
      <c r="DX70" s="10">
        <v>13.254326820373535</v>
      </c>
      <c r="DY70" s="10">
        <v>5.0678310394287109</v>
      </c>
      <c r="DZ70" s="10">
        <v>6.237330436706543</v>
      </c>
      <c r="EA70" s="10">
        <v>11.305161476135254</v>
      </c>
      <c r="EB70" s="10">
        <v>38.125682830810547</v>
      </c>
      <c r="EC70" s="10">
        <v>37.314830780029297</v>
      </c>
      <c r="ED70" s="10">
        <v>75.440513610839844</v>
      </c>
      <c r="EE70" s="10">
        <v>1.2154575437307358E-2</v>
      </c>
      <c r="EF70" s="10">
        <v>0.5</v>
      </c>
    </row>
    <row r="71" spans="1:136" s="22" customFormat="1" ht="15" customHeight="1" x14ac:dyDescent="0.3">
      <c r="A71" s="32" t="s">
        <v>378</v>
      </c>
      <c r="F71" s="32">
        <f>464*0.00001</f>
        <v>4.64E-3</v>
      </c>
      <c r="K71" s="22">
        <v>7.09</v>
      </c>
      <c r="N71" s="32">
        <f>403*0.00001</f>
        <v>4.0300000000000006E-3</v>
      </c>
      <c r="O71" s="32"/>
      <c r="S71" s="24">
        <v>65.444287729196049</v>
      </c>
      <c r="T71" s="24">
        <v>56.840620592383644</v>
      </c>
      <c r="U71" s="25">
        <f t="shared" si="9"/>
        <v>8.6036671368124047</v>
      </c>
      <c r="V71" s="1">
        <f t="shared" si="11"/>
        <v>13.146551724137922</v>
      </c>
      <c r="W71" s="1">
        <f t="shared" si="10"/>
        <v>8.6036671368124047</v>
      </c>
      <c r="DP71" s="22">
        <v>0</v>
      </c>
      <c r="DS71" s="10">
        <v>20.22</v>
      </c>
      <c r="DT71" s="10">
        <v>4.0440001487731934</v>
      </c>
      <c r="DU71" s="10">
        <v>6.2800002098083496</v>
      </c>
      <c r="DV71" s="10">
        <v>11.235737800598145</v>
      </c>
      <c r="DX71" s="10">
        <v>25.864730834960938</v>
      </c>
      <c r="DY71" s="10">
        <v>8.8789377212524414</v>
      </c>
      <c r="DZ71" s="10">
        <v>6.9487338066101074</v>
      </c>
      <c r="EA71" s="10">
        <v>15.827671051025391</v>
      </c>
      <c r="EB71" s="10">
        <v>22.730079650878906</v>
      </c>
      <c r="EC71" s="10">
        <v>35.577518463134766</v>
      </c>
      <c r="ED71" s="10">
        <v>58.307598114013672</v>
      </c>
      <c r="EE71" s="10">
        <v>0.27946656942367554</v>
      </c>
    </row>
    <row r="72" spans="1:136" ht="15" customHeight="1" x14ac:dyDescent="0.3">
      <c r="A72" s="32" t="s">
        <v>379</v>
      </c>
      <c r="F72" s="32">
        <f>432*0.00001</f>
        <v>4.3200000000000001E-3</v>
      </c>
      <c r="K72">
        <v>8.17</v>
      </c>
      <c r="N72" s="32">
        <f>377*0.00001</f>
        <v>3.7700000000000003E-3</v>
      </c>
      <c r="O72" s="32"/>
      <c r="S72" s="24">
        <v>52.876376988984092</v>
      </c>
      <c r="T72" s="24">
        <v>46.144430844553241</v>
      </c>
      <c r="U72" s="25">
        <f t="shared" si="9"/>
        <v>6.7319461444308502</v>
      </c>
      <c r="V72" s="1">
        <f t="shared" si="11"/>
        <v>12.731481481481492</v>
      </c>
      <c r="W72" s="1">
        <f t="shared" si="10"/>
        <v>6.7319461444308502</v>
      </c>
      <c r="DP72" s="22">
        <v>0</v>
      </c>
      <c r="DQ72">
        <v>1.28</v>
      </c>
      <c r="DS72" s="10">
        <v>17.600000000000001</v>
      </c>
      <c r="DT72" s="10">
        <v>3.5199999809265137</v>
      </c>
      <c r="DU72" s="10">
        <v>6.619999885559082</v>
      </c>
      <c r="DV72" s="10">
        <v>9.52508544921875</v>
      </c>
      <c r="DX72" s="10">
        <v>26.873464584350586</v>
      </c>
      <c r="DY72" s="10">
        <v>10.749385833740234</v>
      </c>
      <c r="DZ72" s="10">
        <v>9.5976657867431641</v>
      </c>
      <c r="EA72" s="10">
        <v>20.347051620483398</v>
      </c>
      <c r="EB72" s="10">
        <v>23.940418243408203</v>
      </c>
      <c r="EC72" s="10">
        <v>28.839065551757813</v>
      </c>
      <c r="ED72" s="10">
        <v>52.779483795166016</v>
      </c>
      <c r="EE72" s="10">
        <v>0.37572139501571655</v>
      </c>
    </row>
    <row r="73" spans="1:136" ht="15" customHeight="1" x14ac:dyDescent="0.3">
      <c r="A73" s="32" t="s">
        <v>380</v>
      </c>
      <c r="F73" s="32">
        <f>371*0.00001</f>
        <v>3.7100000000000002E-3</v>
      </c>
      <c r="K73">
        <v>7.03</v>
      </c>
      <c r="N73" s="32">
        <f>319*0.00001</f>
        <v>3.1900000000000001E-3</v>
      </c>
      <c r="O73" s="32"/>
      <c r="S73" s="24">
        <v>52.773826458036993</v>
      </c>
      <c r="T73" s="24">
        <v>45.376955903271693</v>
      </c>
      <c r="U73" s="25">
        <f t="shared" si="9"/>
        <v>7.3968705547653002</v>
      </c>
      <c r="V73" s="1">
        <f t="shared" si="11"/>
        <v>14.01617250673856</v>
      </c>
      <c r="W73" s="1">
        <f t="shared" si="10"/>
        <v>7.3968705547653002</v>
      </c>
      <c r="DP73" s="22">
        <v>0</v>
      </c>
      <c r="DQ73">
        <v>1.31</v>
      </c>
      <c r="DS73" s="10">
        <v>14.39</v>
      </c>
      <c r="DT73" s="10">
        <v>2.878000020980835</v>
      </c>
      <c r="DU73" s="10">
        <v>6.1999998092651367</v>
      </c>
      <c r="DV73" s="10">
        <v>8.1714982986450195</v>
      </c>
      <c r="DX73" s="10">
        <v>31.051197052001953</v>
      </c>
      <c r="DY73" s="10">
        <v>8.7094821929931641</v>
      </c>
      <c r="DZ73" s="10">
        <v>6.8161163330078125</v>
      </c>
      <c r="EA73" s="10">
        <v>15.525598526000977</v>
      </c>
      <c r="EB73" s="10">
        <v>20.508935928344727</v>
      </c>
      <c r="EC73" s="10">
        <v>32.914268493652344</v>
      </c>
      <c r="ED73" s="10">
        <v>53.423202514648438</v>
      </c>
      <c r="EE73" s="10">
        <v>0.30379319190979004</v>
      </c>
    </row>
    <row r="74" spans="1:136" ht="15" customHeight="1" x14ac:dyDescent="0.3">
      <c r="A74" s="32" t="s">
        <v>381</v>
      </c>
      <c r="F74" s="32">
        <f>622*0.00001</f>
        <v>6.2200000000000007E-3</v>
      </c>
      <c r="K74">
        <v>7.1</v>
      </c>
      <c r="N74" s="32">
        <f>544*0.00001</f>
        <v>5.4400000000000004E-3</v>
      </c>
      <c r="O74" s="32"/>
      <c r="S74" s="24">
        <v>87.605633802816911</v>
      </c>
      <c r="T74" s="24">
        <v>76.619718309859167</v>
      </c>
      <c r="U74" s="25">
        <f t="shared" si="9"/>
        <v>10.985915492957744</v>
      </c>
      <c r="V74" s="1">
        <f t="shared" si="11"/>
        <v>12.540192926045012</v>
      </c>
      <c r="W74" s="1">
        <f t="shared" si="10"/>
        <v>10.985915492957744</v>
      </c>
      <c r="DP74" s="22">
        <v>0</v>
      </c>
      <c r="DQ74">
        <v>1.1599999999999999</v>
      </c>
      <c r="DS74" s="10">
        <v>24.13</v>
      </c>
      <c r="DT74" s="10">
        <v>4.8260002136230469</v>
      </c>
      <c r="DU74" s="10">
        <v>7.130000114440918</v>
      </c>
      <c r="DV74" s="10">
        <v>13.690237998962402</v>
      </c>
      <c r="DX74" s="10">
        <v>25.988344192504883</v>
      </c>
      <c r="DY74" s="10">
        <v>11.812884330749512</v>
      </c>
      <c r="DZ74" s="10">
        <v>6.693967342376709</v>
      </c>
      <c r="EA74" s="10">
        <v>18.506851196289063</v>
      </c>
      <c r="EB74" s="10">
        <v>24.413293838500977</v>
      </c>
      <c r="EC74" s="10">
        <v>31.091510772705078</v>
      </c>
      <c r="ED74" s="10">
        <v>55.504806518554688</v>
      </c>
      <c r="EE74" s="10">
        <v>0.28026676177978516</v>
      </c>
    </row>
    <row r="75" spans="1:136" ht="15" customHeight="1" x14ac:dyDescent="0.3">
      <c r="A75" s="32" t="s">
        <v>382</v>
      </c>
      <c r="F75" s="32">
        <f>760*0.00001</f>
        <v>7.6000000000000009E-3</v>
      </c>
      <c r="K75">
        <v>6.8800000000000008</v>
      </c>
      <c r="N75" s="32">
        <f>656*0.00001</f>
        <v>6.5600000000000007E-3</v>
      </c>
      <c r="O75" s="32"/>
      <c r="S75" s="24">
        <v>110.46511627906978</v>
      </c>
      <c r="T75" s="24">
        <v>95.348837209302317</v>
      </c>
      <c r="U75" s="25">
        <f t="shared" si="9"/>
        <v>15.116279069767458</v>
      </c>
      <c r="V75" s="1">
        <f t="shared" si="11"/>
        <v>13.684210526315804</v>
      </c>
      <c r="W75" s="1">
        <f t="shared" si="10"/>
        <v>15.116279069767458</v>
      </c>
      <c r="DP75" s="22">
        <v>0</v>
      </c>
      <c r="DQ75">
        <v>1.25</v>
      </c>
      <c r="DS75" s="10">
        <v>25.4</v>
      </c>
      <c r="DT75" s="10">
        <v>5.0799999237060547</v>
      </c>
      <c r="DU75" s="10">
        <v>6.8899998664855957</v>
      </c>
      <c r="DV75" s="10">
        <v>13.550923347473145</v>
      </c>
      <c r="DX75" s="10">
        <v>36.053882598876953</v>
      </c>
      <c r="DY75" s="10">
        <v>9.5087165832519531</v>
      </c>
      <c r="DZ75" s="10">
        <v>5.9429478645324707</v>
      </c>
      <c r="EA75" s="10">
        <v>15.451663970947266</v>
      </c>
      <c r="EB75" s="10">
        <v>19.841522216796875</v>
      </c>
      <c r="EC75" s="10">
        <v>28.652931213378906</v>
      </c>
      <c r="ED75" s="10">
        <v>48.494453430175781</v>
      </c>
      <c r="EE75" s="10">
        <v>0.21553769707679749</v>
      </c>
    </row>
    <row r="76" spans="1:136" ht="15" customHeight="1" x14ac:dyDescent="0.3">
      <c r="A76" s="32" t="s">
        <v>383</v>
      </c>
      <c r="F76" s="32">
        <f>380*0.00001</f>
        <v>3.8000000000000004E-3</v>
      </c>
      <c r="K76">
        <v>7.09</v>
      </c>
      <c r="N76" s="32">
        <f>329*0.00001</f>
        <v>3.2900000000000004E-3</v>
      </c>
      <c r="O76" s="32"/>
      <c r="S76" s="24">
        <v>53.596614950634695</v>
      </c>
      <c r="T76" s="24">
        <v>46.403385049365298</v>
      </c>
      <c r="U76" s="25">
        <f t="shared" si="9"/>
        <v>7.1932299012693974</v>
      </c>
      <c r="V76" s="1">
        <f t="shared" si="11"/>
        <v>13.421052631578956</v>
      </c>
      <c r="W76" s="1">
        <f t="shared" si="10"/>
        <v>7.1932299012693974</v>
      </c>
      <c r="DP76" s="22">
        <v>0</v>
      </c>
      <c r="DQ76">
        <v>1.19</v>
      </c>
      <c r="DS76" s="10">
        <v>21.02</v>
      </c>
      <c r="DT76" s="10">
        <v>4.2039999961853027</v>
      </c>
      <c r="DU76" s="10">
        <v>6.570000171661377</v>
      </c>
      <c r="DV76" s="10">
        <v>11.574153900146484</v>
      </c>
      <c r="DX76" s="10">
        <v>26.155527114868164</v>
      </c>
      <c r="DY76" s="10">
        <v>11.321049690246582</v>
      </c>
      <c r="DZ76" s="10">
        <v>9.3691444396972656</v>
      </c>
      <c r="EA76" s="10">
        <v>20.690193176269531</v>
      </c>
      <c r="EB76" s="10">
        <v>22.017488479614258</v>
      </c>
      <c r="EC76" s="10">
        <v>31.136789321899414</v>
      </c>
      <c r="ED76" s="10">
        <v>53.154277801513672</v>
      </c>
      <c r="EE76" s="10">
        <v>0.35205289721488953</v>
      </c>
    </row>
    <row r="77" spans="1:136" ht="15" customHeight="1" x14ac:dyDescent="0.3">
      <c r="A77" s="32" t="s">
        <v>384</v>
      </c>
      <c r="F77" s="32">
        <f>571*0.00001</f>
        <v>5.7100000000000007E-3</v>
      </c>
      <c r="K77">
        <v>7.8100000000000005</v>
      </c>
      <c r="N77" s="32">
        <f>495*0.00001</f>
        <v>4.9500000000000004E-3</v>
      </c>
      <c r="O77" s="32"/>
      <c r="S77" s="24">
        <v>73.111395646606908</v>
      </c>
      <c r="T77" s="24">
        <v>63.380281690140841</v>
      </c>
      <c r="U77" s="25">
        <f t="shared" si="9"/>
        <v>9.7311139564660678</v>
      </c>
      <c r="V77" s="1">
        <f t="shared" si="11"/>
        <v>13.309982486865147</v>
      </c>
      <c r="W77" s="1">
        <f t="shared" si="10"/>
        <v>9.7311139564660678</v>
      </c>
      <c r="DP77" s="22">
        <v>0</v>
      </c>
      <c r="DQ77">
        <v>1.44</v>
      </c>
      <c r="DS77" s="10">
        <v>22.12</v>
      </c>
      <c r="DT77" s="10">
        <v>4.4239997863769531</v>
      </c>
      <c r="DU77" s="10">
        <v>6.5199999809265137</v>
      </c>
      <c r="DV77" s="10">
        <v>10.869345664978027</v>
      </c>
      <c r="DX77" s="10">
        <v>27.485471725463867</v>
      </c>
      <c r="DY77" s="10">
        <v>9.0309410095214844</v>
      </c>
      <c r="DZ77" s="10">
        <v>7.067692756652832</v>
      </c>
      <c r="EA77" s="10">
        <v>16.0986328125</v>
      </c>
      <c r="EB77" s="10">
        <v>25.333751678466797</v>
      </c>
      <c r="EC77" s="10">
        <v>31.082141876220703</v>
      </c>
      <c r="ED77" s="10">
        <v>56.4158935546875</v>
      </c>
      <c r="EE77" s="10">
        <v>0.26276829838752747</v>
      </c>
    </row>
    <row r="78" spans="1:136" ht="15" customHeight="1" x14ac:dyDescent="0.3">
      <c r="A78" s="32" t="s">
        <v>385</v>
      </c>
      <c r="F78" s="32">
        <f>559*0.00001</f>
        <v>5.5900000000000004E-3</v>
      </c>
      <c r="K78">
        <v>7.6899999999999995</v>
      </c>
      <c r="N78" s="32">
        <f>484*0.00001</f>
        <v>4.8400000000000006E-3</v>
      </c>
      <c r="O78" s="32"/>
      <c r="S78" s="24">
        <v>72.691807542262694</v>
      </c>
      <c r="T78" s="24">
        <v>62.938881664499355</v>
      </c>
      <c r="U78" s="25">
        <f t="shared" si="9"/>
        <v>9.7529258777633387</v>
      </c>
      <c r="V78" s="1">
        <f t="shared" si="11"/>
        <v>13.416815742397148</v>
      </c>
      <c r="W78" s="1">
        <f t="shared" si="10"/>
        <v>9.7529258777633387</v>
      </c>
      <c r="DP78" s="22">
        <v>0</v>
      </c>
      <c r="DQ78">
        <v>1.23</v>
      </c>
      <c r="DS78" s="10">
        <v>25.2</v>
      </c>
      <c r="DT78" s="10">
        <v>5.0399999618530273</v>
      </c>
      <c r="DU78" s="10">
        <v>5.3600001335144043</v>
      </c>
      <c r="DV78" s="10">
        <v>5.4615330696105957</v>
      </c>
      <c r="DX78" s="10">
        <v>58.420314788818359</v>
      </c>
      <c r="DY78" s="10">
        <v>11.294593811035156</v>
      </c>
      <c r="DZ78" s="10">
        <v>8.5683126449584961</v>
      </c>
      <c r="EA78" s="10">
        <v>19.862907409667969</v>
      </c>
      <c r="EB78" s="10">
        <v>12.945941925048828</v>
      </c>
      <c r="EC78" s="10">
        <v>8.7708368301391602</v>
      </c>
      <c r="ED78" s="10">
        <v>21.716777801513672</v>
      </c>
      <c r="EE78" s="10">
        <v>0.21474047005176544</v>
      </c>
    </row>
    <row r="79" spans="1:136" ht="15" customHeight="1" x14ac:dyDescent="0.3">
      <c r="A79" s="32" t="s">
        <v>386</v>
      </c>
      <c r="F79" s="32">
        <f>1120*0.00001</f>
        <v>1.1200000000000002E-2</v>
      </c>
      <c r="K79">
        <v>6.85</v>
      </c>
      <c r="N79" s="32">
        <f>1006*0.00001</f>
        <v>1.0060000000000001E-2</v>
      </c>
      <c r="O79" s="32"/>
      <c r="S79" s="24">
        <v>163.50364963503651</v>
      </c>
      <c r="T79" s="24">
        <v>146.86131386861317</v>
      </c>
      <c r="U79" s="25">
        <f t="shared" si="9"/>
        <v>16.642335766423344</v>
      </c>
      <c r="V79" s="1">
        <f t="shared" si="11"/>
        <v>10.17857142857142</v>
      </c>
      <c r="W79" s="1">
        <f t="shared" si="10"/>
        <v>16.642335766423344</v>
      </c>
      <c r="DP79" s="22">
        <v>0</v>
      </c>
      <c r="DQ79">
        <v>1.26</v>
      </c>
      <c r="DS79" s="10">
        <v>24.94</v>
      </c>
      <c r="DT79" s="10">
        <v>4.9879999160766602</v>
      </c>
      <c r="DU79" s="10">
        <v>6.0100002288818359</v>
      </c>
      <c r="DV79" s="10">
        <v>9.0743827819824219</v>
      </c>
      <c r="DX79" s="10">
        <v>58.578392028808594</v>
      </c>
      <c r="DY79" s="10">
        <v>13.760025024414063</v>
      </c>
      <c r="DZ79" s="10">
        <v>7.8628716468811035</v>
      </c>
      <c r="EA79" s="10">
        <v>21.622896194458008</v>
      </c>
      <c r="EB79" s="10">
        <v>11.747130393981934</v>
      </c>
      <c r="EC79" s="10">
        <v>8.0515804290771484</v>
      </c>
      <c r="ED79" s="10">
        <v>19.798709869384766</v>
      </c>
      <c r="EE79" s="10">
        <v>0.24467624723911285</v>
      </c>
    </row>
    <row r="80" spans="1:136" ht="15" customHeight="1" x14ac:dyDescent="0.3">
      <c r="A80" s="32" t="s">
        <v>387</v>
      </c>
      <c r="F80" s="32">
        <f>641*0.00001</f>
        <v>6.4100000000000008E-3</v>
      </c>
      <c r="K80">
        <v>8.0500000000000007</v>
      </c>
      <c r="N80" s="32">
        <f>568*0.00001</f>
        <v>5.6800000000000002E-3</v>
      </c>
      <c r="O80" s="32"/>
      <c r="S80" s="24">
        <v>79.627329192546568</v>
      </c>
      <c r="T80" s="24">
        <v>70.559006211180119</v>
      </c>
      <c r="U80" s="25">
        <f t="shared" si="9"/>
        <v>9.0683229813664497</v>
      </c>
      <c r="V80" s="1">
        <f t="shared" si="11"/>
        <v>11.388455538221519</v>
      </c>
      <c r="W80" s="1">
        <f t="shared" si="10"/>
        <v>9.0683229813664497</v>
      </c>
      <c r="DP80" s="22">
        <v>0</v>
      </c>
      <c r="DQ80">
        <v>1.1299999999999999</v>
      </c>
      <c r="DS80" s="10">
        <v>23.76</v>
      </c>
      <c r="DT80" s="10">
        <v>4.7519998550415039</v>
      </c>
      <c r="DU80" s="10">
        <v>6.0399999618530273</v>
      </c>
      <c r="DV80" s="10">
        <v>8.3137044906616211</v>
      </c>
      <c r="DX80" s="10">
        <v>64.705879211425781</v>
      </c>
      <c r="DY80" s="10">
        <v>13.725490570068359</v>
      </c>
      <c r="DZ80" s="10">
        <v>7.0588235855102539</v>
      </c>
      <c r="EA80" s="10">
        <v>20.784313201904297</v>
      </c>
      <c r="EB80" s="10">
        <v>8.1254901885986328</v>
      </c>
      <c r="EC80" s="10">
        <v>6.3843135833740234</v>
      </c>
      <c r="ED80" s="10">
        <v>14.509803771972656</v>
      </c>
      <c r="EE80" s="10">
        <v>0.23062732815742493</v>
      </c>
    </row>
    <row r="81" spans="1:135" ht="15" customHeight="1" x14ac:dyDescent="0.3">
      <c r="A81" s="32" t="s">
        <v>388</v>
      </c>
      <c r="F81" s="32">
        <f>458*0.00001</f>
        <v>4.5800000000000007E-3</v>
      </c>
      <c r="K81">
        <v>6.8000000000000007</v>
      </c>
      <c r="N81" s="32">
        <f>403*0.00001</f>
        <v>4.0300000000000006E-3</v>
      </c>
      <c r="O81" s="32"/>
      <c r="S81" s="24">
        <v>67.35294117647058</v>
      </c>
      <c r="T81" s="24">
        <v>59.264705882352928</v>
      </c>
      <c r="U81" s="25">
        <f t="shared" si="9"/>
        <v>8.0882352941176521</v>
      </c>
      <c r="V81" s="1">
        <f t="shared" si="11"/>
        <v>12.008733624454157</v>
      </c>
      <c r="W81" s="1">
        <f t="shared" si="10"/>
        <v>8.0882352941176521</v>
      </c>
      <c r="DP81" s="22">
        <v>0</v>
      </c>
      <c r="DQ81">
        <v>1.27</v>
      </c>
      <c r="DS81" s="10">
        <v>17.12</v>
      </c>
      <c r="DT81" s="10">
        <v>3.4240000247955322</v>
      </c>
      <c r="DU81" s="10">
        <v>6.5999999046325684</v>
      </c>
      <c r="DV81" s="10">
        <v>7.6830382347106934</v>
      </c>
      <c r="DX81" s="10">
        <v>38.735668182373047</v>
      </c>
      <c r="DY81" s="10">
        <v>12.008056640625</v>
      </c>
      <c r="DZ81" s="10">
        <v>12.782770156860352</v>
      </c>
      <c r="EA81" s="10">
        <v>24.790826797485352</v>
      </c>
      <c r="EB81" s="10">
        <v>24.728849411010742</v>
      </c>
      <c r="EC81" s="10">
        <v>11.744654655456543</v>
      </c>
      <c r="ED81" s="10">
        <v>36.473503112792969</v>
      </c>
      <c r="EE81" s="10">
        <v>0.37819677591323853</v>
      </c>
    </row>
    <row r="82" spans="1:135" ht="15" customHeight="1" x14ac:dyDescent="0.3">
      <c r="A82" s="32" t="s">
        <v>389</v>
      </c>
      <c r="F82" s="32">
        <f>274*0.00001</f>
        <v>2.7400000000000002E-3</v>
      </c>
      <c r="K82">
        <v>7.33</v>
      </c>
      <c r="N82" s="32">
        <f>246*0.00001</f>
        <v>2.4600000000000004E-3</v>
      </c>
      <c r="O82" s="32"/>
      <c r="S82" s="24">
        <v>37.380627557980901</v>
      </c>
      <c r="T82" s="24">
        <v>33.560709413369715</v>
      </c>
      <c r="U82" s="25">
        <f t="shared" si="9"/>
        <v>3.8199181446111865</v>
      </c>
      <c r="V82" s="1">
        <f t="shared" si="11"/>
        <v>10.21897810218978</v>
      </c>
      <c r="W82" s="1">
        <f t="shared" si="10"/>
        <v>3.8199181446111865</v>
      </c>
      <c r="DP82" s="22">
        <v>0</v>
      </c>
      <c r="DQ82">
        <v>1.06</v>
      </c>
      <c r="DS82" s="10">
        <v>17.559999999999999</v>
      </c>
      <c r="DT82" s="10">
        <v>3.5120000839233398</v>
      </c>
      <c r="DU82" s="10">
        <v>4.2600002288818359</v>
      </c>
      <c r="DV82" s="10">
        <v>1.7474690675735474</v>
      </c>
      <c r="DX82" s="10">
        <v>44.184291839599609</v>
      </c>
      <c r="DY82" s="10">
        <v>6.4199395179748535</v>
      </c>
      <c r="DZ82" s="10">
        <v>3.0211479663848877</v>
      </c>
      <c r="EA82" s="10">
        <v>9.4410877227783203</v>
      </c>
      <c r="EB82" s="10">
        <v>16.178247451782227</v>
      </c>
      <c r="EC82" s="10">
        <v>30.196374893188477</v>
      </c>
      <c r="ED82" s="10">
        <v>46.374622344970703</v>
      </c>
      <c r="EE82" s="10">
        <v>0.15000160038471222</v>
      </c>
    </row>
    <row r="83" spans="1:135" ht="15" customHeight="1" x14ac:dyDescent="0.3">
      <c r="A83" s="32" t="s">
        <v>390</v>
      </c>
      <c r="F83" s="32">
        <f>862*0.00001</f>
        <v>8.6200000000000009E-3</v>
      </c>
      <c r="K83">
        <v>7.0300000000000011</v>
      </c>
      <c r="N83" s="32">
        <f>763*0.00001</f>
        <v>7.6300000000000005E-3</v>
      </c>
      <c r="O83" s="32"/>
      <c r="S83" s="24">
        <v>122.61735419630153</v>
      </c>
      <c r="T83" s="24">
        <v>108.53485064011379</v>
      </c>
      <c r="U83" s="25">
        <f t="shared" si="9"/>
        <v>14.082503556187746</v>
      </c>
      <c r="V83" s="1">
        <f t="shared" si="11"/>
        <v>11.484918793503466</v>
      </c>
      <c r="W83" s="1">
        <f t="shared" si="10"/>
        <v>14.082503556187746</v>
      </c>
      <c r="DP83" s="22">
        <v>0</v>
      </c>
      <c r="DQ83">
        <v>1.03</v>
      </c>
      <c r="DS83" s="10">
        <v>18.71</v>
      </c>
      <c r="DT83" s="10">
        <v>3.7420001029968262</v>
      </c>
      <c r="DU83" s="10">
        <v>4.4699997901916504</v>
      </c>
      <c r="DV83" s="10">
        <v>2.6770379543304443</v>
      </c>
      <c r="DX83" s="10">
        <v>74.980575561523438</v>
      </c>
      <c r="DY83" s="10">
        <v>10.489510536193848</v>
      </c>
      <c r="DZ83" s="10">
        <v>2.3310022354125977</v>
      </c>
      <c r="EA83" s="10">
        <v>12.820512771606445</v>
      </c>
      <c r="EB83" s="10">
        <v>4.8951048851013184</v>
      </c>
      <c r="EC83" s="10">
        <v>7.303807258605957</v>
      </c>
      <c r="ED83" s="10">
        <v>12.198911666870117</v>
      </c>
      <c r="EE83" s="10">
        <v>0.15553762018680573</v>
      </c>
    </row>
    <row r="84" spans="1:135" ht="15" customHeight="1" x14ac:dyDescent="0.3">
      <c r="A84" s="32" t="s">
        <v>391</v>
      </c>
      <c r="F84" s="32">
        <f>816*0.00001</f>
        <v>8.1600000000000006E-3</v>
      </c>
      <c r="K84">
        <v>7.83</v>
      </c>
      <c r="N84" s="32">
        <f>716*0.00001</f>
        <v>7.1600000000000006E-3</v>
      </c>
      <c r="O84" s="32"/>
      <c r="S84" s="24">
        <v>104.21455938697318</v>
      </c>
      <c r="T84" s="24">
        <v>91.443167305236258</v>
      </c>
      <c r="U84" s="25">
        <f t="shared" si="9"/>
        <v>12.77139208173692</v>
      </c>
      <c r="V84" s="1">
        <f t="shared" si="11"/>
        <v>12.254901960784323</v>
      </c>
      <c r="W84" s="1">
        <f t="shared" si="10"/>
        <v>12.77139208173692</v>
      </c>
      <c r="DP84" s="22">
        <v>0</v>
      </c>
      <c r="DQ84">
        <v>1.06</v>
      </c>
      <c r="DS84" s="10">
        <v>16.78</v>
      </c>
      <c r="DT84" s="10">
        <v>3.3559999465942383</v>
      </c>
      <c r="DU84" s="10">
        <v>4.690000057220459</v>
      </c>
      <c r="DV84" s="10">
        <v>2.1607036590576172</v>
      </c>
      <c r="DX84" s="10">
        <v>56.149734497070313</v>
      </c>
      <c r="DY84" s="10">
        <v>6.4935064315795898</v>
      </c>
      <c r="DZ84" s="10">
        <v>4.5836515426635742</v>
      </c>
      <c r="EA84" s="10">
        <v>11.077157974243164</v>
      </c>
      <c r="EB84" s="10">
        <v>18.563789367675781</v>
      </c>
      <c r="EC84" s="10">
        <v>14.209320068359375</v>
      </c>
      <c r="ED84" s="10">
        <v>32.773109436035156</v>
      </c>
      <c r="EE84" s="10">
        <v>0.14689597487449646</v>
      </c>
    </row>
    <row r="85" spans="1:135" ht="15" customHeight="1" x14ac:dyDescent="0.3">
      <c r="A85" s="32" t="s">
        <v>392</v>
      </c>
      <c r="F85" s="32">
        <f>1265*0.00001</f>
        <v>1.2650000000000002E-2</v>
      </c>
      <c r="K85">
        <v>7.66</v>
      </c>
      <c r="N85" s="32">
        <f>1140*0.00001</f>
        <v>1.14E-2</v>
      </c>
      <c r="O85" s="32"/>
      <c r="S85" s="24">
        <v>165.14360313315927</v>
      </c>
      <c r="T85" s="24">
        <v>148.82506527415143</v>
      </c>
      <c r="U85" s="25">
        <f t="shared" si="9"/>
        <v>16.318537859007847</v>
      </c>
      <c r="V85" s="1">
        <f t="shared" si="11"/>
        <v>9.8814229249011944</v>
      </c>
      <c r="W85" s="1">
        <f t="shared" si="10"/>
        <v>16.318537859007847</v>
      </c>
      <c r="DP85" s="22">
        <v>0</v>
      </c>
      <c r="DQ85">
        <v>0.93</v>
      </c>
      <c r="DS85" s="10">
        <v>26.44</v>
      </c>
      <c r="DT85" s="10">
        <v>5.2880001068115234</v>
      </c>
      <c r="DU85" s="10">
        <v>5.1100001335144043</v>
      </c>
      <c r="DV85" s="10">
        <v>4.7769808769226074</v>
      </c>
      <c r="DX85" s="10">
        <v>69.85235595703125</v>
      </c>
      <c r="DY85" s="10">
        <v>10.715986251831055</v>
      </c>
      <c r="DZ85" s="10">
        <v>3.1751072406768799</v>
      </c>
      <c r="EA85" s="10">
        <v>13.891093254089355</v>
      </c>
      <c r="EB85" s="10">
        <v>7.0963644981384277</v>
      </c>
      <c r="EC85" s="10">
        <v>9.1601839065551758</v>
      </c>
      <c r="ED85" s="10">
        <v>16.256547927856445</v>
      </c>
      <c r="EE85" s="10">
        <v>0.15037035942077637</v>
      </c>
    </row>
    <row r="86" spans="1:135" ht="15" customHeight="1" x14ac:dyDescent="0.3">
      <c r="A86" s="32" t="s">
        <v>393</v>
      </c>
      <c r="F86" s="32">
        <f>137*0.00001</f>
        <v>1.3700000000000001E-3</v>
      </c>
      <c r="K86">
        <v>7.74</v>
      </c>
      <c r="N86" s="32">
        <f>122*0.00001</f>
        <v>1.2200000000000002E-3</v>
      </c>
      <c r="O86" s="32"/>
      <c r="S86" s="24">
        <v>17.700258397932814</v>
      </c>
      <c r="T86" s="24">
        <v>15.762273901808786</v>
      </c>
      <c r="U86" s="25">
        <f t="shared" si="9"/>
        <v>1.9379844961240273</v>
      </c>
      <c r="V86" s="1">
        <f t="shared" si="11"/>
        <v>10.948905109489033</v>
      </c>
      <c r="W86" s="1">
        <f t="shared" si="10"/>
        <v>1.9379844961240273</v>
      </c>
      <c r="DP86" s="22">
        <v>0</v>
      </c>
      <c r="DQ86">
        <v>1.31</v>
      </c>
      <c r="DS86" s="10">
        <v>13.57</v>
      </c>
      <c r="DT86" s="10">
        <v>2.7139999866485596</v>
      </c>
      <c r="DU86" s="10">
        <v>4.8600001335144043</v>
      </c>
      <c r="DV86" s="10">
        <v>2.0969786643981934</v>
      </c>
      <c r="DX86" s="10">
        <v>44.636157989501953</v>
      </c>
      <c r="DY86" s="10">
        <v>7.5018754005432129</v>
      </c>
      <c r="DZ86" s="10">
        <v>3.7509377002716064</v>
      </c>
      <c r="EA86" s="10">
        <v>11.252813339233398</v>
      </c>
      <c r="EB86" s="10">
        <v>14.553638458251953</v>
      </c>
      <c r="EC86" s="10">
        <v>29.557390213012695</v>
      </c>
      <c r="ED86" s="10">
        <v>44.111030578613281</v>
      </c>
      <c r="EE86" s="10">
        <v>0.19597060978412628</v>
      </c>
    </row>
    <row r="87" spans="1:135" ht="15" customHeight="1" x14ac:dyDescent="0.3">
      <c r="A87" s="32" t="s">
        <v>394</v>
      </c>
      <c r="F87" s="32">
        <f>224*0.00001</f>
        <v>2.2400000000000002E-3</v>
      </c>
      <c r="K87">
        <v>8.18</v>
      </c>
      <c r="N87" s="32">
        <f>192*0.00001</f>
        <v>1.9200000000000003E-3</v>
      </c>
      <c r="O87" s="32"/>
      <c r="S87" s="24">
        <v>27.383863080684598</v>
      </c>
      <c r="T87" s="24">
        <v>23.471882640586799</v>
      </c>
      <c r="U87" s="25">
        <f t="shared" si="9"/>
        <v>3.9119804400977998</v>
      </c>
      <c r="V87" s="1">
        <f t="shared" si="11"/>
        <v>14.285714285714286</v>
      </c>
      <c r="W87" s="1">
        <f t="shared" si="10"/>
        <v>3.9119804400977998</v>
      </c>
      <c r="DP87" s="22">
        <v>0</v>
      </c>
      <c r="DQ87">
        <v>1.1100000000000001</v>
      </c>
      <c r="DS87" s="10">
        <v>17.260000000000002</v>
      </c>
      <c r="DT87" s="10">
        <v>3.4519999027252197</v>
      </c>
      <c r="DU87" s="10">
        <v>5.7100000381469727</v>
      </c>
      <c r="DV87" s="10">
        <v>6.2705440521240234</v>
      </c>
      <c r="DX87" s="10">
        <v>41.591045379638672</v>
      </c>
      <c r="DY87" s="10">
        <v>7.9401087760925293</v>
      </c>
      <c r="DZ87" s="10">
        <v>5.671506404876709</v>
      </c>
      <c r="EA87" s="10">
        <v>13.611615180969238</v>
      </c>
      <c r="EB87" s="10">
        <v>14.851784706115723</v>
      </c>
      <c r="EC87" s="10">
        <v>29.945552825927734</v>
      </c>
      <c r="ED87" s="10">
        <v>44.797336578369141</v>
      </c>
      <c r="EE87" s="10">
        <v>0.21237118542194366</v>
      </c>
    </row>
    <row r="88" spans="1:135" ht="15" customHeight="1" x14ac:dyDescent="0.3">
      <c r="A88" s="32" t="s">
        <v>395</v>
      </c>
      <c r="F88" s="32">
        <f>280*0.00001</f>
        <v>2.8000000000000004E-3</v>
      </c>
      <c r="K88">
        <v>7.84</v>
      </c>
      <c r="N88" s="32">
        <f>246*0.00001</f>
        <v>2.4600000000000004E-3</v>
      </c>
      <c r="O88" s="32"/>
      <c r="S88" s="24">
        <v>35.714285714285708</v>
      </c>
      <c r="T88" s="24">
        <v>31.377551020408163</v>
      </c>
      <c r="U88" s="25">
        <f t="shared" si="9"/>
        <v>4.3367346938775455</v>
      </c>
      <c r="V88" s="1">
        <f t="shared" si="11"/>
        <v>12.14285714285713</v>
      </c>
      <c r="W88" s="1">
        <f t="shared" si="10"/>
        <v>4.3367346938775455</v>
      </c>
      <c r="DP88" s="22">
        <v>0</v>
      </c>
      <c r="DQ88">
        <v>1.43</v>
      </c>
      <c r="DS88" s="10">
        <v>17.899999999999999</v>
      </c>
      <c r="DT88" s="10">
        <v>3.5799999237060547</v>
      </c>
      <c r="DU88" s="10">
        <v>6.369999885559082</v>
      </c>
      <c r="DV88" s="10">
        <v>10.363629341125488</v>
      </c>
      <c r="DX88" s="10">
        <v>34.464065551757813</v>
      </c>
      <c r="DY88" s="10">
        <v>9.6809167861938477</v>
      </c>
      <c r="DZ88" s="10">
        <v>6.1957869529724121</v>
      </c>
      <c r="EA88" s="10">
        <v>15.876703262329102</v>
      </c>
      <c r="EB88" s="10">
        <v>18.060718536376953</v>
      </c>
      <c r="EC88" s="10">
        <v>31.598512649536133</v>
      </c>
      <c r="ED88" s="10">
        <v>49.659233093261719</v>
      </c>
      <c r="EE88" s="10">
        <v>0.27280253171920776</v>
      </c>
    </row>
    <row r="89" spans="1:135" ht="15" customHeight="1" x14ac:dyDescent="0.3">
      <c r="A89" s="32" t="s">
        <v>396</v>
      </c>
      <c r="F89" s="32">
        <f>232*0.00001</f>
        <v>2.32E-3</v>
      </c>
      <c r="K89">
        <v>7.33</v>
      </c>
      <c r="N89" s="32">
        <f>207*0.00001</f>
        <v>2.0700000000000002E-3</v>
      </c>
      <c r="O89" s="32"/>
      <c r="S89" s="24">
        <v>31.650750341064121</v>
      </c>
      <c r="T89" s="24">
        <v>28.240109140518417</v>
      </c>
      <c r="U89" s="25">
        <f t="shared" si="9"/>
        <v>3.4106412005457045</v>
      </c>
      <c r="V89" s="1">
        <f t="shared" si="11"/>
        <v>10.775862068965523</v>
      </c>
      <c r="W89" s="1">
        <f t="shared" si="10"/>
        <v>3.4106412005457045</v>
      </c>
      <c r="DP89" s="22">
        <v>0</v>
      </c>
      <c r="DQ89">
        <v>1.24</v>
      </c>
      <c r="DS89" s="10">
        <v>19.149999999999999</v>
      </c>
      <c r="DT89" s="10">
        <v>3.8299999237060547</v>
      </c>
      <c r="DU89" s="10">
        <v>5.9899997711181641</v>
      </c>
      <c r="DV89" s="10">
        <v>8.8228092193603516</v>
      </c>
      <c r="DX89" s="10">
        <v>32.363693237304688</v>
      </c>
      <c r="DY89" s="10">
        <v>9.1379833221435547</v>
      </c>
      <c r="DZ89" s="10">
        <v>5.3304905891418457</v>
      </c>
      <c r="EA89" s="10">
        <v>14.468473434448242</v>
      </c>
      <c r="EB89" s="10">
        <v>21.657020568847656</v>
      </c>
      <c r="EC89" s="10">
        <v>31.510812759399414</v>
      </c>
      <c r="ED89" s="10">
        <v>53.167831420898438</v>
      </c>
      <c r="EE89" s="10">
        <v>0.25055074691772461</v>
      </c>
    </row>
    <row r="90" spans="1:135" ht="15" customHeight="1" x14ac:dyDescent="0.3">
      <c r="A90" s="32" t="s">
        <v>397</v>
      </c>
      <c r="F90" s="32">
        <f>318*0.00001</f>
        <v>3.1800000000000001E-3</v>
      </c>
      <c r="K90">
        <v>9.2199999999999989</v>
      </c>
      <c r="N90" s="32">
        <f>278*0.00001</f>
        <v>2.7800000000000004E-3</v>
      </c>
      <c r="O90" s="32"/>
      <c r="S90" s="24">
        <v>34.490238611713671</v>
      </c>
      <c r="T90" s="24">
        <v>30.15184381778742</v>
      </c>
      <c r="U90" s="25">
        <f t="shared" si="9"/>
        <v>4.3383947939262519</v>
      </c>
      <c r="V90" s="1">
        <f t="shared" si="11"/>
        <v>12.578616352201269</v>
      </c>
      <c r="W90" s="1">
        <f t="shared" si="10"/>
        <v>4.3383947939262519</v>
      </c>
      <c r="DP90" s="22">
        <v>0</v>
      </c>
      <c r="DQ90">
        <v>1.24</v>
      </c>
      <c r="DS90" s="10">
        <v>20.46</v>
      </c>
      <c r="DT90" s="10">
        <v>4.0920000076293945</v>
      </c>
      <c r="DU90" s="10">
        <v>6.4099998474121094</v>
      </c>
      <c r="DV90" s="10">
        <v>9.8781795501708984</v>
      </c>
      <c r="DX90" s="10">
        <v>35.526721954345703</v>
      </c>
      <c r="DY90" s="10">
        <v>10.040160179138184</v>
      </c>
      <c r="DZ90" s="10">
        <v>6.9508805274963379</v>
      </c>
      <c r="EA90" s="10">
        <v>16.99104118347168</v>
      </c>
      <c r="EB90" s="10">
        <v>19.338893890380859</v>
      </c>
      <c r="EC90" s="10">
        <v>28.143342971801758</v>
      </c>
      <c r="ED90" s="10">
        <v>47.48223876953125</v>
      </c>
      <c r="EE90" s="10">
        <v>0.26519650220870972</v>
      </c>
    </row>
    <row r="91" spans="1:135" ht="15" customHeight="1" x14ac:dyDescent="0.3">
      <c r="A91" s="32" t="s">
        <v>398</v>
      </c>
      <c r="F91" s="32">
        <f>573*0.00001</f>
        <v>5.7300000000000007E-3</v>
      </c>
      <c r="K91">
        <v>7.7200000000000006</v>
      </c>
      <c r="N91" s="32">
        <f>499*0.00001</f>
        <v>4.9900000000000005E-3</v>
      </c>
      <c r="O91" s="32"/>
      <c r="S91" s="24">
        <v>74.222797927461144</v>
      </c>
      <c r="T91" s="24">
        <v>64.637305699481857</v>
      </c>
      <c r="U91" s="25">
        <f t="shared" si="9"/>
        <v>9.5854922279792873</v>
      </c>
      <c r="V91" s="1">
        <f t="shared" si="11"/>
        <v>12.914485165794082</v>
      </c>
      <c r="W91" s="1">
        <f t="shared" si="10"/>
        <v>9.5854922279792873</v>
      </c>
      <c r="DP91" s="22">
        <v>0</v>
      </c>
      <c r="DQ91">
        <v>1.38</v>
      </c>
      <c r="DS91" s="10">
        <v>22.63</v>
      </c>
      <c r="DT91" s="10">
        <v>4.5260000228881836</v>
      </c>
      <c r="DU91" s="10">
        <v>6.9000000953674316</v>
      </c>
      <c r="DV91" s="10">
        <v>13.496358871459961</v>
      </c>
      <c r="DX91" s="10">
        <v>34.490959167480469</v>
      </c>
      <c r="DY91" s="10">
        <v>9.9111957550048828</v>
      </c>
      <c r="DZ91" s="10">
        <v>21.804630279541016</v>
      </c>
      <c r="EA91" s="10">
        <v>31.715826034545898</v>
      </c>
      <c r="EB91" s="10">
        <v>27.48176383972168</v>
      </c>
      <c r="EC91" s="10">
        <v>6.3114495277404785</v>
      </c>
      <c r="ED91" s="10">
        <v>33.793212890625</v>
      </c>
      <c r="EE91" s="10">
        <v>0.3914719820022583</v>
      </c>
    </row>
    <row r="92" spans="1:135" ht="15" customHeight="1" x14ac:dyDescent="0.3">
      <c r="A92" s="32" t="s">
        <v>399</v>
      </c>
      <c r="F92" s="32">
        <f>307*0.00001</f>
        <v>3.0700000000000002E-3</v>
      </c>
      <c r="K92">
        <v>7.08</v>
      </c>
      <c r="N92" s="32">
        <f>274*0.00001</f>
        <v>2.7400000000000002E-3</v>
      </c>
      <c r="O92" s="32"/>
      <c r="S92" s="24">
        <v>43.361581920903959</v>
      </c>
      <c r="T92" s="24">
        <v>38.700564971751405</v>
      </c>
      <c r="U92" s="25">
        <f t="shared" si="9"/>
        <v>4.6610169491525539</v>
      </c>
      <c r="V92" s="1">
        <f t="shared" si="11"/>
        <v>10.749185667752469</v>
      </c>
      <c r="W92" s="1">
        <f t="shared" si="10"/>
        <v>4.6610169491525539</v>
      </c>
      <c r="DP92" s="22">
        <v>0</v>
      </c>
      <c r="DQ92">
        <v>1.08</v>
      </c>
      <c r="DS92" s="10">
        <v>34.340000000000003</v>
      </c>
      <c r="DT92" s="10">
        <v>6.8680000305175781</v>
      </c>
      <c r="DU92" s="10">
        <v>6.309999942779541</v>
      </c>
      <c r="DV92" s="10">
        <v>14.756654739379883</v>
      </c>
      <c r="DX92" s="10">
        <v>34.606204986572266</v>
      </c>
      <c r="DY92" s="10">
        <v>22.673030853271484</v>
      </c>
      <c r="DZ92" s="10">
        <v>15.115353584289551</v>
      </c>
      <c r="EA92" s="10">
        <v>37.788383483886719</v>
      </c>
      <c r="EB92" s="10">
        <v>11.376293182373047</v>
      </c>
      <c r="EC92" s="10">
        <v>16.229116439819336</v>
      </c>
      <c r="ED92" s="10">
        <v>27.605409622192383</v>
      </c>
      <c r="EE92" s="10">
        <v>0.43903306126594543</v>
      </c>
    </row>
    <row r="93" spans="1:135" ht="15" customHeight="1" x14ac:dyDescent="0.3">
      <c r="A93" s="32" t="s">
        <v>400</v>
      </c>
      <c r="F93" s="32">
        <f>21*0.00001</f>
        <v>2.1000000000000001E-4</v>
      </c>
      <c r="K93">
        <v>9.34</v>
      </c>
      <c r="N93" s="32">
        <f>187*0.00001</f>
        <v>1.8700000000000001E-3</v>
      </c>
      <c r="O93" s="32"/>
      <c r="S93" s="24">
        <v>22.483940042826553</v>
      </c>
      <c r="T93" s="24">
        <v>20.021413276231264</v>
      </c>
      <c r="U93" s="25">
        <f t="shared" si="9"/>
        <v>2.462526766595289</v>
      </c>
      <c r="V93" s="1">
        <f t="shared" si="11"/>
        <v>10.952380952380951</v>
      </c>
      <c r="W93" s="1">
        <f t="shared" si="10"/>
        <v>2.462526766595289</v>
      </c>
      <c r="DP93" s="22">
        <v>0</v>
      </c>
      <c r="DQ93">
        <v>1.21</v>
      </c>
      <c r="DS93" s="10">
        <v>23.15</v>
      </c>
      <c r="DT93" s="10">
        <v>4.630000114440918</v>
      </c>
      <c r="DU93" s="10">
        <v>5.5900001525878906</v>
      </c>
      <c r="DV93" s="10">
        <v>7.7684378623962402</v>
      </c>
      <c r="DX93" s="10">
        <v>32.0216064453125</v>
      </c>
      <c r="DY93" s="10">
        <v>28.549383163452148</v>
      </c>
      <c r="DZ93" s="10">
        <v>18.904321670532227</v>
      </c>
      <c r="EA93" s="10">
        <v>47.453704833984375</v>
      </c>
      <c r="EB93" s="10">
        <v>7.8086419105529785</v>
      </c>
      <c r="EC93" s="10">
        <v>12.716049194335938</v>
      </c>
      <c r="ED93" s="10">
        <v>20.524690628051758</v>
      </c>
      <c r="EE93" s="10">
        <v>0.72779804468154907</v>
      </c>
    </row>
    <row r="94" spans="1:135" ht="15" customHeight="1" x14ac:dyDescent="0.3">
      <c r="A94" s="32" t="s">
        <v>401</v>
      </c>
      <c r="F94" s="32">
        <f>304*0.00001</f>
        <v>3.0400000000000002E-3</v>
      </c>
      <c r="K94">
        <v>7.04</v>
      </c>
      <c r="N94" s="32">
        <f>262*0.00001</f>
        <v>2.6200000000000004E-3</v>
      </c>
      <c r="O94" s="32"/>
      <c r="S94" s="24">
        <v>43.181818181818187</v>
      </c>
      <c r="T94" s="24">
        <v>37.215909090909093</v>
      </c>
      <c r="U94" s="25">
        <f t="shared" si="9"/>
        <v>5.9659090909090935</v>
      </c>
      <c r="V94" s="1">
        <f t="shared" si="11"/>
        <v>13.815789473684214</v>
      </c>
      <c r="W94" s="1">
        <f t="shared" si="10"/>
        <v>5.9659090909090935</v>
      </c>
      <c r="DP94" s="22">
        <v>0</v>
      </c>
      <c r="DQ94">
        <v>0.91</v>
      </c>
      <c r="DS94" s="10">
        <v>19.86</v>
      </c>
      <c r="DT94" s="10">
        <v>3.9719998836517334</v>
      </c>
      <c r="DU94" s="10">
        <v>7.5199999809265137</v>
      </c>
      <c r="DV94" s="10">
        <v>12.98744010925293</v>
      </c>
      <c r="DX94" s="10">
        <v>34.706504821777344</v>
      </c>
      <c r="DY94" s="10">
        <v>9.4311151504516602</v>
      </c>
      <c r="DZ94" s="10">
        <v>7.1676473617553711</v>
      </c>
      <c r="EA94" s="10">
        <v>16.598762512207031</v>
      </c>
      <c r="EB94" s="10">
        <v>18.786781311035156</v>
      </c>
      <c r="EC94" s="10">
        <v>29.907953262329102</v>
      </c>
      <c r="ED94" s="10">
        <v>48.694732666015625</v>
      </c>
      <c r="EE94" s="10">
        <v>0.15830454230308533</v>
      </c>
    </row>
    <row r="95" spans="1:135" ht="15" customHeight="1" x14ac:dyDescent="0.3">
      <c r="A95" s="32" t="s">
        <v>402</v>
      </c>
      <c r="F95" s="32">
        <f>411*0.00001</f>
        <v>4.1099999999999999E-3</v>
      </c>
      <c r="K95">
        <v>8.3800000000000008</v>
      </c>
      <c r="N95" s="32">
        <f>356*0.00001</f>
        <v>3.5600000000000002E-3</v>
      </c>
      <c r="O95" s="32"/>
      <c r="S95" s="24">
        <v>49.045346062052502</v>
      </c>
      <c r="T95" s="24">
        <v>42.482100238663477</v>
      </c>
      <c r="U95" s="25">
        <f t="shared" si="9"/>
        <v>6.5632458233890247</v>
      </c>
      <c r="V95" s="1">
        <f t="shared" si="11"/>
        <v>13.381995133819959</v>
      </c>
      <c r="W95" s="1">
        <f t="shared" si="10"/>
        <v>6.5632458233890247</v>
      </c>
      <c r="DP95" s="22">
        <v>0</v>
      </c>
      <c r="DQ95">
        <v>1.21</v>
      </c>
      <c r="DS95" s="10">
        <v>20.69</v>
      </c>
      <c r="DT95" s="10">
        <v>4.1380000114440918</v>
      </c>
      <c r="DU95" s="10">
        <v>6.75</v>
      </c>
      <c r="DV95" s="10">
        <v>11.493959426879883</v>
      </c>
      <c r="DX95" s="10">
        <v>36.490802764892578</v>
      </c>
      <c r="DY95" s="10">
        <v>11.023262977600098</v>
      </c>
      <c r="DZ95" s="10">
        <v>7.6022500991821289</v>
      </c>
      <c r="EA95" s="10">
        <v>18.625513076782227</v>
      </c>
      <c r="EB95" s="10">
        <v>19.583396911621094</v>
      </c>
      <c r="EC95" s="10">
        <v>25.300289154052734</v>
      </c>
      <c r="ED95" s="10">
        <v>44.883686065673828</v>
      </c>
      <c r="EE95" s="10">
        <v>0.28555735945701599</v>
      </c>
    </row>
    <row r="96" spans="1:135" ht="15" customHeight="1" x14ac:dyDescent="0.3">
      <c r="A96" s="32" t="s">
        <v>403</v>
      </c>
      <c r="F96" s="32">
        <f>556*0.00001</f>
        <v>5.5600000000000007E-3</v>
      </c>
      <c r="K96">
        <v>8.4</v>
      </c>
      <c r="N96" s="32">
        <f>485*0.00001</f>
        <v>4.8500000000000001E-3</v>
      </c>
      <c r="O96" s="32"/>
      <c r="S96" s="24">
        <v>66.190476190476176</v>
      </c>
      <c r="T96" s="24">
        <v>57.738095238095241</v>
      </c>
      <c r="U96" s="25">
        <f t="shared" si="9"/>
        <v>8.4523809523809348</v>
      </c>
      <c r="V96" s="1">
        <f t="shared" si="11"/>
        <v>12.769784172661847</v>
      </c>
      <c r="W96" s="1">
        <f t="shared" si="10"/>
        <v>8.4523809523809348</v>
      </c>
      <c r="DP96" s="22">
        <v>0</v>
      </c>
      <c r="DQ96">
        <v>1.17</v>
      </c>
      <c r="DS96" s="10">
        <v>24.86</v>
      </c>
      <c r="DT96" s="10">
        <v>4.9720001220703125</v>
      </c>
      <c r="DU96" s="10">
        <v>6.309999942779541</v>
      </c>
      <c r="DV96" s="10">
        <v>14.943689346313477</v>
      </c>
      <c r="DX96" s="10">
        <v>34.278232574462891</v>
      </c>
      <c r="DY96" s="10">
        <v>11.554459571838379</v>
      </c>
      <c r="DZ96" s="10">
        <v>6.932675838470459</v>
      </c>
      <c r="EA96" s="10">
        <v>18.48713493347168</v>
      </c>
      <c r="EB96" s="10">
        <v>18.471729278564453</v>
      </c>
      <c r="EC96" s="10">
        <v>28.762903213500977</v>
      </c>
      <c r="ED96" s="10">
        <v>47.234634399414063</v>
      </c>
      <c r="EE96" s="10">
        <v>0.26823419332504272</v>
      </c>
    </row>
    <row r="97" spans="1:135" ht="15" customHeight="1" x14ac:dyDescent="0.3">
      <c r="A97" s="32" t="s">
        <v>404</v>
      </c>
      <c r="F97" s="32">
        <f>942*0.00001</f>
        <v>9.4200000000000013E-3</v>
      </c>
      <c r="K97">
        <v>8.4499999999999993</v>
      </c>
      <c r="N97" s="32">
        <f>822*0.00001</f>
        <v>8.2199999999999999E-3</v>
      </c>
      <c r="O97" s="32"/>
      <c r="S97" s="24">
        <v>111.47928994082842</v>
      </c>
      <c r="T97" s="24">
        <v>97.278106508875752</v>
      </c>
      <c r="U97" s="25">
        <f t="shared" si="9"/>
        <v>14.201183431952671</v>
      </c>
      <c r="V97" s="1">
        <f t="shared" si="11"/>
        <v>12.738853503184719</v>
      </c>
      <c r="W97" s="1">
        <f t="shared" si="10"/>
        <v>14.201183431952671</v>
      </c>
      <c r="DP97" s="22">
        <v>0</v>
      </c>
      <c r="DQ97">
        <v>1.27</v>
      </c>
      <c r="DS97" s="10">
        <v>32.729999999999997</v>
      </c>
      <c r="DT97" s="10">
        <v>6.5460000038146973</v>
      </c>
      <c r="DU97" s="10">
        <v>7.1999998092651367</v>
      </c>
      <c r="DV97" s="10">
        <v>17.414794921875</v>
      </c>
      <c r="DX97" s="10">
        <v>39.000946044921875</v>
      </c>
      <c r="DY97" s="10">
        <v>13.000314712524414</v>
      </c>
      <c r="DZ97" s="10">
        <v>7.4850301742553711</v>
      </c>
      <c r="EA97" s="10">
        <v>20.485343933105469</v>
      </c>
      <c r="EB97" s="10">
        <v>20.170185089111328</v>
      </c>
      <c r="EC97" s="10">
        <v>20.343523025512695</v>
      </c>
      <c r="ED97" s="10">
        <v>40.513710021972656</v>
      </c>
      <c r="EE97" s="10">
        <v>0.20041759312152863</v>
      </c>
    </row>
    <row r="98" spans="1:135" ht="15" customHeight="1" x14ac:dyDescent="0.3">
      <c r="A98" s="32" t="s">
        <v>405</v>
      </c>
      <c r="F98" s="32">
        <f>469*0.00001</f>
        <v>4.6900000000000006E-3</v>
      </c>
      <c r="K98">
        <v>7.52</v>
      </c>
      <c r="N98" s="32">
        <f>407*0.00001</f>
        <v>4.0700000000000007E-3</v>
      </c>
      <c r="O98" s="32"/>
      <c r="S98" s="24">
        <v>62.367021276595757</v>
      </c>
      <c r="T98" s="24">
        <v>54.122340425531924</v>
      </c>
      <c r="U98" s="25">
        <f t="shared" si="9"/>
        <v>8.2446808510638334</v>
      </c>
      <c r="V98" s="1">
        <f t="shared" si="11"/>
        <v>13.219616204690835</v>
      </c>
      <c r="W98" s="1">
        <f t="shared" si="10"/>
        <v>8.2446808510638334</v>
      </c>
      <c r="DP98" s="22">
        <v>0</v>
      </c>
      <c r="DQ98">
        <v>1.1200000000000001</v>
      </c>
      <c r="DS98" s="10">
        <v>27.09</v>
      </c>
      <c r="DT98" s="10">
        <v>5.4180002212524414</v>
      </c>
      <c r="DU98" s="10">
        <v>6.880000114440918</v>
      </c>
      <c r="DV98" s="10">
        <v>15.253698348999023</v>
      </c>
      <c r="DX98" s="10">
        <v>29.956426620483398</v>
      </c>
      <c r="DY98" s="10">
        <v>11.671335220336914</v>
      </c>
      <c r="DZ98" s="10">
        <v>8.5589790344238281</v>
      </c>
      <c r="EA98" s="10">
        <v>20.230314254760742</v>
      </c>
      <c r="EB98" s="10">
        <v>23.015872955322266</v>
      </c>
      <c r="EC98" s="10">
        <v>26.797386169433594</v>
      </c>
      <c r="ED98" s="10">
        <v>49.813259124755859</v>
      </c>
      <c r="EE98" s="10">
        <v>0.28437429666519165</v>
      </c>
    </row>
    <row r="99" spans="1:135" ht="15" customHeight="1" x14ac:dyDescent="0.3">
      <c r="A99" s="32" t="s">
        <v>406</v>
      </c>
      <c r="F99" s="32">
        <f>519*0.00001</f>
        <v>5.1900000000000002E-3</v>
      </c>
      <c r="K99">
        <v>7.1300000000000008</v>
      </c>
      <c r="N99" s="32">
        <f>446*0.00001</f>
        <v>4.4600000000000004E-3</v>
      </c>
      <c r="O99" s="32"/>
      <c r="S99" s="24">
        <v>72.791023842917255</v>
      </c>
      <c r="T99" s="24">
        <v>62.552594670406734</v>
      </c>
      <c r="U99" s="25">
        <f t="shared" si="9"/>
        <v>10.238429172510521</v>
      </c>
      <c r="V99" s="1">
        <f t="shared" si="11"/>
        <v>14.065510597302506</v>
      </c>
      <c r="W99" s="1">
        <f t="shared" si="10"/>
        <v>10.238429172510521</v>
      </c>
      <c r="DP99" s="22">
        <v>0</v>
      </c>
      <c r="DQ99">
        <v>1.47</v>
      </c>
      <c r="DS99" s="10">
        <v>23.08</v>
      </c>
      <c r="DT99" s="10">
        <v>4.6160001754760742</v>
      </c>
      <c r="DU99" s="10">
        <v>6.8299999237060547</v>
      </c>
      <c r="DV99" s="10">
        <v>13.432842254638672</v>
      </c>
      <c r="DX99" s="10">
        <v>37.655281066894531</v>
      </c>
      <c r="DY99" s="10">
        <v>10.481366157531738</v>
      </c>
      <c r="DZ99" s="10">
        <v>6.9875774383544922</v>
      </c>
      <c r="EA99" s="10">
        <v>17.468944549560547</v>
      </c>
      <c r="EB99" s="10">
        <v>18.198757171630859</v>
      </c>
      <c r="EC99" s="10">
        <v>26.677019119262695</v>
      </c>
      <c r="ED99" s="10">
        <v>44.875778198242188</v>
      </c>
      <c r="EE99" s="10">
        <v>0.25010630488395691</v>
      </c>
    </row>
    <row r="100" spans="1:135" ht="15" customHeight="1" x14ac:dyDescent="0.3">
      <c r="A100" s="32" t="s">
        <v>407</v>
      </c>
      <c r="F100" s="32">
        <f>787*0.00001</f>
        <v>7.8700000000000003E-3</v>
      </c>
      <c r="K100">
        <v>7.1300000000000008</v>
      </c>
      <c r="N100" s="32">
        <f>693*0.00001</f>
        <v>6.9300000000000004E-3</v>
      </c>
      <c r="O100" s="32"/>
      <c r="S100" s="24">
        <v>110.37868162692845</v>
      </c>
      <c r="T100" s="24">
        <v>97.194950911640959</v>
      </c>
      <c r="U100" s="25">
        <f t="shared" si="9"/>
        <v>13.183730715287496</v>
      </c>
      <c r="V100" s="1">
        <f t="shared" si="11"/>
        <v>11.944091486658177</v>
      </c>
      <c r="W100" s="1">
        <f t="shared" si="10"/>
        <v>13.183730715287496</v>
      </c>
      <c r="DP100" s="22">
        <v>0</v>
      </c>
      <c r="DQ100">
        <v>1.26</v>
      </c>
      <c r="DS100" s="10">
        <v>27.68</v>
      </c>
      <c r="DT100" s="10">
        <v>5.5359997749328613</v>
      </c>
      <c r="DU100" s="10">
        <v>7.0900001525878906</v>
      </c>
      <c r="DV100" s="10">
        <v>17.378421783447266</v>
      </c>
      <c r="DX100" s="10">
        <v>35.460994720458984</v>
      </c>
      <c r="DY100" s="10">
        <v>16.154453277587891</v>
      </c>
      <c r="DZ100" s="10">
        <v>7.092198371887207</v>
      </c>
      <c r="EA100" s="10">
        <v>23.246650695800781</v>
      </c>
      <c r="EB100" s="10">
        <v>15.161544799804688</v>
      </c>
      <c r="EC100" s="10">
        <v>26.13081169128418</v>
      </c>
      <c r="ED100" s="10">
        <v>41.2923583984375</v>
      </c>
      <c r="EE100" s="10">
        <v>0.30737441778182983</v>
      </c>
    </row>
    <row r="101" spans="1:135" ht="15" customHeight="1" x14ac:dyDescent="0.3">
      <c r="A101" s="32" t="s">
        <v>408</v>
      </c>
      <c r="F101" s="32">
        <f>486*0.00001</f>
        <v>4.8600000000000006E-3</v>
      </c>
      <c r="K101">
        <v>6.73</v>
      </c>
      <c r="N101" s="32">
        <f>424*0.00001</f>
        <v>4.2400000000000007E-3</v>
      </c>
      <c r="O101" s="32"/>
      <c r="S101" s="24">
        <v>72.213967310549762</v>
      </c>
      <c r="T101" s="24">
        <v>63.001485884101029</v>
      </c>
      <c r="U101" s="25">
        <f t="shared" si="9"/>
        <v>9.2124814264487327</v>
      </c>
      <c r="V101" s="1">
        <f t="shared" si="11"/>
        <v>12.757201646090532</v>
      </c>
      <c r="W101" s="1">
        <f t="shared" si="10"/>
        <v>9.2124814264487327</v>
      </c>
      <c r="DP101" s="22">
        <v>0</v>
      </c>
      <c r="DQ101">
        <v>1.49</v>
      </c>
      <c r="DS101" s="10">
        <v>20.67</v>
      </c>
      <c r="DT101" s="10">
        <v>4.1339998245239258</v>
      </c>
      <c r="DU101" s="10">
        <v>6.4000000953674316</v>
      </c>
      <c r="DV101" s="10">
        <v>10.492758750915527</v>
      </c>
      <c r="DX101" s="10">
        <v>22.668882369995117</v>
      </c>
      <c r="DY101" s="10">
        <v>17.379476547241211</v>
      </c>
      <c r="DZ101" s="10">
        <v>8.3119239807128906</v>
      </c>
      <c r="EA101" s="10">
        <v>25.691400527954102</v>
      </c>
      <c r="EB101" s="10">
        <v>19.283662796020508</v>
      </c>
      <c r="EC101" s="10">
        <v>32.356052398681641</v>
      </c>
      <c r="ED101" s="10">
        <v>51.639717102050781</v>
      </c>
      <c r="EE101" s="10">
        <v>0.50466680526733398</v>
      </c>
    </row>
    <row r="102" spans="1:135" ht="15" customHeight="1" x14ac:dyDescent="0.3">
      <c r="A102" s="32" t="s">
        <v>409</v>
      </c>
      <c r="F102" s="32">
        <f>634*0.00001</f>
        <v>6.3400000000000001E-3</v>
      </c>
      <c r="K102">
        <v>8.81</v>
      </c>
      <c r="N102" s="32">
        <f>545*0.00001</f>
        <v>5.4500000000000009E-3</v>
      </c>
      <c r="O102" s="32"/>
      <c r="S102" s="24">
        <v>71.963677639046537</v>
      </c>
      <c r="T102" s="24">
        <v>61.861520998864918</v>
      </c>
      <c r="U102" s="25">
        <f t="shared" si="9"/>
        <v>10.102156640181619</v>
      </c>
      <c r="V102" s="1">
        <f t="shared" si="11"/>
        <v>14.037854889589916</v>
      </c>
      <c r="W102" s="1">
        <f t="shared" si="10"/>
        <v>10.102156640181619</v>
      </c>
      <c r="DP102" s="22">
        <v>0</v>
      </c>
      <c r="DQ102">
        <v>1.38</v>
      </c>
      <c r="DS102" s="10">
        <v>17.72</v>
      </c>
      <c r="DT102" s="10">
        <v>3.5439999103546143</v>
      </c>
      <c r="DU102" s="10">
        <v>6.570000171661377</v>
      </c>
      <c r="DV102" s="10">
        <v>10.492758750915527</v>
      </c>
      <c r="DX102" s="10">
        <v>46.331748962402344</v>
      </c>
      <c r="DY102" s="10">
        <v>8.423954963684082</v>
      </c>
      <c r="DZ102" s="10">
        <v>8.0410480499267578</v>
      </c>
      <c r="EA102" s="10">
        <v>16.465003967285156</v>
      </c>
      <c r="EB102" s="10">
        <v>20.018379211425781</v>
      </c>
      <c r="EC102" s="10">
        <v>17.184867858886719</v>
      </c>
      <c r="ED102" s="10">
        <v>37.2032470703125</v>
      </c>
      <c r="EE102" s="10">
        <v>0.22827835381031036</v>
      </c>
    </row>
    <row r="103" spans="1:135" ht="15" customHeight="1" x14ac:dyDescent="0.3">
      <c r="A103" s="32" t="s">
        <v>410</v>
      </c>
      <c r="F103" s="32">
        <f>357*0.00001</f>
        <v>3.5700000000000003E-3</v>
      </c>
      <c r="K103">
        <v>7.73</v>
      </c>
      <c r="N103" s="32">
        <f>309*0.00001</f>
        <v>3.0900000000000003E-3</v>
      </c>
      <c r="O103" s="32"/>
      <c r="S103" s="24">
        <v>46.183699870633895</v>
      </c>
      <c r="T103" s="24">
        <v>39.974126778783948</v>
      </c>
      <c r="U103" s="25">
        <f t="shared" si="9"/>
        <v>6.209573091849947</v>
      </c>
      <c r="V103" s="1">
        <f t="shared" si="11"/>
        <v>13.445378151260531</v>
      </c>
      <c r="W103" s="1">
        <f t="shared" si="10"/>
        <v>6.209573091849947</v>
      </c>
      <c r="DP103" s="22">
        <v>0</v>
      </c>
      <c r="DQ103">
        <v>1.36</v>
      </c>
      <c r="DS103" s="10">
        <v>17.579999999999998</v>
      </c>
      <c r="DT103" s="10">
        <v>3.5160000324249268</v>
      </c>
      <c r="DU103" s="10">
        <v>6.869999885559082</v>
      </c>
      <c r="DV103" s="10">
        <v>11.706246376037598</v>
      </c>
      <c r="DX103" s="10">
        <v>30.793796539306641</v>
      </c>
      <c r="DY103" s="10">
        <v>9.5042581558227539</v>
      </c>
      <c r="DZ103" s="10">
        <v>7.6034064292907715</v>
      </c>
      <c r="EA103" s="10">
        <v>17.107664108276367</v>
      </c>
      <c r="EB103" s="10">
        <v>22.004257202148438</v>
      </c>
      <c r="EC103" s="10">
        <v>30.094282150268555</v>
      </c>
      <c r="ED103" s="10">
        <v>52.098541259765625</v>
      </c>
      <c r="EE103" s="10">
        <v>0.3026200532913208</v>
      </c>
    </row>
    <row r="104" spans="1:135" ht="15" customHeight="1" x14ac:dyDescent="0.3">
      <c r="A104" s="32" t="s">
        <v>411</v>
      </c>
      <c r="F104" s="32">
        <f>488*0.00001</f>
        <v>4.8800000000000007E-3</v>
      </c>
      <c r="K104">
        <v>7.02</v>
      </c>
      <c r="N104" s="32">
        <f>418*0.00001</f>
        <v>4.1800000000000006E-3</v>
      </c>
      <c r="O104" s="32"/>
      <c r="S104" s="24">
        <v>69.515669515669529</v>
      </c>
      <c r="T104" s="24">
        <v>59.544159544159548</v>
      </c>
      <c r="U104" s="25">
        <f t="shared" si="9"/>
        <v>9.9715099715099811</v>
      </c>
      <c r="V104" s="1">
        <f t="shared" si="11"/>
        <v>14.344262295081979</v>
      </c>
      <c r="W104" s="1">
        <f t="shared" si="10"/>
        <v>9.9715099715099811</v>
      </c>
      <c r="DP104" s="22">
        <v>0</v>
      </c>
      <c r="DQ104">
        <v>1.27</v>
      </c>
      <c r="DS104" s="10">
        <v>30</v>
      </c>
      <c r="DT104" s="10">
        <v>6</v>
      </c>
      <c r="DU104" s="10">
        <v>6.630000114440918</v>
      </c>
      <c r="DV104" s="10">
        <v>14.497559547424316</v>
      </c>
      <c r="DX104" s="10">
        <v>35.305194854736328</v>
      </c>
      <c r="DY104" s="10">
        <v>10.591558456420898</v>
      </c>
      <c r="DZ104" s="10">
        <v>7.4533185958862305</v>
      </c>
      <c r="EA104" s="10">
        <v>18.044876098632813</v>
      </c>
      <c r="EB104" s="10">
        <v>19.331554412841797</v>
      </c>
      <c r="EC104" s="10">
        <v>27.318374633789063</v>
      </c>
      <c r="ED104" s="10">
        <v>46.649929046630859</v>
      </c>
      <c r="EE104" s="10">
        <v>0.22535316646099091</v>
      </c>
    </row>
    <row r="105" spans="1:135" ht="15" customHeight="1" x14ac:dyDescent="0.3">
      <c r="A105" s="32" t="s">
        <v>412</v>
      </c>
      <c r="F105" s="32">
        <f>244*0.00001</f>
        <v>2.4400000000000003E-3</v>
      </c>
      <c r="K105">
        <v>8.5400000000000009</v>
      </c>
      <c r="N105" s="32">
        <f>213*0.00001</f>
        <v>2.1300000000000004E-3</v>
      </c>
      <c r="O105" s="32"/>
      <c r="S105" s="24">
        <v>28.571428571428566</v>
      </c>
      <c r="T105" s="24">
        <v>24.941451990632316</v>
      </c>
      <c r="U105" s="25">
        <f t="shared" si="9"/>
        <v>3.6299765807962494</v>
      </c>
      <c r="V105" s="1">
        <f t="shared" si="11"/>
        <v>12.704918032786876</v>
      </c>
      <c r="W105" s="1">
        <f t="shared" si="10"/>
        <v>3.6299765807962494</v>
      </c>
      <c r="DP105" s="22">
        <v>0</v>
      </c>
      <c r="DQ105">
        <v>1.21</v>
      </c>
      <c r="DS105" s="10">
        <v>20.64</v>
      </c>
      <c r="DT105" s="10">
        <v>4.1279997825622559</v>
      </c>
      <c r="DU105" s="10">
        <v>7.179999828338623</v>
      </c>
      <c r="DV105" s="10">
        <v>11.493959426879883</v>
      </c>
      <c r="DX105" s="10">
        <v>25.792747497558594</v>
      </c>
      <c r="DY105" s="10">
        <v>7.9654073715209961</v>
      </c>
      <c r="DZ105" s="10">
        <v>7.5861024856567383</v>
      </c>
      <c r="EA105" s="10">
        <v>15.551509857177734</v>
      </c>
      <c r="EB105" s="10">
        <v>19.450765609741211</v>
      </c>
      <c r="EC105" s="10">
        <v>39.204975128173828</v>
      </c>
      <c r="ED105" s="10">
        <v>58.655738830566406</v>
      </c>
      <c r="EE105" s="10">
        <v>0.2269635945558548</v>
      </c>
    </row>
    <row r="106" spans="1:135" ht="15" customHeight="1" x14ac:dyDescent="0.3">
      <c r="A106" s="32" t="s">
        <v>413</v>
      </c>
      <c r="F106" s="32">
        <f>427*0.00001</f>
        <v>4.2700000000000004E-3</v>
      </c>
      <c r="K106">
        <v>7.3000000000000007</v>
      </c>
      <c r="N106" s="32">
        <f>378*0.00001</f>
        <v>3.7800000000000004E-3</v>
      </c>
      <c r="O106" s="32"/>
      <c r="S106" s="24">
        <v>58.493150684931507</v>
      </c>
      <c r="T106" s="24">
        <v>51.780821917808211</v>
      </c>
      <c r="U106" s="25">
        <f t="shared" si="9"/>
        <v>6.7123287671232958</v>
      </c>
      <c r="V106" s="1">
        <f t="shared" si="11"/>
        <v>11.475409836065587</v>
      </c>
      <c r="W106" s="1">
        <f t="shared" si="10"/>
        <v>6.7123287671232958</v>
      </c>
      <c r="DP106" s="22">
        <v>0</v>
      </c>
      <c r="DQ106">
        <v>1.38</v>
      </c>
      <c r="DS106" s="10">
        <v>16.87</v>
      </c>
      <c r="DT106" s="10">
        <v>3.374000072479248</v>
      </c>
      <c r="DU106" s="10">
        <v>6.6599998474121094</v>
      </c>
      <c r="DV106" s="10">
        <v>11.493959426879883</v>
      </c>
      <c r="DX106" s="10">
        <v>47.826751708984375</v>
      </c>
      <c r="DY106" s="10">
        <v>13.391490936279297</v>
      </c>
      <c r="DZ106" s="10">
        <v>4.5913681983947754</v>
      </c>
      <c r="EA106" s="10">
        <v>17.982858657836914</v>
      </c>
      <c r="EB106" s="10">
        <v>13.712886810302734</v>
      </c>
      <c r="EC106" s="10">
        <v>20.477502822875977</v>
      </c>
      <c r="ED106" s="10">
        <v>34.190391540527344</v>
      </c>
      <c r="EE106" s="10">
        <v>0.28848472237586975</v>
      </c>
    </row>
    <row r="107" spans="1:135" ht="15" customHeight="1" x14ac:dyDescent="0.3">
      <c r="A107" s="32" t="s">
        <v>414</v>
      </c>
      <c r="F107" s="32">
        <f>198*0.00001</f>
        <v>1.98E-3</v>
      </c>
      <c r="K107">
        <v>7.09</v>
      </c>
      <c r="N107" s="32">
        <f>171*0.00001</f>
        <v>1.7100000000000001E-3</v>
      </c>
      <c r="O107" s="32"/>
      <c r="S107" s="24">
        <v>27.926657263751764</v>
      </c>
      <c r="T107" s="24">
        <v>24.118476727785616</v>
      </c>
      <c r="U107" s="25">
        <f t="shared" si="9"/>
        <v>3.808180535966148</v>
      </c>
      <c r="V107" s="1">
        <f t="shared" si="11"/>
        <v>13.63636363636363</v>
      </c>
      <c r="W107" s="1">
        <f t="shared" si="10"/>
        <v>3.808180535966148</v>
      </c>
      <c r="DP107" s="22">
        <v>0</v>
      </c>
      <c r="DQ107">
        <v>1.41</v>
      </c>
      <c r="DS107" s="10">
        <v>12.44</v>
      </c>
      <c r="DT107" s="10">
        <v>2.4879999160766602</v>
      </c>
      <c r="DU107" s="10">
        <v>6.8899998664855957</v>
      </c>
      <c r="DV107" s="10">
        <v>7.5552067756652832</v>
      </c>
      <c r="DX107" s="10">
        <v>32.775768280029297</v>
      </c>
      <c r="DY107" s="10">
        <v>10.17179012298584</v>
      </c>
      <c r="DZ107" s="10">
        <v>10.17179012298584</v>
      </c>
      <c r="EA107" s="10">
        <v>20.34358024597168</v>
      </c>
      <c r="EB107" s="10">
        <v>21.910789489746094</v>
      </c>
      <c r="EC107" s="10">
        <v>24.96986198425293</v>
      </c>
      <c r="ED107" s="10">
        <v>46.880653381347656</v>
      </c>
      <c r="EE107" s="10">
        <v>0.39695122838020325</v>
      </c>
    </row>
    <row r="108" spans="1:135" ht="15" customHeight="1" x14ac:dyDescent="0.3">
      <c r="A108" s="32" t="s">
        <v>415</v>
      </c>
      <c r="F108" s="32">
        <f>364*0.00001</f>
        <v>3.6400000000000004E-3</v>
      </c>
      <c r="K108">
        <v>6.84</v>
      </c>
      <c r="N108" s="32">
        <f>323*0.00001</f>
        <v>3.2300000000000002E-3</v>
      </c>
      <c r="O108" s="32"/>
      <c r="S108" s="24">
        <v>53.216374269005847</v>
      </c>
      <c r="T108" s="24">
        <v>47.222222222222221</v>
      </c>
      <c r="U108" s="25">
        <f t="shared" si="9"/>
        <v>5.9941520467836256</v>
      </c>
      <c r="V108" s="1">
        <f t="shared" si="11"/>
        <v>11.263736263736263</v>
      </c>
      <c r="W108" s="1">
        <f t="shared" si="10"/>
        <v>5.9941520467836256</v>
      </c>
      <c r="DP108" s="22">
        <v>0</v>
      </c>
      <c r="DQ108">
        <v>1.45</v>
      </c>
      <c r="DS108" s="10">
        <v>8.15</v>
      </c>
      <c r="DT108" s="10">
        <v>1.6299999952316284</v>
      </c>
      <c r="DU108" s="10">
        <v>6.3000001907348633</v>
      </c>
      <c r="DV108" s="10">
        <v>5.5342597961425781</v>
      </c>
      <c r="DX108" s="10">
        <v>31.20356559753418</v>
      </c>
      <c r="DY108" s="10">
        <v>10.401188850402832</v>
      </c>
      <c r="DZ108" s="10">
        <v>8.1723623275756836</v>
      </c>
      <c r="EA108" s="10">
        <v>18.573551177978516</v>
      </c>
      <c r="EB108" s="10">
        <v>19.925704956054688</v>
      </c>
      <c r="EC108" s="10">
        <v>30.297176361083984</v>
      </c>
      <c r="ED108" s="10">
        <v>50.222881317138672</v>
      </c>
      <c r="EE108" s="10">
        <v>0.45746159553527832</v>
      </c>
    </row>
    <row r="109" spans="1:135" ht="15" customHeight="1" x14ac:dyDescent="0.3">
      <c r="A109" s="32" t="s">
        <v>416</v>
      </c>
      <c r="F109" s="32">
        <f>195*0.00001</f>
        <v>1.9500000000000001E-3</v>
      </c>
      <c r="K109">
        <v>7.74</v>
      </c>
      <c r="N109" s="32">
        <f>169*0.00001</f>
        <v>1.6900000000000001E-3</v>
      </c>
      <c r="O109" s="32"/>
      <c r="S109" s="24">
        <v>25.193798449612402</v>
      </c>
      <c r="T109" s="24">
        <v>21.834625322997415</v>
      </c>
      <c r="U109" s="25">
        <f t="shared" si="9"/>
        <v>3.3591731266149871</v>
      </c>
      <c r="V109" s="1">
        <f t="shared" si="11"/>
        <v>13.333333333333336</v>
      </c>
      <c r="W109" s="1">
        <f t="shared" si="10"/>
        <v>3.3591731266149871</v>
      </c>
      <c r="DP109" s="22">
        <v>0</v>
      </c>
      <c r="DQ109">
        <v>1.21</v>
      </c>
      <c r="DS109" s="10">
        <v>9.69</v>
      </c>
      <c r="DT109" s="10">
        <v>1.937999963760376</v>
      </c>
      <c r="DU109" s="10">
        <v>6.4200000762939453</v>
      </c>
      <c r="DV109" s="10">
        <v>6.0367536544799805</v>
      </c>
      <c r="DX109" s="10">
        <v>25.830257415771484</v>
      </c>
      <c r="DY109" s="10">
        <v>8.1180810928344727</v>
      </c>
      <c r="DZ109" s="10">
        <v>6.2730627059936523</v>
      </c>
      <c r="EA109" s="10">
        <v>14.391143798828125</v>
      </c>
      <c r="EB109" s="10">
        <v>14.553505897521973</v>
      </c>
      <c r="EC109" s="10">
        <v>45.225093841552734</v>
      </c>
      <c r="ED109" s="10">
        <v>59.778598785400391</v>
      </c>
      <c r="EE109" s="10">
        <v>0.37340903282165527</v>
      </c>
    </row>
    <row r="110" spans="1:135" ht="15" customHeight="1" x14ac:dyDescent="0.3">
      <c r="A110" s="32" t="s">
        <v>417</v>
      </c>
      <c r="F110" s="32">
        <f>165*0.00001</f>
        <v>1.6500000000000002E-3</v>
      </c>
      <c r="K110">
        <v>6.5399999999999991</v>
      </c>
      <c r="N110" s="32">
        <f>145*0.00001</f>
        <v>1.4500000000000001E-3</v>
      </c>
      <c r="O110" s="32"/>
      <c r="S110" s="24">
        <v>25.229357798165143</v>
      </c>
      <c r="T110" s="24">
        <v>22.171253822629971</v>
      </c>
      <c r="U110" s="25">
        <f t="shared" si="9"/>
        <v>3.0581039755351718</v>
      </c>
      <c r="V110" s="1">
        <f t="shared" si="11"/>
        <v>12.121212121212134</v>
      </c>
      <c r="W110" s="1">
        <f t="shared" si="10"/>
        <v>3.0581039755351718</v>
      </c>
      <c r="DP110" s="22">
        <v>0</v>
      </c>
      <c r="DQ110">
        <v>1.56</v>
      </c>
      <c r="DS110" s="10">
        <v>6.41</v>
      </c>
      <c r="DT110" s="10">
        <v>1.281999945640564</v>
      </c>
      <c r="DU110" s="10">
        <v>5.4899997711181641</v>
      </c>
      <c r="DV110" s="10">
        <v>1.5702149868011475</v>
      </c>
      <c r="DX110" s="10">
        <v>21.307861328125</v>
      </c>
      <c r="DY110" s="10">
        <v>7.3475384712219238</v>
      </c>
      <c r="DZ110" s="10">
        <v>8.4496688842773438</v>
      </c>
      <c r="EA110" s="10">
        <v>15.797206878662109</v>
      </c>
      <c r="EB110" s="10">
        <v>25.290227890014648</v>
      </c>
      <c r="EC110" s="10">
        <v>37.604701995849609</v>
      </c>
      <c r="ED110" s="10">
        <v>62.894927978515625</v>
      </c>
      <c r="EE110" s="10">
        <v>0.5086330771446228</v>
      </c>
    </row>
    <row r="111" spans="1:135" ht="15" customHeight="1" x14ac:dyDescent="0.3">
      <c r="A111" s="32" t="s">
        <v>418</v>
      </c>
      <c r="F111" s="32">
        <f>224*0.00001</f>
        <v>2.2400000000000002E-3</v>
      </c>
      <c r="K111">
        <v>7.3599999999999994</v>
      </c>
      <c r="N111" s="32">
        <f>197*0.00001</f>
        <v>1.97E-3</v>
      </c>
      <c r="O111" s="32"/>
      <c r="S111" s="24">
        <v>30.434782608695649</v>
      </c>
      <c r="T111" s="24">
        <v>26.766304347826086</v>
      </c>
      <c r="U111" s="25">
        <f t="shared" si="9"/>
        <v>3.6684782608695627</v>
      </c>
      <c r="V111" s="1">
        <f t="shared" si="11"/>
        <v>12.053571428571422</v>
      </c>
      <c r="W111" s="1">
        <f t="shared" si="10"/>
        <v>3.6684782608695627</v>
      </c>
      <c r="DP111" s="22">
        <v>0</v>
      </c>
      <c r="DQ111">
        <v>1</v>
      </c>
      <c r="DS111" s="10">
        <v>25.85</v>
      </c>
      <c r="DT111" s="10">
        <v>5.1700000762939453</v>
      </c>
      <c r="DU111" s="10">
        <v>6.2100000381469727</v>
      </c>
      <c r="DV111" s="10">
        <v>9.6048669815063477</v>
      </c>
      <c r="DX111" s="10">
        <v>28.521448135375977</v>
      </c>
      <c r="DY111" s="10">
        <v>9.8874349594116211</v>
      </c>
      <c r="DZ111" s="10">
        <v>7.6057195663452148</v>
      </c>
      <c r="EA111" s="10">
        <v>17.493154525756836</v>
      </c>
      <c r="EB111" s="10">
        <v>13.401277542114258</v>
      </c>
      <c r="EC111" s="10">
        <v>40.584117889404297</v>
      </c>
      <c r="ED111" s="10">
        <v>53.985397338867188</v>
      </c>
      <c r="EE111" s="10">
        <v>0.25598442554473877</v>
      </c>
    </row>
    <row r="112" spans="1:135" ht="15" customHeight="1" x14ac:dyDescent="0.3">
      <c r="A112" s="32" t="s">
        <v>419</v>
      </c>
      <c r="F112" s="32">
        <f>247*0.00001</f>
        <v>2.4700000000000004E-3</v>
      </c>
      <c r="K112">
        <v>7.02</v>
      </c>
      <c r="N112" s="32">
        <f>217*0.00001</f>
        <v>2.1700000000000001E-3</v>
      </c>
      <c r="O112" s="32"/>
      <c r="S112" s="24">
        <v>35.185185185185183</v>
      </c>
      <c r="T112" s="24">
        <v>30.911680911680911</v>
      </c>
      <c r="U112" s="25">
        <f t="shared" si="9"/>
        <v>4.2735042735042725</v>
      </c>
      <c r="V112" s="1">
        <f t="shared" si="11"/>
        <v>12.145748987854249</v>
      </c>
      <c r="W112" s="1">
        <f t="shared" si="10"/>
        <v>4.2735042735042725</v>
      </c>
      <c r="DP112" s="22">
        <v>0</v>
      </c>
      <c r="DQ112">
        <v>1.43</v>
      </c>
      <c r="DS112" s="10">
        <v>14.36</v>
      </c>
      <c r="DT112" s="10">
        <v>2.871999979019165</v>
      </c>
      <c r="DU112" s="10">
        <v>6.5399999618530273</v>
      </c>
      <c r="DV112" s="10">
        <v>8.4903593063354492</v>
      </c>
      <c r="DX112" s="10">
        <v>41.935001373291016</v>
      </c>
      <c r="DY112" s="10">
        <v>12.35584831237793</v>
      </c>
      <c r="DZ112" s="10">
        <v>8.2372322082519531</v>
      </c>
      <c r="EA112" s="10">
        <v>20.593080520629883</v>
      </c>
      <c r="EB112" s="10">
        <v>13.658828735351563</v>
      </c>
      <c r="EC112" s="10">
        <v>23.813089370727539</v>
      </c>
      <c r="ED112" s="10">
        <v>37.471916198730469</v>
      </c>
      <c r="EE112" s="10">
        <v>0.34975156188011169</v>
      </c>
    </row>
    <row r="113" spans="1:135" ht="15" customHeight="1" x14ac:dyDescent="0.3">
      <c r="A113" s="32" t="s">
        <v>420</v>
      </c>
      <c r="F113" s="32">
        <f>321*0.00001</f>
        <v>3.2100000000000002E-3</v>
      </c>
      <c r="K113">
        <v>7.2800000000000011</v>
      </c>
      <c r="N113" s="32">
        <f>275*0.00001</f>
        <v>2.7500000000000003E-3</v>
      </c>
      <c r="O113" s="32"/>
      <c r="S113" s="24">
        <v>44.093406593406584</v>
      </c>
      <c r="T113" s="24">
        <v>37.77472527472527</v>
      </c>
      <c r="U113" s="25">
        <f t="shared" si="9"/>
        <v>6.318681318681314</v>
      </c>
      <c r="V113" s="1">
        <f t="shared" si="11"/>
        <v>14.330218068535817</v>
      </c>
      <c r="W113" s="1">
        <f t="shared" si="10"/>
        <v>6.318681318681314</v>
      </c>
      <c r="DP113" s="22">
        <v>0</v>
      </c>
      <c r="DQ113">
        <v>1.46</v>
      </c>
      <c r="DS113" s="10">
        <v>10.85</v>
      </c>
      <c r="DT113" s="10">
        <v>2.1700000762939453</v>
      </c>
      <c r="DU113" s="10">
        <v>6.3600001335144043</v>
      </c>
      <c r="DV113" s="10">
        <v>5.9103217124938965</v>
      </c>
      <c r="DX113" s="10">
        <v>34.758953094482422</v>
      </c>
      <c r="DY113" s="10">
        <v>6.8006649017333984</v>
      </c>
      <c r="DZ113" s="10">
        <v>7.1784796714782715</v>
      </c>
      <c r="EA113" s="10">
        <v>13.979145050048828</v>
      </c>
      <c r="EB113" s="10">
        <v>22.729333877563477</v>
      </c>
      <c r="EC113" s="10">
        <v>28.532567977905273</v>
      </c>
      <c r="ED113" s="10">
        <v>51.26190185546875</v>
      </c>
      <c r="EE113" s="10">
        <v>0.27603870630264282</v>
      </c>
    </row>
    <row r="114" spans="1:135" ht="15" customHeight="1" x14ac:dyDescent="0.3">
      <c r="A114" s="32" t="s">
        <v>421</v>
      </c>
      <c r="F114" s="32">
        <f>82*0.00001</f>
        <v>8.2000000000000009E-4</v>
      </c>
      <c r="K114">
        <v>7.0499999999999989</v>
      </c>
      <c r="N114" s="32">
        <f>72*0.00001</f>
        <v>7.2000000000000005E-4</v>
      </c>
      <c r="O114" s="32"/>
      <c r="S114" s="24">
        <v>11.631205673758867</v>
      </c>
      <c r="T114" s="24">
        <v>10.212765957446809</v>
      </c>
      <c r="U114" s="25">
        <f t="shared" si="9"/>
        <v>1.4184397163120579</v>
      </c>
      <c r="V114" s="1">
        <f t="shared" si="11"/>
        <v>12.195121951219521</v>
      </c>
      <c r="W114" s="1">
        <f t="shared" si="10"/>
        <v>1.4184397163120579</v>
      </c>
      <c r="DP114" s="22">
        <v>0</v>
      </c>
      <c r="DQ114">
        <v>1.4</v>
      </c>
      <c r="DS114" s="10">
        <v>11.3</v>
      </c>
      <c r="DT114" s="10">
        <v>2.2599999904632568</v>
      </c>
      <c r="DU114" s="10">
        <v>6.820000171661377</v>
      </c>
      <c r="DV114" s="10">
        <v>7.5884003639221191</v>
      </c>
      <c r="DX114" s="10">
        <v>24.528020858764648</v>
      </c>
      <c r="DY114" s="10">
        <v>8.1760072708129883</v>
      </c>
      <c r="DZ114" s="10">
        <v>8.9192800521850586</v>
      </c>
      <c r="EA114" s="10">
        <v>17.095287322998047</v>
      </c>
      <c r="EB114" s="10">
        <v>30.266092300415039</v>
      </c>
      <c r="EC114" s="10">
        <v>28.110599517822266</v>
      </c>
      <c r="ED114" s="10">
        <v>58.376693725585938</v>
      </c>
      <c r="EE114" s="10">
        <v>0.40216988325119019</v>
      </c>
    </row>
    <row r="115" spans="1:135" ht="15" customHeight="1" x14ac:dyDescent="0.3">
      <c r="A115" s="32" t="s">
        <v>422</v>
      </c>
      <c r="F115" s="32">
        <f>372*0.00001</f>
        <v>3.7200000000000002E-3</v>
      </c>
      <c r="K115">
        <v>7.21</v>
      </c>
      <c r="N115" s="32">
        <f>319*0.00001</f>
        <v>3.1900000000000001E-3</v>
      </c>
      <c r="O115" s="32"/>
      <c r="S115" s="24">
        <v>51.595006934812758</v>
      </c>
      <c r="T115" s="24">
        <v>44.244105409153953</v>
      </c>
      <c r="U115" s="25">
        <f t="shared" si="9"/>
        <v>7.3509015256588057</v>
      </c>
      <c r="V115" s="1">
        <f t="shared" si="11"/>
        <v>14.247311827956986</v>
      </c>
      <c r="W115" s="1">
        <f t="shared" si="10"/>
        <v>7.3509015256588057</v>
      </c>
      <c r="DP115" s="22">
        <v>0</v>
      </c>
      <c r="DQ115">
        <v>1.28</v>
      </c>
      <c r="DS115" s="10">
        <v>14.11</v>
      </c>
      <c r="DT115" s="10">
        <v>2.8220000267028809</v>
      </c>
      <c r="DU115" s="10">
        <v>6.940000057220459</v>
      </c>
      <c r="DV115" s="10">
        <v>8.0005950927734375</v>
      </c>
      <c r="DX115" s="10">
        <v>29.117515563964844</v>
      </c>
      <c r="DY115" s="10">
        <v>7.0927281379699707</v>
      </c>
      <c r="DZ115" s="10">
        <v>9.3325366973876953</v>
      </c>
      <c r="EA115" s="10">
        <v>16.425264358520508</v>
      </c>
      <c r="EB115" s="10">
        <v>24.53337287902832</v>
      </c>
      <c r="EC115" s="10">
        <v>29.923847198486328</v>
      </c>
      <c r="ED115" s="10">
        <v>54.457221984863281</v>
      </c>
      <c r="EE115" s="10">
        <v>0.30762571096420288</v>
      </c>
    </row>
    <row r="116" spans="1:135" ht="15" customHeight="1" x14ac:dyDescent="0.3">
      <c r="A116" s="32" t="s">
        <v>423</v>
      </c>
      <c r="F116" s="32">
        <f>81*0.00001</f>
        <v>8.1000000000000006E-4</v>
      </c>
      <c r="K116">
        <v>7.1899999999999995</v>
      </c>
      <c r="N116" s="32">
        <f>72*0.00001</f>
        <v>7.2000000000000005E-4</v>
      </c>
      <c r="O116" s="32"/>
      <c r="S116" s="24">
        <v>11.265646731571628</v>
      </c>
      <c r="T116" s="24">
        <v>10.013908205841448</v>
      </c>
      <c r="U116" s="25">
        <f t="shared" si="9"/>
        <v>1.2517385257301807</v>
      </c>
      <c r="V116" s="1">
        <f t="shared" si="11"/>
        <v>11.111111111111111</v>
      </c>
      <c r="W116" s="1">
        <f t="shared" si="10"/>
        <v>1.2517385257301807</v>
      </c>
      <c r="DP116" s="22">
        <v>0</v>
      </c>
      <c r="DQ116">
        <v>1.27</v>
      </c>
      <c r="DS116" s="10">
        <v>9.64</v>
      </c>
      <c r="DT116" s="10">
        <v>1.9279999732971191</v>
      </c>
      <c r="DU116" s="10">
        <v>6.9000000953674316</v>
      </c>
      <c r="DV116" s="10">
        <v>5.1942133903503418</v>
      </c>
      <c r="DX116" s="10">
        <v>14.838996887207031</v>
      </c>
      <c r="DY116" s="10">
        <v>8.1614484786987305</v>
      </c>
      <c r="DZ116" s="10">
        <v>10.387297630310059</v>
      </c>
      <c r="EA116" s="10">
        <v>18.548746109008789</v>
      </c>
      <c r="EB116" s="10">
        <v>27.155364990234375</v>
      </c>
      <c r="EC116" s="10">
        <v>39.456893920898438</v>
      </c>
      <c r="ED116" s="10">
        <v>66.612258911132813</v>
      </c>
      <c r="EE116" s="10">
        <v>0.58714056015014648</v>
      </c>
    </row>
    <row r="117" spans="1:135" ht="15" customHeight="1" x14ac:dyDescent="0.3">
      <c r="A117" s="32" t="s">
        <v>424</v>
      </c>
      <c r="F117" s="32">
        <f>270*0.00001</f>
        <v>2.7000000000000001E-3</v>
      </c>
      <c r="K117">
        <v>7.34</v>
      </c>
      <c r="N117" s="32">
        <f>236*0.00001</f>
        <v>2.3600000000000001E-3</v>
      </c>
      <c r="O117" s="32"/>
      <c r="S117" s="24">
        <v>36.78474114441417</v>
      </c>
      <c r="T117" s="24">
        <v>32.152588555858316</v>
      </c>
      <c r="U117" s="25">
        <f t="shared" si="9"/>
        <v>4.6321525885558543</v>
      </c>
      <c r="V117" s="1">
        <f t="shared" si="11"/>
        <v>12.592592592592581</v>
      </c>
      <c r="W117" s="1">
        <f t="shared" si="10"/>
        <v>4.6321525885558543</v>
      </c>
      <c r="DP117" s="22">
        <v>0</v>
      </c>
      <c r="DQ117">
        <v>1.42</v>
      </c>
      <c r="DS117" s="10">
        <v>9.16</v>
      </c>
      <c r="DT117" s="10">
        <v>1.8320000171661377</v>
      </c>
      <c r="DU117" s="10">
        <v>6.940000057220459</v>
      </c>
      <c r="DV117" s="10">
        <v>5.0763454437255859</v>
      </c>
      <c r="DX117" s="10">
        <v>23.76002311706543</v>
      </c>
      <c r="DY117" s="10">
        <v>8.1675081253051758</v>
      </c>
      <c r="DZ117" s="10">
        <v>8.9100093841552734</v>
      </c>
      <c r="EA117" s="10">
        <v>17.077518463134766</v>
      </c>
      <c r="EB117" s="10">
        <v>20.983070373535156</v>
      </c>
      <c r="EC117" s="10">
        <v>38.179389953613281</v>
      </c>
      <c r="ED117" s="10">
        <v>59.162460327148438</v>
      </c>
      <c r="EE117" s="10">
        <v>0.44994673132896423</v>
      </c>
    </row>
    <row r="118" spans="1:135" ht="15" customHeight="1" x14ac:dyDescent="0.3">
      <c r="A118" s="32" t="s">
        <v>425</v>
      </c>
      <c r="F118" s="32">
        <f>57*0.00001</f>
        <v>5.7000000000000009E-4</v>
      </c>
      <c r="K118">
        <v>8.91</v>
      </c>
      <c r="N118" s="32">
        <f>48*0.00001</f>
        <v>4.8000000000000007E-4</v>
      </c>
      <c r="O118" s="32"/>
      <c r="S118" s="24">
        <v>6.3973063973063971</v>
      </c>
      <c r="T118" s="24">
        <v>5.3872053872053867</v>
      </c>
      <c r="U118" s="25">
        <f t="shared" si="9"/>
        <v>1.0101010101010104</v>
      </c>
      <c r="V118" s="1">
        <f t="shared" si="11"/>
        <v>15.789473684210531</v>
      </c>
      <c r="W118" s="1">
        <f t="shared" si="10"/>
        <v>1.0101010101010104</v>
      </c>
      <c r="DP118" s="22">
        <v>0</v>
      </c>
      <c r="DQ118">
        <v>1.46</v>
      </c>
      <c r="DS118" s="10">
        <v>9.5</v>
      </c>
      <c r="DT118" s="10">
        <v>1.8999999761581421</v>
      </c>
      <c r="DU118" s="10">
        <v>6.7199997901916504</v>
      </c>
      <c r="DV118" s="10">
        <v>6.4879589080810547</v>
      </c>
      <c r="DX118" s="10">
        <v>13.505402565002441</v>
      </c>
      <c r="DY118" s="10">
        <v>6.0024008750915527</v>
      </c>
      <c r="DZ118" s="10">
        <v>8.6284513473510742</v>
      </c>
      <c r="EA118" s="10">
        <v>14.630851745605469</v>
      </c>
      <c r="EB118" s="10">
        <v>38.805522918701172</v>
      </c>
      <c r="EC118" s="10">
        <v>33.058223724365234</v>
      </c>
      <c r="ED118" s="10">
        <v>71.863746643066406</v>
      </c>
      <c r="EE118" s="10">
        <v>0.47607287764549255</v>
      </c>
    </row>
    <row r="119" spans="1:135" ht="15" customHeight="1" x14ac:dyDescent="0.3">
      <c r="A119" s="32" t="s">
        <v>426</v>
      </c>
      <c r="F119" s="32">
        <f>292*0.00001</f>
        <v>2.9200000000000003E-3</v>
      </c>
      <c r="K119">
        <v>7.370000000000001</v>
      </c>
      <c r="N119" s="32">
        <f>253*0.00001</f>
        <v>2.5300000000000001E-3</v>
      </c>
      <c r="O119" s="32"/>
      <c r="S119" s="24">
        <v>39.620081411126179</v>
      </c>
      <c r="T119" s="24">
        <v>34.328358208955223</v>
      </c>
      <c r="U119" s="25">
        <f t="shared" si="9"/>
        <v>5.2917232021709566</v>
      </c>
      <c r="V119" s="1">
        <f t="shared" si="11"/>
        <v>13.356164383561628</v>
      </c>
      <c r="W119" s="1">
        <f t="shared" si="10"/>
        <v>5.2917232021709566</v>
      </c>
      <c r="DP119" s="22">
        <v>0</v>
      </c>
      <c r="DQ119">
        <v>1.39</v>
      </c>
      <c r="DS119" s="10">
        <v>9.9</v>
      </c>
      <c r="DT119" s="10">
        <v>1.9800000190734863</v>
      </c>
      <c r="DU119" s="10">
        <v>6.0500001907348633</v>
      </c>
      <c r="DV119" s="10">
        <v>5.1279435157775879</v>
      </c>
      <c r="DX119" s="10">
        <v>22.394744873046875</v>
      </c>
      <c r="DY119" s="10">
        <v>7.0916690826416016</v>
      </c>
      <c r="DZ119" s="10">
        <v>6.3451776504516602</v>
      </c>
      <c r="EA119" s="10">
        <v>13.436846733093262</v>
      </c>
      <c r="EB119" s="10">
        <v>27.321588516235352</v>
      </c>
      <c r="EC119" s="10">
        <v>36.846820831298828</v>
      </c>
      <c r="ED119" s="10">
        <v>64.168411254882813</v>
      </c>
      <c r="EE119" s="10">
        <v>0.36488872766494751</v>
      </c>
    </row>
    <row r="120" spans="1:135" ht="15" customHeight="1" x14ac:dyDescent="0.3">
      <c r="A120" s="32" t="s">
        <v>427</v>
      </c>
      <c r="F120" s="32">
        <f>468*0.00001</f>
        <v>4.6800000000000001E-3</v>
      </c>
      <c r="K120">
        <v>6.870000000000001</v>
      </c>
      <c r="N120" s="32">
        <f>405*0.00001</f>
        <v>4.0500000000000006E-3</v>
      </c>
      <c r="O120" s="32"/>
      <c r="S120" s="24">
        <v>68.122270742358069</v>
      </c>
      <c r="T120" s="24">
        <v>58.951965065502179</v>
      </c>
      <c r="U120" s="25">
        <f t="shared" si="9"/>
        <v>9.1703056768558895</v>
      </c>
      <c r="V120" s="1">
        <f t="shared" si="11"/>
        <v>13.461538461538455</v>
      </c>
      <c r="W120" s="1">
        <f t="shared" si="10"/>
        <v>9.1703056768558895</v>
      </c>
      <c r="DP120" s="22">
        <v>0</v>
      </c>
      <c r="DQ120">
        <v>1.41</v>
      </c>
      <c r="DS120" s="10">
        <v>12.86</v>
      </c>
      <c r="DT120" s="10">
        <v>2.5720000267028809</v>
      </c>
      <c r="DU120" s="10">
        <v>7.059999942779541</v>
      </c>
      <c r="DV120" s="10">
        <v>7.8029847145080566</v>
      </c>
      <c r="DX120" s="10">
        <v>26.411108016967773</v>
      </c>
      <c r="DY120" s="10">
        <v>7.168729305267334</v>
      </c>
      <c r="DZ120" s="10">
        <v>6.4141263961791992</v>
      </c>
      <c r="EA120" s="10">
        <v>13.582855224609375</v>
      </c>
      <c r="EB120" s="10">
        <v>24.735889434814453</v>
      </c>
      <c r="EC120" s="10">
        <v>35.270149230957031</v>
      </c>
      <c r="ED120" s="10">
        <v>60.006038665771484</v>
      </c>
      <c r="EE120" s="10">
        <v>0.28654897212982178</v>
      </c>
    </row>
    <row r="121" spans="1:135" ht="15" customHeight="1" x14ac:dyDescent="0.3">
      <c r="A121" s="32" t="s">
        <v>428</v>
      </c>
      <c r="F121" s="32">
        <f>386*0.00001</f>
        <v>3.8600000000000001E-3</v>
      </c>
      <c r="K121">
        <v>7.1400000000000006</v>
      </c>
      <c r="N121" s="32">
        <f>334*0.00001</f>
        <v>3.3400000000000001E-3</v>
      </c>
      <c r="O121" s="32"/>
      <c r="S121" s="24">
        <v>54.061624649859951</v>
      </c>
      <c r="T121" s="24">
        <v>46.778711484593835</v>
      </c>
      <c r="U121" s="25">
        <f t="shared" si="9"/>
        <v>7.2829131652661161</v>
      </c>
      <c r="V121" s="1">
        <f t="shared" si="11"/>
        <v>13.471502590673591</v>
      </c>
      <c r="W121" s="1">
        <f t="shared" si="10"/>
        <v>7.2829131652661161</v>
      </c>
      <c r="DP121" s="22">
        <v>0</v>
      </c>
      <c r="DQ121">
        <v>1.3</v>
      </c>
      <c r="DS121" s="10">
        <v>10.31</v>
      </c>
      <c r="DT121" s="10">
        <v>2.062000036239624</v>
      </c>
      <c r="DU121" s="10">
        <v>6.0199999809265137</v>
      </c>
      <c r="DV121" s="10">
        <v>5.6251773834228516</v>
      </c>
      <c r="DX121" s="10">
        <v>22.031366348266602</v>
      </c>
      <c r="DY121" s="10">
        <v>6.3480210304260254</v>
      </c>
      <c r="DZ121" s="10">
        <v>6.7214341163635254</v>
      </c>
      <c r="EA121" s="10">
        <v>13.069455146789551</v>
      </c>
      <c r="EB121" s="10">
        <v>25.82524299621582</v>
      </c>
      <c r="EC121" s="10">
        <v>39.073936462402344</v>
      </c>
      <c r="ED121" s="10">
        <v>64.899177551269531</v>
      </c>
      <c r="EE121" s="10">
        <v>0.34144526720046997</v>
      </c>
    </row>
    <row r="122" spans="1:135" ht="15" customHeight="1" x14ac:dyDescent="0.3">
      <c r="A122" s="32" t="s">
        <v>429</v>
      </c>
      <c r="F122" s="32">
        <f>477*0.00001</f>
        <v>4.7700000000000008E-3</v>
      </c>
      <c r="K122">
        <v>7.07</v>
      </c>
      <c r="N122" s="32">
        <f>410*0.00001</f>
        <v>4.1000000000000003E-3</v>
      </c>
      <c r="O122" s="32"/>
      <c r="S122" s="24">
        <v>67.468175388967467</v>
      </c>
      <c r="T122" s="24">
        <v>57.991513437057982</v>
      </c>
      <c r="U122" s="25">
        <f t="shared" si="9"/>
        <v>9.4766619519094846</v>
      </c>
      <c r="V122" s="1">
        <f t="shared" si="11"/>
        <v>14.046121593291415</v>
      </c>
      <c r="W122" s="1">
        <f t="shared" si="10"/>
        <v>9.4766619519094846</v>
      </c>
      <c r="DP122" s="22">
        <v>0</v>
      </c>
      <c r="DQ122">
        <v>1.29</v>
      </c>
      <c r="DS122" s="10">
        <v>14.82</v>
      </c>
      <c r="DT122" s="10">
        <v>2.9639999866485596</v>
      </c>
      <c r="DU122" s="10">
        <v>6.3400001525878906</v>
      </c>
      <c r="DV122" s="10">
        <v>8.4903593063354492</v>
      </c>
      <c r="DX122" s="10">
        <v>30.211481094360352</v>
      </c>
      <c r="DY122" s="10">
        <v>5.6646523475646973</v>
      </c>
      <c r="DZ122" s="10">
        <v>6.4199395179748535</v>
      </c>
      <c r="EA122" s="10">
        <v>12.084591865539551</v>
      </c>
      <c r="EB122" s="10">
        <v>26.208459854125977</v>
      </c>
      <c r="EC122" s="10">
        <v>31.495468139648438</v>
      </c>
      <c r="ED122" s="10">
        <v>57.703926086425781</v>
      </c>
      <c r="EE122" s="10">
        <v>0.22241611778736115</v>
      </c>
    </row>
    <row r="123" spans="1:135" ht="15" customHeight="1" x14ac:dyDescent="0.3">
      <c r="A123" s="32" t="s">
        <v>430</v>
      </c>
      <c r="F123" s="32">
        <f>497*0.00001</f>
        <v>4.9700000000000005E-3</v>
      </c>
      <c r="K123">
        <v>7.84</v>
      </c>
      <c r="N123" s="32">
        <f>430*0.00001</f>
        <v>4.3E-3</v>
      </c>
      <c r="O123" s="32"/>
      <c r="S123" s="24">
        <v>63.392857142857146</v>
      </c>
      <c r="T123" s="24">
        <v>54.846938775510203</v>
      </c>
      <c r="U123" s="25">
        <f t="shared" ref="U123:U183" si="12">S123-T123</f>
        <v>8.5459183673469425</v>
      </c>
      <c r="V123" s="1">
        <f t="shared" si="11"/>
        <v>13.480885311871232</v>
      </c>
      <c r="W123" s="1">
        <f t="shared" si="10"/>
        <v>8.5459183673469425</v>
      </c>
      <c r="DP123" s="22">
        <v>0</v>
      </c>
      <c r="DQ123">
        <v>1.29</v>
      </c>
      <c r="DS123" s="10">
        <v>14.12</v>
      </c>
      <c r="DT123" s="10">
        <v>2.8239998817443848</v>
      </c>
      <c r="DU123" s="10">
        <v>6.0100002288818359</v>
      </c>
      <c r="DV123" s="10">
        <v>8.6840801239013672</v>
      </c>
      <c r="DX123" s="10">
        <v>37.194473266601563</v>
      </c>
      <c r="DY123" s="10">
        <v>7.5907092094421387</v>
      </c>
      <c r="DZ123" s="10">
        <v>6.8316378593444824</v>
      </c>
      <c r="EA123" s="10">
        <v>14.422347068786621</v>
      </c>
      <c r="EB123" s="10">
        <v>20.798542022705078</v>
      </c>
      <c r="EC123" s="10">
        <v>27.584636688232422</v>
      </c>
      <c r="ED123" s="10">
        <v>48.3831787109375</v>
      </c>
      <c r="EE123" s="10">
        <v>0.25231030583381653</v>
      </c>
    </row>
    <row r="124" spans="1:135" ht="15" customHeight="1" x14ac:dyDescent="0.3">
      <c r="A124" s="32" t="s">
        <v>431</v>
      </c>
      <c r="F124" s="32">
        <f>45*0.00001</f>
        <v>4.5000000000000004E-4</v>
      </c>
      <c r="K124">
        <v>6.9399999999999995</v>
      </c>
      <c r="N124" s="32">
        <f>44*0.00001</f>
        <v>4.4000000000000002E-4</v>
      </c>
      <c r="O124" s="32"/>
      <c r="S124" s="24">
        <v>6.4841498559077824</v>
      </c>
      <c r="T124" s="24">
        <v>6.3400576368876083</v>
      </c>
      <c r="U124" s="25">
        <f t="shared" si="12"/>
        <v>0.14409221902017411</v>
      </c>
      <c r="V124" s="1">
        <f t="shared" si="11"/>
        <v>2.2222222222222401</v>
      </c>
      <c r="W124" s="1">
        <f t="shared" si="10"/>
        <v>0.14409221902017411</v>
      </c>
      <c r="DP124" s="22">
        <v>0</v>
      </c>
      <c r="DQ124">
        <v>1.24</v>
      </c>
      <c r="DS124" s="10">
        <v>10.08</v>
      </c>
      <c r="DT124" s="10">
        <v>2.0160000324249268</v>
      </c>
      <c r="DU124" s="10">
        <v>7.0300002098083496</v>
      </c>
      <c r="DV124" s="10">
        <v>4.8035402297973633</v>
      </c>
      <c r="DX124" s="10">
        <v>7.7582383155822754</v>
      </c>
      <c r="DY124" s="10">
        <v>6.2804789543151855</v>
      </c>
      <c r="DZ124" s="10">
        <v>8.4971179962158203</v>
      </c>
      <c r="EA124" s="10">
        <v>14.777597427368164</v>
      </c>
      <c r="EB124" s="10">
        <v>30.545293807983398</v>
      </c>
      <c r="EC124" s="10">
        <v>46.918872833251953</v>
      </c>
      <c r="ED124" s="10">
        <v>77.464164733886719</v>
      </c>
      <c r="EE124" s="10">
        <v>0.55970746278762817</v>
      </c>
    </row>
    <row r="125" spans="1:135" ht="15" customHeight="1" x14ac:dyDescent="0.3">
      <c r="A125" s="32" t="s">
        <v>432</v>
      </c>
      <c r="F125" s="32">
        <f>299*0.00001</f>
        <v>2.99E-3</v>
      </c>
      <c r="K125">
        <v>6.3699999999999992</v>
      </c>
      <c r="N125" s="32">
        <f>258*0.00001</f>
        <v>2.5800000000000003E-3</v>
      </c>
      <c r="O125" s="32"/>
      <c r="S125" s="24">
        <v>46.938775510204081</v>
      </c>
      <c r="T125" s="24">
        <v>40.50235478806907</v>
      </c>
      <c r="U125" s="25">
        <f t="shared" si="12"/>
        <v>6.4364207221350114</v>
      </c>
      <c r="V125" s="1">
        <f t="shared" si="11"/>
        <v>13.712374581939807</v>
      </c>
      <c r="W125" s="1">
        <f t="shared" si="10"/>
        <v>6.4364207221350114</v>
      </c>
      <c r="DP125" s="22">
        <v>0</v>
      </c>
      <c r="DQ125">
        <v>1.37</v>
      </c>
      <c r="DS125" s="10">
        <v>9.81</v>
      </c>
      <c r="DT125" s="10">
        <v>1.9620000123977661</v>
      </c>
      <c r="DU125" s="10">
        <v>6.1700000762939453</v>
      </c>
      <c r="DV125" s="10">
        <v>6.1373543739318848</v>
      </c>
      <c r="DX125" s="10">
        <v>27.761104583740234</v>
      </c>
      <c r="DY125" s="10">
        <v>5.6272506713867188</v>
      </c>
      <c r="DZ125" s="10">
        <v>5.6272506713867188</v>
      </c>
      <c r="EA125" s="10">
        <v>11.254501342773438</v>
      </c>
      <c r="EB125" s="10">
        <v>22.899160385131836</v>
      </c>
      <c r="EC125" s="10">
        <v>38.085235595703125</v>
      </c>
      <c r="ED125" s="10">
        <v>60.984397888183594</v>
      </c>
      <c r="EE125" s="10">
        <v>0.26722285151481628</v>
      </c>
    </row>
    <row r="126" spans="1:135" ht="15" customHeight="1" x14ac:dyDescent="0.3">
      <c r="A126" s="32" t="s">
        <v>433</v>
      </c>
      <c r="F126" s="32">
        <f>299*0.00001</f>
        <v>2.99E-3</v>
      </c>
      <c r="K126">
        <v>7.879999999999999</v>
      </c>
      <c r="N126" s="32">
        <f>261*0.00001</f>
        <v>2.6100000000000003E-3</v>
      </c>
      <c r="O126" s="32"/>
      <c r="S126" s="24">
        <v>37.944162436548233</v>
      </c>
      <c r="T126" s="24">
        <v>33.121827411167516</v>
      </c>
      <c r="U126" s="25">
        <f t="shared" si="12"/>
        <v>4.8223350253807169</v>
      </c>
      <c r="V126" s="1">
        <f t="shared" si="11"/>
        <v>12.709030100334461</v>
      </c>
      <c r="W126" s="1">
        <f t="shared" si="10"/>
        <v>4.8223350253807169</v>
      </c>
      <c r="DP126" s="22">
        <v>0</v>
      </c>
      <c r="DQ126">
        <v>1.38</v>
      </c>
      <c r="DS126" s="10">
        <v>11.75</v>
      </c>
      <c r="DT126" s="10">
        <v>2.3499999046325684</v>
      </c>
      <c r="DU126" s="10">
        <v>6.6599998474121094</v>
      </c>
      <c r="DV126" s="10">
        <v>8.2549982070922852</v>
      </c>
      <c r="DX126" s="10">
        <v>21.82275390625</v>
      </c>
      <c r="DY126" s="10">
        <v>5.5481581687927246</v>
      </c>
      <c r="DZ126" s="10">
        <v>6.6577897071838379</v>
      </c>
      <c r="EA126" s="10">
        <v>12.205947875976563</v>
      </c>
      <c r="EB126" s="10">
        <v>32.608375549316406</v>
      </c>
      <c r="EC126" s="10">
        <v>33.362922668457031</v>
      </c>
      <c r="ED126" s="10">
        <v>65.971298217773438</v>
      </c>
      <c r="EE126" s="10">
        <v>0.29379457235336304</v>
      </c>
    </row>
    <row r="127" spans="1:135" ht="15" customHeight="1" x14ac:dyDescent="0.3">
      <c r="A127" s="32" t="s">
        <v>434</v>
      </c>
      <c r="F127" s="32">
        <f>437*0.00001</f>
        <v>4.3700000000000006E-3</v>
      </c>
      <c r="K127">
        <v>7.25</v>
      </c>
      <c r="N127" s="32">
        <f>379*0.00001</f>
        <v>3.7900000000000004E-3</v>
      </c>
      <c r="O127" s="32"/>
      <c r="S127" s="24">
        <v>60.275862068965509</v>
      </c>
      <c r="T127" s="24">
        <v>52.275862068965523</v>
      </c>
      <c r="U127" s="25">
        <f t="shared" si="12"/>
        <v>7.9999999999999858</v>
      </c>
      <c r="V127" s="1">
        <f t="shared" si="11"/>
        <v>13.272311212814625</v>
      </c>
      <c r="W127" s="1">
        <f t="shared" si="10"/>
        <v>7.9999999999999858</v>
      </c>
      <c r="DP127" s="22">
        <v>0</v>
      </c>
      <c r="DQ127">
        <v>1.27</v>
      </c>
      <c r="DS127" s="10">
        <v>19.62</v>
      </c>
      <c r="DT127" s="10">
        <v>3.9240000247955322</v>
      </c>
      <c r="DU127" s="10">
        <v>6.179999828338623</v>
      </c>
      <c r="DV127" s="10">
        <v>11.783968925476074</v>
      </c>
      <c r="DX127" s="10">
        <v>46.033451080322266</v>
      </c>
      <c r="DY127" s="10">
        <v>7.2886295318603516</v>
      </c>
      <c r="DZ127" s="10">
        <v>5.7541813850402832</v>
      </c>
      <c r="EA127" s="10">
        <v>13.042810440063477</v>
      </c>
      <c r="EB127" s="10">
        <v>21.098665237426758</v>
      </c>
      <c r="EC127" s="10">
        <v>19.8250732421875</v>
      </c>
      <c r="ED127" s="10">
        <v>40.923736572265625</v>
      </c>
      <c r="EE127" s="10">
        <v>0.17881979048252106</v>
      </c>
    </row>
    <row r="128" spans="1:135" ht="15" customHeight="1" x14ac:dyDescent="0.3">
      <c r="A128" s="32" t="s">
        <v>435</v>
      </c>
      <c r="F128" s="32">
        <f>210*0.00001</f>
        <v>2.1000000000000003E-3</v>
      </c>
      <c r="K128">
        <v>7.1099999999999994</v>
      </c>
      <c r="N128" s="32">
        <f>185*0.00001</f>
        <v>1.8500000000000001E-3</v>
      </c>
      <c r="O128" s="32"/>
      <c r="S128" s="24">
        <v>29.535864978902957</v>
      </c>
      <c r="T128" s="24">
        <v>26.0196905766526</v>
      </c>
      <c r="U128" s="25">
        <f t="shared" si="12"/>
        <v>3.5161744022503569</v>
      </c>
      <c r="V128" s="1">
        <f t="shared" si="11"/>
        <v>11.904761904761921</v>
      </c>
      <c r="W128" s="1">
        <f t="shared" si="10"/>
        <v>3.5161744022503569</v>
      </c>
      <c r="DP128" s="22">
        <v>0</v>
      </c>
      <c r="DQ128">
        <v>1.34</v>
      </c>
      <c r="DS128" s="10">
        <v>12.76</v>
      </c>
      <c r="DT128" s="10">
        <v>2.5520000457763672</v>
      </c>
      <c r="DU128" s="10">
        <v>6.9000000953674316</v>
      </c>
      <c r="DV128" s="10">
        <v>7.0650181770324707</v>
      </c>
      <c r="DX128" s="10">
        <v>19.170049667358398</v>
      </c>
      <c r="DY128" s="10">
        <v>6.3900165557861328</v>
      </c>
      <c r="DZ128" s="10">
        <v>8.2694330215454102</v>
      </c>
      <c r="EA128" s="10">
        <v>14.659449577331543</v>
      </c>
      <c r="EB128" s="10">
        <v>29.724853515625</v>
      </c>
      <c r="EC128" s="10">
        <v>36.445648193359375</v>
      </c>
      <c r="ED128" s="10">
        <v>66.170501708984375</v>
      </c>
      <c r="EE128" s="10">
        <v>0.35325759649276733</v>
      </c>
    </row>
    <row r="129" spans="1:135" ht="15" customHeight="1" x14ac:dyDescent="0.3">
      <c r="A129" s="32" t="s">
        <v>436</v>
      </c>
      <c r="F129" s="32">
        <f>341*0.00001</f>
        <v>3.4100000000000003E-3</v>
      </c>
      <c r="K129">
        <v>9.94</v>
      </c>
      <c r="N129" s="32">
        <f>303*0.00001</f>
        <v>3.0300000000000001E-3</v>
      </c>
      <c r="O129" s="32"/>
      <c r="S129" s="24">
        <v>34.305835010060363</v>
      </c>
      <c r="T129" s="24">
        <v>30.482897384305836</v>
      </c>
      <c r="U129" s="25">
        <f t="shared" si="12"/>
        <v>3.8229376257545269</v>
      </c>
      <c r="V129" s="1">
        <f t="shared" si="11"/>
        <v>11.143695014662754</v>
      </c>
      <c r="W129" s="1">
        <f t="shared" si="10"/>
        <v>3.8229376257545269</v>
      </c>
      <c r="DP129" s="22">
        <v>0</v>
      </c>
      <c r="DQ129">
        <v>1.2</v>
      </c>
      <c r="DS129" s="10">
        <v>15.96</v>
      </c>
      <c r="DT129" s="10">
        <v>3.1919999122619629</v>
      </c>
      <c r="DU129" s="10">
        <v>7.5399999618530273</v>
      </c>
      <c r="DV129" s="10">
        <v>11.732790946960449</v>
      </c>
      <c r="DX129" s="10">
        <v>30.950170516967773</v>
      </c>
      <c r="DY129" s="10">
        <v>7.7375426292419434</v>
      </c>
      <c r="DZ129" s="10">
        <v>6.1900339126586914</v>
      </c>
      <c r="EA129" s="10">
        <v>13.927576065063477</v>
      </c>
      <c r="EB129" s="10">
        <v>22.856700897216797</v>
      </c>
      <c r="EC129" s="10">
        <v>32.265552520751953</v>
      </c>
      <c r="ED129" s="10">
        <v>55.12225341796875</v>
      </c>
      <c r="EE129" s="10">
        <v>0.15045070648193359</v>
      </c>
    </row>
    <row r="130" spans="1:135" ht="15" customHeight="1" x14ac:dyDescent="0.3">
      <c r="A130" s="32" t="s">
        <v>437</v>
      </c>
      <c r="F130" s="32">
        <f>153*0.00001</f>
        <v>1.5300000000000001E-3</v>
      </c>
      <c r="K130">
        <v>7.24</v>
      </c>
      <c r="N130" s="32">
        <f>132*0.00001</f>
        <v>1.3200000000000002E-3</v>
      </c>
      <c r="O130" s="32"/>
      <c r="S130" s="24">
        <v>21.132596685082873</v>
      </c>
      <c r="T130" s="24">
        <v>18.232044198895032</v>
      </c>
      <c r="U130" s="25">
        <f t="shared" si="12"/>
        <v>2.9005524861878413</v>
      </c>
      <c r="V130" s="1">
        <f t="shared" si="11"/>
        <v>13.725490196078413</v>
      </c>
      <c r="W130" s="1">
        <f t="shared" si="10"/>
        <v>2.9005524861878413</v>
      </c>
      <c r="DP130" s="22">
        <v>0</v>
      </c>
      <c r="DQ130">
        <v>1.5</v>
      </c>
      <c r="DS130" s="10">
        <v>11.53</v>
      </c>
      <c r="DT130" s="10">
        <v>2.3059999942779541</v>
      </c>
      <c r="DU130" s="10">
        <v>6.1599998474121094</v>
      </c>
      <c r="DV130" s="10">
        <v>5.7124223709106445</v>
      </c>
      <c r="DX130" s="10">
        <v>24.052915573120117</v>
      </c>
      <c r="DY130" s="10">
        <v>8.2681903839111328</v>
      </c>
      <c r="DZ130" s="10">
        <v>8.2681903839111328</v>
      </c>
      <c r="EA130" s="10">
        <v>16.536380767822266</v>
      </c>
      <c r="EB130" s="10">
        <v>33.944679260253906</v>
      </c>
      <c r="EC130" s="10">
        <v>25.466024398803711</v>
      </c>
      <c r="ED130" s="10">
        <v>59.41070556640625</v>
      </c>
      <c r="EE130" s="10">
        <v>0.39486896991729736</v>
      </c>
    </row>
    <row r="131" spans="1:135" ht="15" customHeight="1" x14ac:dyDescent="0.3">
      <c r="A131" s="32" t="s">
        <v>438</v>
      </c>
      <c r="F131" s="32">
        <f>190*0.00001</f>
        <v>1.9000000000000002E-3</v>
      </c>
      <c r="K131">
        <v>6.9399999999999995</v>
      </c>
      <c r="N131" s="32">
        <f>164*0.00001</f>
        <v>1.6400000000000002E-3</v>
      </c>
      <c r="O131" s="32"/>
      <c r="S131" s="24">
        <v>27.377521613832858</v>
      </c>
      <c r="T131" s="24">
        <v>23.631123919308358</v>
      </c>
      <c r="U131" s="25">
        <f t="shared" si="12"/>
        <v>3.7463976945245001</v>
      </c>
      <c r="V131" s="1">
        <f t="shared" si="11"/>
        <v>13.684210526315804</v>
      </c>
      <c r="W131" s="1">
        <f t="shared" ref="W131:W183" si="13">S131-T131</f>
        <v>3.7463976945245001</v>
      </c>
      <c r="DP131" s="22">
        <v>0</v>
      </c>
      <c r="DQ131">
        <v>1.25</v>
      </c>
      <c r="DS131" s="10">
        <v>12</v>
      </c>
      <c r="DT131" s="10">
        <v>2.4000000953674316</v>
      </c>
      <c r="DU131" s="10">
        <v>7.4800000190734863</v>
      </c>
      <c r="DV131" s="10">
        <v>7.2800002098083496</v>
      </c>
      <c r="DX131" s="10">
        <v>26.898014068603516</v>
      </c>
      <c r="DY131" s="10">
        <v>9.0922870635986328</v>
      </c>
      <c r="DZ131" s="10">
        <v>9.0922870635986328</v>
      </c>
      <c r="EA131" s="10">
        <v>18.184574127197266</v>
      </c>
      <c r="EB131" s="10">
        <v>30.14093017578125</v>
      </c>
      <c r="EC131" s="10">
        <v>24.776481628417969</v>
      </c>
      <c r="ED131" s="10">
        <v>54.917411804199219</v>
      </c>
      <c r="EE131" s="10">
        <v>0.30593407154083252</v>
      </c>
    </row>
    <row r="132" spans="1:135" ht="15" customHeight="1" x14ac:dyDescent="0.3">
      <c r="A132" s="32" t="s">
        <v>439</v>
      </c>
      <c r="F132" s="32">
        <f>238*0.00001</f>
        <v>2.3800000000000002E-3</v>
      </c>
      <c r="K132">
        <v>7.67</v>
      </c>
      <c r="N132" s="32">
        <f>207*0.00001</f>
        <v>2.0700000000000002E-3</v>
      </c>
      <c r="O132" s="32"/>
      <c r="S132" s="24">
        <v>31.02998696219035</v>
      </c>
      <c r="T132" s="24">
        <v>26.988265971316821</v>
      </c>
      <c r="U132" s="25">
        <f t="shared" si="12"/>
        <v>4.0417209908735288</v>
      </c>
      <c r="V132" s="1">
        <f t="shared" ref="V132:V183" si="14">100*(S132-T132)/S132</f>
        <v>13.025210084033599</v>
      </c>
      <c r="W132" s="1">
        <f t="shared" si="13"/>
        <v>4.0417209908735288</v>
      </c>
      <c r="DP132" s="22">
        <v>0</v>
      </c>
      <c r="DQ132">
        <v>1.3</v>
      </c>
      <c r="DS132" s="10">
        <v>17.36</v>
      </c>
      <c r="DT132" s="10">
        <v>3.4719998836517334</v>
      </c>
      <c r="DU132" s="10">
        <v>6.7800002098083496</v>
      </c>
      <c r="DV132" s="10">
        <v>9.369999885559082</v>
      </c>
      <c r="DX132" s="10">
        <v>23.393157958984375</v>
      </c>
      <c r="DY132" s="10">
        <v>6.9028992652893066</v>
      </c>
      <c r="DZ132" s="10">
        <v>8.0533828735351563</v>
      </c>
      <c r="EA132" s="10">
        <v>14.956281661987305</v>
      </c>
      <c r="EB132" s="10">
        <v>34.422458648681641</v>
      </c>
      <c r="EC132" s="10">
        <v>27.22810173034668</v>
      </c>
      <c r="ED132" s="10">
        <v>61.650558471679688</v>
      </c>
      <c r="EE132" s="10">
        <v>0.28211143612861633</v>
      </c>
    </row>
    <row r="133" spans="1:135" ht="15" customHeight="1" x14ac:dyDescent="0.3">
      <c r="A133" s="32" t="s">
        <v>440</v>
      </c>
      <c r="F133" s="32">
        <f>399*0.00001</f>
        <v>3.9900000000000005E-3</v>
      </c>
      <c r="K133">
        <v>8.68</v>
      </c>
      <c r="N133" s="32">
        <f>343*0.00001</f>
        <v>3.4300000000000003E-3</v>
      </c>
      <c r="O133" s="32"/>
      <c r="S133" s="24">
        <v>45.967741935483872</v>
      </c>
      <c r="T133" s="24">
        <v>39.516129032258064</v>
      </c>
      <c r="U133" s="25">
        <f t="shared" si="12"/>
        <v>6.4516129032258078</v>
      </c>
      <c r="V133" s="1">
        <f t="shared" si="14"/>
        <v>14.035087719298247</v>
      </c>
      <c r="W133" s="1">
        <f t="shared" si="13"/>
        <v>6.4516129032258078</v>
      </c>
      <c r="DP133" s="22">
        <v>0</v>
      </c>
      <c r="DQ133">
        <v>1.38</v>
      </c>
      <c r="DS133" s="10">
        <v>10.1</v>
      </c>
      <c r="DT133" s="10">
        <v>2.0199999809265137</v>
      </c>
      <c r="DU133" s="10">
        <v>6.9600000381469727</v>
      </c>
      <c r="DV133" s="10">
        <v>6.5316886901855469</v>
      </c>
      <c r="DX133" s="10">
        <v>29.820323944091797</v>
      </c>
      <c r="DY133" s="10">
        <v>9.4368114471435547</v>
      </c>
      <c r="DZ133" s="10">
        <v>9.0593385696411133</v>
      </c>
      <c r="EA133" s="10">
        <v>18.496150970458984</v>
      </c>
      <c r="EB133" s="10">
        <v>29.578741073608398</v>
      </c>
      <c r="EC133" s="10">
        <v>22.104785919189453</v>
      </c>
      <c r="ED133" s="10">
        <v>51.683525085449219</v>
      </c>
      <c r="EE133" s="10">
        <v>0.41882416605949402</v>
      </c>
    </row>
    <row r="134" spans="1:135" ht="15" customHeight="1" x14ac:dyDescent="0.3">
      <c r="A134" s="32" t="s">
        <v>441</v>
      </c>
      <c r="F134" s="32">
        <f>71*0.00001</f>
        <v>7.1000000000000002E-4</v>
      </c>
      <c r="K134">
        <v>8.5299999999999994</v>
      </c>
      <c r="N134" s="32">
        <f>61*0.00001</f>
        <v>6.1000000000000008E-4</v>
      </c>
      <c r="O134" s="32"/>
      <c r="S134" s="24">
        <v>8.3235638921453692</v>
      </c>
      <c r="T134" s="24">
        <v>7.1512309495896842</v>
      </c>
      <c r="U134" s="25">
        <f t="shared" si="12"/>
        <v>1.172332942555685</v>
      </c>
      <c r="V134" s="1">
        <f t="shared" si="14"/>
        <v>14.084507042253511</v>
      </c>
      <c r="W134" s="1">
        <f t="shared" si="13"/>
        <v>1.172332942555685</v>
      </c>
      <c r="DP134" s="22">
        <v>0</v>
      </c>
      <c r="DQ134">
        <v>1.52</v>
      </c>
      <c r="DS134" s="10">
        <v>9.2799999999999994</v>
      </c>
      <c r="DT134" s="10">
        <v>1.8559999465942383</v>
      </c>
      <c r="DU134" s="10">
        <v>6.7699999809265137</v>
      </c>
      <c r="DV134" s="10">
        <v>6.6000251770019531</v>
      </c>
      <c r="DX134" s="10">
        <v>30.441972732543945</v>
      </c>
      <c r="DY134" s="10">
        <v>8.2681903839111328</v>
      </c>
      <c r="DZ134" s="10">
        <v>7.140709400177002</v>
      </c>
      <c r="EA134" s="10">
        <v>15.408899307250977</v>
      </c>
      <c r="EB134" s="10">
        <v>27.856283187866211</v>
      </c>
      <c r="EC134" s="10">
        <v>26.292844772338867</v>
      </c>
      <c r="ED134" s="10">
        <v>54.149127960205078</v>
      </c>
      <c r="EE134" s="10">
        <v>0.36238986253738403</v>
      </c>
    </row>
    <row r="135" spans="1:135" ht="15" customHeight="1" x14ac:dyDescent="0.3">
      <c r="A135" s="32" t="s">
        <v>442</v>
      </c>
      <c r="F135" s="32">
        <f>399*0.00001</f>
        <v>3.9900000000000005E-3</v>
      </c>
      <c r="K135">
        <v>8.27</v>
      </c>
      <c r="N135" s="32">
        <f>343*0.00001</f>
        <v>3.4300000000000003E-3</v>
      </c>
      <c r="O135" s="32"/>
      <c r="S135" s="24">
        <v>48.246674727932295</v>
      </c>
      <c r="T135" s="24">
        <v>41.475211608222494</v>
      </c>
      <c r="U135" s="25">
        <f t="shared" si="12"/>
        <v>6.7714631197098001</v>
      </c>
      <c r="V135" s="1">
        <f t="shared" si="14"/>
        <v>14.035087719298255</v>
      </c>
      <c r="W135" s="1">
        <f t="shared" si="13"/>
        <v>6.7714631197098001</v>
      </c>
      <c r="DP135" s="22">
        <v>0</v>
      </c>
      <c r="DQ135">
        <v>1.24</v>
      </c>
      <c r="DS135" s="10">
        <v>21.66</v>
      </c>
      <c r="DT135" s="10">
        <v>4.3319997787475586</v>
      </c>
      <c r="DU135" s="10">
        <v>7.0300002098083496</v>
      </c>
      <c r="DV135" s="10">
        <v>11.927253723144531</v>
      </c>
      <c r="DX135" s="10">
        <v>33.583255767822266</v>
      </c>
      <c r="DY135" s="10">
        <v>9.3720712661743164</v>
      </c>
      <c r="DZ135" s="10">
        <v>7.0290532112121582</v>
      </c>
      <c r="EA135" s="10">
        <v>16.401124954223633</v>
      </c>
      <c r="EB135" s="10">
        <v>25.726335525512695</v>
      </c>
      <c r="EC135" s="10">
        <v>24.289283752441406</v>
      </c>
      <c r="ED135" s="10">
        <v>50.015617370605469</v>
      </c>
      <c r="EE135" s="10">
        <v>0.24535337090492249</v>
      </c>
    </row>
    <row r="136" spans="1:135" ht="15" customHeight="1" x14ac:dyDescent="0.3">
      <c r="A136" s="32" t="s">
        <v>443</v>
      </c>
      <c r="F136" s="32">
        <f>203*0.00001</f>
        <v>2.0300000000000001E-3</v>
      </c>
      <c r="K136">
        <v>10.01</v>
      </c>
      <c r="N136" s="32">
        <f>175*0.00001</f>
        <v>1.75E-3</v>
      </c>
      <c r="O136" s="32"/>
      <c r="S136" s="24">
        <v>20.27972027972028</v>
      </c>
      <c r="T136" s="24">
        <v>17.482517482517483</v>
      </c>
      <c r="U136" s="25">
        <f t="shared" si="12"/>
        <v>2.7972027972027966</v>
      </c>
      <c r="V136" s="1">
        <f t="shared" si="14"/>
        <v>13.793103448275859</v>
      </c>
      <c r="W136" s="1">
        <f t="shared" si="13"/>
        <v>2.7972027972027966</v>
      </c>
      <c r="DP136" s="22">
        <v>0</v>
      </c>
      <c r="DQ136">
        <v>1.3</v>
      </c>
      <c r="DS136" s="10">
        <v>14.11</v>
      </c>
      <c r="DT136" s="10">
        <v>2.8220000267028809</v>
      </c>
      <c r="DU136" s="10">
        <v>6.9000000953674316</v>
      </c>
      <c r="DV136" s="10">
        <v>7.241060733795166</v>
      </c>
      <c r="DX136" s="10">
        <v>19.850358963012695</v>
      </c>
      <c r="DY136" s="10">
        <v>10.306917190551758</v>
      </c>
      <c r="DZ136" s="10">
        <v>10.688654899597168</v>
      </c>
      <c r="EA136" s="10">
        <v>20.995571136474609</v>
      </c>
      <c r="EB136" s="10">
        <v>35.974956512451172</v>
      </c>
      <c r="EC136" s="10">
        <v>23.179111480712891</v>
      </c>
      <c r="ED136" s="10">
        <v>59.154067993164063</v>
      </c>
      <c r="EE136" s="10">
        <v>0.48838552832603455</v>
      </c>
    </row>
    <row r="137" spans="1:135" ht="15" customHeight="1" x14ac:dyDescent="0.3">
      <c r="A137" s="32" t="s">
        <v>444</v>
      </c>
      <c r="F137" s="32">
        <f>304*0.00001</f>
        <v>3.0400000000000002E-3</v>
      </c>
      <c r="K137">
        <v>8.23</v>
      </c>
      <c r="N137" s="32">
        <f>266*0.00001</f>
        <v>2.66E-3</v>
      </c>
      <c r="O137" s="32"/>
      <c r="S137" s="24">
        <v>36.938031591737548</v>
      </c>
      <c r="T137" s="24">
        <v>32.320777642770352</v>
      </c>
      <c r="U137" s="25">
        <f t="shared" si="12"/>
        <v>4.6172539489671962</v>
      </c>
      <c r="V137" s="1">
        <f t="shared" si="14"/>
        <v>12.500000000000007</v>
      </c>
      <c r="W137" s="1">
        <f t="shared" si="13"/>
        <v>4.6172539489671962</v>
      </c>
      <c r="DP137" s="22">
        <v>0</v>
      </c>
      <c r="DQ137">
        <v>1.38</v>
      </c>
      <c r="DS137" s="10">
        <v>14.79</v>
      </c>
      <c r="DT137" s="10">
        <v>2.9579999446868896</v>
      </c>
      <c r="DU137" s="10">
        <v>6.4600000381469727</v>
      </c>
      <c r="DV137" s="10">
        <v>6.2782092094421387</v>
      </c>
      <c r="DX137" s="10">
        <v>27.743995666503906</v>
      </c>
      <c r="DY137" s="10">
        <v>7.6010947227478027</v>
      </c>
      <c r="DZ137" s="10">
        <v>8.3612041473388672</v>
      </c>
      <c r="EA137" s="10">
        <v>15.962299346923828</v>
      </c>
      <c r="EB137" s="10">
        <v>30.313165664672852</v>
      </c>
      <c r="EC137" s="10">
        <v>25.980541229248047</v>
      </c>
      <c r="ED137" s="10">
        <v>56.293708801269531</v>
      </c>
      <c r="EE137" s="10">
        <v>0.30829226970672607</v>
      </c>
    </row>
    <row r="138" spans="1:135" ht="15" customHeight="1" x14ac:dyDescent="0.3">
      <c r="A138" s="32" t="s">
        <v>445</v>
      </c>
      <c r="F138" s="32">
        <f>442*0.00001</f>
        <v>4.4200000000000003E-3</v>
      </c>
      <c r="K138">
        <v>8.1700000000000017</v>
      </c>
      <c r="N138" s="32">
        <f>385*0.00001</f>
        <v>3.8500000000000001E-3</v>
      </c>
      <c r="O138" s="32"/>
      <c r="S138" s="24">
        <v>54.100367197062418</v>
      </c>
      <c r="T138" s="24">
        <v>47.123623011015901</v>
      </c>
      <c r="U138" s="25">
        <f t="shared" si="12"/>
        <v>6.9767441860465169</v>
      </c>
      <c r="V138" s="1">
        <f t="shared" si="14"/>
        <v>12.895927601809966</v>
      </c>
      <c r="W138" s="1">
        <f t="shared" si="13"/>
        <v>6.9767441860465169</v>
      </c>
      <c r="DP138" s="22">
        <v>0</v>
      </c>
      <c r="DQ138">
        <v>1.49</v>
      </c>
      <c r="DS138" s="10">
        <v>17.5</v>
      </c>
      <c r="DT138" s="10">
        <v>3.5</v>
      </c>
      <c r="DU138" s="10">
        <v>5.9899997711181641</v>
      </c>
      <c r="DV138" s="10">
        <v>7.968536376953125</v>
      </c>
      <c r="DX138" s="10">
        <v>29.137529373168945</v>
      </c>
      <c r="DY138" s="10">
        <v>10.878010749816895</v>
      </c>
      <c r="DZ138" s="10">
        <v>6.9930071830749512</v>
      </c>
      <c r="EA138" s="10">
        <v>17.871017456054688</v>
      </c>
      <c r="EB138" s="10">
        <v>27.101787567138672</v>
      </c>
      <c r="EC138" s="10">
        <v>25.889665603637695</v>
      </c>
      <c r="ED138" s="10">
        <v>52.991455078125</v>
      </c>
      <c r="EE138" s="10">
        <v>0.33618026971817017</v>
      </c>
    </row>
    <row r="139" spans="1:135" ht="15" customHeight="1" x14ac:dyDescent="0.3">
      <c r="A139" s="32" t="s">
        <v>446</v>
      </c>
      <c r="F139" s="32">
        <f>264*0.00001</f>
        <v>2.6400000000000004E-3</v>
      </c>
      <c r="K139">
        <v>8.0400000000000009</v>
      </c>
      <c r="N139" s="32">
        <f>229*0.00001</f>
        <v>2.2900000000000004E-3</v>
      </c>
      <c r="O139" s="32"/>
      <c r="S139" s="24">
        <v>32.835820895522389</v>
      </c>
      <c r="T139" s="24">
        <v>28.482587064676615</v>
      </c>
      <c r="U139" s="25">
        <f t="shared" si="12"/>
        <v>4.3532338308457739</v>
      </c>
      <c r="V139" s="1">
        <f t="shared" si="14"/>
        <v>13.257575757575765</v>
      </c>
      <c r="W139" s="1">
        <f t="shared" si="13"/>
        <v>4.3532338308457739</v>
      </c>
      <c r="DP139" s="22">
        <v>0</v>
      </c>
      <c r="DQ139">
        <v>1.26</v>
      </c>
      <c r="DS139" s="10">
        <v>12.97</v>
      </c>
      <c r="DT139" s="10">
        <v>2.5940001010894775</v>
      </c>
      <c r="DU139" s="10">
        <v>5.8000001907348633</v>
      </c>
      <c r="DV139" s="10">
        <v>5.3629484176635742</v>
      </c>
      <c r="DX139" s="10">
        <v>20.176641464233398</v>
      </c>
      <c r="DY139" s="10">
        <v>7.2331352233886719</v>
      </c>
      <c r="DZ139" s="10">
        <v>8.3752098083496094</v>
      </c>
      <c r="EA139" s="10">
        <v>15.608345031738281</v>
      </c>
      <c r="EB139" s="10">
        <v>33.439926147460938</v>
      </c>
      <c r="EC139" s="10">
        <v>30.775087356567383</v>
      </c>
      <c r="ED139" s="10">
        <v>64.215011596679688</v>
      </c>
      <c r="EE139" s="10">
        <v>0.37147349119186401</v>
      </c>
    </row>
    <row r="140" spans="1:135" ht="15" customHeight="1" x14ac:dyDescent="0.3">
      <c r="A140" s="32" t="s">
        <v>447</v>
      </c>
      <c r="F140" s="32">
        <f>566*0.00001</f>
        <v>5.6600000000000001E-3</v>
      </c>
      <c r="K140">
        <v>7.11</v>
      </c>
      <c r="N140" s="32">
        <f>492*0.00001</f>
        <v>4.9200000000000008E-3</v>
      </c>
      <c r="O140" s="32"/>
      <c r="S140" s="24">
        <v>79.606188466947941</v>
      </c>
      <c r="T140" s="24">
        <v>69.198312236286924</v>
      </c>
      <c r="U140" s="25">
        <f t="shared" si="12"/>
        <v>10.407876230661017</v>
      </c>
      <c r="V140" s="1">
        <f t="shared" si="14"/>
        <v>13.07420494699644</v>
      </c>
      <c r="W140" s="1">
        <f t="shared" si="13"/>
        <v>10.407876230661017</v>
      </c>
      <c r="DP140" s="22">
        <v>0</v>
      </c>
      <c r="DQ140">
        <v>1.54</v>
      </c>
      <c r="DS140" s="10">
        <v>22.95</v>
      </c>
      <c r="DT140" s="10">
        <v>4.5900001525878906</v>
      </c>
      <c r="DU140" s="10">
        <v>6.309999942779541</v>
      </c>
      <c r="DV140" s="10">
        <v>11.370148658752441</v>
      </c>
      <c r="DX140" s="10">
        <v>34.618412017822266</v>
      </c>
      <c r="DY140" s="10">
        <v>12.195121765136719</v>
      </c>
      <c r="DZ140" s="10">
        <v>9.0479936599731445</v>
      </c>
      <c r="EA140" s="10">
        <v>21.243114471435547</v>
      </c>
      <c r="EB140" s="10">
        <v>12.698662757873535</v>
      </c>
      <c r="EC140" s="10">
        <v>31.439811706542969</v>
      </c>
      <c r="ED140" s="10">
        <v>44.138473510742188</v>
      </c>
      <c r="EE140" s="10">
        <v>0.31146511435508728</v>
      </c>
    </row>
    <row r="141" spans="1:135" ht="15" customHeight="1" x14ac:dyDescent="0.3">
      <c r="A141" s="32" t="s">
        <v>448</v>
      </c>
      <c r="F141" s="32">
        <f>1889*0.00001</f>
        <v>1.8890000000000001E-2</v>
      </c>
      <c r="K141">
        <v>6.85</v>
      </c>
      <c r="N141" s="32">
        <f>1675*0.00001</f>
        <v>1.6750000000000001E-2</v>
      </c>
      <c r="O141" s="32"/>
      <c r="S141" s="24">
        <v>275.76642335766422</v>
      </c>
      <c r="T141" s="24">
        <v>244.52554744525551</v>
      </c>
      <c r="U141" s="25">
        <f t="shared" si="12"/>
        <v>31.240875912408711</v>
      </c>
      <c r="V141" s="1">
        <f t="shared" si="14"/>
        <v>11.328745367919517</v>
      </c>
      <c r="W141" s="1">
        <f t="shared" si="13"/>
        <v>31.240875912408711</v>
      </c>
      <c r="DP141" s="22">
        <v>0</v>
      </c>
      <c r="DQ141">
        <v>0.99</v>
      </c>
      <c r="DS141" s="10">
        <v>31.58</v>
      </c>
      <c r="DT141" s="10">
        <v>6.3159999847412109</v>
      </c>
      <c r="DU141" s="10">
        <v>6.9800000190734863</v>
      </c>
      <c r="DV141" s="10">
        <v>16.742893218994141</v>
      </c>
      <c r="DX141" s="10">
        <v>41.626251220703125</v>
      </c>
      <c r="DY141" s="10">
        <v>26.673131942749023</v>
      </c>
      <c r="DZ141" s="10">
        <v>8.0827674865722656</v>
      </c>
      <c r="EA141" s="10">
        <v>34.755897521972656</v>
      </c>
      <c r="EB141" s="10">
        <v>10.135790824890137</v>
      </c>
      <c r="EC141" s="10">
        <v>13.482056617736816</v>
      </c>
      <c r="ED141" s="10">
        <v>23.617847442626953</v>
      </c>
      <c r="EE141" s="10">
        <v>0.43967381119728088</v>
      </c>
    </row>
    <row r="142" spans="1:135" ht="15" customHeight="1" x14ac:dyDescent="0.3">
      <c r="A142" s="32" t="s">
        <v>449</v>
      </c>
      <c r="F142" s="32">
        <f>926*0.00001</f>
        <v>9.2600000000000009E-3</v>
      </c>
      <c r="K142">
        <v>6.0299999999999994</v>
      </c>
      <c r="N142" s="32">
        <f>825*0.00001</f>
        <v>8.2500000000000004E-3</v>
      </c>
      <c r="O142" s="32"/>
      <c r="S142" s="24">
        <v>153.56550580431178</v>
      </c>
      <c r="T142" s="24">
        <v>136.81592039800995</v>
      </c>
      <c r="U142" s="25">
        <f t="shared" si="12"/>
        <v>16.749585406301833</v>
      </c>
      <c r="V142" s="1">
        <f t="shared" si="14"/>
        <v>10.907127429805621</v>
      </c>
      <c r="W142" s="1">
        <f t="shared" si="13"/>
        <v>16.749585406301833</v>
      </c>
      <c r="DP142" s="22">
        <v>0</v>
      </c>
      <c r="DQ142">
        <v>1.37</v>
      </c>
      <c r="DS142" s="10">
        <v>12.52</v>
      </c>
      <c r="DT142" s="10">
        <v>2.5039999485015869</v>
      </c>
      <c r="DU142" s="10">
        <v>6.2300000190734863</v>
      </c>
      <c r="DV142" s="10">
        <v>5.7060761451721191</v>
      </c>
      <c r="DX142" s="10">
        <v>42.115646362304688</v>
      </c>
      <c r="DY142" s="10">
        <v>17.832752227783203</v>
      </c>
      <c r="DZ142" s="10">
        <v>4.9324631690979004</v>
      </c>
      <c r="EA142" s="10">
        <v>22.765214920043945</v>
      </c>
      <c r="EB142" s="10">
        <v>11.291546821594238</v>
      </c>
      <c r="EC142" s="10">
        <v>23.827590942382813</v>
      </c>
      <c r="ED142" s="10">
        <v>35.119136810302734</v>
      </c>
      <c r="EE142" s="10">
        <v>0.45340156555175781</v>
      </c>
    </row>
    <row r="143" spans="1:135" ht="15" customHeight="1" x14ac:dyDescent="0.3">
      <c r="A143" s="32" t="s">
        <v>450</v>
      </c>
      <c r="F143" s="32">
        <f>2423*0.00001</f>
        <v>2.4230000000000002E-2</v>
      </c>
      <c r="K143">
        <v>7.0399999999999991</v>
      </c>
      <c r="N143" s="32">
        <f>2187*0.00001</f>
        <v>2.1870000000000001E-2</v>
      </c>
      <c r="O143" s="32"/>
      <c r="S143" s="24">
        <v>344.17613636363637</v>
      </c>
      <c r="T143" s="24">
        <v>310.65340909090912</v>
      </c>
      <c r="U143" s="25">
        <f t="shared" si="12"/>
        <v>33.522727272727252</v>
      </c>
      <c r="V143" s="1">
        <f t="shared" si="14"/>
        <v>9.7399917457697001</v>
      </c>
      <c r="W143" s="1">
        <f t="shared" si="13"/>
        <v>33.522727272727252</v>
      </c>
      <c r="DP143" s="22">
        <v>0</v>
      </c>
      <c r="DQ143">
        <v>0.82</v>
      </c>
      <c r="DS143" s="10">
        <v>37.270000000000003</v>
      </c>
      <c r="DT143" s="10">
        <v>7.4539999961853027</v>
      </c>
      <c r="DU143" s="10">
        <v>6.1599998474121094</v>
      </c>
      <c r="DV143" s="10">
        <v>17.420310974121094</v>
      </c>
      <c r="DX143" s="10">
        <v>46.9599609375</v>
      </c>
      <c r="DY143" s="10">
        <v>28.011203765869141</v>
      </c>
      <c r="DZ143" s="10">
        <v>5.3550829887390137</v>
      </c>
      <c r="EA143" s="10">
        <v>33.366287231445313</v>
      </c>
      <c r="EB143" s="10">
        <v>7.9749546051025391</v>
      </c>
      <c r="EC143" s="10">
        <v>11.698797225952148</v>
      </c>
      <c r="ED143" s="10">
        <v>19.673751831054688</v>
      </c>
      <c r="EE143" s="10">
        <v>0.37887352705001831</v>
      </c>
    </row>
    <row r="144" spans="1:135" ht="15" customHeight="1" x14ac:dyDescent="0.3">
      <c r="A144" s="32" t="s">
        <v>451</v>
      </c>
      <c r="F144" s="32">
        <f>3348*0.00001</f>
        <v>3.3480000000000003E-2</v>
      </c>
      <c r="K144">
        <v>6.75</v>
      </c>
      <c r="N144" s="32">
        <f>3000*0.00001</f>
        <v>3.0000000000000002E-2</v>
      </c>
      <c r="O144" s="32"/>
      <c r="S144" s="24">
        <v>496</v>
      </c>
      <c r="T144" s="24">
        <v>444.44444444444446</v>
      </c>
      <c r="U144" s="25">
        <f t="shared" si="12"/>
        <v>51.555555555555543</v>
      </c>
      <c r="V144" s="1">
        <f t="shared" si="14"/>
        <v>10.394265232974909</v>
      </c>
      <c r="W144" s="1">
        <f t="shared" si="13"/>
        <v>51.555555555555543</v>
      </c>
      <c r="DP144" s="22">
        <v>0</v>
      </c>
      <c r="DQ144">
        <v>1.06</v>
      </c>
      <c r="DS144" s="10">
        <v>31.21</v>
      </c>
      <c r="DT144" s="10">
        <v>6.2420001029968262</v>
      </c>
      <c r="DU144" s="10">
        <v>5.679999828338623</v>
      </c>
      <c r="DV144" s="10">
        <v>9.5732431411743164</v>
      </c>
      <c r="DX144" s="10">
        <v>67.90826416015625</v>
      </c>
      <c r="DY144" s="10">
        <v>12.605725288391113</v>
      </c>
      <c r="DZ144" s="10">
        <v>3.6597268581390381</v>
      </c>
      <c r="EA144" s="10">
        <v>16.265451431274414</v>
      </c>
      <c r="EB144" s="10">
        <v>5.6115808486938477</v>
      </c>
      <c r="EC144" s="10">
        <v>10.214703559875488</v>
      </c>
      <c r="ED144" s="10">
        <v>15.826284408569336</v>
      </c>
      <c r="EE144" s="10">
        <v>0.1661449521780014</v>
      </c>
    </row>
    <row r="145" spans="1:135" ht="15" customHeight="1" x14ac:dyDescent="0.3">
      <c r="A145" s="32" t="s">
        <v>452</v>
      </c>
      <c r="F145" s="32">
        <f>658*0.00001</f>
        <v>6.5800000000000008E-3</v>
      </c>
      <c r="K145">
        <v>7.3100000000000005</v>
      </c>
      <c r="N145" s="32">
        <f>581*0.00001</f>
        <v>5.8100000000000001E-3</v>
      </c>
      <c r="O145" s="32"/>
      <c r="S145" s="24">
        <v>90.013679890560866</v>
      </c>
      <c r="T145" s="24">
        <v>79.480164158686733</v>
      </c>
      <c r="U145" s="25">
        <f t="shared" si="12"/>
        <v>10.533515731874132</v>
      </c>
      <c r="V145" s="1">
        <f t="shared" si="14"/>
        <v>11.702127659574455</v>
      </c>
      <c r="W145" s="1">
        <f t="shared" si="13"/>
        <v>10.533515731874132</v>
      </c>
      <c r="DP145" s="22">
        <v>0</v>
      </c>
      <c r="DQ145">
        <v>1.08</v>
      </c>
      <c r="DS145" s="10">
        <v>33.36</v>
      </c>
      <c r="DT145" s="10">
        <v>6.6719999313354492</v>
      </c>
      <c r="DU145" s="10">
        <v>7.0300002098083496</v>
      </c>
      <c r="DV145" s="10">
        <v>17.022441864013672</v>
      </c>
      <c r="DX145" s="10">
        <v>40.426906585693359</v>
      </c>
      <c r="DY145" s="10">
        <v>12.936610221862793</v>
      </c>
      <c r="DZ145" s="10">
        <v>8.8939199447631836</v>
      </c>
      <c r="EA145" s="10">
        <v>21.830530166625977</v>
      </c>
      <c r="EB145" s="10">
        <v>18.564035415649414</v>
      </c>
      <c r="EC145" s="10">
        <v>19.178525924682617</v>
      </c>
      <c r="ED145" s="10">
        <v>37.742561340332031</v>
      </c>
      <c r="EE145" s="10">
        <v>0.23736073076725006</v>
      </c>
    </row>
    <row r="146" spans="1:135" ht="15" customHeight="1" x14ac:dyDescent="0.3">
      <c r="A146" s="32" t="s">
        <v>453</v>
      </c>
      <c r="F146" s="32">
        <f>835*0.00001</f>
        <v>8.3500000000000015E-3</v>
      </c>
      <c r="K146">
        <v>6.8900000000000006</v>
      </c>
      <c r="N146" s="32">
        <f>744*0.00001</f>
        <v>7.4400000000000004E-3</v>
      </c>
      <c r="O146" s="32"/>
      <c r="S146" s="24">
        <v>121.19013062409287</v>
      </c>
      <c r="T146" s="24">
        <v>107.98258345428155</v>
      </c>
      <c r="U146" s="25">
        <f t="shared" si="12"/>
        <v>13.20754716981132</v>
      </c>
      <c r="V146" s="1">
        <f t="shared" si="14"/>
        <v>10.898203592814372</v>
      </c>
      <c r="W146" s="1">
        <f t="shared" si="13"/>
        <v>13.20754716981132</v>
      </c>
      <c r="DP146" s="22">
        <v>0</v>
      </c>
      <c r="DQ146">
        <v>1.19</v>
      </c>
      <c r="DS146" s="10">
        <v>34.909999999999997</v>
      </c>
      <c r="DT146" s="10">
        <v>6.9819998741149902</v>
      </c>
      <c r="DU146" s="10">
        <v>7.130000114440918</v>
      </c>
      <c r="DV146" s="10">
        <v>17.377347946166992</v>
      </c>
      <c r="DX146" s="10">
        <v>38.287925720214844</v>
      </c>
      <c r="DY146" s="10">
        <v>15.315170288085938</v>
      </c>
      <c r="DZ146" s="10">
        <v>7.254554271697998</v>
      </c>
      <c r="EA146" s="10">
        <v>22.569725036621094</v>
      </c>
      <c r="EB146" s="10">
        <v>17.024021148681641</v>
      </c>
      <c r="EC146" s="10">
        <v>22.118330001831055</v>
      </c>
      <c r="ED146" s="10">
        <v>39.142349243164063</v>
      </c>
      <c r="EE146" s="10">
        <v>0.23682688176631927</v>
      </c>
    </row>
    <row r="147" spans="1:135" ht="15" customHeight="1" x14ac:dyDescent="0.3">
      <c r="A147" s="32" t="s">
        <v>454</v>
      </c>
      <c r="F147" s="32">
        <f>1048*0.00001</f>
        <v>1.0480000000000001E-2</v>
      </c>
      <c r="K147">
        <v>7.26</v>
      </c>
      <c r="N147" s="32">
        <f>966*0.00001</f>
        <v>9.6600000000000002E-3</v>
      </c>
      <c r="O147" s="32"/>
      <c r="S147" s="24">
        <v>144.35261707988985</v>
      </c>
      <c r="T147" s="24">
        <v>133.05785123966942</v>
      </c>
      <c r="U147" s="25">
        <f t="shared" si="12"/>
        <v>11.294765840220435</v>
      </c>
      <c r="V147" s="1">
        <f t="shared" si="14"/>
        <v>7.8244274809160617</v>
      </c>
      <c r="W147" s="1">
        <f t="shared" si="13"/>
        <v>11.294765840220435</v>
      </c>
      <c r="DP147" s="22">
        <v>0</v>
      </c>
      <c r="DQ147">
        <v>1.07</v>
      </c>
      <c r="DS147" s="10">
        <v>42.99</v>
      </c>
      <c r="DT147" s="10">
        <v>8.5979995727539063</v>
      </c>
      <c r="DU147" s="10">
        <v>6.1999998092651367</v>
      </c>
      <c r="DV147" s="10">
        <v>19.512140274047852</v>
      </c>
      <c r="DX147" s="10">
        <v>34.401744842529297</v>
      </c>
      <c r="DY147" s="10">
        <v>15.103205680847168</v>
      </c>
      <c r="DZ147" s="10">
        <v>6.7125358581542969</v>
      </c>
      <c r="EA147" s="10">
        <v>21.815742492675781</v>
      </c>
      <c r="EB147" s="10">
        <v>18.425910949707031</v>
      </c>
      <c r="EC147" s="10">
        <v>25.356603622436523</v>
      </c>
      <c r="ED147" s="10">
        <v>43.782516479492188</v>
      </c>
      <c r="EE147" s="10">
        <v>0.2300117015838623</v>
      </c>
    </row>
    <row r="148" spans="1:135" ht="15" customHeight="1" x14ac:dyDescent="0.3">
      <c r="A148" s="32" t="s">
        <v>455</v>
      </c>
      <c r="F148" s="32">
        <f>394*0.00001</f>
        <v>3.9399999999999999E-3</v>
      </c>
      <c r="K148">
        <v>7.57</v>
      </c>
      <c r="N148" s="32">
        <f>353*0.00001</f>
        <v>3.5300000000000002E-3</v>
      </c>
      <c r="O148" s="32"/>
      <c r="S148" s="24">
        <v>52.047556142668419</v>
      </c>
      <c r="T148" s="24">
        <v>46.631439894319684</v>
      </c>
      <c r="U148" s="25">
        <f t="shared" si="12"/>
        <v>5.416116248348736</v>
      </c>
      <c r="V148" s="1">
        <f t="shared" si="14"/>
        <v>10.406091370558361</v>
      </c>
      <c r="W148" s="1">
        <f t="shared" si="13"/>
        <v>5.416116248348736</v>
      </c>
      <c r="DP148" s="22">
        <v>0</v>
      </c>
      <c r="DQ148">
        <v>1.19</v>
      </c>
      <c r="DS148" s="10">
        <v>17.79</v>
      </c>
      <c r="DT148" s="10">
        <v>3.5580000877380371</v>
      </c>
      <c r="DU148" s="10">
        <v>5.4800000190734863</v>
      </c>
      <c r="DV148" s="10">
        <v>7.8101334571838379</v>
      </c>
      <c r="DX148" s="10">
        <v>25.156272888183594</v>
      </c>
      <c r="DY148" s="10">
        <v>10.291202545166016</v>
      </c>
      <c r="DZ148" s="10">
        <v>7.6231131553649902</v>
      </c>
      <c r="EA148" s="10">
        <v>17.914316177368164</v>
      </c>
      <c r="EB148" s="10">
        <v>29.516695022583008</v>
      </c>
      <c r="EC148" s="10">
        <v>27.412715911865234</v>
      </c>
      <c r="ED148" s="10">
        <v>56.929412841796875</v>
      </c>
      <c r="EE148" s="10">
        <v>0.34829497337341309</v>
      </c>
    </row>
    <row r="149" spans="1:135" ht="15" customHeight="1" x14ac:dyDescent="0.3">
      <c r="A149" s="32" t="s">
        <v>456</v>
      </c>
      <c r="F149" s="32">
        <f>512*0.00001</f>
        <v>5.1200000000000004E-3</v>
      </c>
      <c r="K149">
        <v>7.99</v>
      </c>
      <c r="N149" s="32">
        <f>455*0.00001</f>
        <v>4.5500000000000002E-3</v>
      </c>
      <c r="O149" s="32"/>
      <c r="S149" s="24">
        <v>64.080100125156434</v>
      </c>
      <c r="T149" s="24">
        <v>56.946182728410506</v>
      </c>
      <c r="U149" s="25">
        <f t="shared" si="12"/>
        <v>7.1339173967459288</v>
      </c>
      <c r="V149" s="1">
        <f t="shared" si="14"/>
        <v>11.132812499999995</v>
      </c>
      <c r="W149" s="1">
        <f t="shared" si="13"/>
        <v>7.1339173967459288</v>
      </c>
      <c r="DP149" s="22">
        <v>0</v>
      </c>
      <c r="DS149" s="10">
        <v>28.3</v>
      </c>
      <c r="DT149" s="10">
        <v>5.6599998474121094</v>
      </c>
      <c r="DU149" s="10">
        <v>6.0300002098083496</v>
      </c>
      <c r="DV149" s="10">
        <v>12.37134838104248</v>
      </c>
      <c r="DX149" s="10">
        <v>37.591011047363281</v>
      </c>
      <c r="DY149" s="10">
        <v>13.057929992675781</v>
      </c>
      <c r="DZ149" s="10">
        <v>11.079455375671387</v>
      </c>
      <c r="EA149" s="10">
        <v>24.137386322021484</v>
      </c>
      <c r="EB149" s="10">
        <v>24.105730056762695</v>
      </c>
      <c r="EC149" s="10">
        <v>14.165875434875488</v>
      </c>
      <c r="ED149" s="10">
        <v>38.2716064453125</v>
      </c>
      <c r="EE149" s="10">
        <v>0.29616931080818176</v>
      </c>
    </row>
    <row r="150" spans="1:135" ht="15" customHeight="1" x14ac:dyDescent="0.3">
      <c r="A150" s="32" t="s">
        <v>457</v>
      </c>
      <c r="F150" s="32">
        <f>414*0.00001</f>
        <v>4.1400000000000005E-3</v>
      </c>
      <c r="K150">
        <v>6.3100000000000005</v>
      </c>
      <c r="N150" s="32">
        <f>382*0.00001</f>
        <v>3.8200000000000005E-3</v>
      </c>
      <c r="O150" s="32"/>
      <c r="S150" s="24">
        <v>65.610142630744832</v>
      </c>
      <c r="T150" s="24">
        <v>60.538827258320126</v>
      </c>
      <c r="U150" s="25">
        <f t="shared" si="12"/>
        <v>5.0713153724247064</v>
      </c>
      <c r="V150" s="1">
        <f t="shared" si="14"/>
        <v>7.7294685990337939</v>
      </c>
      <c r="W150" s="1">
        <f t="shared" si="13"/>
        <v>5.0713153724247064</v>
      </c>
      <c r="DP150" s="22">
        <v>0</v>
      </c>
      <c r="DQ150">
        <v>1.22</v>
      </c>
      <c r="DS150" s="10">
        <v>23.4</v>
      </c>
      <c r="DT150" s="10">
        <v>4.679999828338623</v>
      </c>
      <c r="DU150" s="10">
        <v>6.5100002288818359</v>
      </c>
      <c r="DV150" s="10">
        <v>10.612954139709473</v>
      </c>
      <c r="DX150" s="10">
        <v>25.165145874023438</v>
      </c>
      <c r="DY150" s="10">
        <v>16.514627456665039</v>
      </c>
      <c r="DZ150" s="10">
        <v>11.402956962585449</v>
      </c>
      <c r="EA150" s="10">
        <v>27.917583465576172</v>
      </c>
      <c r="EB150" s="10">
        <v>20.509593963623047</v>
      </c>
      <c r="EC150" s="10">
        <v>26.407674789428711</v>
      </c>
      <c r="ED150" s="10">
        <v>46.917266845703125</v>
      </c>
      <c r="EE150" s="10">
        <v>0.4630596935749054</v>
      </c>
    </row>
    <row r="151" spans="1:135" ht="15" customHeight="1" x14ac:dyDescent="0.3">
      <c r="A151" s="32" t="s">
        <v>458</v>
      </c>
      <c r="F151" s="32">
        <f>163*0.00001</f>
        <v>1.6300000000000002E-3</v>
      </c>
      <c r="K151">
        <v>7.16</v>
      </c>
      <c r="N151" s="32">
        <f>143*0.00001</f>
        <v>1.4300000000000001E-3</v>
      </c>
      <c r="O151" s="32"/>
      <c r="S151" s="24">
        <v>22.765363128491622</v>
      </c>
      <c r="T151" s="24">
        <v>19.972067039106147</v>
      </c>
      <c r="U151" s="25">
        <f t="shared" si="12"/>
        <v>2.7932960893854748</v>
      </c>
      <c r="V151" s="1">
        <f t="shared" si="14"/>
        <v>12.269938650306749</v>
      </c>
      <c r="W151" s="1">
        <f t="shared" si="13"/>
        <v>2.7932960893854748</v>
      </c>
      <c r="DP151" s="22">
        <v>0</v>
      </c>
      <c r="DQ151">
        <v>1.21</v>
      </c>
      <c r="DS151" s="10">
        <v>28.57</v>
      </c>
      <c r="DT151" s="10">
        <v>5.7140002250671387</v>
      </c>
      <c r="DU151" s="10">
        <v>5.630000114440918</v>
      </c>
      <c r="DV151" s="10">
        <v>7.4397530555725098</v>
      </c>
      <c r="DX151" s="10">
        <v>34.139068603515625</v>
      </c>
      <c r="DY151" s="10">
        <v>9.8100767135620117</v>
      </c>
      <c r="DZ151" s="10">
        <v>7.0632553100585938</v>
      </c>
      <c r="EA151" s="10">
        <v>16.873332977294922</v>
      </c>
      <c r="EB151" s="10">
        <v>18.521425247192383</v>
      </c>
      <c r="EC151" s="10">
        <v>30.466175079345703</v>
      </c>
      <c r="ED151" s="10">
        <v>48.987602233886719</v>
      </c>
      <c r="EE151" s="10">
        <v>0.21924585103988647</v>
      </c>
    </row>
    <row r="152" spans="1:135" ht="15" customHeight="1" x14ac:dyDescent="0.3">
      <c r="A152" s="32" t="s">
        <v>459</v>
      </c>
      <c r="F152" s="32">
        <f>118*0.00001</f>
        <v>1.1800000000000001E-3</v>
      </c>
      <c r="K152">
        <v>7.6199999999999992</v>
      </c>
      <c r="N152" s="32">
        <f>101*0.00001</f>
        <v>1.01E-3</v>
      </c>
      <c r="O152" s="32"/>
      <c r="S152" s="24">
        <v>15.485564304461942</v>
      </c>
      <c r="T152" s="24">
        <v>13.254593175853021</v>
      </c>
      <c r="U152" s="25">
        <f t="shared" si="12"/>
        <v>2.2309711286089211</v>
      </c>
      <c r="V152" s="1">
        <f t="shared" si="14"/>
        <v>14.406779661016932</v>
      </c>
      <c r="W152" s="1">
        <f t="shared" si="13"/>
        <v>2.2309711286089211</v>
      </c>
      <c r="DP152" s="22">
        <v>0</v>
      </c>
      <c r="DS152" s="10">
        <v>16.72</v>
      </c>
      <c r="DT152" s="10">
        <v>3.3440001010894775</v>
      </c>
      <c r="DU152" s="10">
        <v>4.4000000953674316</v>
      </c>
      <c r="DV152" s="10">
        <v>2.5775158405303955</v>
      </c>
      <c r="DX152" s="10">
        <v>37.07794189453125</v>
      </c>
      <c r="DY152" s="10">
        <v>4.7333545684814453</v>
      </c>
      <c r="DZ152" s="10">
        <v>10.255600929260254</v>
      </c>
      <c r="EA152" s="10">
        <v>14.988955497741699</v>
      </c>
      <c r="EB152" s="10">
        <v>32.234142303466797</v>
      </c>
      <c r="EC152" s="10">
        <v>15.698958396911621</v>
      </c>
      <c r="ED152" s="10">
        <v>47.933101654052734</v>
      </c>
      <c r="EE152" s="10">
        <v>0.20975841581821442</v>
      </c>
    </row>
    <row r="153" spans="1:135" ht="15" customHeight="1" x14ac:dyDescent="0.3">
      <c r="A153" s="32" t="s">
        <v>460</v>
      </c>
      <c r="F153" s="32">
        <f>183*0.00001</f>
        <v>1.8300000000000002E-3</v>
      </c>
      <c r="K153">
        <v>8.9699999999999989</v>
      </c>
      <c r="N153" s="32">
        <f>162*0.00001</f>
        <v>1.6200000000000001E-3</v>
      </c>
      <c r="O153" s="32"/>
      <c r="S153" s="24">
        <v>20.401337792642146</v>
      </c>
      <c r="T153" s="24">
        <v>18.060200668896325</v>
      </c>
      <c r="U153" s="25">
        <f t="shared" si="12"/>
        <v>2.3411371237458205</v>
      </c>
      <c r="V153" s="1">
        <f t="shared" si="14"/>
        <v>11.475409836065577</v>
      </c>
      <c r="W153" s="1">
        <f t="shared" si="13"/>
        <v>2.3411371237458205</v>
      </c>
      <c r="DP153" s="22">
        <v>0</v>
      </c>
      <c r="DQ153">
        <v>1.21</v>
      </c>
      <c r="DS153" s="10">
        <v>20.76</v>
      </c>
      <c r="DT153" s="10">
        <v>4.1519999504089355</v>
      </c>
      <c r="DU153" s="10">
        <v>5.7600002288818359</v>
      </c>
      <c r="DV153" s="10">
        <v>6.078519344329834</v>
      </c>
      <c r="DX153" s="10">
        <v>24.031007766723633</v>
      </c>
      <c r="DY153" s="10">
        <v>5.8139533996582031</v>
      </c>
      <c r="DZ153" s="10">
        <v>4.6511626243591309</v>
      </c>
      <c r="EA153" s="10">
        <v>10.465116500854492</v>
      </c>
      <c r="EB153" s="10">
        <v>29.519380569458008</v>
      </c>
      <c r="EC153" s="10">
        <v>35.9844970703125</v>
      </c>
      <c r="ED153" s="10">
        <v>65.503875732421875</v>
      </c>
      <c r="EE153" s="10">
        <v>0.18625649809837341</v>
      </c>
    </row>
    <row r="154" spans="1:135" ht="15" customHeight="1" x14ac:dyDescent="0.3">
      <c r="A154" s="32" t="s">
        <v>461</v>
      </c>
      <c r="F154" s="32">
        <f>228*0.00001</f>
        <v>2.2800000000000003E-3</v>
      </c>
      <c r="K154">
        <v>5.83</v>
      </c>
      <c r="N154" s="32">
        <f>198*0.00001</f>
        <v>1.98E-3</v>
      </c>
      <c r="O154" s="32"/>
      <c r="S154" s="24">
        <v>39.108061749571185</v>
      </c>
      <c r="T154" s="24">
        <v>33.962264150943398</v>
      </c>
      <c r="U154" s="25">
        <f t="shared" si="12"/>
        <v>5.1457975986277873</v>
      </c>
      <c r="V154" s="1">
        <f t="shared" si="14"/>
        <v>13.157894736842104</v>
      </c>
      <c r="W154" s="1">
        <f t="shared" si="13"/>
        <v>5.1457975986277873</v>
      </c>
      <c r="DP154" s="22">
        <v>0</v>
      </c>
      <c r="DS154" s="10">
        <v>26.57</v>
      </c>
      <c r="DT154" s="10">
        <v>5.314000129699707</v>
      </c>
      <c r="DU154" s="10">
        <v>5.7199997901916504</v>
      </c>
      <c r="DV154" s="10">
        <v>8.2966957092285156</v>
      </c>
      <c r="DX154" s="10">
        <v>41.456096649169922</v>
      </c>
      <c r="DY154" s="10">
        <v>7.1067595481872559</v>
      </c>
      <c r="DZ154" s="10">
        <v>1.9740997552871704</v>
      </c>
      <c r="EA154" s="10">
        <v>9.0808591842651367</v>
      </c>
      <c r="EB154" s="10">
        <v>14.750473976135254</v>
      </c>
      <c r="EC154" s="10">
        <v>34.712570190429688</v>
      </c>
      <c r="ED154" s="10">
        <v>49.463043212890625</v>
      </c>
      <c r="EE154" s="10">
        <v>0.1283426433801651</v>
      </c>
    </row>
    <row r="155" spans="1:135" ht="15" customHeight="1" x14ac:dyDescent="0.3">
      <c r="A155" s="32" t="s">
        <v>462</v>
      </c>
      <c r="F155" s="32">
        <f>21*0.00001</f>
        <v>2.1000000000000001E-4</v>
      </c>
      <c r="K155">
        <v>6.98</v>
      </c>
      <c r="N155" s="32">
        <f>17*0.00001</f>
        <v>1.7000000000000001E-4</v>
      </c>
      <c r="O155" s="32"/>
      <c r="S155" s="24">
        <v>3.0085959885386817</v>
      </c>
      <c r="T155" s="24">
        <v>2.4355300859598854</v>
      </c>
      <c r="U155" s="25">
        <f t="shared" si="12"/>
        <v>0.5730659025787963</v>
      </c>
      <c r="V155" s="1">
        <f t="shared" si="14"/>
        <v>19.04761904761904</v>
      </c>
      <c r="W155" s="1">
        <f t="shared" si="13"/>
        <v>0.5730659025787963</v>
      </c>
      <c r="DP155" s="22">
        <v>0</v>
      </c>
      <c r="DQ155">
        <v>1.4</v>
      </c>
      <c r="DS155" s="10">
        <v>10.24</v>
      </c>
      <c r="DT155" s="10">
        <v>2.0480000972747803</v>
      </c>
      <c r="DU155" s="10">
        <v>7.0999999046325684</v>
      </c>
      <c r="DV155" s="10">
        <v>3.8949317932128906</v>
      </c>
      <c r="DX155" s="10">
        <v>9.5546083450317383</v>
      </c>
      <c r="DY155" s="10">
        <v>7.7171835899353027</v>
      </c>
      <c r="DZ155" s="10">
        <v>5.1447892189025879</v>
      </c>
      <c r="EA155" s="10">
        <v>12.861972808837891</v>
      </c>
      <c r="EB155" s="10">
        <v>24.841981887817383</v>
      </c>
      <c r="EC155" s="10">
        <v>52.741436004638672</v>
      </c>
      <c r="ED155" s="10">
        <v>77.583419799804688</v>
      </c>
      <c r="EE155" s="10">
        <v>0.49388605356216431</v>
      </c>
    </row>
    <row r="156" spans="1:135" ht="15" customHeight="1" x14ac:dyDescent="0.3">
      <c r="A156" s="32" t="s">
        <v>463</v>
      </c>
      <c r="F156" s="32">
        <f>120*0.00001</f>
        <v>1.2000000000000001E-3</v>
      </c>
      <c r="K156">
        <v>8.7199999999999989</v>
      </c>
      <c r="N156" s="32">
        <f>108*0.00001</f>
        <v>1.08E-3</v>
      </c>
      <c r="O156" s="32"/>
      <c r="S156" s="24">
        <v>13.761467889908261</v>
      </c>
      <c r="T156" s="24">
        <v>12.385321100917432</v>
      </c>
      <c r="U156" s="25">
        <f t="shared" si="12"/>
        <v>1.3761467889908285</v>
      </c>
      <c r="V156" s="1">
        <f t="shared" si="14"/>
        <v>10.000000000000018</v>
      </c>
      <c r="W156" s="1">
        <f t="shared" si="13"/>
        <v>1.3761467889908285</v>
      </c>
      <c r="DP156" s="22">
        <v>0</v>
      </c>
      <c r="DS156" s="10">
        <v>7.93</v>
      </c>
      <c r="DT156" s="10">
        <v>1.5859999656677246</v>
      </c>
      <c r="DU156" s="10">
        <v>6.3899998664855957</v>
      </c>
      <c r="DV156" s="10">
        <v>2.7599050998687744</v>
      </c>
      <c r="DX156" s="10">
        <v>17.464328765869141</v>
      </c>
      <c r="DY156" s="10">
        <v>8.1747922897338867</v>
      </c>
      <c r="DZ156" s="10">
        <v>4.0873961448669434</v>
      </c>
      <c r="EA156" s="10">
        <v>12.262187957763672</v>
      </c>
      <c r="EB156" s="10">
        <v>19.441141128540039</v>
      </c>
      <c r="EC156" s="10">
        <v>50.832344055175781</v>
      </c>
      <c r="ED156" s="10">
        <v>70.273483276367188</v>
      </c>
      <c r="EE156" s="10">
        <v>0.45995631814002991</v>
      </c>
    </row>
    <row r="157" spans="1:135" ht="15" customHeight="1" x14ac:dyDescent="0.3">
      <c r="A157" s="32" t="s">
        <v>464</v>
      </c>
      <c r="F157" s="32">
        <f>31*0.00001</f>
        <v>3.1E-4</v>
      </c>
      <c r="K157">
        <v>8.6100000000000012</v>
      </c>
      <c r="N157" s="32">
        <f>28*0.00001</f>
        <v>2.8000000000000003E-4</v>
      </c>
      <c r="O157" s="32"/>
      <c r="S157" s="24">
        <v>3.6004645760743315</v>
      </c>
      <c r="T157" s="24">
        <v>3.2520325203252027</v>
      </c>
      <c r="U157" s="25">
        <f t="shared" si="12"/>
        <v>0.34843205574912872</v>
      </c>
      <c r="V157" s="1">
        <f t="shared" si="14"/>
        <v>9.6774193548387064</v>
      </c>
      <c r="W157" s="1">
        <f t="shared" si="13"/>
        <v>0.34843205574912872</v>
      </c>
      <c r="DP157" s="22">
        <v>0</v>
      </c>
      <c r="DQ157">
        <v>1.44</v>
      </c>
      <c r="DS157" s="10">
        <v>8.7100000000000009</v>
      </c>
      <c r="DT157" s="10">
        <v>1.7419999837875366</v>
      </c>
      <c r="DU157" s="10">
        <v>5.6399998664855957</v>
      </c>
      <c r="DV157" s="10">
        <v>2.1062061786651611</v>
      </c>
      <c r="DX157" s="10">
        <v>21.33922004699707</v>
      </c>
      <c r="DY157" s="10">
        <v>7.3583517074584961</v>
      </c>
      <c r="DZ157" s="10">
        <v>3.679175853729248</v>
      </c>
      <c r="EA157" s="10">
        <v>11.037527084350586</v>
      </c>
      <c r="EB157" s="10">
        <v>18.852096557617188</v>
      </c>
      <c r="EC157" s="10">
        <v>48.771156311035156</v>
      </c>
      <c r="ED157" s="10">
        <v>67.623252868652344</v>
      </c>
      <c r="EE157" s="10">
        <v>0.35596457123756409</v>
      </c>
    </row>
    <row r="158" spans="1:135" ht="15" customHeight="1" x14ac:dyDescent="0.3">
      <c r="A158" s="32" t="s">
        <v>465</v>
      </c>
      <c r="F158" s="32">
        <f>483*0.00001</f>
        <v>4.8300000000000001E-3</v>
      </c>
      <c r="K158">
        <v>7.0400000000000009</v>
      </c>
      <c r="N158" s="32">
        <f>429*0.00001</f>
        <v>4.2900000000000004E-3</v>
      </c>
      <c r="O158" s="32"/>
      <c r="S158" s="24">
        <v>68.607954545454533</v>
      </c>
      <c r="T158" s="24">
        <v>60.9375</v>
      </c>
      <c r="U158" s="25">
        <f t="shared" si="12"/>
        <v>7.6704545454545325</v>
      </c>
      <c r="V158" s="1">
        <f t="shared" si="14"/>
        <v>11.180124223602467</v>
      </c>
      <c r="W158" s="1">
        <f t="shared" si="13"/>
        <v>7.6704545454545325</v>
      </c>
      <c r="DP158" s="22">
        <v>0</v>
      </c>
      <c r="DQ158">
        <v>1.18</v>
      </c>
      <c r="DS158" s="10">
        <v>19.09</v>
      </c>
      <c r="DT158" s="10">
        <v>3.8180000782012939</v>
      </c>
      <c r="DU158" s="10">
        <v>6.5500001907348633</v>
      </c>
      <c r="DV158" s="10">
        <v>9.9880332946777344</v>
      </c>
      <c r="DX158" s="10">
        <v>40.863533020019531</v>
      </c>
      <c r="DY158" s="10">
        <v>9.6376256942749023</v>
      </c>
      <c r="DZ158" s="10">
        <v>3.4695451259613037</v>
      </c>
      <c r="EA158" s="10">
        <v>13.107171058654785</v>
      </c>
      <c r="EB158" s="10">
        <v>6.5381650924682617</v>
      </c>
      <c r="EC158" s="10">
        <v>39.491134643554688</v>
      </c>
      <c r="ED158" s="10">
        <v>46.029300689697266</v>
      </c>
      <c r="EE158" s="10">
        <v>0.21581268310546875</v>
      </c>
    </row>
    <row r="159" spans="1:135" ht="15" customHeight="1" x14ac:dyDescent="0.3">
      <c r="A159" s="32" t="s">
        <v>466</v>
      </c>
      <c r="F159" s="32">
        <f>355*0.00001</f>
        <v>3.5500000000000002E-3</v>
      </c>
      <c r="K159">
        <v>8.129999999999999</v>
      </c>
      <c r="N159" s="32">
        <f>308*0.00001</f>
        <v>3.0800000000000003E-3</v>
      </c>
      <c r="O159" s="32"/>
      <c r="S159" s="24">
        <v>43.665436654366552</v>
      </c>
      <c r="T159" s="24">
        <v>37.88437884378844</v>
      </c>
      <c r="U159" s="25">
        <f t="shared" si="12"/>
        <v>5.7810578105781119</v>
      </c>
      <c r="V159" s="1">
        <f t="shared" si="14"/>
        <v>13.239436619718322</v>
      </c>
      <c r="W159" s="1">
        <f t="shared" si="13"/>
        <v>5.7810578105781119</v>
      </c>
      <c r="DP159" s="22">
        <v>0</v>
      </c>
      <c r="DQ159">
        <v>1.33</v>
      </c>
      <c r="DS159" s="10">
        <v>21.02</v>
      </c>
      <c r="DT159" s="10">
        <v>4.2039999961853027</v>
      </c>
      <c r="DU159" s="10">
        <v>5.9499998092651367</v>
      </c>
      <c r="DV159" s="10">
        <v>8.1736459732055664</v>
      </c>
      <c r="DX159" s="10">
        <v>44.342506408691406</v>
      </c>
      <c r="DY159" s="10">
        <v>5.7339448928833008</v>
      </c>
      <c r="DZ159" s="10">
        <v>3.4403669834136963</v>
      </c>
      <c r="EA159" s="10">
        <v>9.174311637878418</v>
      </c>
      <c r="EB159" s="10">
        <v>9.2201833724975586</v>
      </c>
      <c r="EC159" s="10">
        <v>37.262996673583984</v>
      </c>
      <c r="ED159" s="10">
        <v>46.483180999755859</v>
      </c>
      <c r="EE159" s="10">
        <v>0.12943816184997559</v>
      </c>
    </row>
    <row r="160" spans="1:135" ht="15" customHeight="1" x14ac:dyDescent="0.3">
      <c r="A160" s="32" t="s">
        <v>467</v>
      </c>
      <c r="F160" s="32">
        <f>225*0.00001</f>
        <v>2.2500000000000003E-3</v>
      </c>
      <c r="K160">
        <v>8.08</v>
      </c>
      <c r="N160" s="32">
        <f>196*0.00001</f>
        <v>1.9600000000000004E-3</v>
      </c>
      <c r="O160" s="32"/>
      <c r="S160" s="24">
        <v>27.846534653465348</v>
      </c>
      <c r="T160" s="24">
        <v>24.257425742574256</v>
      </c>
      <c r="U160" s="25">
        <f t="shared" si="12"/>
        <v>3.5891089108910919</v>
      </c>
      <c r="V160" s="1">
        <f t="shared" si="14"/>
        <v>12.8888888888889</v>
      </c>
      <c r="W160" s="1">
        <f t="shared" si="13"/>
        <v>3.5891089108910919</v>
      </c>
      <c r="DP160" s="22">
        <v>0</v>
      </c>
      <c r="DS160" s="10">
        <v>23.61</v>
      </c>
      <c r="DT160" s="10">
        <v>4.7220001220703125</v>
      </c>
      <c r="DU160" s="10">
        <v>7.25</v>
      </c>
      <c r="DV160" s="10">
        <v>11.308408737182617</v>
      </c>
      <c r="DX160" s="10">
        <v>37.896186828613281</v>
      </c>
      <c r="DY160" s="10">
        <v>8.0385856628417969</v>
      </c>
      <c r="DZ160" s="10">
        <v>3.4451079368591309</v>
      </c>
      <c r="EA160" s="10">
        <v>11.483694076538086</v>
      </c>
      <c r="EB160" s="10">
        <v>12.188026428222656</v>
      </c>
      <c r="EC160" s="10">
        <v>38.432094573974609</v>
      </c>
      <c r="ED160" s="10">
        <v>50.620121002197266</v>
      </c>
      <c r="EE160" s="10">
        <v>0.12202026695013046</v>
      </c>
    </row>
    <row r="161" spans="1:135" ht="15" customHeight="1" x14ac:dyDescent="0.3">
      <c r="A161" s="32" t="s">
        <v>468</v>
      </c>
      <c r="F161" s="32">
        <f>433*0.00001</f>
        <v>4.3300000000000005E-3</v>
      </c>
      <c r="K161">
        <v>7.120000000000001</v>
      </c>
      <c r="N161" s="32">
        <f>389*0.00001</f>
        <v>3.8900000000000002E-3</v>
      </c>
      <c r="O161" s="32"/>
      <c r="S161" s="24">
        <v>60.81460674157303</v>
      </c>
      <c r="T161" s="24">
        <v>54.63483146067415</v>
      </c>
      <c r="U161" s="25">
        <f t="shared" si="12"/>
        <v>6.1797752808988804</v>
      </c>
      <c r="V161" s="1">
        <f t="shared" si="14"/>
        <v>10.161662817551969</v>
      </c>
      <c r="W161" s="1">
        <f t="shared" si="13"/>
        <v>6.1797752808988804</v>
      </c>
      <c r="DP161" s="22">
        <v>0</v>
      </c>
      <c r="DS161" s="10">
        <v>20.61</v>
      </c>
      <c r="DT161" s="10">
        <v>4.1220002174377441</v>
      </c>
      <c r="DU161" s="10">
        <v>6.3899998664855957</v>
      </c>
      <c r="DV161" s="10">
        <v>8.9415254592895508</v>
      </c>
      <c r="DX161" s="10">
        <v>42.754619598388672</v>
      </c>
      <c r="DY161" s="10">
        <v>8.398228645324707</v>
      </c>
      <c r="DZ161" s="10">
        <v>3.8173766136169434</v>
      </c>
      <c r="EA161" s="10">
        <v>12.215604782104492</v>
      </c>
      <c r="EB161" s="10">
        <v>10.64284610748291</v>
      </c>
      <c r="EC161" s="10">
        <v>34.386928558349609</v>
      </c>
      <c r="ED161" s="10">
        <v>45.029773712158203</v>
      </c>
      <c r="EE161" s="10">
        <v>0.184107705950737</v>
      </c>
    </row>
    <row r="162" spans="1:135" ht="15" customHeight="1" x14ac:dyDescent="0.3">
      <c r="A162" s="32" t="s">
        <v>469</v>
      </c>
      <c r="F162" s="32">
        <f>391*0.00001</f>
        <v>3.9100000000000003E-3</v>
      </c>
      <c r="K162">
        <v>7.99</v>
      </c>
      <c r="N162" s="32">
        <f>361*0.00001</f>
        <v>3.6100000000000004E-3</v>
      </c>
      <c r="O162" s="32"/>
      <c r="S162" s="24">
        <v>48.936170212765958</v>
      </c>
      <c r="T162" s="24">
        <v>45.181476846057571</v>
      </c>
      <c r="U162" s="25">
        <f t="shared" si="12"/>
        <v>3.7546933667083877</v>
      </c>
      <c r="V162" s="1">
        <f t="shared" si="14"/>
        <v>7.6726342710997484</v>
      </c>
      <c r="W162" s="1">
        <f t="shared" si="13"/>
        <v>3.7546933667083877</v>
      </c>
      <c r="DP162" s="22">
        <v>0</v>
      </c>
      <c r="DS162" s="10">
        <v>22.69</v>
      </c>
      <c r="DT162" s="10">
        <v>4.5380001068115234</v>
      </c>
      <c r="DU162" s="10">
        <v>6.8499999046325684</v>
      </c>
      <c r="DV162" s="10">
        <v>9.4805908203125</v>
      </c>
      <c r="DX162" s="10">
        <v>35.752731323242188</v>
      </c>
      <c r="DY162" s="10">
        <v>10.379824638366699</v>
      </c>
      <c r="DZ162" s="10">
        <v>4.2288174629211426</v>
      </c>
      <c r="EA162" s="10">
        <v>14.608642578125</v>
      </c>
      <c r="EB162" s="10">
        <v>7.7502689361572266</v>
      </c>
      <c r="EC162" s="10">
        <v>41.888359069824219</v>
      </c>
      <c r="ED162" s="10">
        <v>49.638626098632813</v>
      </c>
      <c r="EE162" s="10">
        <v>0.23099616169929504</v>
      </c>
    </row>
    <row r="163" spans="1:135" ht="15" customHeight="1" x14ac:dyDescent="0.3">
      <c r="A163" s="32" t="s">
        <v>470</v>
      </c>
      <c r="F163" s="32">
        <f>103*0.00001</f>
        <v>1.0300000000000001E-3</v>
      </c>
      <c r="K163">
        <v>6.73</v>
      </c>
      <c r="N163" s="32">
        <f>98*0.00001</f>
        <v>9.8000000000000019E-4</v>
      </c>
      <c r="O163" s="32"/>
      <c r="S163" s="24">
        <v>15.304606240713223</v>
      </c>
      <c r="T163" s="24">
        <v>14.561664190193165</v>
      </c>
      <c r="U163" s="25">
        <f t="shared" si="12"/>
        <v>0.74294205052005857</v>
      </c>
      <c r="V163" s="1">
        <f t="shared" si="14"/>
        <v>4.8543689320388292</v>
      </c>
      <c r="W163" s="1">
        <f t="shared" si="13"/>
        <v>0.74294205052005857</v>
      </c>
      <c r="DP163" s="22">
        <v>0</v>
      </c>
      <c r="DQ163">
        <v>1.24</v>
      </c>
      <c r="DS163" s="10">
        <v>21.49</v>
      </c>
      <c r="DT163" s="10">
        <v>4.2979998588562012</v>
      </c>
      <c r="DU163" s="10">
        <v>5.8299999237060547</v>
      </c>
      <c r="DV163" s="10">
        <v>7.9584541320800781</v>
      </c>
      <c r="DX163" s="10">
        <v>4.2444820404052734</v>
      </c>
      <c r="DY163" s="10">
        <v>9.646550178527832</v>
      </c>
      <c r="DZ163" s="10">
        <v>11.961722373962402</v>
      </c>
      <c r="EA163" s="10">
        <v>21.608272552490234</v>
      </c>
      <c r="EB163" s="10">
        <v>39.604877471923828</v>
      </c>
      <c r="EC163" s="10">
        <v>34.542366027832031</v>
      </c>
      <c r="ED163" s="10">
        <v>74.147247314453125</v>
      </c>
      <c r="EE163" s="10">
        <v>0.4963763952255249</v>
      </c>
    </row>
    <row r="164" spans="1:135" ht="15" customHeight="1" x14ac:dyDescent="0.3">
      <c r="A164" s="32" t="s">
        <v>471</v>
      </c>
      <c r="F164" s="32">
        <f>171*0.00001</f>
        <v>1.7100000000000001E-3</v>
      </c>
      <c r="K164">
        <v>8</v>
      </c>
      <c r="N164" s="32">
        <f>165*0.00001</f>
        <v>1.6500000000000002E-3</v>
      </c>
      <c r="O164" s="32"/>
      <c r="S164" s="24">
        <v>21.375</v>
      </c>
      <c r="T164" s="24">
        <v>20.625</v>
      </c>
      <c r="U164" s="25">
        <f t="shared" si="12"/>
        <v>0.75</v>
      </c>
      <c r="V164" s="1">
        <f t="shared" si="14"/>
        <v>3.5087719298245612</v>
      </c>
      <c r="W164" s="1">
        <f t="shared" si="13"/>
        <v>0.75</v>
      </c>
      <c r="DP164" s="22">
        <v>0</v>
      </c>
      <c r="DQ164">
        <v>1.27</v>
      </c>
      <c r="DS164" s="10">
        <v>20.03</v>
      </c>
      <c r="DT164" s="10">
        <v>4.0060000419616699</v>
      </c>
      <c r="DU164" s="10">
        <v>6.2199997901916504</v>
      </c>
      <c r="DV164" s="10">
        <v>9.4999074935913086</v>
      </c>
      <c r="DX164" s="10">
        <v>20.862308502197266</v>
      </c>
      <c r="DY164" s="10">
        <v>10.817493438720703</v>
      </c>
      <c r="DZ164" s="10">
        <v>10.431154251098633</v>
      </c>
      <c r="EA164" s="10">
        <v>21.248647689819336</v>
      </c>
      <c r="EB164" s="10">
        <v>25.282028198242188</v>
      </c>
      <c r="EC164" s="10">
        <v>32.607017517089844</v>
      </c>
      <c r="ED164" s="10">
        <v>57.889045715332031</v>
      </c>
      <c r="EE164" s="10">
        <v>0.39475861191749573</v>
      </c>
    </row>
    <row r="165" spans="1:135" ht="15" customHeight="1" x14ac:dyDescent="0.3">
      <c r="A165" s="32" t="s">
        <v>472</v>
      </c>
      <c r="F165" s="32">
        <f>126*0.00001</f>
        <v>1.2600000000000001E-3</v>
      </c>
      <c r="K165">
        <v>6.9799999999999986</v>
      </c>
      <c r="N165" s="32">
        <f>122*0.00001</f>
        <v>1.2200000000000002E-3</v>
      </c>
      <c r="O165" s="32"/>
      <c r="S165" s="24">
        <v>18.051575931232094</v>
      </c>
      <c r="T165" s="24">
        <v>17.478510028653297</v>
      </c>
      <c r="U165" s="25">
        <f t="shared" si="12"/>
        <v>0.57306590257879719</v>
      </c>
      <c r="V165" s="1">
        <f t="shared" si="14"/>
        <v>3.1746031746031775</v>
      </c>
      <c r="W165" s="1">
        <f t="shared" si="13"/>
        <v>0.57306590257879719</v>
      </c>
      <c r="DP165" s="22">
        <v>0</v>
      </c>
      <c r="DQ165">
        <v>1.39</v>
      </c>
      <c r="DS165" s="10">
        <v>15.7</v>
      </c>
      <c r="DT165" s="10">
        <v>3.1400001049041748</v>
      </c>
      <c r="DU165" s="10">
        <v>6.5900001525878906</v>
      </c>
      <c r="DV165" s="10">
        <v>13.56878662109375</v>
      </c>
      <c r="DX165" s="10">
        <v>26.009317398071289</v>
      </c>
      <c r="DY165" s="10">
        <v>16.692546844482422</v>
      </c>
      <c r="DZ165" s="10">
        <v>14.363353729248047</v>
      </c>
      <c r="EA165" s="10">
        <v>31.055900573730469</v>
      </c>
      <c r="EB165" s="10">
        <v>20.978260040283203</v>
      </c>
      <c r="EC165" s="10">
        <v>21.956521987915039</v>
      </c>
      <c r="ED165" s="10">
        <v>42.934783935546875</v>
      </c>
      <c r="EE165" s="10">
        <v>0.62378960847854614</v>
      </c>
    </row>
    <row r="166" spans="1:135" ht="15" customHeight="1" x14ac:dyDescent="0.3">
      <c r="A166" s="32" t="s">
        <v>473</v>
      </c>
      <c r="F166" s="32">
        <f>91*0.00001</f>
        <v>9.1000000000000011E-4</v>
      </c>
      <c r="K166">
        <v>8.3699999999999992</v>
      </c>
      <c r="N166" s="32">
        <f>880*0.00001</f>
        <v>8.8000000000000005E-3</v>
      </c>
      <c r="O166" s="32"/>
      <c r="S166" s="24">
        <v>108.72162485065712</v>
      </c>
      <c r="T166" s="24">
        <v>105.13739545997612</v>
      </c>
      <c r="U166" s="25">
        <f t="shared" si="12"/>
        <v>3.5842293906810028</v>
      </c>
      <c r="V166" s="1">
        <f t="shared" si="14"/>
        <v>3.2967032967032956</v>
      </c>
      <c r="W166" s="1">
        <f t="shared" si="13"/>
        <v>3.5842293906810028</v>
      </c>
      <c r="DP166" s="22">
        <v>0</v>
      </c>
      <c r="DQ166">
        <v>1.29</v>
      </c>
      <c r="DS166" s="10">
        <v>22.25</v>
      </c>
      <c r="DT166" s="10">
        <v>4.4499998092651367</v>
      </c>
      <c r="DU166" s="10">
        <v>6.2600002288818359</v>
      </c>
      <c r="DV166" s="10">
        <v>13.362126350402832</v>
      </c>
      <c r="DX166" s="10">
        <v>37.031200408935547</v>
      </c>
      <c r="DY166" s="10">
        <v>11.030570030212402</v>
      </c>
      <c r="DZ166" s="10">
        <v>7.8789787292480469</v>
      </c>
      <c r="EA166" s="10">
        <v>18.909549713134766</v>
      </c>
      <c r="EB166" s="10">
        <v>16.845256805419922</v>
      </c>
      <c r="EC166" s="10">
        <v>27.213993072509766</v>
      </c>
      <c r="ED166" s="10">
        <v>44.059249877929688</v>
      </c>
      <c r="EE166" s="10">
        <v>0.27541711926460266</v>
      </c>
    </row>
    <row r="167" spans="1:135" ht="15" customHeight="1" x14ac:dyDescent="0.3">
      <c r="A167" s="32" t="s">
        <v>474</v>
      </c>
      <c r="F167" s="32">
        <f>214*0.00001</f>
        <v>2.14E-3</v>
      </c>
      <c r="K167">
        <v>7.8599999999999994</v>
      </c>
      <c r="N167" s="32">
        <f>210*0.00001</f>
        <v>2.1000000000000003E-3</v>
      </c>
      <c r="O167" s="32"/>
      <c r="S167" s="24">
        <v>27.226463104325699</v>
      </c>
      <c r="T167" s="24">
        <v>26.717557251908403</v>
      </c>
      <c r="U167" s="25">
        <f t="shared" si="12"/>
        <v>0.50890585241729624</v>
      </c>
      <c r="V167" s="1">
        <f t="shared" si="14"/>
        <v>1.8691588785046489</v>
      </c>
      <c r="W167" s="1">
        <f t="shared" si="13"/>
        <v>0.50890585241729624</v>
      </c>
      <c r="DP167" s="22">
        <v>0</v>
      </c>
      <c r="DQ167">
        <v>1.1000000000000001</v>
      </c>
      <c r="DS167" s="10">
        <v>17.3</v>
      </c>
      <c r="DT167" s="10">
        <v>3.4600000381469727</v>
      </c>
      <c r="DU167" s="10">
        <v>6.320000171661377</v>
      </c>
      <c r="DV167" s="10">
        <v>11.753328323364258</v>
      </c>
      <c r="DX167" s="10">
        <v>13.496837615966797</v>
      </c>
      <c r="DY167" s="10">
        <v>14.268085479736328</v>
      </c>
      <c r="DZ167" s="10">
        <v>11.954341888427734</v>
      </c>
      <c r="EA167" s="10">
        <v>26.222427368164063</v>
      </c>
      <c r="EB167" s="10">
        <v>25.266080856323242</v>
      </c>
      <c r="EC167" s="10">
        <v>35.014652252197266</v>
      </c>
      <c r="ED167" s="10">
        <v>60.280731201171875</v>
      </c>
      <c r="EE167" s="10">
        <v>0.63139051198959351</v>
      </c>
    </row>
    <row r="168" spans="1:135" ht="15" customHeight="1" x14ac:dyDescent="0.3">
      <c r="A168" s="32" t="s">
        <v>475</v>
      </c>
      <c r="F168" s="32">
        <f>322*0.00001</f>
        <v>3.2200000000000002E-3</v>
      </c>
      <c r="K168">
        <v>6.82</v>
      </c>
      <c r="N168" s="32">
        <f>314*0.00001</f>
        <v>3.1400000000000004E-3</v>
      </c>
      <c r="O168" s="32"/>
      <c r="S168" s="24">
        <v>47.214076246334308</v>
      </c>
      <c r="T168" s="24">
        <v>46.041055718475072</v>
      </c>
      <c r="U168" s="25">
        <f t="shared" si="12"/>
        <v>1.1730205278592365</v>
      </c>
      <c r="V168" s="1">
        <f t="shared" si="14"/>
        <v>2.484472049689439</v>
      </c>
      <c r="W168" s="1">
        <f t="shared" si="13"/>
        <v>1.1730205278592365</v>
      </c>
      <c r="DP168" s="22">
        <v>0</v>
      </c>
      <c r="DQ168">
        <v>1.29</v>
      </c>
      <c r="DS168" s="10">
        <v>23.09</v>
      </c>
      <c r="DT168" s="10">
        <v>4.6180000305175781</v>
      </c>
      <c r="DU168" s="10">
        <v>6.5100002288818359</v>
      </c>
      <c r="DV168" s="10">
        <v>14.892667770385742</v>
      </c>
      <c r="DX168" s="10">
        <v>14.331210136413574</v>
      </c>
      <c r="DY168" s="10">
        <v>13.136942863464355</v>
      </c>
      <c r="DZ168" s="10">
        <v>11.942675590515137</v>
      </c>
      <c r="EA168" s="10">
        <v>25.079618453979492</v>
      </c>
      <c r="EB168" s="10">
        <v>25.55732536315918</v>
      </c>
      <c r="EC168" s="10">
        <v>35.031848907470703</v>
      </c>
      <c r="ED168" s="10">
        <v>60.58917236328125</v>
      </c>
      <c r="EE168" s="10">
        <v>0.47367125749588013</v>
      </c>
    </row>
    <row r="169" spans="1:135" ht="15" customHeight="1" x14ac:dyDescent="0.3">
      <c r="A169" s="32" t="s">
        <v>476</v>
      </c>
      <c r="F169" s="32">
        <f>67*0.00001</f>
        <v>6.7000000000000002E-4</v>
      </c>
      <c r="K169">
        <v>7.370000000000001</v>
      </c>
      <c r="N169" s="32">
        <f>63*0.00001</f>
        <v>6.3000000000000003E-4</v>
      </c>
      <c r="O169" s="32"/>
      <c r="S169" s="24">
        <v>9.0909090909090899</v>
      </c>
      <c r="T169" s="24">
        <v>8.5481682496607867</v>
      </c>
      <c r="U169" s="25">
        <f t="shared" si="12"/>
        <v>0.54274084124830324</v>
      </c>
      <c r="V169" s="1">
        <f t="shared" si="14"/>
        <v>5.9701492537313365</v>
      </c>
      <c r="W169" s="1">
        <f t="shared" si="13"/>
        <v>0.54274084124830324</v>
      </c>
      <c r="DP169" s="22">
        <v>0</v>
      </c>
      <c r="DQ169">
        <v>1.32</v>
      </c>
      <c r="DS169" s="10">
        <v>16.34</v>
      </c>
      <c r="DT169" s="10">
        <v>3.2679998874664307</v>
      </c>
      <c r="DU169" s="10">
        <v>5.619999885559082</v>
      </c>
      <c r="DV169" s="10">
        <v>20.162958145141602</v>
      </c>
      <c r="DX169" s="10">
        <v>40.075435638427734</v>
      </c>
      <c r="DY169" s="10">
        <v>13.751375198364258</v>
      </c>
      <c r="DZ169" s="10">
        <v>7.0721359252929688</v>
      </c>
      <c r="EA169" s="10">
        <v>20.823511123657227</v>
      </c>
      <c r="EB169" s="10">
        <v>12.792707443237305</v>
      </c>
      <c r="EC169" s="10">
        <v>26.308345794677734</v>
      </c>
      <c r="ED169" s="10">
        <v>39.101051330566406</v>
      </c>
      <c r="EE169" s="10">
        <v>0.3564155101776123</v>
      </c>
    </row>
    <row r="170" spans="1:135" ht="15" customHeight="1" x14ac:dyDescent="0.3">
      <c r="A170" s="32" t="s">
        <v>477</v>
      </c>
      <c r="F170" s="32">
        <f>436*0.00001</f>
        <v>4.3600000000000002E-3</v>
      </c>
      <c r="K170">
        <v>7.8299999999999992</v>
      </c>
      <c r="N170" s="32">
        <f>419*0.00001</f>
        <v>4.1900000000000001E-3</v>
      </c>
      <c r="O170" s="32"/>
      <c r="S170" s="24">
        <v>55.683269476372935</v>
      </c>
      <c r="T170" s="24">
        <v>53.512132822477653</v>
      </c>
      <c r="U170" s="25">
        <f t="shared" si="12"/>
        <v>2.1711366538952817</v>
      </c>
      <c r="V170" s="1">
        <f t="shared" si="14"/>
        <v>3.8990825688073514</v>
      </c>
      <c r="W170" s="1">
        <f t="shared" si="13"/>
        <v>2.1711366538952817</v>
      </c>
      <c r="DP170" s="22">
        <v>0</v>
      </c>
      <c r="DS170" s="10">
        <v>33.700000000000003</v>
      </c>
      <c r="DT170" s="10">
        <v>6.7399997711181641</v>
      </c>
      <c r="DU170" s="10">
        <v>5.6599998474121094</v>
      </c>
      <c r="DV170" s="10">
        <v>20.020656585693359</v>
      </c>
      <c r="DX170" s="10">
        <v>30.125320434570313</v>
      </c>
      <c r="DY170" s="10">
        <v>13.65681266784668</v>
      </c>
      <c r="DZ170" s="10">
        <v>8.8367605209350586</v>
      </c>
      <c r="EA170" s="10">
        <v>22.493572235107422</v>
      </c>
      <c r="EB170" s="10">
        <v>17.175449371337891</v>
      </c>
      <c r="EC170" s="10">
        <v>30.205656051635742</v>
      </c>
      <c r="ED170" s="10">
        <v>47.381103515625</v>
      </c>
      <c r="EE170" s="10">
        <v>0.27800771594047546</v>
      </c>
    </row>
    <row r="171" spans="1:135" ht="15" customHeight="1" x14ac:dyDescent="0.3">
      <c r="A171" s="32" t="s">
        <v>478</v>
      </c>
      <c r="F171" s="32">
        <f>622*0.00001</f>
        <v>6.2200000000000007E-3</v>
      </c>
      <c r="K171">
        <v>8.129999999999999</v>
      </c>
      <c r="N171" s="32">
        <f>607*0.00001</f>
        <v>6.0700000000000007E-3</v>
      </c>
      <c r="O171" s="32"/>
      <c r="S171" s="24">
        <v>76.50676506765069</v>
      </c>
      <c r="T171" s="24">
        <v>74.661746617466193</v>
      </c>
      <c r="U171" s="25">
        <f t="shared" si="12"/>
        <v>1.8450184501844973</v>
      </c>
      <c r="V171" s="1">
        <f t="shared" si="14"/>
        <v>2.4115755627009583</v>
      </c>
      <c r="W171" s="1">
        <f t="shared" si="13"/>
        <v>1.8450184501844973</v>
      </c>
      <c r="DP171" s="22">
        <v>0</v>
      </c>
      <c r="DQ171">
        <v>1.1399999999999999</v>
      </c>
      <c r="DS171" s="10">
        <v>24.24</v>
      </c>
      <c r="DT171" s="10">
        <v>4.8480000495910645</v>
      </c>
      <c r="DU171" s="10">
        <v>5.8600001335144043</v>
      </c>
      <c r="DV171" s="10">
        <v>12.17657470703125</v>
      </c>
      <c r="DX171" s="10">
        <v>15.805278778076172</v>
      </c>
      <c r="DY171" s="10">
        <v>14.619882583618164</v>
      </c>
      <c r="DZ171" s="10">
        <v>8.6929035186767578</v>
      </c>
      <c r="EA171" s="10">
        <v>23.312786102294922</v>
      </c>
      <c r="EB171" s="10">
        <v>19.72498893737793</v>
      </c>
      <c r="EC171" s="10">
        <v>41.156948089599609</v>
      </c>
      <c r="ED171" s="10">
        <v>60.881935119628906</v>
      </c>
      <c r="EE171" s="10">
        <v>0.44255080819129944</v>
      </c>
    </row>
    <row r="172" spans="1:135" ht="15" customHeight="1" x14ac:dyDescent="0.3">
      <c r="A172" s="32" t="s">
        <v>479</v>
      </c>
      <c r="F172" s="32">
        <f>35*0.00001</f>
        <v>3.5000000000000005E-4</v>
      </c>
      <c r="K172">
        <v>8.2399999999999984</v>
      </c>
      <c r="N172" s="32">
        <f>32*0.00001</f>
        <v>3.2000000000000003E-4</v>
      </c>
      <c r="O172" s="32"/>
      <c r="S172" s="24">
        <v>4.2475728155339816</v>
      </c>
      <c r="T172" s="24">
        <v>3.8834951456310685</v>
      </c>
      <c r="U172" s="25">
        <f t="shared" si="12"/>
        <v>0.36407766990291313</v>
      </c>
      <c r="V172" s="1">
        <f t="shared" si="14"/>
        <v>8.5714285714285818</v>
      </c>
      <c r="W172" s="1">
        <f t="shared" si="13"/>
        <v>0.36407766990291313</v>
      </c>
      <c r="DP172" s="22">
        <v>0</v>
      </c>
      <c r="DQ172">
        <v>1.49</v>
      </c>
      <c r="DS172" s="10">
        <v>10.02</v>
      </c>
      <c r="DT172" s="10">
        <v>2.0039999485015869</v>
      </c>
      <c r="DU172" s="10">
        <v>7.1399998664855957</v>
      </c>
      <c r="DV172" s="10">
        <v>9.8318595886230469</v>
      </c>
      <c r="DX172" s="10">
        <v>22.036474227905273</v>
      </c>
      <c r="DY172" s="10">
        <v>13.677811622619629</v>
      </c>
      <c r="DZ172" s="10">
        <v>11.398176193237305</v>
      </c>
      <c r="EA172" s="10">
        <v>25.07598876953125</v>
      </c>
      <c r="EB172" s="10">
        <v>21.413373947143555</v>
      </c>
      <c r="EC172" s="10">
        <v>31.474164962768555</v>
      </c>
      <c r="ED172" s="10">
        <v>52.887538909912109</v>
      </c>
      <c r="EE172" s="10">
        <v>0.66277438402175903</v>
      </c>
    </row>
    <row r="173" spans="1:135" ht="15" customHeight="1" x14ac:dyDescent="0.3">
      <c r="A173" s="32" t="s">
        <v>480</v>
      </c>
      <c r="F173" s="32">
        <f>65*0.00001</f>
        <v>6.5000000000000008E-4</v>
      </c>
      <c r="K173">
        <v>8.0800000000000018</v>
      </c>
      <c r="N173" s="32">
        <f>63*0.00001</f>
        <v>6.3000000000000003E-4</v>
      </c>
      <c r="O173" s="32"/>
      <c r="S173" s="24">
        <v>8.0445544554455406</v>
      </c>
      <c r="T173" s="24">
        <v>7.7970297029702946</v>
      </c>
      <c r="U173" s="25">
        <f t="shared" si="12"/>
        <v>0.24752475247524597</v>
      </c>
      <c r="V173" s="1">
        <f t="shared" si="14"/>
        <v>3.0769230769230589</v>
      </c>
      <c r="W173" s="1">
        <f t="shared" si="13"/>
        <v>0.24752475247524597</v>
      </c>
      <c r="DP173" s="22">
        <v>0</v>
      </c>
      <c r="DQ173">
        <v>1.39</v>
      </c>
      <c r="DS173" s="10">
        <v>11.67</v>
      </c>
      <c r="DT173" s="10">
        <v>2.3340001106262207</v>
      </c>
      <c r="DU173" s="10">
        <v>5.679999828338623</v>
      </c>
      <c r="DV173" s="10">
        <v>13.013628005981445</v>
      </c>
      <c r="DX173" s="10">
        <v>24.345708847045898</v>
      </c>
      <c r="DY173" s="10">
        <v>17.878879547119141</v>
      </c>
      <c r="DZ173" s="10">
        <v>12.172854423522949</v>
      </c>
      <c r="EA173" s="10">
        <v>30.051734924316406</v>
      </c>
      <c r="EB173" s="10">
        <v>20.769933700561523</v>
      </c>
      <c r="EC173" s="10">
        <v>24.832622528076172</v>
      </c>
      <c r="ED173" s="10">
        <v>45.602554321289063</v>
      </c>
      <c r="EE173" s="10">
        <v>0.75385189056396484</v>
      </c>
    </row>
    <row r="174" spans="1:135" ht="15" customHeight="1" x14ac:dyDescent="0.3">
      <c r="A174" s="32" t="s">
        <v>481</v>
      </c>
      <c r="F174" s="32">
        <f>160*0.00001</f>
        <v>1.6000000000000001E-3</v>
      </c>
      <c r="K174">
        <v>7.2700000000000014</v>
      </c>
      <c r="N174" s="32">
        <f>152*0.00001</f>
        <v>1.5200000000000001E-3</v>
      </c>
      <c r="O174" s="32"/>
      <c r="S174" s="24">
        <v>22.008253094910589</v>
      </c>
      <c r="T174" s="24">
        <v>20.907840440165057</v>
      </c>
      <c r="U174" s="25">
        <f t="shared" si="12"/>
        <v>1.1004126547455328</v>
      </c>
      <c r="V174" s="1">
        <f t="shared" si="14"/>
        <v>5.0000000000000151</v>
      </c>
      <c r="W174" s="1">
        <f t="shared" si="13"/>
        <v>1.1004126547455328</v>
      </c>
      <c r="DP174" s="22">
        <v>0</v>
      </c>
      <c r="DS174" s="10">
        <v>31.64</v>
      </c>
      <c r="DT174" s="10">
        <v>6.3280000686645508</v>
      </c>
      <c r="DU174" s="10">
        <v>7.059999942779541</v>
      </c>
      <c r="DV174" s="10">
        <v>16.572385787963867</v>
      </c>
      <c r="DX174" s="10">
        <v>9.9143400192260742</v>
      </c>
      <c r="DY174" s="10">
        <v>16.259517669677734</v>
      </c>
      <c r="DZ174" s="10">
        <v>11.104061126708984</v>
      </c>
      <c r="EA174" s="10">
        <v>27.363578796386719</v>
      </c>
      <c r="EB174" s="10">
        <v>20.717004776000977</v>
      </c>
      <c r="EC174" s="10">
        <v>42.005077362060547</v>
      </c>
      <c r="ED174" s="10">
        <v>62.722084045410156</v>
      </c>
      <c r="EE174" s="10">
        <v>0.43499255180358887</v>
      </c>
    </row>
    <row r="175" spans="1:135" ht="15" customHeight="1" x14ac:dyDescent="0.3">
      <c r="A175" s="32" t="s">
        <v>376</v>
      </c>
      <c r="F175" s="32">
        <v>8.7000000000000001E-5</v>
      </c>
      <c r="K175">
        <v>12.78</v>
      </c>
      <c r="N175" s="32">
        <v>8.5000000000000006E-5</v>
      </c>
      <c r="O175" s="32"/>
      <c r="S175" s="24">
        <v>6.807511737089202</v>
      </c>
      <c r="T175" s="24">
        <v>6.6510172143974966</v>
      </c>
      <c r="U175" s="25">
        <f t="shared" si="12"/>
        <v>0.15649452269170538</v>
      </c>
      <c r="V175" s="1">
        <f t="shared" si="14"/>
        <v>2.2988505747126378</v>
      </c>
      <c r="W175" s="1">
        <f t="shared" si="13"/>
        <v>0.15649452269170538</v>
      </c>
      <c r="DS175" s="10"/>
      <c r="DT175" s="10"/>
      <c r="DU175" s="10"/>
      <c r="DV175" s="10"/>
      <c r="DX175" s="10"/>
      <c r="DY175" s="10"/>
      <c r="DZ175" s="10"/>
      <c r="EA175" s="10"/>
      <c r="EB175" s="10"/>
      <c r="EC175" s="10"/>
      <c r="ED175" s="10"/>
      <c r="EE175" s="10"/>
    </row>
    <row r="176" spans="1:135" ht="15" customHeight="1" x14ac:dyDescent="0.3">
      <c r="A176" s="32" t="s">
        <v>376</v>
      </c>
      <c r="F176" s="32">
        <v>2.8E-5</v>
      </c>
      <c r="K176">
        <v>13.06</v>
      </c>
      <c r="N176" s="32">
        <v>2.8E-5</v>
      </c>
      <c r="O176" s="32"/>
      <c r="S176" s="24">
        <v>2.1439509954058193</v>
      </c>
      <c r="T176" s="24">
        <v>2.1439509954058193</v>
      </c>
      <c r="U176" s="25">
        <f t="shared" si="12"/>
        <v>0</v>
      </c>
      <c r="V176" s="1">
        <f t="shared" si="14"/>
        <v>0</v>
      </c>
      <c r="W176" s="1">
        <f t="shared" si="13"/>
        <v>0</v>
      </c>
    </row>
    <row r="177" spans="1:23" ht="15" customHeight="1" x14ac:dyDescent="0.3">
      <c r="A177" s="32" t="s">
        <v>376</v>
      </c>
      <c r="F177" s="32">
        <v>3.1999999999999999E-5</v>
      </c>
      <c r="K177">
        <v>12.8</v>
      </c>
      <c r="N177" s="32">
        <v>3.1999999999999999E-5</v>
      </c>
      <c r="O177" s="32"/>
      <c r="S177" s="24">
        <v>2.4999999999999996</v>
      </c>
      <c r="T177" s="24">
        <v>2.4999999999999996</v>
      </c>
      <c r="U177" s="25">
        <f t="shared" si="12"/>
        <v>0</v>
      </c>
      <c r="V177" s="1">
        <f t="shared" si="14"/>
        <v>0</v>
      </c>
      <c r="W177" s="1">
        <f t="shared" si="13"/>
        <v>0</v>
      </c>
    </row>
    <row r="178" spans="1:23" ht="15" customHeight="1" x14ac:dyDescent="0.3">
      <c r="A178" s="32" t="s">
        <v>376</v>
      </c>
      <c r="F178" s="32">
        <v>2.6999999999999999E-5</v>
      </c>
      <c r="K178">
        <v>12.579999999999998</v>
      </c>
      <c r="N178" s="32">
        <v>2.6999999999999999E-5</v>
      </c>
      <c r="O178" s="32"/>
      <c r="S178" s="24">
        <v>2.1462639109697936</v>
      </c>
      <c r="T178" s="24">
        <v>2.1462639109697936</v>
      </c>
      <c r="U178" s="25">
        <f t="shared" si="12"/>
        <v>0</v>
      </c>
      <c r="V178" s="1">
        <f t="shared" si="14"/>
        <v>0</v>
      </c>
      <c r="W178" s="1">
        <f t="shared" si="13"/>
        <v>0</v>
      </c>
    </row>
    <row r="179" spans="1:23" ht="15" customHeight="1" x14ac:dyDescent="0.3">
      <c r="A179" s="32" t="s">
        <v>377</v>
      </c>
      <c r="F179" s="32">
        <v>5.3000000000000001E-5</v>
      </c>
      <c r="K179">
        <v>12.32</v>
      </c>
      <c r="N179" s="32">
        <v>5.1E-5</v>
      </c>
      <c r="O179" s="32"/>
      <c r="S179" s="24">
        <v>4.3019480519480515</v>
      </c>
      <c r="T179" s="24">
        <v>4.1396103896103895</v>
      </c>
      <c r="U179" s="25">
        <f t="shared" si="12"/>
        <v>0.162337662337662</v>
      </c>
      <c r="V179" s="1">
        <f t="shared" si="14"/>
        <v>3.7735849056603699</v>
      </c>
      <c r="W179" s="1">
        <f t="shared" si="13"/>
        <v>0.162337662337662</v>
      </c>
    </row>
    <row r="180" spans="1:23" ht="15" customHeight="1" x14ac:dyDescent="0.3">
      <c r="A180" s="32" t="s">
        <v>377</v>
      </c>
      <c r="F180" s="32">
        <v>5.1E-5</v>
      </c>
      <c r="K180">
        <v>13.02</v>
      </c>
      <c r="N180" s="32">
        <v>4.8000000000000001E-5</v>
      </c>
      <c r="O180" s="32"/>
      <c r="S180" s="24">
        <v>3.9170506912442398</v>
      </c>
      <c r="T180" s="24">
        <v>3.6866359447004613</v>
      </c>
      <c r="U180" s="25">
        <f t="shared" si="12"/>
        <v>0.23041474654377847</v>
      </c>
      <c r="V180" s="1">
        <f t="shared" si="14"/>
        <v>5.8823529411764621</v>
      </c>
      <c r="W180" s="1">
        <f t="shared" si="13"/>
        <v>0.23041474654377847</v>
      </c>
    </row>
    <row r="181" spans="1:23" ht="15" customHeight="1" x14ac:dyDescent="0.3">
      <c r="A181" s="32" t="s">
        <v>377</v>
      </c>
      <c r="F181" s="32">
        <v>5.0000000000000002E-5</v>
      </c>
      <c r="K181">
        <v>12.82</v>
      </c>
      <c r="N181" s="32">
        <v>4.6999999999999997E-5</v>
      </c>
      <c r="O181" s="32"/>
      <c r="S181" s="24">
        <v>3.9001560062402505</v>
      </c>
      <c r="T181" s="24">
        <v>3.6661466458658341</v>
      </c>
      <c r="U181" s="25">
        <f t="shared" si="12"/>
        <v>0.23400936037441644</v>
      </c>
      <c r="V181" s="1">
        <f t="shared" si="14"/>
        <v>6.0000000000000364</v>
      </c>
      <c r="W181" s="1">
        <f t="shared" si="13"/>
        <v>0.23400936037441644</v>
      </c>
    </row>
    <row r="182" spans="1:23" ht="15" customHeight="1" x14ac:dyDescent="0.3">
      <c r="A182" s="32" t="s">
        <v>377</v>
      </c>
      <c r="F182" s="32">
        <v>5.0000000000000002E-5</v>
      </c>
      <c r="K182">
        <v>13.07</v>
      </c>
      <c r="N182" s="32">
        <v>4.8000000000000001E-5</v>
      </c>
      <c r="O182" s="32"/>
      <c r="S182" s="24">
        <v>3.825554705432288</v>
      </c>
      <c r="T182" s="24">
        <v>3.6725325172149956</v>
      </c>
      <c r="U182" s="25">
        <f t="shared" si="12"/>
        <v>0.15302218821729241</v>
      </c>
      <c r="V182" s="1">
        <f t="shared" si="14"/>
        <v>4.0000000000000231</v>
      </c>
      <c r="W182" s="1">
        <f t="shared" si="13"/>
        <v>0.15302218821729241</v>
      </c>
    </row>
    <row r="183" spans="1:23" ht="15" customHeight="1" x14ac:dyDescent="0.3">
      <c r="A183" s="32" t="s">
        <v>377</v>
      </c>
      <c r="F183" s="32">
        <v>1.1E-5</v>
      </c>
      <c r="K183">
        <v>12.379999999999999</v>
      </c>
      <c r="N183" s="32">
        <v>1.1E-5</v>
      </c>
      <c r="O183" s="32"/>
      <c r="S183" s="24">
        <v>0.88852988691437795</v>
      </c>
      <c r="T183" s="24">
        <v>0.88852988691437795</v>
      </c>
      <c r="U183" s="25">
        <f t="shared" si="12"/>
        <v>0</v>
      </c>
      <c r="V183" s="1">
        <f t="shared" si="14"/>
        <v>0</v>
      </c>
      <c r="W183" s="1">
        <f t="shared" si="13"/>
        <v>0</v>
      </c>
    </row>
  </sheetData>
  <phoneticPr fontId="12" type="noConversion"/>
  <hyperlinks>
    <hyperlink ref="A1" r:id="rId1" display="C@" xr:uid="{7EF9FC35-FFDD-4386-90E2-DFC3677978D8}"/>
  </hyperlinks>
  <pageMargins left="0.7" right="0.7" top="0.75" bottom="0.75" header="0" footer="0"/>
  <pageSetup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AB788D7A8E4409C0C8F27BBECE63F" ma:contentTypeVersion="13" ma:contentTypeDescription="Een nieuw document maken." ma:contentTypeScope="" ma:versionID="127f0822b766f714467baa90bfa44c3a">
  <xsd:schema xmlns:xsd="http://www.w3.org/2001/XMLSchema" xmlns:xs="http://www.w3.org/2001/XMLSchema" xmlns:p="http://schemas.microsoft.com/office/2006/metadata/properties" xmlns:ns3="df7f41a0-9c1e-42eb-a4a3-0247cf46dd37" xmlns:ns4="589664a6-b021-4865-b2ce-f23304a6b359" targetNamespace="http://schemas.microsoft.com/office/2006/metadata/properties" ma:root="true" ma:fieldsID="322b389eb35575189653dbb0f65bc017" ns3:_="" ns4:_="">
    <xsd:import namespace="df7f41a0-9c1e-42eb-a4a3-0247cf46dd37"/>
    <xsd:import namespace="589664a6-b021-4865-b2ce-f23304a6b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41a0-9c1e-42eb-a4a3-0247cf46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664a6-b021-4865-b2ce-f23304a6b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9E3D9-6878-496E-A7B4-B04196CF92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CEF9EE-ECF3-4080-8958-3AE4DC3DD3A5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89664a6-b021-4865-b2ce-f23304a6b359"/>
    <ds:schemaRef ds:uri="df7f41a0-9c1e-42eb-a4a3-0247cf46dd37"/>
  </ds:schemaRefs>
</ds:datastoreItem>
</file>

<file path=customXml/itemProps3.xml><?xml version="1.0" encoding="utf-8"?>
<ds:datastoreItem xmlns:ds="http://schemas.openxmlformats.org/officeDocument/2006/customXml" ds:itemID="{DF54C6EA-30E2-40A7-A67A-D1B0B0300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f41a0-9c1e-42eb-a4a3-0247cf46dd37"/>
    <ds:schemaRef ds:uri="589664a6-b021-4865-b2ce-f23304a6b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</dc:creator>
  <cp:lastModifiedBy>Gaston Mendoza Veirana</cp:lastModifiedBy>
  <dcterms:created xsi:type="dcterms:W3CDTF">2022-05-05T13:50:03Z</dcterms:created>
  <dcterms:modified xsi:type="dcterms:W3CDTF">2023-10-24T09:20:35Z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0x010100663AB788D7A8E4409C0C8F27BBECE63F</vt:lpwstr>
  </property>
</Properties>
</file>